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jrand\OneDrive\Documents\ENGINEER PDH ONLINE\ENGINEERS-PDH\"/>
    </mc:Choice>
  </mc:AlternateContent>
  <xr:revisionPtr revIDLastSave="0" documentId="8_{B6943338-2D19-411D-B49F-68E632AE3DA6}" xr6:coauthVersionLast="47" xr6:coauthVersionMax="47" xr10:uidLastSave="{00000000-0000-0000-0000-000000000000}"/>
  <bookViews>
    <workbookView xWindow="735" yWindow="735" windowWidth="22755" windowHeight="11940" activeTab="1" xr2:uid="{00000000-000D-0000-FFFF-FFFF00000000}"/>
  </bookViews>
  <sheets>
    <sheet name="Intro" sheetId="1" r:id="rId1"/>
    <sheet name="Capacity" sheetId="2" r:id="rId2"/>
    <sheet name="Trjectory" sheetId="4" r:id="rId3"/>
    <sheet name="Power" sheetId="5" r:id="rId4"/>
    <sheet name="Head Shaft-Gear Drive" sheetId="6" r:id="rId5"/>
    <sheet name="Head Shaft-Chain Drive" sheetId="8" r:id="rId6"/>
    <sheet name="Math" sheetId="7" r:id="rId7"/>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84" i="2" l="1"/>
  <c r="C182" i="2"/>
  <c r="C168" i="2"/>
  <c r="F164" i="2"/>
  <c r="F153" i="2"/>
  <c r="E42" i="2"/>
  <c r="C157" i="2"/>
  <c r="F157" i="2" s="1"/>
  <c r="B40" i="7"/>
  <c r="B38" i="7"/>
  <c r="F37" i="7"/>
  <c r="F40" i="7" s="1"/>
  <c r="F35" i="7"/>
  <c r="E52" i="2" l="1"/>
  <c r="C131" i="2"/>
  <c r="F131" i="2" s="1"/>
  <c r="F135" i="2" s="1"/>
  <c r="C103" i="2"/>
  <c r="C65" i="2"/>
  <c r="C67" i="2" s="1"/>
  <c r="C62" i="2"/>
  <c r="C60" i="2"/>
  <c r="C57" i="2"/>
  <c r="C133" i="2"/>
  <c r="E111" i="2"/>
  <c r="F137" i="2"/>
  <c r="E48" i="2"/>
  <c r="E47" i="2"/>
  <c r="E43" i="2"/>
  <c r="E44" i="2"/>
  <c r="E45" i="2"/>
  <c r="C195" i="6"/>
  <c r="C197" i="6" s="1"/>
  <c r="C198" i="6" s="1"/>
  <c r="C200" i="6"/>
  <c r="C204" i="6" s="1"/>
  <c r="C33" i="4"/>
  <c r="C36" i="4" s="1"/>
  <c r="C88" i="6"/>
  <c r="C86" i="6"/>
  <c r="C449" i="8"/>
  <c r="C450" i="8" s="1"/>
  <c r="C361" i="6"/>
  <c r="C362" i="6" s="1"/>
  <c r="C407" i="8"/>
  <c r="C410" i="8"/>
  <c r="C404" i="8"/>
  <c r="C401" i="8"/>
  <c r="C306" i="8"/>
  <c r="C315" i="8" s="1"/>
  <c r="C316" i="8" s="1"/>
  <c r="C308" i="8"/>
  <c r="C309" i="8" s="1"/>
  <c r="C282" i="6"/>
  <c r="C290" i="6" s="1"/>
  <c r="C291" i="6" s="1"/>
  <c r="C55" i="5"/>
  <c r="C57" i="5" s="1"/>
  <c r="C76" i="8"/>
  <c r="C80" i="8" s="1"/>
  <c r="C97" i="8" s="1"/>
  <c r="C373" i="8"/>
  <c r="C376" i="8" s="1"/>
  <c r="C377" i="8" s="1"/>
  <c r="C371" i="8"/>
  <c r="C100" i="8"/>
  <c r="C102" i="8"/>
  <c r="C104" i="8"/>
  <c r="C78" i="8"/>
  <c r="C84" i="8" s="1"/>
  <c r="C90" i="6"/>
  <c r="C226" i="8"/>
  <c r="C230" i="8" s="1"/>
  <c r="C221" i="8"/>
  <c r="C223" i="8" s="1"/>
  <c r="C224" i="8" s="1"/>
  <c r="C228" i="8"/>
  <c r="C323" i="6"/>
  <c r="C320" i="6"/>
  <c r="C317" i="6"/>
  <c r="C314" i="6"/>
  <c r="C284" i="6"/>
  <c r="C285" i="6" s="1"/>
  <c r="C202" i="6"/>
  <c r="C68" i="6"/>
  <c r="C72" i="6" s="1"/>
  <c r="C42" i="5"/>
  <c r="C40" i="5"/>
  <c r="C45" i="5" s="1"/>
  <c r="C49" i="5"/>
  <c r="C52" i="5" s="1"/>
  <c r="C59" i="5" l="1"/>
  <c r="C62" i="5" s="1"/>
  <c r="C38" i="4"/>
  <c r="C69" i="2"/>
  <c r="C72" i="2" s="1"/>
  <c r="C75" i="2" s="1"/>
  <c r="C137" i="2"/>
  <c r="F139" i="2"/>
  <c r="C139" i="2" s="1"/>
  <c r="C82" i="8"/>
  <c r="C88" i="8" s="1"/>
  <c r="C93" i="8" s="1"/>
  <c r="C106" i="8"/>
  <c r="C108" i="8" s="1"/>
  <c r="C114" i="8" s="1"/>
  <c r="C233" i="8"/>
  <c r="C240" i="8" s="1"/>
  <c r="C110" i="8"/>
  <c r="C128" i="8" s="1"/>
  <c r="C164" i="8" s="1"/>
  <c r="C92" i="6"/>
  <c r="C94" i="6" s="1"/>
  <c r="C98" i="6" s="1"/>
  <c r="C207" i="6"/>
  <c r="C212" i="6" s="1"/>
  <c r="C70" i="6"/>
  <c r="C76" i="6" s="1"/>
  <c r="C135" i="2"/>
  <c r="C77" i="2" l="1"/>
  <c r="F75" i="2"/>
  <c r="C112" i="8"/>
  <c r="C95" i="8"/>
  <c r="C160" i="8"/>
  <c r="C90" i="8"/>
  <c r="C119" i="8"/>
  <c r="C121" i="8" s="1"/>
  <c r="C96" i="6"/>
  <c r="C102" i="6" s="1"/>
  <c r="C104" i="6" s="1"/>
  <c r="C83" i="6"/>
  <c r="C81" i="6"/>
  <c r="C78" i="6"/>
  <c r="C72" i="5"/>
  <c r="C80" i="5" s="1"/>
  <c r="F77" i="2" l="1"/>
  <c r="C79" i="2"/>
  <c r="F79" i="2" s="1"/>
  <c r="C126" i="8"/>
  <c r="C158" i="8" s="1"/>
  <c r="C124" i="8"/>
  <c r="C156" i="8" s="1"/>
  <c r="C108" i="6"/>
  <c r="C132" i="6" s="1"/>
  <c r="C106" i="6"/>
  <c r="C134" i="6" s="1"/>
  <c r="C103" i="5"/>
  <c r="C88" i="5"/>
  <c r="C130" i="6" l="1"/>
</calcChain>
</file>

<file path=xl/sharedStrings.xml><?xml version="1.0" encoding="utf-8"?>
<sst xmlns="http://schemas.openxmlformats.org/spreadsheetml/2006/main" count="1093" uniqueCount="513">
  <si>
    <t>Belt Width,  W =</t>
  </si>
  <si>
    <t>Belt Speed,  S =</t>
  </si>
  <si>
    <t>Idler Angle, Y =</t>
  </si>
  <si>
    <t>Input</t>
  </si>
  <si>
    <t>Calculations</t>
  </si>
  <si>
    <t>B =</t>
  </si>
  <si>
    <t>C =</t>
  </si>
  <si>
    <t>A =</t>
  </si>
  <si>
    <t>R =</t>
  </si>
  <si>
    <t>A3 =</t>
  </si>
  <si>
    <t>A2 =</t>
  </si>
  <si>
    <t>Edge of Pile to Edge of Belt,  G =</t>
  </si>
  <si>
    <t>Edge of Idler to Edge of Belt,  H =</t>
  </si>
  <si>
    <t>MA =</t>
  </si>
  <si>
    <t>lb/ft^3</t>
  </si>
  <si>
    <t>deg</t>
  </si>
  <si>
    <t>in</t>
  </si>
  <si>
    <t>ft/min</t>
  </si>
  <si>
    <t xml:space="preserve">in </t>
  </si>
  <si>
    <t xml:space="preserve"> </t>
  </si>
  <si>
    <t>tons/hr</t>
  </si>
  <si>
    <t>cu ft/min</t>
  </si>
  <si>
    <t>CFM =</t>
  </si>
  <si>
    <t>TPH =</t>
  </si>
  <si>
    <t>Bulk Material Density, DEN =</t>
  </si>
  <si>
    <t>CFM*DEN*60 / 2000</t>
  </si>
  <si>
    <t>Belt Conveyor Volume Capacity,  CFM =</t>
  </si>
  <si>
    <t>Belt Conveyor Weight Capacity,  TPH =</t>
  </si>
  <si>
    <t>P3</t>
  </si>
  <si>
    <t>Preliminary Conveyor Power Calculation</t>
  </si>
  <si>
    <t>Belt Tension to Move Empty Belt, and Turn Pulleys and Idlers (T1)</t>
  </si>
  <si>
    <t>lb/ft</t>
  </si>
  <si>
    <t>Conveyor Length,  Lc =</t>
  </si>
  <si>
    <t>ft</t>
  </si>
  <si>
    <t>Approx. Belt Weight + 5" Idlers,  Wb =</t>
  </si>
  <si>
    <t>Belt Length,  L =</t>
  </si>
  <si>
    <t>2 * Lc</t>
  </si>
  <si>
    <t>L =</t>
  </si>
  <si>
    <t>T1 =</t>
  </si>
  <si>
    <t>Empty Belt Tension,  T1 =</t>
  </si>
  <si>
    <t>Belt friction factor,  F1 =</t>
  </si>
  <si>
    <t>lbs</t>
  </si>
  <si>
    <t>Belt Tension to Lift Bulk Material (T3)</t>
  </si>
  <si>
    <t>Belt slope (+) incline (–) decline,  A =</t>
  </si>
  <si>
    <t>Vertical distance bulk material is lifted,  H =</t>
  </si>
  <si>
    <t>Wb * L * F1</t>
  </si>
  <si>
    <t>H =</t>
  </si>
  <si>
    <t xml:space="preserve">Lc * Sin A </t>
  </si>
  <si>
    <t>The symbol ( * ) means multiply.</t>
  </si>
  <si>
    <t>Bulk material weight (lbs per lineal foot), Wm =</t>
  </si>
  <si>
    <t>Belt speed, S =</t>
  </si>
  <si>
    <t>Desired conveyor capacity,  TPH =</t>
  </si>
  <si>
    <t>2000 * TPH / ( 60 * S )</t>
  </si>
  <si>
    <t>Wm =</t>
  </si>
  <si>
    <t>lb/ln ft</t>
  </si>
  <si>
    <t>Lift bulk material tension,  T3 =</t>
  </si>
  <si>
    <t>T3 =</t>
  </si>
  <si>
    <t xml:space="preserve">Wm * H </t>
  </si>
  <si>
    <t>Belt Tight Side Tension (T4)</t>
  </si>
  <si>
    <t>T4 =</t>
  </si>
  <si>
    <t xml:space="preserve"> T1 + T2 + T3</t>
  </si>
  <si>
    <t>T2 =</t>
  </si>
  <si>
    <t>Belt Tension to Move Bulk Material Horizontally (T2)</t>
  </si>
  <si>
    <t>Horizontal load friction factor,  F2 =</t>
  </si>
  <si>
    <t xml:space="preserve">Wm * Lc * F2  </t>
  </si>
  <si>
    <t>Belt Slack Side Tension (Ts)</t>
  </si>
  <si>
    <t>Belt Slack Side Tension,  Ts =</t>
  </si>
  <si>
    <t>Ts =</t>
  </si>
  <si>
    <t xml:space="preserve">T4 * DF  </t>
  </si>
  <si>
    <t>Total Belt Tension (Tt)</t>
  </si>
  <si>
    <t xml:space="preserve">T4 + Ts </t>
  </si>
  <si>
    <t xml:space="preserve">Tt = </t>
  </si>
  <si>
    <t xml:space="preserve">Total Belt Tension ,  Tt = </t>
  </si>
  <si>
    <t>Belt Selection</t>
  </si>
  <si>
    <t>Total belt tension / Belt  Width</t>
  </si>
  <si>
    <t>Belt Tension Loading,  Bt =</t>
  </si>
  <si>
    <t>Bt =</t>
  </si>
  <si>
    <t>Belt width,  BW =</t>
  </si>
  <si>
    <t>Wb =</t>
  </si>
  <si>
    <t>1.2167 * BW - 1.6</t>
  </si>
  <si>
    <t>lb/in Width</t>
  </si>
  <si>
    <t>Conveyor Motor Power (P)</t>
  </si>
  <si>
    <t xml:space="preserve">Conveyor drive efficiency,  e = </t>
  </si>
  <si>
    <t xml:space="preserve">Loading chute factor,  Fc = </t>
  </si>
  <si>
    <t>Normal</t>
  </si>
  <si>
    <t>Values</t>
  </si>
  <si>
    <t>Start acceleration factor,  Fs =</t>
  </si>
  <si>
    <t>P =</t>
  </si>
  <si>
    <t>Force * Velocity / 3300</t>
  </si>
  <si>
    <t xml:space="preserve">Fc * Fs * Te * S / (e x 33000)  </t>
  </si>
  <si>
    <t>hp</t>
  </si>
  <si>
    <t>Minimum conveyor motor power, P =</t>
  </si>
  <si>
    <t>Material velocity in direction of belt,  Vb =</t>
  </si>
  <si>
    <t>S / 60</t>
  </si>
  <si>
    <t>Vb =</t>
  </si>
  <si>
    <t>ft/sec</t>
  </si>
  <si>
    <t>Vertical acceleration due to gravity,  g =</t>
  </si>
  <si>
    <t>ft/sec^2</t>
  </si>
  <si>
    <t xml:space="preserve"> Vb * Δt * Cos A</t>
  </si>
  <si>
    <t xml:space="preserve"> (Vb * Δt * Sin A) – (g * Δt^2 / 2)</t>
  </si>
  <si>
    <t>sec</t>
  </si>
  <si>
    <t>Type initial input values. Optimize later.</t>
  </si>
  <si>
    <t>Conveyor Belt Head Pulley Drive Factor,  DF =</t>
  </si>
  <si>
    <t>Slack side angle of belt,  SA =</t>
  </si>
  <si>
    <t>Conveyor belt slack side tension,  Ts =</t>
  </si>
  <si>
    <t>Tight side angle of belt,  TA =</t>
  </si>
  <si>
    <t>Conveyor belt tight side tension,  Tt =</t>
  </si>
  <si>
    <t>Distance between bearings,  B =</t>
  </si>
  <si>
    <t>Distance between bearing and pulley hub,  A =</t>
  </si>
  <si>
    <t>Drive chain force, Fc =</t>
  </si>
  <si>
    <t>Calculation</t>
  </si>
  <si>
    <t>Drive Chain Angle,  CA =</t>
  </si>
  <si>
    <t>Reaction at left bearing,  R1 =</t>
  </si>
  <si>
    <t>Moments about the right bearing,  R1 * B =</t>
  </si>
  <si>
    <t>R1 =</t>
  </si>
  <si>
    <t xml:space="preserve">Tt * Cos (TA) + Ts * Sin (SA) </t>
  </si>
  <si>
    <t>Horizontal component of chain force,   Fh =</t>
  </si>
  <si>
    <t>Fc * Sin (CA)</t>
  </si>
  <si>
    <t>Fh =</t>
  </si>
  <si>
    <t>Horizontal component of belt tension,  H =</t>
  </si>
  <si>
    <t>Left hub force,  T1 =</t>
  </si>
  <si>
    <t>H / 2</t>
  </si>
  <si>
    <t>Right hub force,  T2 =</t>
  </si>
  <si>
    <t>Horizontal Shaft Support Reactions R1 &amp; R2</t>
  </si>
  <si>
    <t>T1*(B - A) + (T2 * A) - (Fh * C)</t>
  </si>
  <si>
    <t>( T1*(B - A) + (T2 * A) - (Fh * C) ) / B</t>
  </si>
  <si>
    <t>Reaction at right bearing,  R2 =</t>
  </si>
  <si>
    <t>T1 + T2 + Fh - R1</t>
  </si>
  <si>
    <t>R2 =</t>
  </si>
  <si>
    <t>R1 * A</t>
  </si>
  <si>
    <t>in-lbs</t>
  </si>
  <si>
    <t>(R1 * (B - A) - (T1 * (B - 2*A) )</t>
  </si>
  <si>
    <t>Shaft Horizontal Moments</t>
  </si>
  <si>
    <t>Fc * Cos (CA)</t>
  </si>
  <si>
    <t>V =</t>
  </si>
  <si>
    <t>V / 2</t>
  </si>
  <si>
    <t>Vertical component of chain force,   Fv =</t>
  </si>
  <si>
    <t>Fv =</t>
  </si>
  <si>
    <t>T1 + T2 + Fv - R1</t>
  </si>
  <si>
    <t>(R1 * (B - A)) - (T1 * (B - 2*A) )</t>
  </si>
  <si>
    <t>Pulley shaft diameter,  D =</t>
  </si>
  <si>
    <t>Pulley diameter,  PD =</t>
  </si>
  <si>
    <t>Sprocket diameter,  SD =</t>
  </si>
  <si>
    <t>Mr1 =</t>
  </si>
  <si>
    <t>(Mh1^2 + Mv1^2)^0.5</t>
  </si>
  <si>
    <t>Mr2 =</t>
  </si>
  <si>
    <t>Mr3 =</t>
  </si>
  <si>
    <t>Mh1 =</t>
  </si>
  <si>
    <t>Mh2 =</t>
  </si>
  <si>
    <t>Mh3 =</t>
  </si>
  <si>
    <t>Mv1 =</t>
  </si>
  <si>
    <t>Mv2 =</t>
  </si>
  <si>
    <t>Mv3 =</t>
  </si>
  <si>
    <t>(Mh2^2 + Mv2^2)^0.5</t>
  </si>
  <si>
    <t>(Mh3^2 + Mv3^2)^0.5</t>
  </si>
  <si>
    <t>T1 + T2 - R1</t>
  </si>
  <si>
    <t xml:space="preserve">T1*(B - A) + (T2 * A) </t>
  </si>
  <si>
    <t>( T1*(B - A) + (T2 * A) ) / B</t>
  </si>
  <si>
    <t>Conveyor motor power,  P =</t>
  </si>
  <si>
    <t>Conveyor belt speed,  S =</t>
  </si>
  <si>
    <t>Bulk Material Repose Angle,  X =</t>
  </si>
  <si>
    <t xml:space="preserve">  </t>
  </si>
  <si>
    <t>Pulley Bending and Torsion Shaft Stresses</t>
  </si>
  <si>
    <t>Shaft moment area,  I =</t>
  </si>
  <si>
    <t>in^4</t>
  </si>
  <si>
    <t>Shaft polar moment area,  J =</t>
  </si>
  <si>
    <t>3.1417 * D^4 / 32</t>
  </si>
  <si>
    <t>3.1417 * D^4 / 64</t>
  </si>
  <si>
    <t xml:space="preserve"> J =</t>
  </si>
  <si>
    <t>I =</t>
  </si>
  <si>
    <t>Max bending stress,  Sb =</t>
  </si>
  <si>
    <t>Mmax * (D/2) / I</t>
  </si>
  <si>
    <t>Sb =</t>
  </si>
  <si>
    <t>lbs/in^2</t>
  </si>
  <si>
    <t>St =</t>
  </si>
  <si>
    <t>Pulley speed,  N =</t>
  </si>
  <si>
    <t>S / (3.1417 * D/12)</t>
  </si>
  <si>
    <t>N =</t>
  </si>
  <si>
    <t>rpm</t>
  </si>
  <si>
    <t>ft-lbs</t>
  </si>
  <si>
    <t>Max torque,  Qmax =</t>
  </si>
  <si>
    <t>Qmax * (D/2) / J</t>
  </si>
  <si>
    <t>( Sb / 2 ) + ( Sb^2 + 4 * St^2 )^0.5</t>
  </si>
  <si>
    <t>There is no tension or compression normal to the bending stress.</t>
  </si>
  <si>
    <t>Max torsion shear stress,  St =</t>
  </si>
  <si>
    <t>S1 =</t>
  </si>
  <si>
    <t>Max shaft principal stress,  S1 =</t>
  </si>
  <si>
    <t xml:space="preserve">An element on the shaft surface has a bending stress Sb and a shear stress St. </t>
  </si>
  <si>
    <t>Max Stress at the Pulley Hub</t>
  </si>
  <si>
    <t>Distance traveled  horizontally,  X1 =</t>
  </si>
  <si>
    <t>X1 =</t>
  </si>
  <si>
    <t>Distance traveled  vertically,  Y1 =</t>
  </si>
  <si>
    <t>Y1 =</t>
  </si>
  <si>
    <t>E*I dY/dX =</t>
  </si>
  <si>
    <t>C1 =</t>
  </si>
  <si>
    <t>B - A</t>
  </si>
  <si>
    <t>Distance from left bearing load R1,  X =</t>
  </si>
  <si>
    <t>E*I * a =</t>
  </si>
  <si>
    <t>Slope of defected shaft,  dY/dX = a, at distance X from left bearing load R1.</t>
  </si>
  <si>
    <t>a =</t>
  </si>
  <si>
    <t>Shaft elastic modulus,  E =</t>
  </si>
  <si>
    <t>(R1 * X^2 / 2) - T2*(X - C)^2 / 2 + C1</t>
  </si>
  <si>
    <t>radians</t>
  </si>
  <si>
    <t>degrees</t>
  </si>
  <si>
    <t>Pulley Shaft Deflection due to T2</t>
  </si>
  <si>
    <t>Belt load from page 2 above, T2 =</t>
  </si>
  <si>
    <t>Bearing reaction from page 2 above,  R1 =</t>
  </si>
  <si>
    <t>Span between bearing centers,  B =</t>
  </si>
  <si>
    <t>Total shaft slope at,  X = A,  a1 =</t>
  </si>
  <si>
    <t>Total shaft slope at,  X = B,  a2 =</t>
  </si>
  <si>
    <t>Total shaft slope at,  X = C,  a3 =</t>
  </si>
  <si>
    <t>X = 0,  a1 =</t>
  </si>
  <si>
    <t>X = A,  a2 =</t>
  </si>
  <si>
    <t>X = B,  a3 =</t>
  </si>
  <si>
    <t>X = C,  a4 =</t>
  </si>
  <si>
    <t>a1 + a4</t>
  </si>
  <si>
    <t>a2 + a3</t>
  </si>
  <si>
    <t>a3 + a2</t>
  </si>
  <si>
    <t>Total Pulley Shaft Slopes due to T1 and T2</t>
  </si>
  <si>
    <t>Total a1 =</t>
  </si>
  <si>
    <t>Total a2 =</t>
  </si>
  <si>
    <t>Total a3 =</t>
  </si>
  <si>
    <t>Total shaft slope at,  X = C,  a4 =</t>
  </si>
  <si>
    <t>a4 + a1</t>
  </si>
  <si>
    <t>-Fh * E</t>
  </si>
  <si>
    <t>Max moment from above,  Mmax =</t>
  </si>
  <si>
    <t xml:space="preserve">(Tt * Sin (TA)) + (Ts * Cos (SA)) +( W/2 ) </t>
  </si>
  <si>
    <t>Vertical force components,  V =</t>
  </si>
  <si>
    <t>( 5252 * P / N ) / 2</t>
  </si>
  <si>
    <t>Pulley shaft torque between bearings,  Q1 =</t>
  </si>
  <si>
    <t>Q1 =</t>
  </si>
  <si>
    <t>W =</t>
  </si>
  <si>
    <t>Wp =</t>
  </si>
  <si>
    <t>Wh =</t>
  </si>
  <si>
    <t>Ws =</t>
  </si>
  <si>
    <t>Head pulley weight,  Wp =</t>
  </si>
  <si>
    <t>Pulley shaft weight,  Ws =</t>
  </si>
  <si>
    <t xml:space="preserve">0.291*( (3.1416*(PD-0.25)*0.5*(BW+2)  </t>
  </si>
  <si>
    <t>Two pulley hubs weight,  Wh =</t>
  </si>
  <si>
    <t>0.291*(3.1416*(B+12)*(D^2)/4)</t>
  </si>
  <si>
    <t>0.291*( ( (3.1416*2*D*((D+4)^2 - D^2) )/4) + (3.1416*0.75*(PD^2 - (D + 4)^2)/4) )</t>
  </si>
  <si>
    <t>Total pulley and shaft weight,  W =</t>
  </si>
  <si>
    <t>Wd =</t>
  </si>
  <si>
    <t>Wd + Wh + Ws</t>
  </si>
  <si>
    <t>Pulley drum, weight,  Wd =</t>
  </si>
  <si>
    <t>Two pulley hubs, weight,  Wh =</t>
  </si>
  <si>
    <t>Pulley shaft, weight,  Ws =</t>
  </si>
  <si>
    <t>Calculate shaft slope at X = A, B, &amp; C</t>
  </si>
  <si>
    <t>Shaft deflection due to Chain Drive</t>
  </si>
  <si>
    <t>Pulley Shaft Deflection due to Chain Drive Force F</t>
  </si>
  <si>
    <t>Reaction at each bearing,  R =</t>
  </si>
  <si>
    <t>Shaft deflection, Ref AISC Manual,  Y =</t>
  </si>
  <si>
    <t>F * E / B</t>
  </si>
  <si>
    <t>Resultant Moment Angle from Horizontal</t>
  </si>
  <si>
    <t>57.2957*Atan ( Mh3 / Mv3 )</t>
  </si>
  <si>
    <t>Chain force from page 2 above,  Fc = F =</t>
  </si>
  <si>
    <t>-Fh * L</t>
  </si>
  <si>
    <t>( T1*(B - A) + (T2 * A) - (Fh * L ) / B</t>
  </si>
  <si>
    <t>T1*(B - A) + (T2 * A) - (Fh * L )</t>
  </si>
  <si>
    <t>( T1*(B - A) + (T2 * A) - (Fh * L ) ) / B</t>
  </si>
  <si>
    <t>Chain drive overhang,  L =</t>
  </si>
  <si>
    <t>Chain drive overhang from page 1 above,  L =</t>
  </si>
  <si>
    <t>between X = 0 and B</t>
  </si>
  <si>
    <t>Shaft slope at X,  dY/dX = b =</t>
  </si>
  <si>
    <t>b =</t>
  </si>
  <si>
    <t>X = 0,  b1 =</t>
  </si>
  <si>
    <t>X = A,  b2 =</t>
  </si>
  <si>
    <t>Dimension,  C =</t>
  </si>
  <si>
    <t>Hub distance from bearing from page 1,  A =</t>
  </si>
  <si>
    <t>(F * L * X / 6 * E * I * B) * ( B^2 - X^2 )</t>
  </si>
  <si>
    <t>(F * L / 6 * E * I * B) * ( X*B^2 - X^3 )</t>
  </si>
  <si>
    <t>(F * L / 6 * E * I * B) * ( B^2 - 3* X^2 )</t>
  </si>
  <si>
    <t>a1 + a4 + b1</t>
  </si>
  <si>
    <t>a2 + a3 + b2</t>
  </si>
  <si>
    <t>a3 + a2 + b3</t>
  </si>
  <si>
    <t>a4 + a1 + b4</t>
  </si>
  <si>
    <t>Calculate shaft slope at X = A, B, &amp; C due to the Chain Force Fc</t>
  </si>
  <si>
    <t>Total Pulley Shaft Slopes due to Belt Tensions T1, T2, and Chain Force Fc</t>
  </si>
  <si>
    <t>Head Pulley Shaft Strength Analysis - With Chain Drive</t>
  </si>
  <si>
    <t>Head Pulley Shaft Strength Analysis - With Gear Drive</t>
  </si>
  <si>
    <t>Conveyor Head Pulley Forces &amp; Dimensions</t>
  </si>
  <si>
    <t>(Tt - Ts)*(PD / 2) / (SD / 2)</t>
  </si>
  <si>
    <t>Horizontal component of belt tensions,  H =</t>
  </si>
  <si>
    <t>Use a motor rated at:</t>
  </si>
  <si>
    <t>Calculations are for 35 degree idlers.</t>
  </si>
  <si>
    <t>e =</t>
  </si>
  <si>
    <t>Fc =</t>
  </si>
  <si>
    <t xml:space="preserve"> fs =</t>
  </si>
  <si>
    <t>dY/dX = a =</t>
  </si>
  <si>
    <t xml:space="preserve">Gathering X's,  Y = </t>
  </si>
  <si>
    <t>between X = 0 and X = (B - A)</t>
  </si>
  <si>
    <t>Pulley Shaft Deflection due to T2 continued</t>
  </si>
  <si>
    <t>T2*A*X / (6*E*I*B) * (B^2 - 3*B*X^2 + 2*X^3)</t>
  </si>
  <si>
    <t>T2*A / (6*E*I*B) * (B^2*X - 3*B*X^3 + 2*X^4)</t>
  </si>
  <si>
    <t>(T2*A / (6*E*I*B) ) * (B^2 - 3*B*2X^2 + 8*X^3)</t>
  </si>
  <si>
    <t>Shaft defected slope at X,  dY/dX =</t>
  </si>
  <si>
    <t>a</t>
  </si>
  <si>
    <t xml:space="preserve">  dY/dX =</t>
  </si>
  <si>
    <t>Calculate shaft slope at X = 0, A, B, &amp; C</t>
  </si>
  <si>
    <t>X = C,  b3 =</t>
  </si>
  <si>
    <t>X = B,  b4 =</t>
  </si>
  <si>
    <t>[ ( 16 / ( 3.1416*Ss)*[ ( Kb*Mb)^2 + (Kt*Mt)^2]^0.5</t>
  </si>
  <si>
    <t>Power Transmission Shafting</t>
  </si>
  <si>
    <t>Allowable stress,   Ss =</t>
  </si>
  <si>
    <t>Load gradually applied</t>
  </si>
  <si>
    <t>1.5 to 2.0</t>
  </si>
  <si>
    <t>2.0 to 3.0</t>
  </si>
  <si>
    <t>Kb</t>
  </si>
  <si>
    <t>Kt</t>
  </si>
  <si>
    <t>1.0 to 1.5</t>
  </si>
  <si>
    <t>For Rotating Shafts:</t>
  </si>
  <si>
    <t>Bending load factor,  Kb =</t>
  </si>
  <si>
    <t>Bending moment at one point,  Mb =</t>
  </si>
  <si>
    <t>Torque load factor,  Kt =</t>
  </si>
  <si>
    <t>Dmin^3 =</t>
  </si>
  <si>
    <t>Shaft minimum diameter,  Dmin =</t>
  </si>
  <si>
    <t>Use shaft diameter, D =</t>
  </si>
  <si>
    <t>Move bulk material horizontally, T2 =</t>
  </si>
  <si>
    <t>Horizontal Force Components</t>
  </si>
  <si>
    <t>Vertical Force Components</t>
  </si>
  <si>
    <t>Pulley Shaft Strength and Stiffness</t>
  </si>
  <si>
    <t>Load suddenly applied (minor shock)</t>
  </si>
  <si>
    <t>Load suddenly applied (heavy shock)</t>
  </si>
  <si>
    <t>Torque at the same point,  Mt = Q =</t>
  </si>
  <si>
    <t>Pulley Shaft Deflection due to Chain Drive Force F continued</t>
  </si>
  <si>
    <t>Belt Conveyor Head Chute &amp; Baffle</t>
  </si>
  <si>
    <t xml:space="preserve">0.283*3.1416*(PD-0.25)*0.5*(BW+2)  </t>
  </si>
  <si>
    <t>0.283*( ( (3.1416*2*D*((D+4)^2 - D^2) )/4) + (3.1416*0.75*(PD^2 - (D + 4)^2)/4) )</t>
  </si>
  <si>
    <t>Total travel time,  Δt =</t>
  </si>
  <si>
    <t>Calculating Trajectory</t>
  </si>
  <si>
    <t>Resultant Pulley Shaft Moments,  Mr1 =</t>
  </si>
  <si>
    <t>ATan (Mv1 / Mh1)</t>
  </si>
  <si>
    <t>Resultant moment angle from horizontal,  Am =</t>
  </si>
  <si>
    <t>Am =</t>
  </si>
  <si>
    <t>deg clockwise from horizontal</t>
  </si>
  <si>
    <t>S / (3.1416 * PD/12)</t>
  </si>
  <si>
    <t>Bearing center to first hub dimension,  A =</t>
  </si>
  <si>
    <t>Belt load on right hub (from page 2 above), T2 =</t>
  </si>
  <si>
    <t>Total shaft slope at,  X = 0,  a1 =</t>
  </si>
  <si>
    <t>Total shaft slope at,  X = A,  a2 =</t>
  </si>
  <si>
    <t>Total shaft slope at,  X = B,  a3 =</t>
  </si>
  <si>
    <t>The reversing shuttle conveyor is shifted to deliver to silos B and D below.</t>
  </si>
  <si>
    <t>BULK MATERIALS</t>
  </si>
  <si>
    <t>mm</t>
  </si>
  <si>
    <t>Belt Width  W =</t>
  </si>
  <si>
    <t>kg/m^3</t>
  </si>
  <si>
    <t>m/s</t>
  </si>
  <si>
    <t>tonnes/hr</t>
  </si>
  <si>
    <t>Surcharge Angle</t>
  </si>
  <si>
    <t>Equivalent kilogram-meter-second</t>
  </si>
  <si>
    <t>Belt Capacity and Power</t>
  </si>
  <si>
    <t>Belt horizontal center distance  L =</t>
  </si>
  <si>
    <t>Belt speed  S =</t>
  </si>
  <si>
    <t xml:space="preserve">Belt change in elevatin  H = </t>
  </si>
  <si>
    <t>Pulley drive factor  K =</t>
  </si>
  <si>
    <t>Terminal friction constant  Tf =</t>
  </si>
  <si>
    <t>Equipment friction factor  Fc =</t>
  </si>
  <si>
    <t>Equipment friction factor  Fe =</t>
  </si>
  <si>
    <t>Equipment friction factor  Fl =</t>
  </si>
  <si>
    <t>Belt Weight Capacity  C =</t>
  </si>
  <si>
    <t>m</t>
  </si>
  <si>
    <t>Loaded conveyor.</t>
  </si>
  <si>
    <t>Empty conveyor.</t>
  </si>
  <si>
    <t>(Counterweight take-up 180 degrees pulleywrap)</t>
  </si>
  <si>
    <t>m   (Up to 300 m length.)</t>
  </si>
  <si>
    <t>m   (300 to 1200 m length.)</t>
  </si>
  <si>
    <t>5_Fenner Dunlop_ 2009_ Conveyor Handbook Table 3 (Equation 3.13)</t>
  </si>
  <si>
    <t>=</t>
  </si>
  <si>
    <t>kW</t>
  </si>
  <si>
    <t>Power in kW</t>
  </si>
  <si>
    <t>Power in hp</t>
  </si>
  <si>
    <t>Effective Belt Tension</t>
  </si>
  <si>
    <t>Te =</t>
  </si>
  <si>
    <t>kN</t>
  </si>
  <si>
    <t>(((Fe*(L + Tf) * Q) + ((Fl * (L + Tf) * C) / (3.6 * S)) + (C*H / 3.6*S))) * 9.81*10^-3</t>
  </si>
  <si>
    <t>Pulley diameter  D =</t>
  </si>
  <si>
    <t>Belt power   BP =</t>
  </si>
  <si>
    <t>Pulley shaft Torque  Tps =</t>
  </si>
  <si>
    <t>Te * (D/12)/2</t>
  </si>
  <si>
    <t>ft lbs</t>
  </si>
  <si>
    <t>2*3.14*N*T/33000</t>
  </si>
  <si>
    <t>Pulley Shaft Speed  N =</t>
  </si>
  <si>
    <t>S / (2*3.14 * D/12)</t>
  </si>
  <si>
    <t>.7457 * hp</t>
  </si>
  <si>
    <t>Y =</t>
  </si>
  <si>
    <t>sq in</t>
  </si>
  <si>
    <t>Scale Area =</t>
  </si>
  <si>
    <t>Angle of Repose  X =</t>
  </si>
  <si>
    <t>Z =</t>
  </si>
  <si>
    <t>90 - Y</t>
  </si>
  <si>
    <t>Segment Area A1 =</t>
  </si>
  <si>
    <t>R^2 * ((2*Z) - Sin(2Z)) / 2</t>
  </si>
  <si>
    <t>https://www.mathsisfun.com/geometry/circle-sector-segment.html</t>
  </si>
  <si>
    <t>Total Belt Load Area BA =</t>
  </si>
  <si>
    <t>B + 2*(C*cos (V / 57.3))</t>
  </si>
  <si>
    <t>C * sin(V/57.3) * B</t>
  </si>
  <si>
    <t>(A/2) / sin(Z/57.3)</t>
  </si>
  <si>
    <t xml:space="preserve">A1 +A2 + A3 = 676 sq in </t>
  </si>
  <si>
    <t>BA =</t>
  </si>
  <si>
    <t>(BA/144)*S</t>
  </si>
  <si>
    <t>sq m</t>
  </si>
  <si>
    <t>M-m</t>
  </si>
  <si>
    <t>https://www2.hcmuaf.edu.vn/data/dangnh/file/5_Fenner%20Dunlop_%202009_%20Conveyor%20Handbook.pdf</t>
  </si>
  <si>
    <t>A1 + A2 + 2 * A3</t>
  </si>
  <si>
    <t>A! + A2 + 2*A3</t>
  </si>
  <si>
    <t>(C*cos(V/57.3) * C*sin(V/57.3))/2</t>
  </si>
  <si>
    <t>Y/V Ratio Factor r =</t>
  </si>
  <si>
    <t>r * V</t>
  </si>
  <si>
    <t>Incline Conveyor</t>
  </si>
  <si>
    <t>Material bulk density =</t>
  </si>
  <si>
    <t>Belt Width =</t>
  </si>
  <si>
    <t>Surchage Angle =</t>
  </si>
  <si>
    <t>Belt Speed =</t>
  </si>
  <si>
    <t>Belt Capacity =</t>
  </si>
  <si>
    <t>1190 * 849/1000</t>
  </si>
  <si>
    <t>Table 3  Q =</t>
  </si>
  <si>
    <t>Belt Power and Tensions Table 3</t>
  </si>
  <si>
    <t>cubic meter / min</t>
  </si>
  <si>
    <t>END OF SECTION</t>
  </si>
  <si>
    <t xml:space="preserve">John Andrew LLC </t>
  </si>
  <si>
    <t>Copyright 11/10/2022</t>
  </si>
  <si>
    <t>Copyright 11/29/2022</t>
  </si>
  <si>
    <t>MATH TOOLS</t>
  </si>
  <si>
    <t xml:space="preserve">Unlock a worksheet with "Unprotect" </t>
  </si>
  <si>
    <t>Step-1</t>
  </si>
  <si>
    <t xml:space="preserve">HOME </t>
  </si>
  <si>
    <t>Step-2</t>
  </si>
  <si>
    <t xml:space="preserve">Format </t>
  </si>
  <si>
    <t>Step-3</t>
  </si>
  <si>
    <t>Unprotect Sheet</t>
  </si>
  <si>
    <t>Step-4</t>
  </si>
  <si>
    <t>OK</t>
  </si>
  <si>
    <t xml:space="preserve">Lock a worksheet with "Protect Sheet" </t>
  </si>
  <si>
    <t>Protect Sheet Box Opens</t>
  </si>
  <si>
    <t>Step-5</t>
  </si>
  <si>
    <t>NEW EXCEL</t>
  </si>
  <si>
    <t>OLD EXCEL</t>
  </si>
  <si>
    <t>Step-6</t>
  </si>
  <si>
    <t>Step-7</t>
  </si>
  <si>
    <t>Protect Sheet</t>
  </si>
  <si>
    <t>Password is not required.</t>
  </si>
  <si>
    <t>Select Unlocked Cells</t>
  </si>
  <si>
    <t>Format Cells</t>
  </si>
  <si>
    <t>Step</t>
  </si>
  <si>
    <t>Enter</t>
  </si>
  <si>
    <t xml:space="preserve">GOAL SEEK </t>
  </si>
  <si>
    <t>Format</t>
  </si>
  <si>
    <t>llbs</t>
  </si>
  <si>
    <t>Horizontal force, H =</t>
  </si>
  <si>
    <t>TAN(A) =</t>
  </si>
  <si>
    <t>V/H</t>
  </si>
  <si>
    <t>Number</t>
  </si>
  <si>
    <t>Vertical force, V =</t>
  </si>
  <si>
    <t>number</t>
  </si>
  <si>
    <t>Decimal Places</t>
  </si>
  <si>
    <t>Angle  A =</t>
  </si>
  <si>
    <t>ATAN(V/H)</t>
  </si>
  <si>
    <t>Resultant force, R =</t>
  </si>
  <si>
    <t>( H^2 + V^2 )^(1/2)</t>
  </si>
  <si>
    <t>A radians =</t>
  </si>
  <si>
    <t>57.3*A degrees</t>
  </si>
  <si>
    <t>Angle, A =</t>
  </si>
  <si>
    <t>57.30 * ATAN(V / H)</t>
  </si>
  <si>
    <t>57.3*A</t>
  </si>
  <si>
    <t>GOAL SEEK method</t>
  </si>
  <si>
    <t>Step-1  Select the green cell C38 containing a formula.</t>
  </si>
  <si>
    <t>Step-2  Select: DATA  &gt; What-If Analysis &gt; Goal Seek</t>
  </si>
  <si>
    <t>Step-3  To value: 14, for example</t>
  </si>
  <si>
    <t>Step-4  Pick cell containing value to be changed by Excel: C34 or C35 &gt; OK</t>
  </si>
  <si>
    <r>
      <t xml:space="preserve">Check the </t>
    </r>
    <r>
      <rPr>
        <b/>
        <sz val="12"/>
        <color theme="1"/>
        <rFont val="Arial"/>
        <family val="2"/>
      </rPr>
      <t>"Protect Sheet"</t>
    </r>
    <r>
      <rPr>
        <sz val="12"/>
        <color theme="1"/>
        <rFont val="Arial"/>
        <family val="2"/>
      </rPr>
      <t xml:space="preserve"> two boxes right &gt;&gt;</t>
    </r>
  </si>
  <si>
    <r>
      <t>Shaft Vertical Moments</t>
    </r>
    <r>
      <rPr>
        <sz val="12"/>
        <rFont val="Arial"/>
        <family val="2"/>
      </rPr>
      <t xml:space="preserve">                         Mv1 =</t>
    </r>
  </si>
  <si>
    <t>HEAD PULLEY SHAFT</t>
  </si>
  <si>
    <t>HEAD PULLEY SHAFT SRENGTH</t>
  </si>
  <si>
    <r>
      <t>Shaft Vertical Moments</t>
    </r>
    <r>
      <rPr>
        <sz val="12"/>
        <rFont val="Arial"/>
        <family val="2"/>
      </rPr>
      <t xml:space="preserve">                     Mv1 =</t>
    </r>
  </si>
  <si>
    <t xml:space="preserve">       Mr1 =</t>
  </si>
  <si>
    <t xml:space="preserve">Resultant Pulley Shaft Moments  </t>
  </si>
  <si>
    <t>FEEDER BELT TENSIONS and POWER</t>
  </si>
  <si>
    <t>Feeder Belt Capacity</t>
  </si>
  <si>
    <t>Material Density  M =</t>
  </si>
  <si>
    <t>Belt Speed  S =</t>
  </si>
  <si>
    <t>kg/cu m</t>
  </si>
  <si>
    <t>Capacity C =</t>
  </si>
  <si>
    <t>(W^2 * M * S) / 1,085</t>
  </si>
  <si>
    <t xml:space="preserve">hp </t>
  </si>
  <si>
    <t>Width of Skirted Load = 80% of Belt Width</t>
  </si>
  <si>
    <t>Depth of Skirted Load = 40% of Flat Belt Skirted Width</t>
  </si>
  <si>
    <t>Hopper Opening Width  WL =</t>
  </si>
  <si>
    <t>Hopper Opening Legth  LL =</t>
  </si>
  <si>
    <t>lb/cu ft</t>
  </si>
  <si>
    <t>Effective Belt Tension  Te =</t>
  </si>
  <si>
    <t>*F * 2*WL^2 ^ LL * M * 10^3</t>
  </si>
  <si>
    <t>Overall Friction Coefficient  F =</t>
  </si>
  <si>
    <t xml:space="preserve">  F =</t>
  </si>
  <si>
    <t>Overall Friction Coefficient</t>
  </si>
  <si>
    <t>Belt on Rillers</t>
  </si>
  <si>
    <t>Belt Sliding on Flat surface</t>
  </si>
  <si>
    <t>Difficult Flow Materials</t>
  </si>
  <si>
    <t xml:space="preserve">Feeder Belt Tension </t>
  </si>
  <si>
    <t xml:space="preserve">Maximum Feeder Belt Tension </t>
  </si>
  <si>
    <t>Drive Factor  K =</t>
  </si>
  <si>
    <t>(1 + K) * Te</t>
  </si>
  <si>
    <t>Feeder Belt Power  Pfb =</t>
  </si>
  <si>
    <t>Te * S</t>
  </si>
  <si>
    <t>Maximum Feeder Belt Tension  Tmax =</t>
  </si>
  <si>
    <t>K =</t>
  </si>
  <si>
    <t>Drive Factor</t>
  </si>
  <si>
    <t>.97 for 180 degree Wrap and Screw Take Up and Bare Steel Pulley</t>
  </si>
  <si>
    <t>.90 for 180 degree Wrap and Screw Take Up and Lagged Steel Pulley</t>
  </si>
  <si>
    <t>Martin Engineering</t>
  </si>
  <si>
    <t>https://www.martin-eng.com/content/page/692/home</t>
  </si>
  <si>
    <t xml:space="preserve">Scale Drawing Area = </t>
  </si>
  <si>
    <t xml:space="preserve">236 BELT CONVEYOR CAPACITY AND POWER </t>
  </si>
  <si>
    <t xml:space="preserve">M263  BELT CONVEYOR CAPACITY AND POWER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</si>
</sst>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
    <numFmt numFmtId="167" formatCode="0.000000"/>
    <numFmt numFmtId="168" formatCode="0.00000"/>
  </numFmts>
  <fonts count="16" x14ac:knownFonts="1">
    <font>
      <sz val="10"/>
      <name val="Arial"/>
    </font>
    <font>
      <sz val="8"/>
      <name val="Arial"/>
      <family val="2"/>
    </font>
    <font>
      <u/>
      <sz val="10"/>
      <color indexed="12"/>
      <name val="Arial"/>
      <family val="2"/>
    </font>
    <font>
      <sz val="10"/>
      <name val="Arial"/>
      <family val="2"/>
    </font>
    <font>
      <sz val="12"/>
      <name val="Arial"/>
      <family val="2"/>
    </font>
    <font>
      <b/>
      <sz val="12"/>
      <name val="Arial"/>
      <family val="2"/>
    </font>
    <font>
      <b/>
      <sz val="14"/>
      <name val="Arial"/>
      <family val="2"/>
    </font>
    <font>
      <b/>
      <sz val="12"/>
      <color indexed="10"/>
      <name val="Arial"/>
      <family val="2"/>
    </font>
    <font>
      <sz val="12"/>
      <color indexed="10"/>
      <name val="Arial"/>
      <family val="2"/>
    </font>
    <font>
      <b/>
      <sz val="11"/>
      <color theme="1"/>
      <name val="Calibri"/>
      <family val="2"/>
      <scheme val="minor"/>
    </font>
    <font>
      <b/>
      <sz val="12"/>
      <color rgb="FFFF0000"/>
      <name val="Arial"/>
      <family val="2"/>
    </font>
    <font>
      <b/>
      <sz val="12"/>
      <color theme="1"/>
      <name val="Calibri"/>
      <family val="2"/>
      <scheme val="minor"/>
    </font>
    <font>
      <sz val="12"/>
      <color theme="1"/>
      <name val="Arial"/>
      <family val="2"/>
    </font>
    <font>
      <b/>
      <sz val="12"/>
      <color theme="1"/>
      <name val="Arial"/>
      <family val="2"/>
    </font>
    <font>
      <b/>
      <sz val="12"/>
      <color indexed="12"/>
      <name val="Arial"/>
      <family val="2"/>
    </font>
    <font>
      <u/>
      <sz val="12"/>
      <color indexed="12"/>
      <name val="Arial"/>
      <family val="2"/>
    </font>
  </fonts>
  <fills count="7">
    <fill>
      <patternFill patternType="none"/>
    </fill>
    <fill>
      <patternFill patternType="gray125"/>
    </fill>
    <fill>
      <patternFill patternType="solid">
        <fgColor theme="0"/>
        <bgColor indexed="64"/>
      </patternFill>
    </fill>
    <fill>
      <patternFill patternType="solid">
        <fgColor indexed="40"/>
        <bgColor indexed="64"/>
      </patternFill>
    </fill>
    <fill>
      <patternFill patternType="solid">
        <fgColor indexed="13"/>
        <bgColor indexed="64"/>
      </patternFill>
    </fill>
    <fill>
      <patternFill patternType="solid">
        <fgColor indexed="11"/>
        <bgColor indexed="64"/>
      </patternFill>
    </fill>
    <fill>
      <patternFill patternType="solid">
        <fgColor rgb="FFFFC000"/>
        <bgColor indexed="64"/>
      </patternFill>
    </fill>
  </fills>
  <borders count="12">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68">
    <xf numFmtId="0" fontId="0" fillId="0" borderId="0" xfId="0"/>
    <xf numFmtId="0" fontId="5" fillId="0" borderId="0" xfId="0" applyFont="1" applyBorder="1" applyAlignment="1">
      <alignment horizontal="center" vertical="top" wrapText="1"/>
    </xf>
    <xf numFmtId="0" fontId="4" fillId="0" borderId="0" xfId="0" applyFont="1" applyBorder="1" applyAlignment="1">
      <alignment horizontal="center" vertical="top" wrapText="1"/>
    </xf>
    <xf numFmtId="0" fontId="0" fillId="0" borderId="0" xfId="0" applyProtection="1">
      <protection locked="0"/>
    </xf>
    <xf numFmtId="0" fontId="5" fillId="0" borderId="0" xfId="0" applyFont="1" applyBorder="1" applyAlignment="1" applyProtection="1">
      <alignment horizontal="center" vertical="top" wrapText="1"/>
      <protection locked="0"/>
    </xf>
    <xf numFmtId="0" fontId="4" fillId="0" borderId="0" xfId="0" applyFont="1" applyBorder="1" applyAlignment="1" applyProtection="1">
      <alignment horizontal="center" vertical="top" wrapText="1"/>
      <protection locked="0"/>
    </xf>
    <xf numFmtId="0" fontId="6" fillId="0" borderId="0" xfId="0" applyFont="1"/>
    <xf numFmtId="0" fontId="4" fillId="0" borderId="0" xfId="0" applyFont="1"/>
    <xf numFmtId="0" fontId="5" fillId="0" borderId="0" xfId="0" applyFont="1"/>
    <xf numFmtId="0" fontId="4" fillId="0" borderId="0" xfId="0" applyFont="1" applyProtection="1">
      <protection locked="0"/>
    </xf>
    <xf numFmtId="0" fontId="5" fillId="0" borderId="0" xfId="0" applyFont="1" applyProtection="1">
      <protection locked="0"/>
    </xf>
    <xf numFmtId="0" fontId="4" fillId="0" borderId="0" xfId="0" applyFont="1" applyAlignment="1" applyProtection="1">
      <alignment horizontal="right"/>
      <protection locked="0"/>
    </xf>
    <xf numFmtId="0" fontId="4" fillId="0" borderId="0" xfId="0" applyFont="1" applyAlignment="1" applyProtection="1">
      <alignment horizontal="left"/>
      <protection locked="0"/>
    </xf>
    <xf numFmtId="0" fontId="4" fillId="0" borderId="0" xfId="0" applyFont="1" applyAlignment="1">
      <alignment horizontal="right"/>
    </xf>
    <xf numFmtId="0" fontId="4" fillId="0" borderId="0" xfId="0" applyFont="1" applyAlignment="1">
      <alignment horizontal="left"/>
    </xf>
    <xf numFmtId="0" fontId="5" fillId="0" borderId="0" xfId="0" applyFont="1" applyAlignment="1">
      <alignment horizontal="right"/>
    </xf>
    <xf numFmtId="0" fontId="7" fillId="0" borderId="0" xfId="0" applyFont="1" applyAlignment="1">
      <alignment horizontal="center"/>
    </xf>
    <xf numFmtId="1" fontId="4" fillId="0" borderId="0" xfId="0" applyNumberFormat="1" applyFont="1" applyBorder="1" applyAlignment="1" applyProtection="1">
      <alignment horizontal="center"/>
      <protection locked="0"/>
    </xf>
    <xf numFmtId="1" fontId="4" fillId="0" borderId="3" xfId="0" applyNumberFormat="1" applyFont="1" applyBorder="1" applyAlignment="1" applyProtection="1">
      <alignment horizontal="center"/>
      <protection locked="0"/>
    </xf>
    <xf numFmtId="1" fontId="4" fillId="0" borderId="1" xfId="0" applyNumberFormat="1" applyFont="1" applyBorder="1" applyAlignment="1" applyProtection="1">
      <alignment horizontal="center"/>
      <protection locked="0"/>
    </xf>
    <xf numFmtId="164" fontId="4" fillId="0" borderId="0" xfId="0" applyNumberFormat="1" applyFont="1" applyBorder="1" applyAlignment="1" applyProtection="1">
      <alignment horizontal="center"/>
      <protection locked="0"/>
    </xf>
    <xf numFmtId="164" fontId="4" fillId="0" borderId="1" xfId="0" applyNumberFormat="1" applyFont="1" applyBorder="1" applyAlignment="1" applyProtection="1">
      <alignment horizontal="center"/>
      <protection locked="0"/>
    </xf>
    <xf numFmtId="164" fontId="4" fillId="0" borderId="2" xfId="0" applyNumberFormat="1" applyFont="1" applyBorder="1" applyAlignment="1" applyProtection="1">
      <alignment horizontal="center"/>
      <protection locked="0"/>
    </xf>
    <xf numFmtId="0" fontId="5" fillId="0" borderId="0" xfId="0" applyFont="1" applyAlignment="1">
      <alignment horizontal="center"/>
    </xf>
    <xf numFmtId="0" fontId="4" fillId="0" borderId="0" xfId="0" applyFont="1" applyAlignment="1">
      <alignment horizontal="center"/>
    </xf>
    <xf numFmtId="2" fontId="4" fillId="0" borderId="0" xfId="0" applyNumberFormat="1" applyFont="1" applyAlignment="1">
      <alignment horizontal="left"/>
    </xf>
    <xf numFmtId="1" fontId="5" fillId="0" borderId="4" xfId="0" applyNumberFormat="1" applyFont="1" applyBorder="1" applyAlignment="1" applyProtection="1">
      <alignment horizontal="left"/>
      <protection locked="0"/>
    </xf>
    <xf numFmtId="0" fontId="4" fillId="0" borderId="0" xfId="0" applyFont="1" applyBorder="1" applyAlignment="1">
      <alignment horizontal="left"/>
    </xf>
    <xf numFmtId="2" fontId="4" fillId="0" borderId="0" xfId="0" applyNumberFormat="1" applyFont="1" applyBorder="1" applyAlignment="1">
      <alignment horizontal="left"/>
    </xf>
    <xf numFmtId="2" fontId="5" fillId="0" borderId="0" xfId="0" applyNumberFormat="1" applyFont="1" applyAlignment="1">
      <alignment horizontal="left"/>
    </xf>
    <xf numFmtId="0" fontId="4" fillId="0" borderId="0" xfId="0" applyFont="1" applyAlignment="1" applyProtection="1">
      <alignment horizontal="center"/>
      <protection locked="0"/>
    </xf>
    <xf numFmtId="0" fontId="4" fillId="0" borderId="5" xfId="0" applyFont="1" applyBorder="1" applyProtection="1">
      <protection locked="0"/>
    </xf>
    <xf numFmtId="0" fontId="4" fillId="0" borderId="6" xfId="0" applyFont="1" applyBorder="1" applyProtection="1">
      <protection locked="0"/>
    </xf>
    <xf numFmtId="0" fontId="4" fillId="0" borderId="7" xfId="0" applyFont="1" applyBorder="1" applyProtection="1">
      <protection locked="0"/>
    </xf>
    <xf numFmtId="0" fontId="10" fillId="0" borderId="0" xfId="0" applyFont="1"/>
    <xf numFmtId="0" fontId="6" fillId="0" borderId="0" xfId="0" applyFont="1" applyAlignment="1">
      <alignment horizontal="left"/>
    </xf>
    <xf numFmtId="0" fontId="4" fillId="0" borderId="8" xfId="0" applyFont="1" applyBorder="1" applyProtection="1"/>
    <xf numFmtId="0" fontId="5" fillId="0" borderId="1" xfId="0" applyFont="1" applyBorder="1" applyProtection="1"/>
    <xf numFmtId="0" fontId="4" fillId="0" borderId="0" xfId="0" applyFont="1" applyBorder="1" applyProtection="1"/>
    <xf numFmtId="2" fontId="5" fillId="0" borderId="1" xfId="0" applyNumberFormat="1" applyFont="1" applyBorder="1" applyProtection="1"/>
    <xf numFmtId="0" fontId="5" fillId="0" borderId="2" xfId="0" applyFont="1" applyBorder="1" applyProtection="1"/>
    <xf numFmtId="0" fontId="4" fillId="0" borderId="9" xfId="0" applyFont="1" applyBorder="1" applyProtection="1"/>
    <xf numFmtId="2" fontId="4" fillId="0" borderId="0" xfId="0" applyNumberFormat="1" applyFont="1"/>
    <xf numFmtId="164" fontId="4" fillId="0" borderId="0" xfId="0" applyNumberFormat="1" applyFont="1" applyAlignment="1">
      <alignment horizontal="left"/>
    </xf>
    <xf numFmtId="1" fontId="4" fillId="0" borderId="0" xfId="0" applyNumberFormat="1" applyFont="1" applyAlignment="1">
      <alignment horizontal="left"/>
    </xf>
    <xf numFmtId="0" fontId="4" fillId="0" borderId="10" xfId="0" applyFont="1" applyBorder="1"/>
    <xf numFmtId="0" fontId="4" fillId="0" borderId="10" xfId="0" applyFont="1" applyBorder="1" applyProtection="1">
      <protection locked="0"/>
    </xf>
    <xf numFmtId="1" fontId="4" fillId="0" borderId="11" xfId="0" applyNumberFormat="1" applyFont="1" applyBorder="1"/>
    <xf numFmtId="3" fontId="4" fillId="0" borderId="0" xfId="0" applyNumberFormat="1" applyFont="1" applyAlignment="1">
      <alignment horizontal="left"/>
    </xf>
    <xf numFmtId="0" fontId="4" fillId="0" borderId="0" xfId="0" quotePrefix="1" applyFont="1" applyAlignment="1">
      <alignment horizontal="right"/>
    </xf>
    <xf numFmtId="0" fontId="5" fillId="0" borderId="0" xfId="0" applyFont="1" applyAlignment="1">
      <alignment horizontal="left"/>
    </xf>
    <xf numFmtId="0" fontId="5" fillId="0" borderId="0" xfId="0" applyFont="1" applyAlignment="1" applyProtection="1">
      <alignment horizontal="right"/>
      <protection locked="0"/>
    </xf>
    <xf numFmtId="0" fontId="4" fillId="0" borderId="0" xfId="0" applyFont="1" applyAlignment="1" applyProtection="1">
      <protection locked="0"/>
    </xf>
    <xf numFmtId="0" fontId="4" fillId="0" borderId="0" xfId="0" applyFont="1" applyAlignment="1"/>
    <xf numFmtId="0" fontId="4" fillId="0" borderId="11" xfId="0" applyFont="1" applyBorder="1"/>
    <xf numFmtId="0" fontId="6" fillId="0" borderId="0" xfId="0" applyFont="1" applyAlignment="1">
      <alignment horizontal="right"/>
    </xf>
    <xf numFmtId="1" fontId="5" fillId="0" borderId="4" xfId="0" applyNumberFormat="1" applyFont="1" applyBorder="1" applyAlignment="1">
      <alignment horizontal="left"/>
    </xf>
    <xf numFmtId="2" fontId="5" fillId="0" borderId="4" xfId="0" applyNumberFormat="1" applyFont="1" applyBorder="1" applyAlignment="1">
      <alignment horizontal="left"/>
    </xf>
    <xf numFmtId="0" fontId="4" fillId="0" borderId="0" xfId="0" applyFont="1" applyBorder="1"/>
    <xf numFmtId="1" fontId="5" fillId="0" borderId="11" xfId="0" applyNumberFormat="1" applyFont="1" applyBorder="1" applyAlignment="1">
      <alignment horizontal="left"/>
    </xf>
    <xf numFmtId="1" fontId="5" fillId="0" borderId="11" xfId="0" applyNumberFormat="1" applyFont="1" applyBorder="1" applyAlignment="1" applyProtection="1">
      <alignment horizontal="left"/>
      <protection locked="0"/>
    </xf>
    <xf numFmtId="0" fontId="4" fillId="2" borderId="0" xfId="0" applyFont="1" applyFill="1"/>
    <xf numFmtId="1" fontId="4" fillId="2" borderId="0" xfId="0" applyNumberFormat="1" applyFont="1" applyFill="1" applyAlignment="1">
      <alignment horizontal="left"/>
    </xf>
    <xf numFmtId="0" fontId="5" fillId="0" borderId="4" xfId="0" applyFont="1" applyBorder="1" applyAlignment="1" applyProtection="1">
      <alignment horizontal="left"/>
      <protection locked="0"/>
    </xf>
    <xf numFmtId="0" fontId="6" fillId="0" borderId="0" xfId="0" applyFont="1" applyBorder="1"/>
    <xf numFmtId="0" fontId="4" fillId="0" borderId="0" xfId="0" applyFont="1" applyBorder="1" applyAlignment="1" applyProtection="1">
      <alignment horizontal="right"/>
      <protection locked="0"/>
    </xf>
    <xf numFmtId="0" fontId="5" fillId="0" borderId="0" xfId="0" applyFont="1" applyBorder="1" applyProtection="1">
      <protection locked="0"/>
    </xf>
    <xf numFmtId="0" fontId="5" fillId="0" borderId="0" xfId="0" applyFont="1" applyBorder="1" applyAlignment="1">
      <alignment horizontal="right"/>
    </xf>
    <xf numFmtId="0" fontId="4" fillId="0" borderId="0" xfId="0" applyFont="1" applyBorder="1" applyProtection="1">
      <protection locked="0"/>
    </xf>
    <xf numFmtId="0" fontId="4" fillId="0" borderId="0" xfId="0" applyFont="1" applyBorder="1" applyAlignment="1" applyProtection="1">
      <alignment horizontal="left"/>
      <protection locked="0"/>
    </xf>
    <xf numFmtId="1" fontId="4" fillId="0" borderId="0" xfId="0" applyNumberFormat="1" applyFont="1" applyBorder="1" applyAlignment="1">
      <alignment horizontal="left"/>
    </xf>
    <xf numFmtId="0" fontId="4" fillId="0" borderId="0" xfId="0" applyFont="1" applyBorder="1" applyAlignment="1">
      <alignment horizontal="right"/>
    </xf>
    <xf numFmtId="0" fontId="4" fillId="0" borderId="0" xfId="0" applyFont="1" applyBorder="1" applyAlignment="1" applyProtection="1">
      <alignment horizontal="center"/>
      <protection locked="0"/>
    </xf>
    <xf numFmtId="0" fontId="5" fillId="0" borderId="0" xfId="0" applyFont="1" applyBorder="1" applyAlignment="1" applyProtection="1">
      <alignment horizontal="right"/>
      <protection locked="0"/>
    </xf>
    <xf numFmtId="1" fontId="5" fillId="0" borderId="0" xfId="0" applyNumberFormat="1" applyFont="1" applyBorder="1" applyAlignment="1">
      <alignment horizontal="left"/>
    </xf>
    <xf numFmtId="166" fontId="5" fillId="0" borderId="4" xfId="0" applyNumberFormat="1" applyFont="1" applyBorder="1" applyAlignment="1">
      <alignment horizontal="left"/>
    </xf>
    <xf numFmtId="0" fontId="4" fillId="0" borderId="3" xfId="0" applyFont="1" applyBorder="1" applyAlignment="1" applyProtection="1">
      <alignment horizontal="left"/>
      <protection locked="0"/>
    </xf>
    <xf numFmtId="0" fontId="4" fillId="0" borderId="1" xfId="0" applyFont="1" applyBorder="1" applyAlignment="1" applyProtection="1">
      <alignment horizontal="left"/>
      <protection locked="0"/>
    </xf>
    <xf numFmtId="2" fontId="4" fillId="0" borderId="1" xfId="0" applyNumberFormat="1" applyFont="1" applyBorder="1" applyAlignment="1" applyProtection="1">
      <alignment horizontal="left"/>
      <protection locked="0"/>
    </xf>
    <xf numFmtId="166" fontId="4" fillId="0" borderId="1" xfId="0" applyNumberFormat="1" applyFont="1" applyBorder="1" applyAlignment="1" applyProtection="1">
      <alignment horizontal="left"/>
      <protection locked="0"/>
    </xf>
    <xf numFmtId="0" fontId="4" fillId="0" borderId="2" xfId="0" applyFont="1" applyBorder="1" applyAlignment="1" applyProtection="1">
      <alignment horizontal="left"/>
      <protection locked="0"/>
    </xf>
    <xf numFmtId="0" fontId="11" fillId="0" borderId="0" xfId="0" applyFont="1"/>
    <xf numFmtId="0" fontId="11" fillId="0" borderId="0" xfId="0" applyFont="1" applyProtection="1"/>
    <xf numFmtId="0" fontId="9" fillId="0" borderId="0" xfId="0" applyFont="1" applyProtection="1"/>
    <xf numFmtId="0" fontId="0" fillId="0" borderId="0" xfId="0" applyProtection="1"/>
    <xf numFmtId="0" fontId="3" fillId="0" borderId="0" xfId="0" applyFont="1" applyProtection="1"/>
    <xf numFmtId="1" fontId="4" fillId="0" borderId="0" xfId="0" applyNumberFormat="1" applyFont="1"/>
    <xf numFmtId="1" fontId="4" fillId="0" borderId="0" xfId="0" quotePrefix="1" applyNumberFormat="1" applyFont="1" applyAlignment="1">
      <alignment horizontal="left"/>
    </xf>
    <xf numFmtId="166" fontId="4" fillId="0" borderId="0" xfId="0" applyNumberFormat="1" applyFont="1" applyAlignment="1">
      <alignment horizontal="left"/>
    </xf>
    <xf numFmtId="165" fontId="4" fillId="0" borderId="0" xfId="0" applyNumberFormat="1" applyFont="1" applyAlignment="1">
      <alignment horizontal="left"/>
    </xf>
    <xf numFmtId="1" fontId="5" fillId="0" borderId="0" xfId="0" applyNumberFormat="1" applyFont="1" applyAlignment="1">
      <alignment horizontal="left"/>
    </xf>
    <xf numFmtId="0" fontId="4" fillId="0" borderId="0" xfId="0" quotePrefix="1" applyFont="1"/>
    <xf numFmtId="166" fontId="5" fillId="0" borderId="0" xfId="0" applyNumberFormat="1" applyFont="1" applyAlignment="1">
      <alignment horizontal="left"/>
    </xf>
    <xf numFmtId="167" fontId="4" fillId="0" borderId="0" xfId="0" applyNumberFormat="1" applyFont="1" applyAlignment="1">
      <alignment horizontal="left"/>
    </xf>
    <xf numFmtId="165" fontId="5" fillId="0" borderId="0" xfId="0" applyNumberFormat="1" applyFont="1" applyAlignment="1">
      <alignment horizontal="left"/>
    </xf>
    <xf numFmtId="0" fontId="4" fillId="0" borderId="0" xfId="0" applyFont="1" applyAlignment="1">
      <alignment vertical="top" wrapText="1"/>
    </xf>
    <xf numFmtId="0" fontId="5" fillId="0" borderId="0" xfId="0" applyFont="1" applyAlignment="1">
      <alignment horizontal="left" vertical="top" wrapText="1" indent="2"/>
    </xf>
    <xf numFmtId="0" fontId="12" fillId="0" borderId="0" xfId="0" applyFont="1"/>
    <xf numFmtId="0" fontId="12" fillId="0" borderId="0" xfId="0" applyFont="1" applyProtection="1">
      <protection locked="0"/>
    </xf>
    <xf numFmtId="0" fontId="12" fillId="0" borderId="0" xfId="0" applyFont="1" applyAlignment="1" applyProtection="1">
      <alignment horizontal="center"/>
      <protection locked="0"/>
    </xf>
    <xf numFmtId="0" fontId="13" fillId="0" borderId="0" xfId="0" applyFont="1"/>
    <xf numFmtId="0" fontId="12" fillId="0" borderId="0" xfId="0" applyFont="1" applyAlignment="1">
      <alignment horizontal="right"/>
    </xf>
    <xf numFmtId="2" fontId="5" fillId="0" borderId="0" xfId="0" applyNumberFormat="1" applyFont="1" applyAlignment="1" applyProtection="1">
      <alignment horizontal="center"/>
      <protection locked="0"/>
    </xf>
    <xf numFmtId="0" fontId="13" fillId="0" borderId="0" xfId="0" applyFont="1" applyProtection="1">
      <protection locked="0"/>
    </xf>
    <xf numFmtId="0" fontId="12" fillId="0" borderId="0" xfId="0" applyFont="1" applyAlignment="1" applyProtection="1">
      <alignment horizontal="left"/>
      <protection locked="0"/>
    </xf>
    <xf numFmtId="0" fontId="12" fillId="0" borderId="0" xfId="0" quotePrefix="1" applyFont="1" applyAlignment="1" applyProtection="1">
      <alignment horizontal="right"/>
      <protection locked="0"/>
    </xf>
    <xf numFmtId="165" fontId="5" fillId="0" borderId="0" xfId="0" applyNumberFormat="1" applyFont="1" applyAlignment="1" applyProtection="1">
      <alignment horizontal="center"/>
      <protection locked="0"/>
    </xf>
    <xf numFmtId="167" fontId="5" fillId="0" borderId="0" xfId="0" applyNumberFormat="1" applyFont="1" applyAlignment="1" applyProtection="1">
      <alignment horizontal="center"/>
      <protection locked="0"/>
    </xf>
    <xf numFmtId="0" fontId="13" fillId="0" borderId="0" xfId="0" applyFont="1" applyAlignment="1" applyProtection="1">
      <alignment horizontal="left"/>
      <protection locked="0"/>
    </xf>
    <xf numFmtId="0" fontId="13" fillId="0" borderId="0" xfId="0" applyFont="1" applyAlignment="1" applyProtection="1">
      <alignment horizontal="right"/>
      <protection locked="0"/>
    </xf>
    <xf numFmtId="2" fontId="13" fillId="0" borderId="0" xfId="0" applyNumberFormat="1" applyFont="1" applyAlignment="1" applyProtection="1">
      <alignment horizontal="left"/>
      <protection locked="0"/>
    </xf>
    <xf numFmtId="0" fontId="12" fillId="0" borderId="0" xfId="0" applyFont="1" applyAlignment="1">
      <alignment horizontal="left"/>
    </xf>
    <xf numFmtId="2" fontId="5" fillId="3" borderId="4" xfId="0" applyNumberFormat="1" applyFont="1" applyFill="1" applyBorder="1" applyAlignment="1" applyProtection="1">
      <alignment horizontal="left"/>
      <protection locked="0"/>
    </xf>
    <xf numFmtId="0" fontId="13" fillId="0" borderId="0" xfId="0" applyFont="1" applyAlignment="1">
      <alignment horizontal="left"/>
    </xf>
    <xf numFmtId="2" fontId="5" fillId="4" borderId="4" xfId="0" applyNumberFormat="1" applyFont="1" applyFill="1" applyBorder="1" applyAlignment="1" applyProtection="1">
      <alignment horizontal="left"/>
      <protection locked="0"/>
    </xf>
    <xf numFmtId="165" fontId="13" fillId="0" borderId="0" xfId="0" applyNumberFormat="1" applyFont="1" applyAlignment="1" applyProtection="1">
      <alignment horizontal="left"/>
      <protection locked="0"/>
    </xf>
    <xf numFmtId="0" fontId="5" fillId="0" borderId="0" xfId="0" quotePrefix="1" applyFont="1" applyAlignment="1">
      <alignment horizontal="right"/>
    </xf>
    <xf numFmtId="164" fontId="5" fillId="5" borderId="4" xfId="0" applyNumberFormat="1" applyFont="1" applyFill="1" applyBorder="1" applyAlignment="1" applyProtection="1">
      <alignment horizontal="left"/>
      <protection locked="0"/>
    </xf>
    <xf numFmtId="2" fontId="5" fillId="6" borderId="4" xfId="0" applyNumberFormat="1" applyFont="1" applyFill="1" applyBorder="1" applyAlignment="1" applyProtection="1">
      <alignment horizontal="left"/>
      <protection locked="0"/>
    </xf>
    <xf numFmtId="0" fontId="14" fillId="0" borderId="0" xfId="0" applyFont="1" applyAlignment="1">
      <alignment horizontal="left"/>
    </xf>
    <xf numFmtId="0" fontId="12" fillId="0" borderId="0" xfId="0" applyFont="1" applyAlignment="1" applyProtection="1">
      <alignment horizontal="right"/>
      <protection locked="0"/>
    </xf>
    <xf numFmtId="1" fontId="7" fillId="0" borderId="0" xfId="0" applyNumberFormat="1" applyFont="1" applyAlignment="1" applyProtection="1">
      <alignment horizontal="center"/>
      <protection locked="0"/>
    </xf>
    <xf numFmtId="1" fontId="4" fillId="0" borderId="3" xfId="0" applyNumberFormat="1" applyFont="1" applyBorder="1" applyAlignment="1" applyProtection="1">
      <alignment horizontal="left"/>
      <protection locked="0"/>
    </xf>
    <xf numFmtId="1" fontId="4" fillId="0" borderId="1" xfId="0" applyNumberFormat="1" applyFont="1" applyBorder="1" applyAlignment="1" applyProtection="1">
      <alignment horizontal="left"/>
      <protection locked="0"/>
    </xf>
    <xf numFmtId="2" fontId="4" fillId="0" borderId="2" xfId="0" applyNumberFormat="1" applyFont="1" applyBorder="1" applyAlignment="1" applyProtection="1">
      <alignment horizontal="left"/>
      <protection locked="0"/>
    </xf>
    <xf numFmtId="0" fontId="5" fillId="0" borderId="0" xfId="0" applyFont="1" applyBorder="1" applyAlignment="1" applyProtection="1">
      <alignment horizontal="center"/>
      <protection locked="0"/>
    </xf>
    <xf numFmtId="2" fontId="4" fillId="0" borderId="0" xfId="0" applyNumberFormat="1" applyFont="1" applyBorder="1" applyAlignment="1" applyProtection="1">
      <alignment horizontal="center"/>
      <protection locked="0"/>
    </xf>
    <xf numFmtId="0" fontId="5" fillId="0" borderId="0" xfId="0" applyFont="1" applyAlignment="1" applyProtection="1">
      <alignment horizontal="center"/>
      <protection locked="0"/>
    </xf>
    <xf numFmtId="1" fontId="4" fillId="0" borderId="2" xfId="0" applyNumberFormat="1" applyFont="1" applyBorder="1" applyAlignment="1" applyProtection="1">
      <alignment horizontal="left"/>
      <protection locked="0"/>
    </xf>
    <xf numFmtId="1" fontId="4" fillId="0" borderId="0" xfId="0" applyNumberFormat="1" applyFont="1" applyBorder="1" applyAlignment="1" applyProtection="1">
      <alignment horizontal="center" vertical="top" wrapText="1"/>
      <protection locked="0"/>
    </xf>
    <xf numFmtId="9" fontId="4" fillId="0" borderId="3" xfId="0" applyNumberFormat="1" applyFont="1" applyBorder="1" applyAlignment="1" applyProtection="1">
      <alignment horizontal="left"/>
      <protection locked="0"/>
    </xf>
    <xf numFmtId="0" fontId="8" fillId="0" borderId="0" xfId="0" applyFont="1" applyAlignment="1">
      <alignment horizontal="center"/>
    </xf>
    <xf numFmtId="0" fontId="4" fillId="0" borderId="4" xfId="0" applyFont="1" applyBorder="1" applyProtection="1">
      <protection locked="0"/>
    </xf>
    <xf numFmtId="1" fontId="5" fillId="0" borderId="4" xfId="0" applyNumberFormat="1" applyFont="1" applyBorder="1" applyAlignment="1" applyProtection="1">
      <alignment horizontal="left"/>
    </xf>
    <xf numFmtId="166" fontId="5" fillId="0" borderId="1" xfId="0" applyNumberFormat="1" applyFont="1" applyBorder="1" applyAlignment="1" applyProtection="1">
      <alignment horizontal="left"/>
      <protection locked="0"/>
    </xf>
    <xf numFmtId="168" fontId="4" fillId="0" borderId="0" xfId="0" applyNumberFormat="1" applyFont="1" applyAlignment="1">
      <alignment horizontal="left"/>
    </xf>
    <xf numFmtId="0" fontId="5" fillId="0" borderId="4" xfId="0" applyFont="1" applyBorder="1" applyAlignment="1">
      <alignment horizontal="center"/>
    </xf>
    <xf numFmtId="164" fontId="4" fillId="0" borderId="1" xfId="0" applyNumberFormat="1" applyFont="1" applyBorder="1" applyAlignment="1">
      <alignment horizontal="center"/>
    </xf>
    <xf numFmtId="2" fontId="4" fillId="0" borderId="1" xfId="0" applyNumberFormat="1" applyFont="1" applyBorder="1" applyAlignment="1">
      <alignment horizontal="center"/>
    </xf>
    <xf numFmtId="0" fontId="4" fillId="0" borderId="1" xfId="0" applyFont="1" applyBorder="1" applyAlignment="1">
      <alignment horizontal="center"/>
    </xf>
    <xf numFmtId="2" fontId="4" fillId="0" borderId="2" xfId="0" applyNumberFormat="1" applyFont="1" applyBorder="1" applyAlignment="1">
      <alignment horizontal="center"/>
    </xf>
    <xf numFmtId="0" fontId="4" fillId="0" borderId="2" xfId="0" applyFont="1" applyBorder="1" applyAlignment="1">
      <alignment horizontal="center"/>
    </xf>
    <xf numFmtId="164" fontId="4" fillId="0" borderId="1" xfId="0" applyNumberFormat="1" applyFont="1" applyBorder="1" applyAlignment="1" applyProtection="1">
      <alignment horizontal="left"/>
      <protection locked="0"/>
    </xf>
    <xf numFmtId="164" fontId="4" fillId="0" borderId="2" xfId="0" applyNumberFormat="1" applyFont="1" applyBorder="1" applyAlignment="1" applyProtection="1">
      <alignment horizontal="left"/>
      <protection locked="0"/>
    </xf>
    <xf numFmtId="0" fontId="5" fillId="0" borderId="2" xfId="0" applyFont="1" applyBorder="1" applyAlignment="1" applyProtection="1">
      <alignment horizontal="left"/>
      <protection locked="0"/>
    </xf>
    <xf numFmtId="0" fontId="9" fillId="0" borderId="0" xfId="0" applyFont="1" applyProtection="1">
      <protection locked="0"/>
    </xf>
    <xf numFmtId="0" fontId="15" fillId="0" borderId="0" xfId="1" applyFont="1" applyAlignment="1" applyProtection="1">
      <protection locked="0"/>
    </xf>
    <xf numFmtId="1" fontId="5" fillId="0" borderId="3" xfId="0" applyNumberFormat="1" applyFont="1" applyBorder="1" applyProtection="1"/>
    <xf numFmtId="1" fontId="5" fillId="0" borderId="1" xfId="0" applyNumberFormat="1" applyFont="1" applyBorder="1" applyProtection="1"/>
    <xf numFmtId="2" fontId="4" fillId="0" borderId="11" xfId="0" applyNumberFormat="1" applyFont="1" applyBorder="1" applyAlignment="1">
      <alignment horizontal="left"/>
    </xf>
    <xf numFmtId="1" fontId="4" fillId="0" borderId="11" xfId="0" applyNumberFormat="1" applyFont="1" applyBorder="1" applyAlignment="1">
      <alignment horizontal="left"/>
    </xf>
    <xf numFmtId="0" fontId="5" fillId="0" borderId="3" xfId="0" applyFont="1" applyBorder="1" applyAlignment="1">
      <alignment horizontal="left"/>
    </xf>
    <xf numFmtId="0" fontId="5" fillId="0" borderId="1" xfId="0" applyFont="1" applyBorder="1" applyAlignment="1">
      <alignment horizontal="left"/>
    </xf>
    <xf numFmtId="164" fontId="5" fillId="0" borderId="2" xfId="0" applyNumberFormat="1" applyFont="1" applyBorder="1" applyAlignment="1">
      <alignment horizontal="left"/>
    </xf>
    <xf numFmtId="2" fontId="4" fillId="0" borderId="3" xfId="0" applyNumberFormat="1" applyFont="1" applyBorder="1" applyAlignment="1" applyProtection="1">
      <alignment horizontal="left"/>
      <protection locked="0"/>
    </xf>
    <xf numFmtId="9" fontId="5" fillId="0" borderId="3" xfId="0" applyNumberFormat="1"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13" fillId="0" borderId="0" xfId="0" applyFont="1" applyAlignment="1" applyProtection="1">
      <alignment horizontal="right"/>
    </xf>
    <xf numFmtId="0" fontId="13" fillId="0" borderId="0" xfId="0" applyFont="1" applyAlignment="1" applyProtection="1">
      <alignment horizontal="left"/>
    </xf>
    <xf numFmtId="0" fontId="12" fillId="0" borderId="0" xfId="0" applyFont="1" applyProtection="1"/>
    <xf numFmtId="0" fontId="12" fillId="0" borderId="0" xfId="0" applyFont="1" applyAlignment="1" applyProtection="1">
      <alignment horizontal="right"/>
    </xf>
    <xf numFmtId="165" fontId="13" fillId="0" borderId="0" xfId="0" applyNumberFormat="1" applyFont="1" applyAlignment="1" applyProtection="1">
      <alignment horizontal="left"/>
    </xf>
    <xf numFmtId="0" fontId="13" fillId="0" borderId="0" xfId="0" applyFont="1" applyProtection="1"/>
    <xf numFmtId="2" fontId="13" fillId="0" borderId="0" xfId="0" applyNumberFormat="1" applyFont="1" applyAlignment="1" applyProtection="1">
      <alignment horizontal="left"/>
    </xf>
    <xf numFmtId="0" fontId="13" fillId="0" borderId="0" xfId="0" applyFont="1" applyAlignment="1" applyProtection="1">
      <alignment horizontal="center"/>
    </xf>
    <xf numFmtId="2" fontId="5" fillId="0" borderId="4" xfId="0" applyNumberFormat="1" applyFont="1" applyBorder="1" applyAlignment="1" applyProtection="1">
      <alignment horizontal="left"/>
      <protection locked="0"/>
    </xf>
    <xf numFmtId="3" fontId="4" fillId="0" borderId="2" xfId="0" applyNumberFormat="1" applyFont="1" applyBorder="1" applyAlignment="1" applyProtection="1">
      <alignment horizontal="left"/>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30.jpeg"/><Relationship Id="rId4" Type="http://schemas.openxmlformats.org/officeDocument/2006/relationships/image" Target="../media/image2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7.jpeg"/><Relationship Id="rId1" Type="http://schemas.openxmlformats.org/officeDocument/2006/relationships/image" Target="../media/image26.jpeg"/><Relationship Id="rId6" Type="http://schemas.openxmlformats.org/officeDocument/2006/relationships/image" Target="../media/image33.jpeg"/><Relationship Id="rId5" Type="http://schemas.openxmlformats.org/officeDocument/2006/relationships/image" Target="../media/image32.jpeg"/><Relationship Id="rId4" Type="http://schemas.openxmlformats.org/officeDocument/2006/relationships/image" Target="../media/image3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6.jpg"/><Relationship Id="rId7" Type="http://schemas.openxmlformats.org/officeDocument/2006/relationships/image" Target="../media/image40.jpg"/><Relationship Id="rId2" Type="http://schemas.openxmlformats.org/officeDocument/2006/relationships/image" Target="../media/image35.tif"/><Relationship Id="rId1" Type="http://schemas.openxmlformats.org/officeDocument/2006/relationships/image" Target="../media/image34.tif"/><Relationship Id="rId6" Type="http://schemas.openxmlformats.org/officeDocument/2006/relationships/image" Target="../media/image39.jpg"/><Relationship Id="rId5" Type="http://schemas.openxmlformats.org/officeDocument/2006/relationships/image" Target="../media/image38.jpg"/><Relationship Id="rId4" Type="http://schemas.openxmlformats.org/officeDocument/2006/relationships/image" Target="../media/image37.jpg"/></Relationships>
</file>

<file path=xl/drawings/drawing1.xml><?xml version="1.0" encoding="utf-8"?>
<xdr:wsDr xmlns:xdr="http://schemas.openxmlformats.org/drawingml/2006/spreadsheetDrawing" xmlns:a="http://schemas.openxmlformats.org/drawingml/2006/main">
  <xdr:twoCellAnchor>
    <xdr:from>
      <xdr:col>1</xdr:col>
      <xdr:colOff>174625</xdr:colOff>
      <xdr:row>24</xdr:row>
      <xdr:rowOff>165100</xdr:rowOff>
    </xdr:from>
    <xdr:to>
      <xdr:col>2</xdr:col>
      <xdr:colOff>1549400</xdr:colOff>
      <xdr:row>34</xdr:row>
      <xdr:rowOff>171450</xdr:rowOff>
    </xdr:to>
    <xdr:sp macro="" textlink="">
      <xdr:nvSpPr>
        <xdr:cNvPr id="1025" name="Text Box 1">
          <a:extLst>
            <a:ext uri="{FF2B5EF4-FFF2-40B4-BE49-F238E27FC236}">
              <a16:creationId xmlns:a16="http://schemas.microsoft.com/office/drawing/2014/main" id="{040B067E-3BC7-1EED-B413-E4DD151FD5E5}"/>
            </a:ext>
          </a:extLst>
        </xdr:cNvPr>
        <xdr:cNvSpPr txBox="1">
          <a:spLocks noChangeArrowheads="1"/>
        </xdr:cNvSpPr>
      </xdr:nvSpPr>
      <xdr:spPr bwMode="auto">
        <a:xfrm>
          <a:off x="784225" y="4984750"/>
          <a:ext cx="3971925" cy="1974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Introduction</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Belt conveyors range in length from a few feet to several miles. They carry everything from small packages to thousands of tons of bulk material per hour.  </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A belt conveyor can unload a barge load of coal and deliver it to several, one hundred feet high silos, a thousand yards away in minutes. Another belt conveyor, fitted with load cells, will precisely meter variable amounts of the coal to a boiler.</a:t>
          </a: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160807</xdr:colOff>
      <xdr:row>51</xdr:row>
      <xdr:rowOff>31750</xdr:rowOff>
    </xdr:from>
    <xdr:to>
      <xdr:col>2</xdr:col>
      <xdr:colOff>711200</xdr:colOff>
      <xdr:row>62</xdr:row>
      <xdr:rowOff>41345</xdr:rowOff>
    </xdr:to>
    <xdr:pic>
      <xdr:nvPicPr>
        <xdr:cNvPr id="15637" name="Picture 2" descr="FECO-CONVEYOR-1">
          <a:extLst>
            <a:ext uri="{FF2B5EF4-FFF2-40B4-BE49-F238E27FC236}">
              <a16:creationId xmlns:a16="http://schemas.microsoft.com/office/drawing/2014/main" id="{68D7EC4F-2763-D110-06D5-671819689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0407" y="10166350"/>
          <a:ext cx="3147543" cy="2174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65</xdr:row>
      <xdr:rowOff>0</xdr:rowOff>
    </xdr:from>
    <xdr:to>
      <xdr:col>4</xdr:col>
      <xdr:colOff>342900</xdr:colOff>
      <xdr:row>75</xdr:row>
      <xdr:rowOff>152400</xdr:rowOff>
    </xdr:to>
    <xdr:sp macro="" textlink="">
      <xdr:nvSpPr>
        <xdr:cNvPr id="1028" name="Text Box 4">
          <a:extLst>
            <a:ext uri="{FF2B5EF4-FFF2-40B4-BE49-F238E27FC236}">
              <a16:creationId xmlns:a16="http://schemas.microsoft.com/office/drawing/2014/main" id="{45CDC2EB-B16E-F77E-1773-0C1F0FCA933F}"/>
            </a:ext>
          </a:extLst>
        </xdr:cNvPr>
        <xdr:cNvSpPr txBox="1">
          <a:spLocks noChangeArrowheads="1"/>
        </xdr:cNvSpPr>
      </xdr:nvSpPr>
      <xdr:spPr bwMode="auto">
        <a:xfrm>
          <a:off x="962025" y="12890500"/>
          <a:ext cx="4994275" cy="2120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Belt Conveyor Installation</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A "feeco" company belt conveyor is pictured above. Bulk material will be dumped into the hopper, mounted over the bottom end of the conveyor. Material discharged at the top end will follow a predetermined trajectory onto a second belt conveyor and on to the next process.</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Please go to: www.feeco.com for more information.</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Conveyor Manufactures Association, CEMA, has established standards for belt conveyor quality, performance, and manufacture.</a:t>
          </a:r>
        </a:p>
        <a:p>
          <a:pPr algn="l" rtl="0">
            <a:defRPr sz="1000"/>
          </a:pPr>
          <a:endParaRPr lang="en-US" sz="11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361950</xdr:colOff>
      <xdr:row>78</xdr:row>
      <xdr:rowOff>38100</xdr:rowOff>
    </xdr:from>
    <xdr:to>
      <xdr:col>1</xdr:col>
      <xdr:colOff>1701800</xdr:colOff>
      <xdr:row>88</xdr:row>
      <xdr:rowOff>12700</xdr:rowOff>
    </xdr:to>
    <xdr:pic>
      <xdr:nvPicPr>
        <xdr:cNvPr id="15639" name="Picture 5" descr="IDLER-1">
          <a:extLst>
            <a:ext uri="{FF2B5EF4-FFF2-40B4-BE49-F238E27FC236}">
              <a16:creationId xmlns:a16="http://schemas.microsoft.com/office/drawing/2014/main" id="{97C33A08-D776-FBCF-CB26-7AB42B610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3042900"/>
          <a:ext cx="133985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1155700</xdr:colOff>
      <xdr:row>51</xdr:row>
      <xdr:rowOff>171450</xdr:rowOff>
    </xdr:from>
    <xdr:to>
      <xdr:col>5</xdr:col>
      <xdr:colOff>336446</xdr:colOff>
      <xdr:row>62</xdr:row>
      <xdr:rowOff>158750</xdr:rowOff>
    </xdr:to>
    <xdr:sp macro="" textlink="">
      <xdr:nvSpPr>
        <xdr:cNvPr id="1030" name="Text Box 6">
          <a:extLst>
            <a:ext uri="{FF2B5EF4-FFF2-40B4-BE49-F238E27FC236}">
              <a16:creationId xmlns:a16="http://schemas.microsoft.com/office/drawing/2014/main" id="{E518E52A-C35E-5F08-9935-DC0DA594F56D}"/>
            </a:ext>
          </a:extLst>
        </xdr:cNvPr>
        <xdr:cNvSpPr txBox="1">
          <a:spLocks noChangeArrowheads="1"/>
        </xdr:cNvSpPr>
      </xdr:nvSpPr>
      <xdr:spPr bwMode="auto">
        <a:xfrm>
          <a:off x="4362450" y="10306050"/>
          <a:ext cx="2196996" cy="2152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1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Bulk Materials</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Belt conveyors applications include:</a:t>
          </a:r>
        </a:p>
        <a:p>
          <a:pPr algn="l" rtl="0">
            <a:defRPr sz="1000"/>
          </a:pPr>
          <a:r>
            <a:rPr lang="en-US" sz="1100" b="0" i="0" u="none" strike="noStrike" baseline="0">
              <a:solidFill>
                <a:srgbClr val="000000"/>
              </a:solidFill>
              <a:latin typeface="Arial"/>
              <a:cs typeface="Arial"/>
            </a:rPr>
            <a:t>Aggregate </a:t>
          </a:r>
        </a:p>
        <a:p>
          <a:pPr algn="l" rtl="0">
            <a:defRPr sz="1000"/>
          </a:pPr>
          <a:r>
            <a:rPr lang="en-US" sz="1100" b="0" i="0" u="none" strike="noStrike" baseline="0">
              <a:solidFill>
                <a:srgbClr val="000000"/>
              </a:solidFill>
              <a:latin typeface="Arial"/>
              <a:cs typeface="Arial"/>
            </a:rPr>
            <a:t>Coal </a:t>
          </a:r>
        </a:p>
        <a:p>
          <a:pPr algn="l" rtl="0">
            <a:defRPr sz="1000"/>
          </a:pPr>
          <a:r>
            <a:rPr lang="en-US" sz="1100" b="0" i="0" u="none" strike="noStrike" baseline="0">
              <a:solidFill>
                <a:srgbClr val="000000"/>
              </a:solidFill>
              <a:latin typeface="Arial"/>
              <a:cs typeface="Arial"/>
            </a:rPr>
            <a:t>Mining </a:t>
          </a:r>
        </a:p>
        <a:p>
          <a:pPr algn="l" rtl="0">
            <a:defRPr sz="1000"/>
          </a:pPr>
          <a:r>
            <a:rPr lang="en-US" sz="1100" b="0" i="0" u="none" strike="noStrike" baseline="0">
              <a:solidFill>
                <a:srgbClr val="000000"/>
              </a:solidFill>
              <a:latin typeface="Arial"/>
              <a:cs typeface="Arial"/>
            </a:rPr>
            <a:t>Foundry Sand</a:t>
          </a:r>
        </a:p>
        <a:p>
          <a:pPr algn="l" rtl="0">
            <a:defRPr sz="1000"/>
          </a:pPr>
          <a:r>
            <a:rPr lang="en-US" sz="1100" b="0" i="0" u="none" strike="noStrike" baseline="0">
              <a:solidFill>
                <a:srgbClr val="000000"/>
              </a:solidFill>
              <a:latin typeface="Arial"/>
              <a:cs typeface="Arial"/>
            </a:rPr>
            <a:t>Tunnel Boring</a:t>
          </a:r>
        </a:p>
        <a:p>
          <a:pPr algn="l" rtl="0">
            <a:defRPr sz="1000"/>
          </a:pPr>
          <a:r>
            <a:rPr lang="en-US" sz="1100" b="0" i="0" u="none" strike="noStrike" baseline="0">
              <a:solidFill>
                <a:srgbClr val="000000"/>
              </a:solidFill>
              <a:latin typeface="Arial"/>
              <a:cs typeface="Arial"/>
            </a:rPr>
            <a:t>Waste Sludge</a:t>
          </a:r>
        </a:p>
        <a:p>
          <a:pPr algn="l" rtl="0">
            <a:defRPr sz="1000"/>
          </a:pPr>
          <a:r>
            <a:rPr lang="en-US" sz="1100" b="0" i="0" u="none" strike="noStrike" baseline="0">
              <a:solidFill>
                <a:srgbClr val="000000"/>
              </a:solidFill>
              <a:latin typeface="Arial"/>
              <a:cs typeface="Arial"/>
            </a:rPr>
            <a:t>Wood Products</a:t>
          </a:r>
        </a:p>
      </xdr:txBody>
    </xdr:sp>
    <xdr:clientData/>
  </xdr:twoCellAnchor>
  <xdr:twoCellAnchor>
    <xdr:from>
      <xdr:col>1</xdr:col>
      <xdr:colOff>2409825</xdr:colOff>
      <xdr:row>78</xdr:row>
      <xdr:rowOff>146050</xdr:rowOff>
    </xdr:from>
    <xdr:to>
      <xdr:col>3</xdr:col>
      <xdr:colOff>603250</xdr:colOff>
      <xdr:row>87</xdr:row>
      <xdr:rowOff>139700</xdr:rowOff>
    </xdr:to>
    <xdr:sp macro="" textlink="">
      <xdr:nvSpPr>
        <xdr:cNvPr id="1031" name="Text Box 7">
          <a:extLst>
            <a:ext uri="{FF2B5EF4-FFF2-40B4-BE49-F238E27FC236}">
              <a16:creationId xmlns:a16="http://schemas.microsoft.com/office/drawing/2014/main" id="{23501F22-A2E9-2F0E-1369-D83503F4C156}"/>
            </a:ext>
          </a:extLst>
        </xdr:cNvPr>
        <xdr:cNvSpPr txBox="1">
          <a:spLocks noChangeArrowheads="1"/>
        </xdr:cNvSpPr>
      </xdr:nvSpPr>
      <xdr:spPr bwMode="auto">
        <a:xfrm>
          <a:off x="3019425" y="15595600"/>
          <a:ext cx="2587625" cy="176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Conveyor Idlers</a:t>
          </a:r>
        </a:p>
        <a:p>
          <a:pPr algn="l" rtl="0">
            <a:defRPr sz="1000"/>
          </a:pPr>
          <a:r>
            <a:rPr lang="en-US" sz="1200" b="0" i="0" u="none" strike="noStrike" baseline="0">
              <a:solidFill>
                <a:srgbClr val="000000"/>
              </a:solidFill>
              <a:latin typeface="Arial"/>
              <a:cs typeface="Arial"/>
            </a:rPr>
            <a:t>The conveyor belts have not yet been installed in the picture left. The arrangement of troughing idlers is revealed.</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More information is available at www.fmctechnologies.com.</a:t>
          </a:r>
        </a:p>
        <a:p>
          <a:pPr algn="l" rtl="0">
            <a:defRPr sz="1000"/>
          </a:pPr>
          <a:r>
            <a:rPr lang="en-US" sz="1200" b="0" i="0" u="none" strike="noStrike" baseline="0">
              <a:solidFill>
                <a:srgbClr val="000000"/>
              </a:solidFill>
              <a:latin typeface="Arial"/>
              <a:cs typeface="Arial"/>
            </a:rPr>
            <a:t> </a:t>
          </a:r>
        </a:p>
      </xdr:txBody>
    </xdr:sp>
    <xdr:clientData/>
  </xdr:twoCellAnchor>
  <xdr:twoCellAnchor>
    <xdr:from>
      <xdr:col>0</xdr:col>
      <xdr:colOff>568325</xdr:colOff>
      <xdr:row>5</xdr:row>
      <xdr:rowOff>0</xdr:rowOff>
    </xdr:from>
    <xdr:to>
      <xdr:col>1</xdr:col>
      <xdr:colOff>2463800</xdr:colOff>
      <xdr:row>11</xdr:row>
      <xdr:rowOff>190500</xdr:rowOff>
    </xdr:to>
    <xdr:sp macro="" textlink="">
      <xdr:nvSpPr>
        <xdr:cNvPr id="1033" name="Text Box 9">
          <a:extLst>
            <a:ext uri="{FF2B5EF4-FFF2-40B4-BE49-F238E27FC236}">
              <a16:creationId xmlns:a16="http://schemas.microsoft.com/office/drawing/2014/main" id="{5D915AB7-D83E-AF0D-6149-19401750D196}"/>
            </a:ext>
          </a:extLst>
        </xdr:cNvPr>
        <xdr:cNvSpPr txBox="1">
          <a:spLocks noChangeArrowheads="1"/>
        </xdr:cNvSpPr>
      </xdr:nvSpPr>
      <xdr:spPr bwMode="auto">
        <a:xfrm>
          <a:off x="568325" y="1079500"/>
          <a:ext cx="2505075" cy="1371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100"/>
            </a:lnSpc>
            <a:defRPr sz="1000"/>
          </a:pPr>
          <a:endParaRPr lang="en-US" sz="1200" b="1" i="0" u="none" strike="noStrike" baseline="0">
            <a:solidFill>
              <a:srgbClr val="000000"/>
            </a:solidFill>
            <a:latin typeface="Arial"/>
            <a:cs typeface="Arial"/>
          </a:endParaRPr>
        </a:p>
        <a:p>
          <a:pPr algn="l" rtl="0">
            <a:lnSpc>
              <a:spcPts val="1100"/>
            </a:lnSpc>
            <a:defRPr sz="1000"/>
          </a:pPr>
          <a:r>
            <a:rPr lang="en-US" sz="1200" b="1" i="0" u="none" strike="noStrike" baseline="0">
              <a:solidFill>
                <a:srgbClr val="000000"/>
              </a:solidFill>
              <a:latin typeface="Arial"/>
              <a:cs typeface="Arial"/>
            </a:rPr>
            <a:t>Topics</a:t>
          </a:r>
        </a:p>
        <a:p>
          <a:pPr algn="l" rtl="0">
            <a:lnSpc>
              <a:spcPts val="1100"/>
            </a:lnSpc>
            <a:defRPr sz="1000"/>
          </a:pPr>
          <a:endParaRPr lang="en-US" sz="1200" b="0" i="0" u="none" strike="noStrike" baseline="0">
            <a:solidFill>
              <a:srgbClr val="000000"/>
            </a:solidFill>
            <a:latin typeface="Arial"/>
            <a:cs typeface="Arial"/>
          </a:endParaRPr>
        </a:p>
        <a:p>
          <a:pPr algn="l" rtl="0">
            <a:lnSpc>
              <a:spcPts val="1100"/>
            </a:lnSpc>
            <a:defRPr sz="1000"/>
          </a:pPr>
          <a:r>
            <a:rPr lang="en-US" sz="1200" b="0" i="0" u="none" strike="noStrike" baseline="0">
              <a:solidFill>
                <a:srgbClr val="000000"/>
              </a:solidFill>
              <a:latin typeface="Arial"/>
              <a:cs typeface="Arial"/>
            </a:rPr>
            <a:t>* Trough Belt Capacity Calculation</a:t>
          </a:r>
        </a:p>
        <a:p>
          <a:pPr algn="l" rtl="0">
            <a:lnSpc>
              <a:spcPts val="1100"/>
            </a:lnSpc>
            <a:defRPr sz="1000"/>
          </a:pPr>
          <a:r>
            <a:rPr lang="en-US" sz="1200" b="0" i="0" u="none" strike="noStrike" baseline="0">
              <a:solidFill>
                <a:srgbClr val="000000"/>
              </a:solidFill>
              <a:latin typeface="Arial"/>
              <a:cs typeface="Arial"/>
            </a:rPr>
            <a:t>* Bulk Material Trajectory</a:t>
          </a:r>
        </a:p>
        <a:p>
          <a:pPr algn="l" rtl="0">
            <a:lnSpc>
              <a:spcPts val="1100"/>
            </a:lnSpc>
            <a:defRPr sz="1000"/>
          </a:pPr>
          <a:r>
            <a:rPr lang="en-US" sz="1200" b="0" i="0" u="none" strike="noStrike" baseline="0">
              <a:solidFill>
                <a:srgbClr val="000000"/>
              </a:solidFill>
              <a:latin typeface="Arial"/>
              <a:cs typeface="Arial"/>
            </a:rPr>
            <a:t>* Preliminary Conveyor Power Calculation</a:t>
          </a:r>
        </a:p>
        <a:p>
          <a:pPr algn="l" rtl="0">
            <a:lnSpc>
              <a:spcPts val="1000"/>
            </a:lnSpc>
            <a:defRPr sz="1000"/>
          </a:pPr>
          <a:r>
            <a:rPr lang="en-US" sz="1200" b="0" i="0" u="none" strike="noStrike" baseline="0">
              <a:solidFill>
                <a:srgbClr val="000000"/>
              </a:solidFill>
              <a:latin typeface="Arial"/>
              <a:cs typeface="Arial"/>
            </a:rPr>
            <a:t>* Head Pulley Shaft Strength Analysis</a:t>
          </a:r>
        </a:p>
        <a:p>
          <a:pPr algn="l" rtl="0">
            <a:lnSpc>
              <a:spcPts val="1000"/>
            </a:lnSpc>
            <a:defRPr sz="1000"/>
          </a:pPr>
          <a:endParaRPr lang="en-US" sz="1000" b="0" i="0" u="none" strike="noStrike" baseline="0">
            <a:solidFill>
              <a:srgbClr val="000000"/>
            </a:solidFill>
            <a:latin typeface="Arial"/>
            <a:cs typeface="Arial"/>
          </a:endParaRPr>
        </a:p>
      </xdr:txBody>
    </xdr:sp>
    <xdr:clientData/>
  </xdr:twoCellAnchor>
  <xdr:twoCellAnchor>
    <xdr:from>
      <xdr:col>1</xdr:col>
      <xdr:colOff>104775</xdr:colOff>
      <xdr:row>13</xdr:row>
      <xdr:rowOff>114300</xdr:rowOff>
    </xdr:from>
    <xdr:to>
      <xdr:col>2</xdr:col>
      <xdr:colOff>1549400</xdr:colOff>
      <xdr:row>24</xdr:row>
      <xdr:rowOff>0</xdr:rowOff>
    </xdr:to>
    <xdr:sp macro="" textlink="">
      <xdr:nvSpPr>
        <xdr:cNvPr id="1034" name="Text Box 10">
          <a:extLst>
            <a:ext uri="{FF2B5EF4-FFF2-40B4-BE49-F238E27FC236}">
              <a16:creationId xmlns:a16="http://schemas.microsoft.com/office/drawing/2014/main" id="{6DC9D4A9-36A9-A82A-4F85-C4C88561DA2A}"/>
            </a:ext>
          </a:extLst>
        </xdr:cNvPr>
        <xdr:cNvSpPr txBox="1">
          <a:spLocks noChangeArrowheads="1"/>
        </xdr:cNvSpPr>
      </xdr:nvSpPr>
      <xdr:spPr bwMode="auto">
        <a:xfrm>
          <a:off x="714375" y="2768600"/>
          <a:ext cx="4041775" cy="20510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1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Course Benefits </a:t>
          </a:r>
        </a:p>
        <a:p>
          <a:pPr algn="l" rtl="0">
            <a:defRPr sz="1000"/>
          </a:pPr>
          <a:endParaRPr lang="en-US" sz="11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This course</a:t>
          </a:r>
          <a:r>
            <a:rPr lang="en-US" sz="1100" b="0" i="0" u="none" strike="noStrike" baseline="0">
              <a:solidFill>
                <a:srgbClr val="000000"/>
              </a:solidFill>
              <a:latin typeface="Arial"/>
              <a:cs typeface="Arial"/>
            </a:rPr>
            <a:t> will enable the engineer to make spreadsheet calculations that can be used to:</a:t>
          </a:r>
        </a:p>
        <a:p>
          <a:pPr algn="l" rtl="0">
            <a:defRPr sz="1000"/>
          </a:pPr>
          <a:endParaRPr lang="en-US" sz="1100" b="0"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a.</a:t>
          </a:r>
          <a:r>
            <a:rPr lang="en-US" sz="1100" b="0" i="0" u="none" strike="noStrike" baseline="0">
              <a:solidFill>
                <a:srgbClr val="000000"/>
              </a:solidFill>
              <a:latin typeface="Arial"/>
              <a:cs typeface="Arial"/>
            </a:rPr>
            <a:t> Select the correct conveyor belt size.</a:t>
          </a:r>
        </a:p>
        <a:p>
          <a:pPr algn="l" rtl="0">
            <a:defRPr sz="1000"/>
          </a:pPr>
          <a:r>
            <a:rPr lang="en-US" sz="1100" b="1" i="0" u="none" strike="noStrike" baseline="0">
              <a:solidFill>
                <a:srgbClr val="000000"/>
              </a:solidFill>
              <a:latin typeface="Arial"/>
              <a:cs typeface="Arial"/>
            </a:rPr>
            <a:t>b</a:t>
          </a:r>
          <a:r>
            <a:rPr lang="en-US" sz="1100" b="0" i="0" u="none" strike="noStrike" baseline="0">
              <a:solidFill>
                <a:srgbClr val="000000"/>
              </a:solidFill>
              <a:latin typeface="Arial"/>
              <a:cs typeface="Arial"/>
            </a:rPr>
            <a:t>. Determine transfer geometry from one conveyor to another.</a:t>
          </a:r>
        </a:p>
        <a:p>
          <a:pPr algn="l" rtl="0">
            <a:defRPr sz="1000"/>
          </a:pPr>
          <a:r>
            <a:rPr lang="en-US" sz="1100" b="1" i="0" u="none" strike="noStrike" baseline="0">
              <a:solidFill>
                <a:srgbClr val="000000"/>
              </a:solidFill>
              <a:latin typeface="Arial"/>
              <a:cs typeface="Arial"/>
            </a:rPr>
            <a:t>c.</a:t>
          </a:r>
          <a:r>
            <a:rPr lang="en-US" sz="1100" b="0" i="0" u="none" strike="noStrike" baseline="0">
              <a:solidFill>
                <a:srgbClr val="000000"/>
              </a:solidFill>
              <a:latin typeface="Arial"/>
              <a:cs typeface="Arial"/>
            </a:rPr>
            <a:t> Estimate conveyor motor power.</a:t>
          </a:r>
        </a:p>
        <a:p>
          <a:pPr algn="l" rtl="0">
            <a:defRPr sz="1000"/>
          </a:pPr>
          <a:r>
            <a:rPr lang="en-US" sz="1100" b="1" i="0" u="none" strike="noStrike" baseline="0">
              <a:solidFill>
                <a:srgbClr val="000000"/>
              </a:solidFill>
              <a:latin typeface="Arial"/>
              <a:cs typeface="Arial"/>
            </a:rPr>
            <a:t>d.</a:t>
          </a:r>
          <a:r>
            <a:rPr lang="en-US" sz="1100" b="0" i="0" u="none" strike="noStrike" baseline="0">
              <a:solidFill>
                <a:srgbClr val="000000"/>
              </a:solidFill>
              <a:latin typeface="Arial"/>
              <a:cs typeface="Arial"/>
            </a:rPr>
            <a:t> Check head pulley shaft size for strength.</a:t>
          </a:r>
        </a:p>
        <a:p>
          <a:pPr algn="l" rtl="0">
            <a:defRPr sz="1000"/>
          </a:pPr>
          <a:r>
            <a:rPr lang="en-US" sz="1100" b="1" i="0" u="none" strike="noStrike" baseline="0">
              <a:solidFill>
                <a:srgbClr val="000000"/>
              </a:solidFill>
              <a:latin typeface="Arial"/>
              <a:cs typeface="Arial"/>
            </a:rPr>
            <a:t>e.</a:t>
          </a:r>
          <a:r>
            <a:rPr lang="en-US" sz="1100" b="0" i="0" u="none" strike="noStrike" baseline="0">
              <a:solidFill>
                <a:srgbClr val="000000"/>
              </a:solidFill>
              <a:latin typeface="Arial"/>
              <a:cs typeface="Arial"/>
            </a:rPr>
            <a:t> Optimize the variables above using Excels "Goal Seek". </a:t>
          </a:r>
        </a:p>
        <a:p>
          <a:pPr algn="l" rtl="0">
            <a:defRPr sz="1000"/>
          </a:pPr>
          <a:endParaRPr lang="en-US" sz="1100" b="1"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2</xdr:col>
      <xdr:colOff>165100</xdr:colOff>
      <xdr:row>5</xdr:row>
      <xdr:rowOff>0</xdr:rowOff>
    </xdr:from>
    <xdr:to>
      <xdr:col>4</xdr:col>
      <xdr:colOff>527171</xdr:colOff>
      <xdr:row>12</xdr:row>
      <xdr:rowOff>19050</xdr:rowOff>
    </xdr:to>
    <xdr:sp macro="" textlink="">
      <xdr:nvSpPr>
        <xdr:cNvPr id="1035" name="Text Box 11">
          <a:extLst>
            <a:ext uri="{FF2B5EF4-FFF2-40B4-BE49-F238E27FC236}">
              <a16:creationId xmlns:a16="http://schemas.microsoft.com/office/drawing/2014/main" id="{6C7A6503-03C9-74FC-B4A6-54285F7230CE}"/>
            </a:ext>
          </a:extLst>
        </xdr:cNvPr>
        <xdr:cNvSpPr txBox="1">
          <a:spLocks noChangeArrowheads="1"/>
        </xdr:cNvSpPr>
      </xdr:nvSpPr>
      <xdr:spPr bwMode="auto">
        <a:xfrm>
          <a:off x="3371850" y="1079500"/>
          <a:ext cx="2768721" cy="1397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1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Who Should Study This Course</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 Project Engineers</a:t>
          </a:r>
        </a:p>
        <a:p>
          <a:pPr algn="l" rtl="0">
            <a:defRPr sz="1000"/>
          </a:pPr>
          <a:r>
            <a:rPr lang="en-US" sz="1100" b="0" i="0" u="none" strike="noStrike" baseline="0">
              <a:solidFill>
                <a:srgbClr val="000000"/>
              </a:solidFill>
              <a:latin typeface="Arial"/>
              <a:cs typeface="Arial"/>
            </a:rPr>
            <a:t>* Mechanical Engineers</a:t>
          </a:r>
        </a:p>
        <a:p>
          <a:pPr algn="l" rtl="0">
            <a:defRPr sz="1000"/>
          </a:pPr>
          <a:r>
            <a:rPr lang="en-US" sz="1100" b="0" i="0" u="none" strike="noStrike" baseline="0">
              <a:solidFill>
                <a:srgbClr val="000000"/>
              </a:solidFill>
              <a:latin typeface="Arial"/>
              <a:cs typeface="Arial"/>
            </a:rPr>
            <a:t>* Structural Engineers</a:t>
          </a:r>
        </a:p>
        <a:p>
          <a:pPr algn="l" rtl="0">
            <a:defRPr sz="1000"/>
          </a:pPr>
          <a:r>
            <a:rPr lang="en-US" sz="1100" b="0" i="0" u="none" strike="noStrike" baseline="0">
              <a:solidFill>
                <a:srgbClr val="000000"/>
              </a:solidFill>
              <a:latin typeface="Arial"/>
              <a:cs typeface="Arial"/>
            </a:rPr>
            <a:t>* Process Engineers</a:t>
          </a:r>
        </a:p>
      </xdr:txBody>
    </xdr:sp>
    <xdr:clientData/>
  </xdr:twoCellAnchor>
  <xdr:twoCellAnchor editAs="oneCell">
    <xdr:from>
      <xdr:col>1</xdr:col>
      <xdr:colOff>558800</xdr:colOff>
      <xdr:row>149</xdr:row>
      <xdr:rowOff>25400</xdr:rowOff>
    </xdr:from>
    <xdr:to>
      <xdr:col>2</xdr:col>
      <xdr:colOff>368300</xdr:colOff>
      <xdr:row>155</xdr:row>
      <xdr:rowOff>63500</xdr:rowOff>
    </xdr:to>
    <xdr:pic>
      <xdr:nvPicPr>
        <xdr:cNvPr id="15645" name="Picture 12" descr="CONVEYOR-TRIPPER-1">
          <a:extLst>
            <a:ext uri="{FF2B5EF4-FFF2-40B4-BE49-F238E27FC236}">
              <a16:creationId xmlns:a16="http://schemas.microsoft.com/office/drawing/2014/main" id="{B1688AB1-85C8-726B-299A-3A10F718B9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8400" y="29451300"/>
          <a:ext cx="240665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520700</xdr:colOff>
      <xdr:row>148</xdr:row>
      <xdr:rowOff>12700</xdr:rowOff>
    </xdr:from>
    <xdr:to>
      <xdr:col>4</xdr:col>
      <xdr:colOff>393673</xdr:colOff>
      <xdr:row>155</xdr:row>
      <xdr:rowOff>63566</xdr:rowOff>
    </xdr:to>
    <xdr:sp macro="" textlink="">
      <xdr:nvSpPr>
        <xdr:cNvPr id="1037" name="Text Box 13">
          <a:extLst>
            <a:ext uri="{FF2B5EF4-FFF2-40B4-BE49-F238E27FC236}">
              <a16:creationId xmlns:a16="http://schemas.microsoft.com/office/drawing/2014/main" id="{30F44554-3440-F879-C369-CFDBFDA72672}"/>
            </a:ext>
          </a:extLst>
        </xdr:cNvPr>
        <xdr:cNvSpPr txBox="1">
          <a:spLocks noChangeArrowheads="1"/>
        </xdr:cNvSpPr>
      </xdr:nvSpPr>
      <xdr:spPr bwMode="auto">
        <a:xfrm>
          <a:off x="3219450" y="24117300"/>
          <a:ext cx="2181225" cy="12096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Traveling Tripper-1</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A motorized tripper, left,  distributes wood chips onto a storage pile at a paper pulp mill. </a:t>
          </a:r>
          <a:endParaRPr lang="en-US" sz="1100" b="1" i="0" u="none" strike="noStrike" baseline="0">
            <a:solidFill>
              <a:srgbClr val="000000"/>
            </a:solidFill>
            <a:latin typeface="Arial"/>
            <a:cs typeface="Arial"/>
          </a:endParaRPr>
        </a:p>
        <a:p>
          <a:pPr algn="l" rtl="0">
            <a:defRPr sz="1000"/>
          </a:pPr>
          <a:endParaRPr lang="en-US" sz="11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Ref: </a:t>
          </a:r>
          <a:r>
            <a:rPr lang="en-US" sz="1100" b="0" i="0" u="none" strike="noStrike" baseline="0">
              <a:solidFill>
                <a:srgbClr val="000000"/>
              </a:solidFill>
              <a:latin typeface="Arial"/>
              <a:cs typeface="Arial"/>
            </a:rPr>
            <a:t>www.continental-conveyor.com</a:t>
          </a:r>
        </a:p>
      </xdr:txBody>
    </xdr:sp>
    <xdr:clientData/>
  </xdr:twoCellAnchor>
  <xdr:twoCellAnchor editAs="oneCell">
    <xdr:from>
      <xdr:col>1</xdr:col>
      <xdr:colOff>501650</xdr:colOff>
      <xdr:row>157</xdr:row>
      <xdr:rowOff>12700</xdr:rowOff>
    </xdr:from>
    <xdr:to>
      <xdr:col>2</xdr:col>
      <xdr:colOff>520700</xdr:colOff>
      <xdr:row>167</xdr:row>
      <xdr:rowOff>12700</xdr:rowOff>
    </xdr:to>
    <xdr:pic>
      <xdr:nvPicPr>
        <xdr:cNvPr id="15647" name="Picture 15" descr="CONVEYOR-TRIPPER-3">
          <a:extLst>
            <a:ext uri="{FF2B5EF4-FFF2-40B4-BE49-F238E27FC236}">
              <a16:creationId xmlns:a16="http://schemas.microsoft.com/office/drawing/2014/main" id="{AE6E5921-A065-FAFF-3810-4D1764B982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1650" y="26060400"/>
          <a:ext cx="2616200" cy="196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676275</xdr:colOff>
      <xdr:row>157</xdr:row>
      <xdr:rowOff>76200</xdr:rowOff>
    </xdr:from>
    <xdr:to>
      <xdr:col>5</xdr:col>
      <xdr:colOff>222250</xdr:colOff>
      <xdr:row>168</xdr:row>
      <xdr:rowOff>12760</xdr:rowOff>
    </xdr:to>
    <xdr:sp macro="" textlink="">
      <xdr:nvSpPr>
        <xdr:cNvPr id="1041" name="Text Box 17">
          <a:extLst>
            <a:ext uri="{FF2B5EF4-FFF2-40B4-BE49-F238E27FC236}">
              <a16:creationId xmlns:a16="http://schemas.microsoft.com/office/drawing/2014/main" id="{99715BE0-59A2-2A55-35BE-31F4DF8D768E}"/>
            </a:ext>
          </a:extLst>
        </xdr:cNvPr>
        <xdr:cNvSpPr txBox="1">
          <a:spLocks noChangeArrowheads="1"/>
        </xdr:cNvSpPr>
      </xdr:nvSpPr>
      <xdr:spPr bwMode="auto">
        <a:xfrm>
          <a:off x="3448050" y="25669875"/>
          <a:ext cx="2286000" cy="16859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1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Traveling Tripper-2</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tripper, left, travels on rails from point to point above the conveyor. The conveyor belt raps around the tripper pulleys. The tripper pulley seen at the top lifts the belt to an elevation that permits discharged bulk material to fall through either or both angled chutes.</a:t>
          </a:r>
        </a:p>
        <a:p>
          <a:pPr algn="l" rtl="0">
            <a:defRPr sz="1000"/>
          </a:pPr>
          <a:endParaRPr lang="en-US" sz="1100" b="0"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Ref: </a:t>
          </a:r>
          <a:r>
            <a:rPr lang="en-US" sz="1100" b="0" i="0" u="none" strike="noStrike" baseline="0">
              <a:solidFill>
                <a:srgbClr val="000000"/>
              </a:solidFill>
              <a:latin typeface="Arial"/>
              <a:cs typeface="Arial"/>
            </a:rPr>
            <a:t>www.iem.ca/…/belt_trippers.html</a:t>
          </a: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209550</xdr:colOff>
      <xdr:row>185</xdr:row>
      <xdr:rowOff>50800</xdr:rowOff>
    </xdr:from>
    <xdr:to>
      <xdr:col>2</xdr:col>
      <xdr:colOff>800100</xdr:colOff>
      <xdr:row>203</xdr:row>
      <xdr:rowOff>95250</xdr:rowOff>
    </xdr:to>
    <xdr:pic>
      <xdr:nvPicPr>
        <xdr:cNvPr id="15649" name="Picture 18" descr="CHUTE-1">
          <a:extLst>
            <a:ext uri="{FF2B5EF4-FFF2-40B4-BE49-F238E27FC236}">
              <a16:creationId xmlns:a16="http://schemas.microsoft.com/office/drawing/2014/main" id="{798E2E3D-67B2-EF16-CFB4-88D3B819382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9550" y="30721300"/>
          <a:ext cx="3187700" cy="358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1031875</xdr:colOff>
      <xdr:row>186</xdr:row>
      <xdr:rowOff>12700</xdr:rowOff>
    </xdr:from>
    <xdr:to>
      <xdr:col>5</xdr:col>
      <xdr:colOff>342900</xdr:colOff>
      <xdr:row>203</xdr:row>
      <xdr:rowOff>19050</xdr:rowOff>
    </xdr:to>
    <xdr:sp macro="" textlink="">
      <xdr:nvSpPr>
        <xdr:cNvPr id="1043" name="Text Box 19">
          <a:extLst>
            <a:ext uri="{FF2B5EF4-FFF2-40B4-BE49-F238E27FC236}">
              <a16:creationId xmlns:a16="http://schemas.microsoft.com/office/drawing/2014/main" id="{12662FE9-3309-7D9B-0C37-984716C91E4E}"/>
            </a:ext>
          </a:extLst>
        </xdr:cNvPr>
        <xdr:cNvSpPr txBox="1">
          <a:spLocks noChangeArrowheads="1"/>
        </xdr:cNvSpPr>
      </xdr:nvSpPr>
      <xdr:spPr bwMode="auto">
        <a:xfrm>
          <a:off x="4238625" y="36722050"/>
          <a:ext cx="2327275" cy="3352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1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Discharge Chute</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conveyor discharge chute, left, guides the flow of bulk material at a transfer station. </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material leaving the top of the head pulley strikes an easily replaceable wear plate (not shown).</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A diverter chute at the bottom changes the direction of flow onto the next conveyor.</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external chute and cover over the bottom conveyor confines dust.</a:t>
          </a:r>
        </a:p>
        <a:p>
          <a:pPr algn="l" rtl="0">
            <a:defRPr sz="1000"/>
          </a:pPr>
          <a:endParaRPr lang="en-US" sz="1100" b="0"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Ref: </a:t>
          </a:r>
          <a:r>
            <a:rPr lang="en-US" sz="1100" b="0" i="0" u="none" strike="noStrike" baseline="0">
              <a:solidFill>
                <a:srgbClr val="000000"/>
              </a:solidFill>
              <a:latin typeface="Arial"/>
              <a:cs typeface="Arial"/>
            </a:rPr>
            <a:t>www.martin-eng.com</a:t>
          </a:r>
        </a:p>
        <a:p>
          <a:pPr algn="l" rtl="0">
            <a:defRPr sz="1000"/>
          </a:pPr>
          <a:endParaRPr lang="en-US" sz="11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292100</xdr:colOff>
      <xdr:row>169</xdr:row>
      <xdr:rowOff>50800</xdr:rowOff>
    </xdr:from>
    <xdr:to>
      <xdr:col>2</xdr:col>
      <xdr:colOff>1016000</xdr:colOff>
      <xdr:row>181</xdr:row>
      <xdr:rowOff>165100</xdr:rowOff>
    </xdr:to>
    <xdr:pic>
      <xdr:nvPicPr>
        <xdr:cNvPr id="15651" name="Picture 21" descr="PULLEY-1">
          <a:extLst>
            <a:ext uri="{FF2B5EF4-FFF2-40B4-BE49-F238E27FC236}">
              <a16:creationId xmlns:a16="http://schemas.microsoft.com/office/drawing/2014/main" id="{BCDB33C1-C5FE-DDA2-44A1-E03EF308B52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2100" y="28079700"/>
          <a:ext cx="332105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1092200</xdr:colOff>
      <xdr:row>170</xdr:row>
      <xdr:rowOff>38100</xdr:rowOff>
    </xdr:from>
    <xdr:to>
      <xdr:col>5</xdr:col>
      <xdr:colOff>337207</xdr:colOff>
      <xdr:row>181</xdr:row>
      <xdr:rowOff>82550</xdr:rowOff>
    </xdr:to>
    <xdr:sp macro="" textlink="">
      <xdr:nvSpPr>
        <xdr:cNvPr id="1047" name="Text Box 23">
          <a:extLst>
            <a:ext uri="{FF2B5EF4-FFF2-40B4-BE49-F238E27FC236}">
              <a16:creationId xmlns:a16="http://schemas.microsoft.com/office/drawing/2014/main" id="{9FA7DD20-E4B8-B77B-39B0-BCF3ED032CF7}"/>
            </a:ext>
          </a:extLst>
        </xdr:cNvPr>
        <xdr:cNvSpPr txBox="1">
          <a:spLocks noChangeArrowheads="1"/>
        </xdr:cNvSpPr>
      </xdr:nvSpPr>
      <xdr:spPr bwMode="auto">
        <a:xfrm>
          <a:off x="4298950" y="33597850"/>
          <a:ext cx="2261257" cy="2209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5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Head Pulley</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Herringbone neoprene rubber lagging attached to the pulley, left, prevents belt slippage.</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robust head pulley construction is needed to reduce fatigue stress to an acceptable level.</a:t>
          </a:r>
          <a:endParaRPr lang="en-US" sz="1100" b="1" i="0" u="none" strike="noStrike" baseline="0">
            <a:solidFill>
              <a:srgbClr val="000000"/>
            </a:solidFill>
            <a:latin typeface="Arial"/>
            <a:cs typeface="Arial"/>
          </a:endParaRPr>
        </a:p>
        <a:p>
          <a:pPr algn="l" rtl="0">
            <a:defRPr sz="1000"/>
          </a:pPr>
          <a:endParaRPr lang="en-US" sz="11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Ref: </a:t>
          </a:r>
          <a:r>
            <a:rPr lang="en-US" sz="1100" b="0" i="0" u="none" strike="noStrike" baseline="0">
              <a:solidFill>
                <a:srgbClr val="000000"/>
              </a:solidFill>
              <a:latin typeface="Arial"/>
              <a:cs typeface="Arial"/>
            </a:rPr>
            <a:t>www.rasp.com</a:t>
          </a:r>
        </a:p>
      </xdr:txBody>
    </xdr:sp>
    <xdr:clientData/>
  </xdr:twoCellAnchor>
  <xdr:twoCellAnchor editAs="oneCell">
    <xdr:from>
      <xdr:col>1</xdr:col>
      <xdr:colOff>628650</xdr:colOff>
      <xdr:row>104</xdr:row>
      <xdr:rowOff>19050</xdr:rowOff>
    </xdr:from>
    <xdr:to>
      <xdr:col>5</xdr:col>
      <xdr:colOff>0</xdr:colOff>
      <xdr:row>131</xdr:row>
      <xdr:rowOff>152400</xdr:rowOff>
    </xdr:to>
    <xdr:pic>
      <xdr:nvPicPr>
        <xdr:cNvPr id="15653" name="Picture 24" descr="IDLER-3">
          <a:extLst>
            <a:ext uri="{FF2B5EF4-FFF2-40B4-BE49-F238E27FC236}">
              <a16:creationId xmlns:a16="http://schemas.microsoft.com/office/drawing/2014/main" id="{622516B8-50D6-072D-1F35-C2A3BFF2F8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8650" y="17316450"/>
          <a:ext cx="4984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615950</xdr:colOff>
      <xdr:row>134</xdr:row>
      <xdr:rowOff>44450</xdr:rowOff>
    </xdr:from>
    <xdr:to>
      <xdr:col>4</xdr:col>
      <xdr:colOff>412869</xdr:colOff>
      <xdr:row>147</xdr:row>
      <xdr:rowOff>82550</xdr:rowOff>
    </xdr:to>
    <xdr:sp macro="" textlink="">
      <xdr:nvSpPr>
        <xdr:cNvPr id="1050" name="Text Box 26">
          <a:extLst>
            <a:ext uri="{FF2B5EF4-FFF2-40B4-BE49-F238E27FC236}">
              <a16:creationId xmlns:a16="http://schemas.microsoft.com/office/drawing/2014/main" id="{4B7D77CA-66B4-58BA-7435-B20C46DEFC93}"/>
            </a:ext>
          </a:extLst>
        </xdr:cNvPr>
        <xdr:cNvSpPr txBox="1">
          <a:spLocks noChangeArrowheads="1"/>
        </xdr:cNvSpPr>
      </xdr:nvSpPr>
      <xdr:spPr bwMode="auto">
        <a:xfrm>
          <a:off x="1225550" y="26517600"/>
          <a:ext cx="4800719" cy="25971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1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IDLER TYPES</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conveyor belt troughing idlers pictured above are spaced 4 to 5 feet apart under the conveyor carrying belt. Dimensions of idlers have been standardized by CEMA. </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Troughing idlers are: 20, 35, and 45 degrees. If the carrying idlers are 35 degrees, one 20 degree troughing idler should be located 3 to 4 feet in front of the head pulley for supporting the belt in the transition area where it flattens as it passes over the head pulley. </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Flat return idlers are usually place 10 feet apart under the return belt.</a:t>
          </a:r>
        </a:p>
        <a:p>
          <a:pPr algn="l" rtl="0">
            <a:defRPr sz="1000"/>
          </a:pPr>
          <a:endParaRPr lang="en-US" sz="1100" b="0"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Ref: </a:t>
          </a:r>
          <a:r>
            <a:rPr lang="en-US" sz="1100" b="0" i="0" u="none" strike="noStrike" baseline="0">
              <a:solidFill>
                <a:srgbClr val="000000"/>
              </a:solidFill>
              <a:latin typeface="Arial"/>
              <a:cs typeface="Arial"/>
            </a:rPr>
            <a:t>factorysupply.net/elevatorbuckets.htm</a:t>
          </a:r>
        </a:p>
      </xdr:txBody>
    </xdr:sp>
    <xdr:clientData/>
  </xdr:twoCellAnchor>
  <xdr:twoCellAnchor>
    <xdr:from>
      <xdr:col>1</xdr:col>
      <xdr:colOff>180975</xdr:colOff>
      <xdr:row>233</xdr:row>
      <xdr:rowOff>63500</xdr:rowOff>
    </xdr:from>
    <xdr:to>
      <xdr:col>4</xdr:col>
      <xdr:colOff>368365</xdr:colOff>
      <xdr:row>249</xdr:row>
      <xdr:rowOff>82550</xdr:rowOff>
    </xdr:to>
    <xdr:sp macro="" textlink="">
      <xdr:nvSpPr>
        <xdr:cNvPr id="1051" name="Text Box 27">
          <a:extLst>
            <a:ext uri="{FF2B5EF4-FFF2-40B4-BE49-F238E27FC236}">
              <a16:creationId xmlns:a16="http://schemas.microsoft.com/office/drawing/2014/main" id="{BB03521E-E54F-468A-3AD8-068F240D3CD0}"/>
            </a:ext>
          </a:extLst>
        </xdr:cNvPr>
        <xdr:cNvSpPr txBox="1">
          <a:spLocks noChangeArrowheads="1"/>
        </xdr:cNvSpPr>
      </xdr:nvSpPr>
      <xdr:spPr bwMode="auto">
        <a:xfrm>
          <a:off x="257175" y="37966650"/>
          <a:ext cx="5105400" cy="2609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100"/>
            </a:lnSpc>
            <a:defRPr sz="1000"/>
          </a:pPr>
          <a:endParaRPr lang="en-US" sz="1000" b="1" i="0" u="none" strike="noStrike" baseline="0">
            <a:solidFill>
              <a:srgbClr val="000000"/>
            </a:solidFill>
            <a:latin typeface="Arial"/>
            <a:cs typeface="Arial"/>
          </a:endParaRPr>
        </a:p>
        <a:p>
          <a:pPr algn="l" rtl="0">
            <a:lnSpc>
              <a:spcPts val="1100"/>
            </a:lnSpc>
            <a:defRPr sz="1000"/>
          </a:pPr>
          <a:r>
            <a:rPr lang="en-US" sz="1100" b="1" i="0" u="none" strike="noStrike" baseline="0">
              <a:solidFill>
                <a:srgbClr val="000000"/>
              </a:solidFill>
              <a:latin typeface="Arial"/>
              <a:cs typeface="Arial"/>
            </a:rPr>
            <a:t>Related Links</a:t>
          </a:r>
        </a:p>
        <a:p>
          <a:pPr algn="l" rtl="0">
            <a:lnSpc>
              <a:spcPts val="1100"/>
            </a:lnSpc>
            <a:defRPr sz="1000"/>
          </a:pPr>
          <a:endParaRPr lang="en-US" sz="1100" b="0" i="0" u="none" strike="noStrike" baseline="0">
            <a:solidFill>
              <a:srgbClr val="000000"/>
            </a:solidFill>
            <a:latin typeface="Arial"/>
            <a:cs typeface="Arial"/>
          </a:endParaRPr>
        </a:p>
        <a:p>
          <a:pPr algn="l" rtl="0">
            <a:lnSpc>
              <a:spcPts val="1100"/>
            </a:lnSpc>
            <a:defRPr sz="1000"/>
          </a:pPr>
          <a:r>
            <a:rPr lang="en-US" sz="1100" b="0" i="0" u="none" strike="noStrike" baseline="0">
              <a:solidFill>
                <a:srgbClr val="000000"/>
              </a:solidFill>
              <a:latin typeface="Arial"/>
              <a:cs typeface="Arial"/>
            </a:rPr>
            <a:t>1. The Conveyor Equipment Manufacturers Association, CEMA home page is at: http://www.cemanet.org/index.html.</a:t>
          </a:r>
        </a:p>
        <a:p>
          <a:pPr algn="l" rtl="0">
            <a:defRPr sz="1000"/>
          </a:pPr>
          <a:r>
            <a:rPr lang="en-US" sz="1100" b="0" i="0" u="none" strike="noStrike" baseline="0">
              <a:solidFill>
                <a:srgbClr val="000000"/>
              </a:solidFill>
              <a:latin typeface="Arial"/>
              <a:cs typeface="Arial"/>
            </a:rPr>
            <a:t>2. Dorner package conveyor applications below and online at: http://www.dorner.com.</a:t>
          </a:r>
        </a:p>
        <a:p>
          <a:pPr algn="l" rtl="0">
            <a:defRPr sz="1000"/>
          </a:pPr>
          <a:r>
            <a:rPr lang="en-US" sz="1100" b="0" i="0" u="none" strike="noStrike" baseline="0">
              <a:solidFill>
                <a:srgbClr val="000000"/>
              </a:solidFill>
              <a:latin typeface="Arial"/>
              <a:cs typeface="Arial"/>
            </a:rPr>
            <a:t>3. Conveyor and many other industrial components are at: http://www.mcmaster.com.</a:t>
          </a:r>
        </a:p>
        <a:p>
          <a:pPr algn="l" rtl="0">
            <a:defRPr sz="1000"/>
          </a:pPr>
          <a:r>
            <a:rPr lang="en-US" sz="1100" b="0" i="0" u="none" strike="noStrike" baseline="0">
              <a:solidFill>
                <a:srgbClr val="000000"/>
              </a:solidFill>
              <a:latin typeface="Arial"/>
              <a:cs typeface="Arial"/>
            </a:rPr>
            <a:t>4. Goodyear conveyor belts: http://www.goodyear.com.</a:t>
          </a:r>
        </a:p>
        <a:p>
          <a:pPr algn="l" rtl="0">
            <a:defRPr sz="1000"/>
          </a:pPr>
          <a:r>
            <a:rPr lang="en-US" sz="1100" b="0" i="0" u="none" strike="noStrike" baseline="0">
              <a:solidFill>
                <a:srgbClr val="000000"/>
              </a:solidFill>
              <a:latin typeface="Arial"/>
              <a:cs typeface="Arial"/>
            </a:rPr>
            <a:t>5. Feeco belt conveyors above can be found online at: http://www.feeco.com.</a:t>
          </a:r>
        </a:p>
        <a:p>
          <a:pPr algn="l" rtl="0">
            <a:defRPr sz="1000"/>
          </a:pPr>
          <a:r>
            <a:rPr lang="en-US" sz="1100" b="0" i="0" u="none" strike="noStrike" baseline="0">
              <a:solidFill>
                <a:srgbClr val="000000"/>
              </a:solidFill>
              <a:latin typeface="Arial"/>
              <a:cs typeface="Arial"/>
            </a:rPr>
            <a:t>6. Go to http://www.ubemachinery.com to obtain more information about the conveyors.</a:t>
          </a:r>
        </a:p>
        <a:p>
          <a:pPr algn="l" rtl="0">
            <a:defRPr sz="1000"/>
          </a:pPr>
          <a:r>
            <a:rPr lang="en-US" sz="1100" b="0" i="0" u="none" strike="noStrike" baseline="0">
              <a:solidFill>
                <a:srgbClr val="000000"/>
              </a:solidFill>
              <a:latin typeface="Arial"/>
              <a:cs typeface="Arial"/>
            </a:rPr>
            <a:t>7. Find Martin conveyor accessories at: http://www.martin-eng.com.</a:t>
          </a:r>
        </a:p>
        <a:p>
          <a:pPr algn="l" rtl="0">
            <a:defRPr sz="1000"/>
          </a:pPr>
          <a:r>
            <a:rPr lang="en-US" sz="1100" b="0" i="0" u="none" strike="noStrike" baseline="0">
              <a:solidFill>
                <a:srgbClr val="000000"/>
              </a:solidFill>
              <a:latin typeface="Arial"/>
              <a:cs typeface="Arial"/>
            </a:rPr>
            <a:t>8. Diverter chutes can be found at: http://www.rotaryvalve.com.</a:t>
          </a:r>
        </a:p>
        <a:p>
          <a:pPr algn="l" rtl="0">
            <a:defRPr sz="1000"/>
          </a:pPr>
          <a:r>
            <a:rPr lang="en-US" sz="1100" b="0" i="0" u="none" strike="noStrike" baseline="0">
              <a:solidFill>
                <a:srgbClr val="000000"/>
              </a:solidFill>
              <a:latin typeface="Arial"/>
              <a:cs typeface="Arial"/>
            </a:rPr>
            <a:t>9. fmc-Link Belt conveyor idlers are at: http://www.fmctechnologies.com.</a:t>
          </a:r>
        </a:p>
        <a:p>
          <a:pPr algn="l" rtl="0">
            <a:defRPr sz="1000"/>
          </a:pPr>
          <a:r>
            <a:rPr lang="en-US" sz="1100" b="0" i="0" u="none" strike="noStrike" baseline="0">
              <a:solidFill>
                <a:srgbClr val="000000"/>
              </a:solidFill>
              <a:latin typeface="Arial"/>
              <a:cs typeface="Arial"/>
            </a:rPr>
            <a:t>10. Find belt conveyor head pulleys at http://www.rasp.com.</a:t>
          </a:r>
        </a:p>
        <a:p>
          <a:pPr algn="l" rtl="0">
            <a:defRPr sz="1000"/>
          </a:pPr>
          <a:r>
            <a:rPr lang="en-US" sz="1100" b="0" i="0" u="none" strike="noStrike" baseline="0">
              <a:solidFill>
                <a:srgbClr val="000000"/>
              </a:solidFill>
              <a:latin typeface="Arial"/>
              <a:cs typeface="Arial"/>
            </a:rPr>
            <a:t>11. Deflector V-plows are at: http://www.tamparubber.com.</a:t>
          </a:r>
        </a:p>
        <a:p>
          <a:pPr algn="l" rtl="0">
            <a:defRPr sz="1000"/>
          </a:pPr>
          <a:r>
            <a:rPr lang="en-US" sz="1100" b="0" i="0" u="none" strike="noStrike" baseline="0">
              <a:solidFill>
                <a:srgbClr val="000000"/>
              </a:solidFill>
              <a:latin typeface="Arial"/>
              <a:cs typeface="Arial"/>
            </a:rPr>
            <a:t>12. Go to http://www.EPT.com for gear and chain drive component selection.</a:t>
          </a:r>
        </a:p>
        <a:p>
          <a:pPr algn="l" rtl="0">
            <a:defRPr sz="1000"/>
          </a:pPr>
          <a:endParaRPr lang="en-US" sz="1100" b="0"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155575</xdr:colOff>
      <xdr:row>37</xdr:row>
      <xdr:rowOff>127000</xdr:rowOff>
    </xdr:from>
    <xdr:to>
      <xdr:col>2</xdr:col>
      <xdr:colOff>1619250</xdr:colOff>
      <xdr:row>50</xdr:row>
      <xdr:rowOff>95250</xdr:rowOff>
    </xdr:to>
    <xdr:sp macro="" textlink="">
      <xdr:nvSpPr>
        <xdr:cNvPr id="1054" name="Text Box 30">
          <a:extLst>
            <a:ext uri="{FF2B5EF4-FFF2-40B4-BE49-F238E27FC236}">
              <a16:creationId xmlns:a16="http://schemas.microsoft.com/office/drawing/2014/main" id="{7ADAF15B-7441-6757-B494-63F8A28671E4}"/>
            </a:ext>
          </a:extLst>
        </xdr:cNvPr>
        <xdr:cNvSpPr txBox="1">
          <a:spLocks noChangeArrowheads="1"/>
        </xdr:cNvSpPr>
      </xdr:nvSpPr>
      <xdr:spPr bwMode="auto">
        <a:xfrm>
          <a:off x="765175" y="7505700"/>
          <a:ext cx="4060825" cy="2527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100" b="1" i="0" u="none" strike="noStrike" baseline="0">
              <a:solidFill>
                <a:srgbClr val="000000"/>
              </a:solidFill>
              <a:latin typeface="Arial"/>
              <a:cs typeface="Arial"/>
            </a:rPr>
            <a:t>Belt Conveyor Specifications</a:t>
          </a:r>
        </a:p>
        <a:p>
          <a:pPr algn="l" rtl="0">
            <a:lnSpc>
              <a:spcPts val="1100"/>
            </a:lnSpc>
            <a:defRPr sz="1000"/>
          </a:pPr>
          <a:r>
            <a:rPr lang="en-US" sz="1100" b="0" i="0" u="none" strike="noStrike" baseline="0">
              <a:solidFill>
                <a:srgbClr val="000000"/>
              </a:solidFill>
              <a:latin typeface="Arial"/>
              <a:cs typeface="Arial"/>
            </a:rPr>
            <a:t>The intent and scope of a belt conveyor system specification may have wording similar to the example below:</a:t>
          </a:r>
        </a:p>
        <a:p>
          <a:pPr algn="l" rtl="0">
            <a:lnSpc>
              <a:spcPts val="1000"/>
            </a:lnSpc>
            <a:defRPr sz="1000"/>
          </a:pPr>
          <a:endParaRPr lang="en-US" sz="1100" b="0" i="0" u="none" strike="noStrike" baseline="0">
            <a:solidFill>
              <a:srgbClr val="000000"/>
            </a:solidFill>
            <a:latin typeface="Arial"/>
            <a:cs typeface="Arial"/>
          </a:endParaRPr>
        </a:p>
        <a:p>
          <a:pPr algn="l" rtl="0">
            <a:lnSpc>
              <a:spcPts val="1000"/>
            </a:lnSpc>
            <a:defRPr sz="1000"/>
          </a:pPr>
          <a:r>
            <a:rPr lang="en-US" sz="1100" b="1" i="0" u="none" strike="noStrike" baseline="0">
              <a:solidFill>
                <a:srgbClr val="000000"/>
              </a:solidFill>
              <a:latin typeface="Arial"/>
              <a:cs typeface="Arial"/>
            </a:rPr>
            <a:t>INTENT AND SCOPE</a:t>
          </a:r>
        </a:p>
        <a:p>
          <a:pPr algn="l" rtl="0">
            <a:lnSpc>
              <a:spcPts val="1100"/>
            </a:lnSpc>
            <a:defRPr sz="1000"/>
          </a:pPr>
          <a:endParaRPr lang="en-US" sz="1100" b="0" i="0" u="none" strike="noStrike" baseline="0">
            <a:solidFill>
              <a:srgbClr val="000000"/>
            </a:solidFill>
            <a:latin typeface="Arial"/>
            <a:cs typeface="Arial"/>
          </a:endParaRPr>
        </a:p>
        <a:p>
          <a:pPr algn="l" rtl="0">
            <a:lnSpc>
              <a:spcPts val="1000"/>
            </a:lnSpc>
            <a:defRPr sz="1000"/>
          </a:pPr>
          <a:r>
            <a:rPr lang="en-US" sz="1100" b="0" i="0" u="none" strike="noStrike" baseline="0">
              <a:solidFill>
                <a:srgbClr val="000000"/>
              </a:solidFill>
              <a:latin typeface="Arial"/>
              <a:cs typeface="Arial"/>
            </a:rPr>
            <a:t>[The intent of this specification together with the following listed attachments shall define the minimum requirements to be met by the vendor in the design, fabrication, and supply of six belt conveyors complete with drives, galleries, support structures, chutes, accessories, and electrical sensor / transmitters, for the ABC Corporation in Pleasantville, Michigan.]</a:t>
          </a:r>
        </a:p>
        <a:p>
          <a:pPr algn="l" rtl="0">
            <a:lnSpc>
              <a:spcPts val="1100"/>
            </a:lnSpc>
            <a:defRPr sz="1000"/>
          </a:pPr>
          <a:endParaRPr lang="en-US" sz="1100" b="0" i="0" u="none" strike="noStrike" baseline="0">
            <a:solidFill>
              <a:srgbClr val="000000"/>
            </a:solidFill>
            <a:latin typeface="Arial"/>
            <a:cs typeface="Arial"/>
          </a:endParaRPr>
        </a:p>
        <a:p>
          <a:pPr algn="l" rtl="0">
            <a:lnSpc>
              <a:spcPts val="1100"/>
            </a:lnSpc>
            <a:defRPr sz="1000"/>
          </a:pPr>
          <a:r>
            <a:rPr lang="en-US" sz="1100" b="0" i="0" u="none" strike="noStrike" baseline="0">
              <a:solidFill>
                <a:srgbClr val="000000"/>
              </a:solidFill>
              <a:latin typeface="Arial"/>
              <a:cs typeface="Arial"/>
            </a:rPr>
            <a:t>Although design responsibility has been given to the conveyor vendor, the engineering company has some responsibility for: quality, performance, and code compliance.</a:t>
          </a:r>
        </a:p>
        <a:p>
          <a:pPr algn="l" rtl="0">
            <a:lnSpc>
              <a:spcPts val="1100"/>
            </a:lnSpc>
            <a:defRPr sz="1000"/>
          </a:pPr>
          <a:endParaRPr lang="en-US" sz="1100" b="0" i="0" u="none" strike="noStrike" baseline="0">
            <a:solidFill>
              <a:srgbClr val="000000"/>
            </a:solidFill>
            <a:latin typeface="Arial"/>
            <a:cs typeface="Arial"/>
          </a:endParaRPr>
        </a:p>
        <a:p>
          <a:pPr algn="l" rtl="0">
            <a:lnSpc>
              <a:spcPts val="1000"/>
            </a:lnSpc>
            <a:defRPr sz="1000"/>
          </a:pPr>
          <a:endParaRPr lang="en-US" sz="1100" b="0" i="0" u="none" strike="noStrike" baseline="0">
            <a:solidFill>
              <a:srgbClr val="000000"/>
            </a:solidFill>
            <a:latin typeface="Arial"/>
            <a:cs typeface="Arial"/>
          </a:endParaRPr>
        </a:p>
        <a:p>
          <a:pPr algn="l" rtl="0">
            <a:lnSpc>
              <a:spcPts val="1100"/>
            </a:lnSpc>
            <a:defRPr sz="1000"/>
          </a:pPr>
          <a:endParaRPr lang="en-US" sz="11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349250</xdr:colOff>
      <xdr:row>91</xdr:row>
      <xdr:rowOff>38100</xdr:rowOff>
    </xdr:from>
    <xdr:to>
      <xdr:col>2</xdr:col>
      <xdr:colOff>495300</xdr:colOff>
      <xdr:row>100</xdr:row>
      <xdr:rowOff>76200</xdr:rowOff>
    </xdr:to>
    <xdr:pic>
      <xdr:nvPicPr>
        <xdr:cNvPr id="15658" name="Picture 33" descr="SKIRTBOARD-5">
          <a:extLst>
            <a:ext uri="{FF2B5EF4-FFF2-40B4-BE49-F238E27FC236}">
              <a16:creationId xmlns:a16="http://schemas.microsoft.com/office/drawing/2014/main" id="{A8ED78C1-10CC-E110-F05E-4241BEEA8F0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9250" y="15189200"/>
          <a:ext cx="274320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669925</xdr:colOff>
      <xdr:row>92</xdr:row>
      <xdr:rowOff>12701</xdr:rowOff>
    </xdr:from>
    <xdr:to>
      <xdr:col>4</xdr:col>
      <xdr:colOff>355600</xdr:colOff>
      <xdr:row>100</xdr:row>
      <xdr:rowOff>25401</xdr:rowOff>
    </xdr:to>
    <xdr:sp macro="" textlink="">
      <xdr:nvSpPr>
        <xdr:cNvPr id="1059" name="Text Box 35">
          <a:extLst>
            <a:ext uri="{FF2B5EF4-FFF2-40B4-BE49-F238E27FC236}">
              <a16:creationId xmlns:a16="http://schemas.microsoft.com/office/drawing/2014/main" id="{8391585A-D26E-A9F2-3D66-14920D31A0C7}"/>
            </a:ext>
          </a:extLst>
        </xdr:cNvPr>
        <xdr:cNvSpPr txBox="1">
          <a:spLocks noChangeArrowheads="1"/>
        </xdr:cNvSpPr>
      </xdr:nvSpPr>
      <xdr:spPr bwMode="auto">
        <a:xfrm>
          <a:off x="3876675" y="18218151"/>
          <a:ext cx="2092325" cy="1587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Skirt Boards</a:t>
          </a:r>
        </a:p>
        <a:p>
          <a:pPr algn="l" rtl="0">
            <a:defRPr sz="1000"/>
          </a:pPr>
          <a:r>
            <a:rPr lang="en-US" sz="1100" b="0" i="0" u="none" strike="noStrike" baseline="0">
              <a:solidFill>
                <a:srgbClr val="000000"/>
              </a:solidFill>
              <a:latin typeface="Arial"/>
              <a:cs typeface="Arial"/>
            </a:rPr>
            <a:t>Skirt Boards, left confine bulk material and prevent spillage at the in-feed area of the belt conveyor.</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More at: www.witrustexel.com</a:t>
          </a:r>
        </a:p>
      </xdr:txBody>
    </xdr:sp>
    <xdr:clientData/>
  </xdr:twoCellAnchor>
  <xdr:twoCellAnchor editAs="oneCell">
    <xdr:from>
      <xdr:col>1</xdr:col>
      <xdr:colOff>152400</xdr:colOff>
      <xdr:row>209</xdr:row>
      <xdr:rowOff>6350</xdr:rowOff>
    </xdr:from>
    <xdr:to>
      <xdr:col>5</xdr:col>
      <xdr:colOff>260350</xdr:colOff>
      <xdr:row>221</xdr:row>
      <xdr:rowOff>127000</xdr:rowOff>
    </xdr:to>
    <xdr:pic>
      <xdr:nvPicPr>
        <xdr:cNvPr id="15660" name="Picture 36" descr="PLOW-3">
          <a:extLst>
            <a:ext uri="{FF2B5EF4-FFF2-40B4-BE49-F238E27FC236}">
              <a16:creationId xmlns:a16="http://schemas.microsoft.com/office/drawing/2014/main" id="{95D2792F-3CD6-2E7B-71D2-D451EC11D8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1243250"/>
          <a:ext cx="5721350" cy="248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254000</xdr:colOff>
      <xdr:row>223</xdr:row>
      <xdr:rowOff>133350</xdr:rowOff>
    </xdr:from>
    <xdr:to>
      <xdr:col>4</xdr:col>
      <xdr:colOff>374583</xdr:colOff>
      <xdr:row>232</xdr:row>
      <xdr:rowOff>38100</xdr:rowOff>
    </xdr:to>
    <xdr:sp macro="" textlink="">
      <xdr:nvSpPr>
        <xdr:cNvPr id="1062" name="Text Box 38">
          <a:extLst>
            <a:ext uri="{FF2B5EF4-FFF2-40B4-BE49-F238E27FC236}">
              <a16:creationId xmlns:a16="http://schemas.microsoft.com/office/drawing/2014/main" id="{3F4B1889-374F-548A-6695-7020FE2A6101}"/>
            </a:ext>
          </a:extLst>
        </xdr:cNvPr>
        <xdr:cNvSpPr txBox="1">
          <a:spLocks noChangeArrowheads="1"/>
        </xdr:cNvSpPr>
      </xdr:nvSpPr>
      <xdr:spPr bwMode="auto">
        <a:xfrm>
          <a:off x="863600" y="44126150"/>
          <a:ext cx="5124383" cy="1676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V-Plow</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V-Plow above sweeps debris off the return belt near the head pulley. Replaceable rubber blades above the belt and flat idlers under maintain the proper pressure.</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Go to: www.tamparubber.com for more information.</a:t>
          </a:r>
        </a:p>
      </xdr:txBody>
    </xdr:sp>
    <xdr:clientData/>
  </xdr:twoCellAnchor>
  <xdr:twoCellAnchor editAs="oneCell">
    <xdr:from>
      <xdr:col>1</xdr:col>
      <xdr:colOff>196850</xdr:colOff>
      <xdr:row>260</xdr:row>
      <xdr:rowOff>63500</xdr:rowOff>
    </xdr:from>
    <xdr:to>
      <xdr:col>5</xdr:col>
      <xdr:colOff>480242</xdr:colOff>
      <xdr:row>289</xdr:row>
      <xdr:rowOff>190500</xdr:rowOff>
    </xdr:to>
    <xdr:pic>
      <xdr:nvPicPr>
        <xdr:cNvPr id="15662" name="Picture 39" descr="BELT-CONVEYORS-ASSY-1">
          <a:extLst>
            <a:ext uri="{FF2B5EF4-FFF2-40B4-BE49-F238E27FC236}">
              <a16:creationId xmlns:a16="http://schemas.microsoft.com/office/drawing/2014/main" id="{583131A7-5562-7DD5-1B74-961DF049625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06450" y="51339750"/>
          <a:ext cx="5896792" cy="583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295</xdr:row>
      <xdr:rowOff>57150</xdr:rowOff>
    </xdr:from>
    <xdr:to>
      <xdr:col>6</xdr:col>
      <xdr:colOff>129618</xdr:colOff>
      <xdr:row>309</xdr:row>
      <xdr:rowOff>152400</xdr:rowOff>
    </xdr:to>
    <xdr:pic>
      <xdr:nvPicPr>
        <xdr:cNvPr id="15663" name="Picture 40" descr="BELT-CONVEYORS-ASSY-2">
          <a:extLst>
            <a:ext uri="{FF2B5EF4-FFF2-40B4-BE49-F238E27FC236}">
              <a16:creationId xmlns:a16="http://schemas.microsoft.com/office/drawing/2014/main" id="{E694C315-FC88-FBCC-0B6D-CC6BBD95657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33450" y="58223150"/>
          <a:ext cx="6028768" cy="285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251</xdr:row>
      <xdr:rowOff>82550</xdr:rowOff>
    </xdr:from>
    <xdr:to>
      <xdr:col>4</xdr:col>
      <xdr:colOff>393628</xdr:colOff>
      <xdr:row>258</xdr:row>
      <xdr:rowOff>12582</xdr:rowOff>
    </xdr:to>
    <xdr:sp macro="" textlink="">
      <xdr:nvSpPr>
        <xdr:cNvPr id="1065" name="Text Box 41">
          <a:extLst>
            <a:ext uri="{FF2B5EF4-FFF2-40B4-BE49-F238E27FC236}">
              <a16:creationId xmlns:a16="http://schemas.microsoft.com/office/drawing/2014/main" id="{C4F069A0-043E-B636-F58E-E5E005C60114}"/>
            </a:ext>
          </a:extLst>
        </xdr:cNvPr>
        <xdr:cNvSpPr txBox="1">
          <a:spLocks noChangeArrowheads="1"/>
        </xdr:cNvSpPr>
      </xdr:nvSpPr>
      <xdr:spPr bwMode="auto">
        <a:xfrm>
          <a:off x="238125" y="40909875"/>
          <a:ext cx="5153025" cy="1028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BELT CONVEYOR SYSTEM EXAMPLE FOR BOILERS - EXAMPLE</a:t>
          </a:r>
        </a:p>
        <a:p>
          <a:pPr algn="l" rtl="0">
            <a:defRPr sz="1000"/>
          </a:pPr>
          <a:r>
            <a:rPr lang="en-US" sz="1100" b="0" i="0" u="none" strike="noStrike" baseline="0">
              <a:solidFill>
                <a:srgbClr val="000000"/>
              </a:solidFill>
              <a:latin typeface="Arial"/>
              <a:cs typeface="Arial"/>
            </a:rPr>
            <a:t>Aa arrangement drawing of a belt conveyor boiler feed application is illustrated below. Coal or limestone is delivered from the below grade reclaim hopper to any one of eight silos. The reversing shuttle conveyor discharges onto 4 reversing conveyors above the silos.</a:t>
          </a:r>
        </a:p>
      </xdr:txBody>
    </xdr:sp>
    <xdr:clientData/>
  </xdr:twoCellAnchor>
  <xdr:twoCellAnchor>
    <xdr:from>
      <xdr:col>5</xdr:col>
      <xdr:colOff>6350</xdr:colOff>
      <xdr:row>16</xdr:row>
      <xdr:rowOff>12700</xdr:rowOff>
    </xdr:from>
    <xdr:to>
      <xdr:col>11</xdr:col>
      <xdr:colOff>501650</xdr:colOff>
      <xdr:row>25</xdr:row>
      <xdr:rowOff>15875</xdr:rowOff>
    </xdr:to>
    <xdr:sp macro="" textlink="">
      <xdr:nvSpPr>
        <xdr:cNvPr id="2" name="TextBox 1">
          <a:extLst>
            <a:ext uri="{FF2B5EF4-FFF2-40B4-BE49-F238E27FC236}">
              <a16:creationId xmlns:a16="http://schemas.microsoft.com/office/drawing/2014/main" id="{B1A455A9-F47D-467B-A9DB-D3505C46E00A}"/>
            </a:ext>
          </a:extLst>
        </xdr:cNvPr>
        <xdr:cNvSpPr txBox="1"/>
      </xdr:nvSpPr>
      <xdr:spPr>
        <a:xfrm>
          <a:off x="457200" y="4171950"/>
          <a:ext cx="4152900" cy="163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DISCLAIMER: The materials contained in the online course are not intended as a representation or warranty on the part of John</a:t>
          </a:r>
          <a:r>
            <a:rPr lang="en-US" sz="1100" baseline="0">
              <a:solidFill>
                <a:schemeClr val="dk1"/>
              </a:solidFill>
              <a:effectLst/>
              <a:latin typeface="+mn-lt"/>
              <a:ea typeface="+mn-ea"/>
              <a:cs typeface="+mn-cs"/>
            </a:rPr>
            <a:t> Andrew LLC</a:t>
          </a:r>
          <a:r>
            <a:rPr lang="en-US" sz="1100">
              <a:solidFill>
                <a:schemeClr val="dk1"/>
              </a:solidFill>
              <a:effectLst/>
              <a:latin typeface="+mn-lt"/>
              <a:ea typeface="+mn-ea"/>
              <a:cs typeface="+mn-cs"/>
            </a:rPr>
            <a:t> or any other person/organization named herein. The materials are for general information only. They are not a substitute for competent professional advice. Application of this information to a specific project should be reviewed by a registered professional engineer. Anyone making use of the information set forth herein does so at their own risk and assumes any and all resulting liability arising therefrom. </a:t>
          </a:r>
        </a:p>
        <a:p>
          <a:r>
            <a:rPr lang="en-US" sz="1100">
              <a:solidFill>
                <a:schemeClr val="dk1"/>
              </a:solidFill>
              <a:effectLst/>
              <a:latin typeface="+mn-lt"/>
              <a:ea typeface="+mn-ea"/>
              <a:cs typeface="+mn-cs"/>
            </a:rPr>
            <a:t> </a:t>
          </a:r>
        </a:p>
        <a:p>
          <a:endParaRPr lang="en-US" sz="1100"/>
        </a:p>
      </xdr:txBody>
    </xdr:sp>
    <xdr:clientData/>
  </xdr:twoCellAnchor>
  <xdr:twoCellAnchor>
    <xdr:from>
      <xdr:col>5</xdr:col>
      <xdr:colOff>6350</xdr:colOff>
      <xdr:row>16</xdr:row>
      <xdr:rowOff>12700</xdr:rowOff>
    </xdr:from>
    <xdr:to>
      <xdr:col>11</xdr:col>
      <xdr:colOff>501650</xdr:colOff>
      <xdr:row>25</xdr:row>
      <xdr:rowOff>15875</xdr:rowOff>
    </xdr:to>
    <xdr:sp macro="" textlink="">
      <xdr:nvSpPr>
        <xdr:cNvPr id="3" name="TextBox 2">
          <a:extLst>
            <a:ext uri="{FF2B5EF4-FFF2-40B4-BE49-F238E27FC236}">
              <a16:creationId xmlns:a16="http://schemas.microsoft.com/office/drawing/2014/main" id="{638C3369-14B4-426C-B46E-3D80507B1D4F}"/>
            </a:ext>
          </a:extLst>
        </xdr:cNvPr>
        <xdr:cNvSpPr txBox="1"/>
      </xdr:nvSpPr>
      <xdr:spPr>
        <a:xfrm>
          <a:off x="457200" y="4171950"/>
          <a:ext cx="4152900" cy="163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DISCLAIMER: The materials contained in the online course are not intended as a representation or warranty on the part of John</a:t>
          </a:r>
          <a:r>
            <a:rPr lang="en-US" sz="1100" baseline="0">
              <a:solidFill>
                <a:schemeClr val="dk1"/>
              </a:solidFill>
              <a:effectLst/>
              <a:latin typeface="+mn-lt"/>
              <a:ea typeface="+mn-ea"/>
              <a:cs typeface="+mn-cs"/>
            </a:rPr>
            <a:t> Andrew LLC</a:t>
          </a:r>
          <a:r>
            <a:rPr lang="en-US" sz="1100">
              <a:solidFill>
                <a:schemeClr val="dk1"/>
              </a:solidFill>
              <a:effectLst/>
              <a:latin typeface="+mn-lt"/>
              <a:ea typeface="+mn-ea"/>
              <a:cs typeface="+mn-cs"/>
            </a:rPr>
            <a:t> or any other person/organization named herein. The materials are for general information only. They are not a substitute for competent professional advice. Application of this information to a specific project should be reviewed by a registered professional engineer. Anyone making use of the information set forth herein does so at their own risk and assumes any and all resulting liability arising therefrom. </a:t>
          </a:r>
        </a:p>
        <a:p>
          <a:r>
            <a:rPr lang="en-US" sz="1100">
              <a:solidFill>
                <a:schemeClr val="dk1"/>
              </a:solidFill>
              <a:effectLst/>
              <a:latin typeface="+mn-lt"/>
              <a:ea typeface="+mn-ea"/>
              <a:cs typeface="+mn-cs"/>
            </a:rPr>
            <a:t>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200026</xdr:colOff>
      <xdr:row>26</xdr:row>
      <xdr:rowOff>66674</xdr:rowOff>
    </xdr:from>
    <xdr:to>
      <xdr:col>3</xdr:col>
      <xdr:colOff>9417</xdr:colOff>
      <xdr:row>32</xdr:row>
      <xdr:rowOff>66677</xdr:rowOff>
    </xdr:to>
    <xdr:sp macro="" textlink="">
      <xdr:nvSpPr>
        <xdr:cNvPr id="2051" name="Text Box 3">
          <a:extLst>
            <a:ext uri="{FF2B5EF4-FFF2-40B4-BE49-F238E27FC236}">
              <a16:creationId xmlns:a16="http://schemas.microsoft.com/office/drawing/2014/main" id="{578B281C-ACEB-5EC6-CCE4-4B2866AFDE29}"/>
            </a:ext>
          </a:extLst>
        </xdr:cNvPr>
        <xdr:cNvSpPr txBox="1">
          <a:spLocks noChangeArrowheads="1"/>
        </xdr:cNvSpPr>
      </xdr:nvSpPr>
      <xdr:spPr bwMode="auto">
        <a:xfrm>
          <a:off x="292101" y="5248274"/>
          <a:ext cx="4622800" cy="1184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200"/>
            </a:lnSpc>
            <a:defRPr sz="1000"/>
          </a:pPr>
          <a:endParaRPr lang="en-US" sz="1200" b="1" i="0" u="none" strike="noStrike" baseline="0">
            <a:solidFill>
              <a:srgbClr val="000000"/>
            </a:solidFill>
            <a:latin typeface="Arial"/>
            <a:cs typeface="Arial"/>
          </a:endParaRPr>
        </a:p>
        <a:p>
          <a:pPr algn="l" rtl="0">
            <a:lnSpc>
              <a:spcPts val="1200"/>
            </a:lnSpc>
            <a:defRPr sz="1000"/>
          </a:pPr>
          <a:r>
            <a:rPr lang="en-US" sz="1200" b="1" i="0" u="none" strike="noStrike" baseline="0">
              <a:solidFill>
                <a:srgbClr val="000000"/>
              </a:solidFill>
              <a:latin typeface="Arial"/>
              <a:cs typeface="Arial"/>
            </a:rPr>
            <a:t>Protect or Unprotect Spreadsheet</a:t>
          </a:r>
          <a:endParaRPr lang="en-US" sz="1200" b="0" i="0" u="none" strike="noStrike" baseline="0">
            <a:solidFill>
              <a:srgbClr val="000000"/>
            </a:solidFill>
            <a:latin typeface="Arial"/>
            <a:cs typeface="Arial"/>
          </a:endParaRPr>
        </a:p>
        <a:p>
          <a:pPr algn="l" rtl="0">
            <a:lnSpc>
              <a:spcPts val="1200"/>
            </a:lnSpc>
            <a:defRPr sz="1000"/>
          </a:pPr>
          <a:r>
            <a:rPr lang="en-US" sz="1200" b="0" i="0" u="none" strike="noStrike" baseline="0">
              <a:solidFill>
                <a:srgbClr val="000000"/>
              </a:solidFill>
              <a:latin typeface="Arial"/>
              <a:cs typeface="Arial"/>
            </a:rPr>
            <a:t>Unprotect the spread sheet by selecting:</a:t>
          </a:r>
        </a:p>
        <a:p>
          <a:pPr algn="l" rtl="0">
            <a:lnSpc>
              <a:spcPts val="1200"/>
            </a:lnSpc>
            <a:defRPr sz="1000"/>
          </a:pPr>
          <a:r>
            <a:rPr lang="en-US" sz="1200" b="0" i="0" u="none" strike="noStrike" baseline="0">
              <a:solidFill>
                <a:srgbClr val="000000"/>
              </a:solidFill>
              <a:latin typeface="Arial"/>
              <a:cs typeface="Arial"/>
            </a:rPr>
            <a:t>Drop down menu: </a:t>
          </a:r>
          <a:r>
            <a:rPr lang="en-US" sz="1200" b="1" i="0" u="none" strike="noStrike" baseline="0">
              <a:solidFill>
                <a:srgbClr val="000000"/>
              </a:solidFill>
              <a:latin typeface="Arial"/>
              <a:cs typeface="Arial"/>
            </a:rPr>
            <a:t>Tools &gt; Protection &gt; Unprotect Sheet &gt; OK </a:t>
          </a:r>
          <a:endParaRPr lang="en-US" sz="1200" b="0" i="0" u="none" strike="noStrike" baseline="0">
            <a:solidFill>
              <a:srgbClr val="000000"/>
            </a:solidFill>
            <a:latin typeface="Arial"/>
            <a:cs typeface="Arial"/>
          </a:endParaRPr>
        </a:p>
        <a:p>
          <a:pPr algn="l" rtl="0">
            <a:lnSpc>
              <a:spcPts val="1200"/>
            </a:lnSpc>
            <a:defRPr sz="1000"/>
          </a:pPr>
          <a:r>
            <a:rPr lang="en-US" sz="1200" b="0" i="0" u="none" strike="noStrike" baseline="0">
              <a:solidFill>
                <a:srgbClr val="000000"/>
              </a:solidFill>
              <a:latin typeface="Arial"/>
              <a:cs typeface="Arial"/>
            </a:rPr>
            <a:t>Restore protection with:</a:t>
          </a:r>
        </a:p>
        <a:p>
          <a:pPr algn="l" rtl="0">
            <a:lnSpc>
              <a:spcPts val="1200"/>
            </a:lnSpc>
            <a:defRPr sz="1000"/>
          </a:pPr>
          <a:r>
            <a:rPr lang="en-US" sz="1200" b="0" i="0" u="none" strike="noStrike" baseline="0">
              <a:solidFill>
                <a:srgbClr val="000000"/>
              </a:solidFill>
              <a:latin typeface="Arial"/>
              <a:cs typeface="Arial"/>
            </a:rPr>
            <a:t>Drop down menu: </a:t>
          </a:r>
          <a:r>
            <a:rPr lang="en-US" sz="1200" b="1" i="0" u="none" strike="noStrike" baseline="0">
              <a:solidFill>
                <a:srgbClr val="000000"/>
              </a:solidFill>
              <a:latin typeface="Arial"/>
              <a:cs typeface="Arial"/>
            </a:rPr>
            <a:t>Tools &gt; Protection &gt; Protect Sheet &gt; OK </a:t>
          </a:r>
          <a:endParaRPr lang="en-US" sz="1200" b="0" i="0" u="none" strike="noStrike" baseline="0">
            <a:solidFill>
              <a:srgbClr val="000000"/>
            </a:solidFill>
            <a:latin typeface="Arial"/>
            <a:cs typeface="Arial"/>
          </a:endParaRPr>
        </a:p>
        <a:p>
          <a:pPr algn="l" rtl="0">
            <a:lnSpc>
              <a:spcPts val="900"/>
            </a:lnSpc>
            <a:defRPr sz="1000"/>
          </a:pPr>
          <a:endParaRPr lang="en-US" sz="1000" b="0" i="0" u="none" strike="noStrike" baseline="0">
            <a:solidFill>
              <a:srgbClr val="000000"/>
            </a:solidFill>
            <a:latin typeface="Arial"/>
            <a:cs typeface="Arial"/>
          </a:endParaRPr>
        </a:p>
      </xdr:txBody>
    </xdr:sp>
    <xdr:clientData/>
  </xdr:twoCellAnchor>
  <xdr:twoCellAnchor>
    <xdr:from>
      <xdr:col>1</xdr:col>
      <xdr:colOff>200025</xdr:colOff>
      <xdr:row>2</xdr:row>
      <xdr:rowOff>6350</xdr:rowOff>
    </xdr:from>
    <xdr:to>
      <xdr:col>4</xdr:col>
      <xdr:colOff>355606</xdr:colOff>
      <xdr:row>25</xdr:row>
      <xdr:rowOff>104773</xdr:rowOff>
    </xdr:to>
    <xdr:sp macro="" textlink="">
      <xdr:nvSpPr>
        <xdr:cNvPr id="2054" name="Text Box 6">
          <a:extLst>
            <a:ext uri="{FF2B5EF4-FFF2-40B4-BE49-F238E27FC236}">
              <a16:creationId xmlns:a16="http://schemas.microsoft.com/office/drawing/2014/main" id="{34752585-ECB2-91AC-9202-0FDE8442A6A0}"/>
            </a:ext>
          </a:extLst>
        </xdr:cNvPr>
        <xdr:cNvSpPr txBox="1">
          <a:spLocks noChangeArrowheads="1"/>
        </xdr:cNvSpPr>
      </xdr:nvSpPr>
      <xdr:spPr bwMode="auto">
        <a:xfrm>
          <a:off x="298450" y="444500"/>
          <a:ext cx="5737221" cy="46672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Engineering Spreadsheets</a:t>
          </a:r>
        </a:p>
        <a:p>
          <a:pPr algn="l" rtl="0">
            <a:defRPr sz="1000"/>
          </a:pPr>
          <a:r>
            <a:rPr lang="en-US" sz="1200" b="0" i="0" u="none" strike="noStrike" baseline="0">
              <a:solidFill>
                <a:srgbClr val="000000"/>
              </a:solidFill>
              <a:latin typeface="Arial"/>
              <a:cs typeface="Arial"/>
            </a:rPr>
            <a:t>These spreadsheets are a learning tool. They display the underlying theory and calculations. Engineering software in general hides the method used to calculate results. Please study all of the material presented here.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sng" strike="noStrike" baseline="0">
              <a:solidFill>
                <a:srgbClr val="000000"/>
              </a:solidFill>
              <a:latin typeface="Arial"/>
              <a:cs typeface="Arial"/>
            </a:rPr>
            <a:t>Follow these four basic steps in each calculation:</a:t>
          </a:r>
          <a:endParaRPr lang="en-US" sz="1200" b="1"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 Type initial values for the input data.</a:t>
          </a:r>
        </a:p>
        <a:p>
          <a:pPr algn="l" rtl="0">
            <a:defRPr sz="1000"/>
          </a:pPr>
          <a:r>
            <a:rPr lang="en-US" sz="1200" b="0" i="0" u="none" strike="noStrike" baseline="0">
              <a:solidFill>
                <a:srgbClr val="000000"/>
              </a:solidFill>
              <a:latin typeface="Arial"/>
              <a:cs typeface="Arial"/>
            </a:rPr>
            <a:t>2. Enter.</a:t>
          </a:r>
        </a:p>
        <a:p>
          <a:pPr algn="l" rtl="0">
            <a:defRPr sz="1000"/>
          </a:pPr>
          <a:r>
            <a:rPr lang="en-US" sz="1200" b="0" i="0" u="none" strike="noStrike" baseline="0">
              <a:solidFill>
                <a:srgbClr val="000000"/>
              </a:solidFill>
              <a:latin typeface="Arial"/>
              <a:cs typeface="Arial"/>
            </a:rPr>
            <a:t>3. Answers will be calculated by the spread sheet.</a:t>
          </a:r>
        </a:p>
        <a:p>
          <a:pPr algn="l" rtl="0">
            <a:defRPr sz="1000"/>
          </a:pPr>
          <a:r>
            <a:rPr lang="en-US" sz="1200" b="0" i="0" u="none" strike="noStrike" baseline="0">
              <a:solidFill>
                <a:srgbClr val="000000"/>
              </a:solidFill>
              <a:latin typeface="Arial"/>
              <a:cs typeface="Arial"/>
            </a:rPr>
            <a:t>4. Optimize parameters using Excel's "Goal Seek".</a:t>
          </a:r>
          <a:endParaRPr lang="en-US" sz="1200" b="0" i="0" u="sng" strike="noStrike" baseline="0">
            <a:solidFill>
              <a:srgbClr val="000000"/>
            </a:solidFill>
            <a:latin typeface="Arial"/>
            <a:cs typeface="Arial"/>
          </a:endParaRPr>
        </a:p>
        <a:p>
          <a:pPr algn="l" rtl="0">
            <a:defRPr sz="1000"/>
          </a:pPr>
          <a:endParaRPr lang="en-US" sz="1200" b="0" i="0" u="sng"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Goal Seek</a:t>
          </a:r>
        </a:p>
        <a:p>
          <a:pPr algn="l" rtl="0">
            <a:defRPr sz="1000"/>
          </a:pPr>
          <a:r>
            <a:rPr lang="en-US" sz="1200" b="0" i="0" u="none" strike="noStrike" baseline="0">
              <a:solidFill>
                <a:srgbClr val="000000"/>
              </a:solidFill>
              <a:latin typeface="Arial"/>
              <a:cs typeface="Arial"/>
            </a:rPr>
            <a:t>1. Type input values: DEN = 50, W = 36, and S = 300 below.</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2. Pick the cell (TPH =) containing the calculated numerical value [ </a:t>
          </a:r>
          <a:r>
            <a:rPr lang="en-US" sz="1200" b="1" i="0" u="none" strike="noStrike" baseline="0">
              <a:solidFill>
                <a:srgbClr val="000000"/>
              </a:solidFill>
              <a:latin typeface="Arial"/>
              <a:cs typeface="Arial"/>
            </a:rPr>
            <a:t>575.8 </a:t>
          </a:r>
          <a:r>
            <a:rPr lang="en-US" sz="1200" b="0" i="0" u="none" strike="noStrike" baseline="0">
              <a:solidFill>
                <a:srgbClr val="000000"/>
              </a:solidFill>
              <a:latin typeface="Arial"/>
              <a:cs typeface="Arial"/>
            </a:rPr>
            <a: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3. Pick drop down menu: </a:t>
          </a:r>
          <a:r>
            <a:rPr lang="en-US" sz="1200" b="1" i="0" u="none" strike="noStrike" baseline="0">
              <a:solidFill>
                <a:srgbClr val="000000"/>
              </a:solidFill>
              <a:latin typeface="Arial"/>
              <a:cs typeface="Arial"/>
            </a:rPr>
            <a:t>Tools &gt; Goal Seek</a:t>
          </a:r>
          <a:r>
            <a:rPr lang="en-US" sz="1200" b="0" i="0" u="none" strike="noStrike" baseline="0">
              <a:solidFill>
                <a:srgbClr val="000000"/>
              </a:solidFill>
              <a:latin typeface="Arial"/>
              <a:cs typeface="Arial"/>
            </a:rPr>
            <a: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4. Pick "To value:" and type [ </a:t>
          </a:r>
          <a:r>
            <a:rPr lang="en-US" sz="1200" b="1" i="0" u="none" strike="noStrike" baseline="0">
              <a:solidFill>
                <a:srgbClr val="000000"/>
              </a:solidFill>
              <a:latin typeface="Arial"/>
              <a:cs typeface="Arial"/>
            </a:rPr>
            <a:t>700</a:t>
          </a:r>
          <a:r>
            <a:rPr lang="en-US" sz="1200" b="0" i="0" u="none" strike="noStrike" baseline="0">
              <a:solidFill>
                <a:srgbClr val="000000"/>
              </a:solidFill>
              <a:latin typeface="Arial"/>
              <a:cs typeface="Arial"/>
            </a:rPr>
            <a:t>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5. Pick "By changing cell:" Pick the cell containing belt speed S = [ </a:t>
          </a:r>
          <a:r>
            <a:rPr lang="en-US" sz="1200" b="1" i="0" u="none" strike="noStrike" baseline="0">
              <a:solidFill>
                <a:srgbClr val="000000"/>
              </a:solidFill>
              <a:latin typeface="Arial"/>
              <a:cs typeface="Arial"/>
            </a:rPr>
            <a:t>365</a:t>
          </a:r>
          <a:r>
            <a:rPr lang="en-US" sz="1200" b="0" i="0" u="none" strike="noStrike" baseline="0">
              <a:solidFill>
                <a:srgbClr val="000000"/>
              </a:solidFill>
              <a:latin typeface="Arial"/>
              <a:cs typeface="Arial"/>
            </a:rPr>
            <a:t>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6. </a:t>
          </a:r>
          <a:r>
            <a:rPr lang="en-US" sz="1200" b="1" i="0" u="none" strike="noStrike" baseline="0">
              <a:solidFill>
                <a:srgbClr val="000000"/>
              </a:solidFill>
              <a:latin typeface="Arial"/>
              <a:cs typeface="Arial"/>
            </a:rPr>
            <a:t>OK</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7. Optimized belt speed is calculated: S = </a:t>
          </a:r>
          <a:r>
            <a:rPr lang="en-US" sz="1200" b="1" i="0" u="none" strike="noStrike" baseline="0">
              <a:solidFill>
                <a:srgbClr val="000000"/>
              </a:solidFill>
              <a:latin typeface="Arial"/>
              <a:cs typeface="Arial"/>
            </a:rPr>
            <a:t>365</a:t>
          </a:r>
          <a:r>
            <a:rPr lang="en-US" sz="1200" b="0" i="0" u="none" strike="noStrike" baseline="0">
              <a:solidFill>
                <a:srgbClr val="000000"/>
              </a:solidFill>
              <a:latin typeface="Arial"/>
              <a:cs typeface="Arial"/>
            </a:rPr>
            <a:t>   ft/min</a:t>
          </a:r>
        </a:p>
      </xdr:txBody>
    </xdr:sp>
    <xdr:clientData/>
  </xdr:twoCellAnchor>
  <xdr:twoCellAnchor>
    <xdr:from>
      <xdr:col>1</xdr:col>
      <xdr:colOff>215900</xdr:colOff>
      <xdr:row>32</xdr:row>
      <xdr:rowOff>120650</xdr:rowOff>
    </xdr:from>
    <xdr:to>
      <xdr:col>2</xdr:col>
      <xdr:colOff>676381</xdr:colOff>
      <xdr:row>39</xdr:row>
      <xdr:rowOff>6397</xdr:rowOff>
    </xdr:to>
    <xdr:sp macro="" textlink="">
      <xdr:nvSpPr>
        <xdr:cNvPr id="2056" name="Text Box 8">
          <a:extLst>
            <a:ext uri="{FF2B5EF4-FFF2-40B4-BE49-F238E27FC236}">
              <a16:creationId xmlns:a16="http://schemas.microsoft.com/office/drawing/2014/main" id="{591E6FED-03F8-B24B-167F-0D5E4070B35D}"/>
            </a:ext>
          </a:extLst>
        </xdr:cNvPr>
        <xdr:cNvSpPr txBox="1">
          <a:spLocks noChangeArrowheads="1"/>
        </xdr:cNvSpPr>
      </xdr:nvSpPr>
      <xdr:spPr bwMode="auto">
        <a:xfrm>
          <a:off x="327025" y="6521450"/>
          <a:ext cx="3460750" cy="120652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Trough Belt Capacity Calculations</a:t>
          </a:r>
        </a:p>
        <a:p>
          <a:pPr algn="l" rtl="0">
            <a:defRPr sz="1000"/>
          </a:pPr>
          <a:r>
            <a:rPr lang="en-US" sz="1200" b="1" i="0" u="none" strike="noStrike" baseline="0">
              <a:solidFill>
                <a:srgbClr val="000000"/>
              </a:solidFill>
              <a:latin typeface="Arial"/>
              <a:cs typeface="Arial"/>
            </a:rPr>
            <a:t>Bulk Material Angle of Repose</a:t>
          </a:r>
        </a:p>
        <a:p>
          <a:pPr algn="l" rtl="0">
            <a:defRPr sz="1000"/>
          </a:pPr>
          <a:r>
            <a:rPr lang="en-US" sz="1200" b="0" i="0" u="none" strike="noStrike" baseline="0">
              <a:solidFill>
                <a:srgbClr val="000000"/>
              </a:solidFill>
              <a:latin typeface="Arial"/>
              <a:cs typeface="Arial"/>
            </a:rPr>
            <a:t>The angle at the base of the cone formed by pouring bulk material, such as coal or rice, onto a level surface is the, "Angle of repose", </a:t>
          </a:r>
          <a:r>
            <a:rPr lang="en-US" sz="1200" b="1" i="0" u="none" strike="noStrike" baseline="0">
              <a:solidFill>
                <a:srgbClr val="000000"/>
              </a:solidFill>
              <a:latin typeface="Arial"/>
              <a:cs typeface="Arial"/>
            </a:rPr>
            <a:t>X</a:t>
          </a:r>
          <a:r>
            <a:rPr lang="en-US" sz="1200" b="0" i="0" u="none" strike="noStrike" baseline="0">
              <a:solidFill>
                <a:srgbClr val="000000"/>
              </a:solidFill>
              <a:latin typeface="Arial"/>
              <a:cs typeface="Arial"/>
            </a:rPr>
            <a:t> below.</a:t>
          </a:r>
        </a:p>
      </xdr:txBody>
    </xdr:sp>
    <xdr:clientData/>
  </xdr:twoCellAnchor>
  <xdr:twoCellAnchor>
    <xdr:from>
      <xdr:col>4</xdr:col>
      <xdr:colOff>54463</xdr:colOff>
      <xdr:row>27</xdr:row>
      <xdr:rowOff>98913</xdr:rowOff>
    </xdr:from>
    <xdr:to>
      <xdr:col>6</xdr:col>
      <xdr:colOff>184054</xdr:colOff>
      <xdr:row>37</xdr:row>
      <xdr:rowOff>92086</xdr:rowOff>
    </xdr:to>
    <xdr:sp macro="" textlink="">
      <xdr:nvSpPr>
        <xdr:cNvPr id="2057" name="Text Box 9">
          <a:extLst>
            <a:ext uri="{FF2B5EF4-FFF2-40B4-BE49-F238E27FC236}">
              <a16:creationId xmlns:a16="http://schemas.microsoft.com/office/drawing/2014/main" id="{1F6753C5-CB2A-9C05-F7CB-BB0F2EA9D28F}"/>
            </a:ext>
          </a:extLst>
        </xdr:cNvPr>
        <xdr:cNvSpPr txBox="1">
          <a:spLocks noChangeArrowheads="1"/>
        </xdr:cNvSpPr>
      </xdr:nvSpPr>
      <xdr:spPr bwMode="auto">
        <a:xfrm>
          <a:off x="6003192" y="5456115"/>
          <a:ext cx="1419470" cy="195335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US" sz="1200" b="1" i="0" u="none" strike="noStrike" baseline="0">
              <a:solidFill>
                <a:srgbClr val="000000"/>
              </a:solidFill>
              <a:latin typeface="Arial"/>
              <a:cs typeface="Arial"/>
            </a:rPr>
            <a:t>Standard Belt Widths (in)</a:t>
          </a:r>
          <a:endParaRPr lang="en-US" sz="12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   24</a:t>
          </a:r>
        </a:p>
        <a:p>
          <a:pPr algn="ctr" rtl="0">
            <a:defRPr sz="1000"/>
          </a:pPr>
          <a:r>
            <a:rPr lang="en-US" sz="1200" b="0" i="0" u="none" strike="noStrike" baseline="0">
              <a:solidFill>
                <a:srgbClr val="000000"/>
              </a:solidFill>
              <a:latin typeface="Arial"/>
              <a:cs typeface="Arial"/>
            </a:rPr>
            <a:t>    30</a:t>
          </a:r>
        </a:p>
        <a:p>
          <a:pPr algn="ctr" rtl="0">
            <a:defRPr sz="1000"/>
          </a:pPr>
          <a:r>
            <a:rPr lang="en-US" sz="1200" b="0" i="0" u="none" strike="noStrike" baseline="0">
              <a:solidFill>
                <a:srgbClr val="000000"/>
              </a:solidFill>
              <a:latin typeface="Arial"/>
              <a:cs typeface="Arial"/>
            </a:rPr>
            <a:t>    36</a:t>
          </a:r>
        </a:p>
        <a:p>
          <a:pPr algn="ctr" rtl="0">
            <a:defRPr sz="1000"/>
          </a:pPr>
          <a:r>
            <a:rPr lang="en-US" sz="1200" b="0" i="0" u="none" strike="noStrike" baseline="0">
              <a:solidFill>
                <a:srgbClr val="000000"/>
              </a:solidFill>
              <a:latin typeface="Arial"/>
              <a:cs typeface="Arial"/>
            </a:rPr>
            <a:t>    42</a:t>
          </a:r>
        </a:p>
        <a:p>
          <a:pPr algn="ctr" rtl="0">
            <a:defRPr sz="1000"/>
          </a:pPr>
          <a:r>
            <a:rPr lang="en-US" sz="1200" b="0" i="0" u="none" strike="noStrike" baseline="0">
              <a:solidFill>
                <a:srgbClr val="000000"/>
              </a:solidFill>
              <a:latin typeface="Arial"/>
              <a:cs typeface="Arial"/>
            </a:rPr>
            <a:t>    48</a:t>
          </a:r>
        </a:p>
        <a:p>
          <a:pPr algn="ctr" rtl="0">
            <a:defRPr sz="1000"/>
          </a:pPr>
          <a:r>
            <a:rPr lang="en-US" sz="1200" b="0" i="0" u="none" strike="noStrike" baseline="0">
              <a:solidFill>
                <a:srgbClr val="000000"/>
              </a:solidFill>
              <a:latin typeface="Arial"/>
              <a:cs typeface="Arial"/>
            </a:rPr>
            <a:t>     54</a:t>
          </a:r>
        </a:p>
        <a:p>
          <a:pPr algn="ctr" rtl="0">
            <a:defRPr sz="1000"/>
          </a:pPr>
          <a:r>
            <a:rPr lang="en-US" sz="1200" b="0" i="0" u="none" strike="noStrike" baseline="0">
              <a:solidFill>
                <a:srgbClr val="000000"/>
              </a:solidFill>
              <a:latin typeface="Arial"/>
              <a:cs typeface="Arial"/>
            </a:rPr>
            <a:t>     60</a:t>
          </a:r>
        </a:p>
        <a:p>
          <a:pPr algn="ctr" rtl="0">
            <a:defRPr sz="1000"/>
          </a:pPr>
          <a:r>
            <a:rPr lang="en-US" sz="1200" b="0" i="0" u="none" strike="noStrike" baseline="0">
              <a:solidFill>
                <a:srgbClr val="000000"/>
              </a:solidFill>
              <a:latin typeface="Arial"/>
              <a:cs typeface="Arial"/>
            </a:rPr>
            <a:t>     72</a:t>
          </a:r>
        </a:p>
      </xdr:txBody>
    </xdr:sp>
    <xdr:clientData/>
  </xdr:twoCellAnchor>
  <xdr:twoCellAnchor>
    <xdr:from>
      <xdr:col>3</xdr:col>
      <xdr:colOff>495300</xdr:colOff>
      <xdr:row>55</xdr:row>
      <xdr:rowOff>61058</xdr:rowOff>
    </xdr:from>
    <xdr:to>
      <xdr:col>7</xdr:col>
      <xdr:colOff>180016</xdr:colOff>
      <xdr:row>58</xdr:row>
      <xdr:rowOff>129547</xdr:rowOff>
    </xdr:to>
    <xdr:sp macro="" textlink="">
      <xdr:nvSpPr>
        <xdr:cNvPr id="2073" name="Text Box 25">
          <a:extLst>
            <a:ext uri="{FF2B5EF4-FFF2-40B4-BE49-F238E27FC236}">
              <a16:creationId xmlns:a16="http://schemas.microsoft.com/office/drawing/2014/main" id="{BDB4C5B1-9F00-3B86-1BE1-FDC0E24E6C5C}"/>
            </a:ext>
          </a:extLst>
        </xdr:cNvPr>
        <xdr:cNvSpPr txBox="1">
          <a:spLocks noChangeArrowheads="1"/>
        </xdr:cNvSpPr>
      </xdr:nvSpPr>
      <xdr:spPr bwMode="auto">
        <a:xfrm>
          <a:off x="5886450" y="10926885"/>
          <a:ext cx="2197589" cy="68677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Angles are in Radians</a:t>
          </a:r>
        </a:p>
        <a:p>
          <a:pPr algn="l" rtl="0">
            <a:defRPr sz="1000"/>
          </a:pPr>
          <a:r>
            <a:rPr lang="en-US" sz="1000" b="0" i="0" u="none" strike="noStrike" baseline="0">
              <a:solidFill>
                <a:srgbClr val="000000"/>
              </a:solidFill>
              <a:latin typeface="Arial"/>
              <a:cs typeface="Arial"/>
            </a:rPr>
            <a:t>Angle X degrees = X / 57.3  radians</a:t>
          </a:r>
        </a:p>
      </xdr:txBody>
    </xdr:sp>
    <xdr:clientData/>
  </xdr:twoCellAnchor>
  <xdr:twoCellAnchor editAs="oneCell">
    <xdr:from>
      <xdr:col>24</xdr:col>
      <xdr:colOff>6350</xdr:colOff>
      <xdr:row>15</xdr:row>
      <xdr:rowOff>57150</xdr:rowOff>
    </xdr:from>
    <xdr:to>
      <xdr:col>32</xdr:col>
      <xdr:colOff>82550</xdr:colOff>
      <xdr:row>26</xdr:row>
      <xdr:rowOff>44450</xdr:rowOff>
    </xdr:to>
    <xdr:pic>
      <xdr:nvPicPr>
        <xdr:cNvPr id="13545" name="Picture 5">
          <a:extLst>
            <a:ext uri="{FF2B5EF4-FFF2-40B4-BE49-F238E27FC236}">
              <a16:creationId xmlns:a16="http://schemas.microsoft.com/office/drawing/2014/main" id="{8BCC53EB-0C1F-86DF-32B7-E826393EE5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67350" y="3041650"/>
          <a:ext cx="495300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292100</xdr:colOff>
      <xdr:row>45</xdr:row>
      <xdr:rowOff>57150</xdr:rowOff>
    </xdr:from>
    <xdr:to>
      <xdr:col>15</xdr:col>
      <xdr:colOff>323850</xdr:colOff>
      <xdr:row>68</xdr:row>
      <xdr:rowOff>19050</xdr:rowOff>
    </xdr:to>
    <xdr:pic>
      <xdr:nvPicPr>
        <xdr:cNvPr id="13546" name="Picture 6">
          <a:extLst>
            <a:ext uri="{FF2B5EF4-FFF2-40B4-BE49-F238E27FC236}">
              <a16:creationId xmlns:a16="http://schemas.microsoft.com/office/drawing/2014/main" id="{181E8E3F-4672-69F6-2430-F5346A3510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89900" y="8953500"/>
          <a:ext cx="4908550" cy="454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532422</xdr:colOff>
      <xdr:row>79</xdr:row>
      <xdr:rowOff>185616</xdr:rowOff>
    </xdr:from>
    <xdr:to>
      <xdr:col>3</xdr:col>
      <xdr:colOff>665218</xdr:colOff>
      <xdr:row>96</xdr:row>
      <xdr:rowOff>63501</xdr:rowOff>
    </xdr:to>
    <xdr:pic>
      <xdr:nvPicPr>
        <xdr:cNvPr id="2" name="Picture 1">
          <a:extLst>
            <a:ext uri="{FF2B5EF4-FFF2-40B4-BE49-F238E27FC236}">
              <a16:creationId xmlns:a16="http://schemas.microsoft.com/office/drawing/2014/main" id="{9502AEF5-83EA-1C1D-319F-69F311CD429E}"/>
            </a:ext>
          </a:extLst>
        </xdr:cNvPr>
        <xdr:cNvPicPr>
          <a:picLocks noChangeAspect="1"/>
        </xdr:cNvPicPr>
      </xdr:nvPicPr>
      <xdr:blipFill>
        <a:blip xmlns:r="http://schemas.openxmlformats.org/officeDocument/2006/relationships" r:embed="rId3"/>
        <a:stretch>
          <a:fillRect/>
        </a:stretch>
      </xdr:blipFill>
      <xdr:spPr>
        <a:xfrm>
          <a:off x="1142999" y="15806616"/>
          <a:ext cx="4665719" cy="3302000"/>
        </a:xfrm>
        <a:prstGeom prst="rect">
          <a:avLst/>
        </a:prstGeom>
      </xdr:spPr>
    </xdr:pic>
    <xdr:clientData/>
  </xdr:twoCellAnchor>
  <xdr:twoCellAnchor editAs="oneCell">
    <xdr:from>
      <xdr:col>9</xdr:col>
      <xdr:colOff>156308</xdr:colOff>
      <xdr:row>108</xdr:row>
      <xdr:rowOff>1</xdr:rowOff>
    </xdr:from>
    <xdr:to>
      <xdr:col>19</xdr:col>
      <xdr:colOff>62198</xdr:colOff>
      <xdr:row>133</xdr:row>
      <xdr:rowOff>141654</xdr:rowOff>
    </xdr:to>
    <xdr:pic>
      <xdr:nvPicPr>
        <xdr:cNvPr id="3" name="Picture 2">
          <a:extLst>
            <a:ext uri="{FF2B5EF4-FFF2-40B4-BE49-F238E27FC236}">
              <a16:creationId xmlns:a16="http://schemas.microsoft.com/office/drawing/2014/main" id="{5D1B8138-1DD4-07D9-1859-433BCD995ACF}"/>
            </a:ext>
          </a:extLst>
        </xdr:cNvPr>
        <xdr:cNvPicPr>
          <a:picLocks noChangeAspect="1"/>
        </xdr:cNvPicPr>
      </xdr:nvPicPr>
      <xdr:blipFill>
        <a:blip xmlns:r="http://schemas.openxmlformats.org/officeDocument/2006/relationships" r:embed="rId4"/>
        <a:stretch>
          <a:fillRect/>
        </a:stretch>
      </xdr:blipFill>
      <xdr:spPr>
        <a:xfrm>
          <a:off x="9183077" y="22234770"/>
          <a:ext cx="6011659" cy="5089768"/>
        </a:xfrm>
        <a:prstGeom prst="rect">
          <a:avLst/>
        </a:prstGeom>
      </xdr:spPr>
    </xdr:pic>
    <xdr:clientData/>
  </xdr:twoCellAnchor>
  <xdr:twoCellAnchor editAs="oneCell">
    <xdr:from>
      <xdr:col>1</xdr:col>
      <xdr:colOff>400538</xdr:colOff>
      <xdr:row>120</xdr:row>
      <xdr:rowOff>53731</xdr:rowOff>
    </xdr:from>
    <xdr:to>
      <xdr:col>7</xdr:col>
      <xdr:colOff>8443</xdr:colOff>
      <xdr:row>126</xdr:row>
      <xdr:rowOff>29308</xdr:rowOff>
    </xdr:to>
    <xdr:pic>
      <xdr:nvPicPr>
        <xdr:cNvPr id="4" name="Picture 3">
          <a:extLst>
            <a:ext uri="{FF2B5EF4-FFF2-40B4-BE49-F238E27FC236}">
              <a16:creationId xmlns:a16="http://schemas.microsoft.com/office/drawing/2014/main" id="{28BBBEE0-262E-E945-D7A1-DF202108ED9D}"/>
            </a:ext>
          </a:extLst>
        </xdr:cNvPr>
        <xdr:cNvPicPr>
          <a:picLocks noChangeAspect="1"/>
        </xdr:cNvPicPr>
      </xdr:nvPicPr>
      <xdr:blipFill>
        <a:blip xmlns:r="http://schemas.openxmlformats.org/officeDocument/2006/relationships" r:embed="rId5"/>
        <a:stretch>
          <a:fillRect/>
        </a:stretch>
      </xdr:blipFill>
      <xdr:spPr>
        <a:xfrm>
          <a:off x="1011115" y="24662423"/>
          <a:ext cx="7198597" cy="1147885"/>
        </a:xfrm>
        <a:prstGeom prst="rect">
          <a:avLst/>
        </a:prstGeom>
      </xdr:spPr>
    </xdr:pic>
    <xdr:clientData/>
  </xdr:twoCellAnchor>
  <xdr:twoCellAnchor>
    <xdr:from>
      <xdr:col>6</xdr:col>
      <xdr:colOff>6350</xdr:colOff>
      <xdr:row>12</xdr:row>
      <xdr:rowOff>12700</xdr:rowOff>
    </xdr:from>
    <xdr:to>
      <xdr:col>12</xdr:col>
      <xdr:colOff>501650</xdr:colOff>
      <xdr:row>21</xdr:row>
      <xdr:rowOff>15875</xdr:rowOff>
    </xdr:to>
    <xdr:sp macro="" textlink="">
      <xdr:nvSpPr>
        <xdr:cNvPr id="5" name="TextBox 4">
          <a:extLst>
            <a:ext uri="{FF2B5EF4-FFF2-40B4-BE49-F238E27FC236}">
              <a16:creationId xmlns:a16="http://schemas.microsoft.com/office/drawing/2014/main" id="{AF4F0005-46B4-4708-BD2A-60A5553DC6AB}"/>
            </a:ext>
          </a:extLst>
        </xdr:cNvPr>
        <xdr:cNvSpPr txBox="1"/>
      </xdr:nvSpPr>
      <xdr:spPr>
        <a:xfrm>
          <a:off x="457200" y="4171950"/>
          <a:ext cx="4152900" cy="163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DISCLAIMER: The materials contained in the online course are not intended as a representation or warranty on the part of John</a:t>
          </a:r>
          <a:r>
            <a:rPr lang="en-US" sz="1100" baseline="0">
              <a:solidFill>
                <a:schemeClr val="dk1"/>
              </a:solidFill>
              <a:effectLst/>
              <a:latin typeface="+mn-lt"/>
              <a:ea typeface="+mn-ea"/>
              <a:cs typeface="+mn-cs"/>
            </a:rPr>
            <a:t> Andrew LLC</a:t>
          </a:r>
          <a:r>
            <a:rPr lang="en-US" sz="1100">
              <a:solidFill>
                <a:schemeClr val="dk1"/>
              </a:solidFill>
              <a:effectLst/>
              <a:latin typeface="+mn-lt"/>
              <a:ea typeface="+mn-ea"/>
              <a:cs typeface="+mn-cs"/>
            </a:rPr>
            <a:t> or any other person/organization named herein. The materials are for general information only. They are not a substitute for competent professional advice. Application of this information to a specific project should be reviewed by a registered professional engineer. Anyone making use of the information set forth herein does so at their own risk and assumes any and all resulting liability arising therefrom. </a:t>
          </a:r>
        </a:p>
        <a:p>
          <a:r>
            <a:rPr lang="en-US" sz="1100">
              <a:solidFill>
                <a:schemeClr val="dk1"/>
              </a:solidFill>
              <a:effectLst/>
              <a:latin typeface="+mn-lt"/>
              <a:ea typeface="+mn-ea"/>
              <a:cs typeface="+mn-cs"/>
            </a:rPr>
            <a:t> </a:t>
          </a:r>
        </a:p>
        <a:p>
          <a:endParaRPr lang="en-US" sz="1100"/>
        </a:p>
      </xdr:txBody>
    </xdr:sp>
    <xdr:clientData/>
  </xdr:twoCellAnchor>
  <xdr:twoCellAnchor>
    <xdr:from>
      <xdr:col>6</xdr:col>
      <xdr:colOff>6350</xdr:colOff>
      <xdr:row>12</xdr:row>
      <xdr:rowOff>12700</xdr:rowOff>
    </xdr:from>
    <xdr:to>
      <xdr:col>12</xdr:col>
      <xdr:colOff>501650</xdr:colOff>
      <xdr:row>21</xdr:row>
      <xdr:rowOff>15875</xdr:rowOff>
    </xdr:to>
    <xdr:sp macro="" textlink="">
      <xdr:nvSpPr>
        <xdr:cNvPr id="6" name="TextBox 5">
          <a:extLst>
            <a:ext uri="{FF2B5EF4-FFF2-40B4-BE49-F238E27FC236}">
              <a16:creationId xmlns:a16="http://schemas.microsoft.com/office/drawing/2014/main" id="{678BAB01-4F6C-4E55-8196-6579BDD5E488}"/>
            </a:ext>
          </a:extLst>
        </xdr:cNvPr>
        <xdr:cNvSpPr txBox="1"/>
      </xdr:nvSpPr>
      <xdr:spPr>
        <a:xfrm>
          <a:off x="457200" y="4171950"/>
          <a:ext cx="4152900" cy="163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DISCLAIMER: The materials contained in the online course are not intended as a representation or warranty on the part of John</a:t>
          </a:r>
          <a:r>
            <a:rPr lang="en-US" sz="1100" baseline="0">
              <a:solidFill>
                <a:schemeClr val="dk1"/>
              </a:solidFill>
              <a:effectLst/>
              <a:latin typeface="+mn-lt"/>
              <a:ea typeface="+mn-ea"/>
              <a:cs typeface="+mn-cs"/>
            </a:rPr>
            <a:t> Andrew LLC</a:t>
          </a:r>
          <a:r>
            <a:rPr lang="en-US" sz="1100">
              <a:solidFill>
                <a:schemeClr val="dk1"/>
              </a:solidFill>
              <a:effectLst/>
              <a:latin typeface="+mn-lt"/>
              <a:ea typeface="+mn-ea"/>
              <a:cs typeface="+mn-cs"/>
            </a:rPr>
            <a:t> or any other person/organization named herein. The materials are for general information only. They are not a substitute for competent professional advice. Application of this information to a specific project should be reviewed by a registered professional engineer. Anyone making use of the information set forth herein does so at their own risk and assumes any and all resulting liability arising therefrom. </a:t>
          </a:r>
        </a:p>
        <a:p>
          <a:r>
            <a:rPr lang="en-US" sz="1100">
              <a:solidFill>
                <a:schemeClr val="dk1"/>
              </a:solidFill>
              <a:effectLst/>
              <a:latin typeface="+mn-lt"/>
              <a:ea typeface="+mn-ea"/>
              <a:cs typeface="+mn-cs"/>
            </a:rPr>
            <a:t> </a:t>
          </a:r>
        </a:p>
        <a:p>
          <a:endParaRPr lang="en-US" sz="1100"/>
        </a:p>
      </xdr:txBody>
    </xdr:sp>
    <xdr:clientData/>
  </xdr:twoCellAnchor>
  <xdr:twoCellAnchor editAs="oneCell">
    <xdr:from>
      <xdr:col>8</xdr:col>
      <xdr:colOff>0</xdr:colOff>
      <xdr:row>148</xdr:row>
      <xdr:rowOff>195384</xdr:rowOff>
    </xdr:from>
    <xdr:to>
      <xdr:col>16</xdr:col>
      <xdr:colOff>24186</xdr:colOff>
      <xdr:row>162</xdr:row>
      <xdr:rowOff>57290</xdr:rowOff>
    </xdr:to>
    <xdr:pic>
      <xdr:nvPicPr>
        <xdr:cNvPr id="7" name="Picture 6">
          <a:extLst>
            <a:ext uri="{FF2B5EF4-FFF2-40B4-BE49-F238E27FC236}">
              <a16:creationId xmlns:a16="http://schemas.microsoft.com/office/drawing/2014/main" id="{AFE8F03F-AD67-0FAC-2C6B-4B98B9C6C946}"/>
            </a:ext>
          </a:extLst>
        </xdr:cNvPr>
        <xdr:cNvPicPr>
          <a:picLocks noChangeAspect="1"/>
        </xdr:cNvPicPr>
      </xdr:nvPicPr>
      <xdr:blipFill>
        <a:blip xmlns:r="http://schemas.openxmlformats.org/officeDocument/2006/relationships" r:embed="rId6"/>
        <a:stretch>
          <a:fillRect/>
        </a:stretch>
      </xdr:blipFill>
      <xdr:spPr>
        <a:xfrm>
          <a:off x="8811846" y="29547038"/>
          <a:ext cx="4908802" cy="2724290"/>
        </a:xfrm>
        <a:prstGeom prst="rect">
          <a:avLst/>
        </a:prstGeom>
      </xdr:spPr>
    </xdr:pic>
    <xdr:clientData/>
  </xdr:twoCellAnchor>
  <xdr:twoCellAnchor editAs="oneCell">
    <xdr:from>
      <xdr:col>6</xdr:col>
      <xdr:colOff>522654</xdr:colOff>
      <xdr:row>27</xdr:row>
      <xdr:rowOff>175845</xdr:rowOff>
    </xdr:from>
    <xdr:to>
      <xdr:col>16</xdr:col>
      <xdr:colOff>97819</xdr:colOff>
      <xdr:row>36</xdr:row>
      <xdr:rowOff>9769</xdr:rowOff>
    </xdr:to>
    <xdr:pic>
      <xdr:nvPicPr>
        <xdr:cNvPr id="8" name="Picture 7">
          <a:extLst>
            <a:ext uri="{FF2B5EF4-FFF2-40B4-BE49-F238E27FC236}">
              <a16:creationId xmlns:a16="http://schemas.microsoft.com/office/drawing/2014/main" id="{7F229BD7-2150-C31A-216C-69E52B17D89E}"/>
            </a:ext>
          </a:extLst>
        </xdr:cNvPr>
        <xdr:cNvPicPr>
          <a:picLocks noChangeAspect="1"/>
        </xdr:cNvPicPr>
      </xdr:nvPicPr>
      <xdr:blipFill>
        <a:blip xmlns:r="http://schemas.openxmlformats.org/officeDocument/2006/relationships" r:embed="rId7"/>
        <a:stretch>
          <a:fillRect/>
        </a:stretch>
      </xdr:blipFill>
      <xdr:spPr>
        <a:xfrm>
          <a:off x="8074269" y="5485422"/>
          <a:ext cx="5720012" cy="1592385"/>
        </a:xfrm>
        <a:prstGeom prst="rect">
          <a:avLst/>
        </a:prstGeom>
      </xdr:spPr>
    </xdr:pic>
    <xdr:clientData/>
  </xdr:twoCellAnchor>
  <xdr:twoCellAnchor editAs="oneCell">
    <xdr:from>
      <xdr:col>9</xdr:col>
      <xdr:colOff>503116</xdr:colOff>
      <xdr:row>37</xdr:row>
      <xdr:rowOff>102577</xdr:rowOff>
    </xdr:from>
    <xdr:to>
      <xdr:col>12</xdr:col>
      <xdr:colOff>278018</xdr:colOff>
      <xdr:row>44</xdr:row>
      <xdr:rowOff>14231</xdr:rowOff>
    </xdr:to>
    <xdr:pic>
      <xdr:nvPicPr>
        <xdr:cNvPr id="9" name="Picture 8">
          <a:extLst>
            <a:ext uri="{FF2B5EF4-FFF2-40B4-BE49-F238E27FC236}">
              <a16:creationId xmlns:a16="http://schemas.microsoft.com/office/drawing/2014/main" id="{98F6B6AB-ED74-2F78-185C-8F32B9FADE4A}"/>
            </a:ext>
          </a:extLst>
        </xdr:cNvPr>
        <xdr:cNvPicPr>
          <a:picLocks noChangeAspect="1"/>
        </xdr:cNvPicPr>
      </xdr:nvPicPr>
      <xdr:blipFill>
        <a:blip xmlns:r="http://schemas.openxmlformats.org/officeDocument/2006/relationships" r:embed="rId8"/>
        <a:stretch>
          <a:fillRect/>
        </a:stretch>
      </xdr:blipFill>
      <xdr:spPr>
        <a:xfrm>
          <a:off x="9925539" y="7366000"/>
          <a:ext cx="1606633" cy="12891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1450975</xdr:colOff>
      <xdr:row>2</xdr:row>
      <xdr:rowOff>63500</xdr:rowOff>
    </xdr:from>
    <xdr:to>
      <xdr:col>2</xdr:col>
      <xdr:colOff>368300</xdr:colOff>
      <xdr:row>8</xdr:row>
      <xdr:rowOff>50841</xdr:rowOff>
    </xdr:to>
    <xdr:sp macro="" textlink="">
      <xdr:nvSpPr>
        <xdr:cNvPr id="3073" name="Text Box 1">
          <a:extLst>
            <a:ext uri="{FF2B5EF4-FFF2-40B4-BE49-F238E27FC236}">
              <a16:creationId xmlns:a16="http://schemas.microsoft.com/office/drawing/2014/main" id="{AF30A576-E032-9397-EC86-E9A2671DAD39}"/>
            </a:ext>
          </a:extLst>
        </xdr:cNvPr>
        <xdr:cNvSpPr txBox="1">
          <a:spLocks noChangeArrowheads="1"/>
        </xdr:cNvSpPr>
      </xdr:nvSpPr>
      <xdr:spPr bwMode="auto">
        <a:xfrm>
          <a:off x="1450975" y="488950"/>
          <a:ext cx="3038475" cy="120019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900"/>
            </a:lnSpc>
            <a:defRPr sz="1000"/>
          </a:pPr>
          <a:endParaRPr lang="en-US" sz="1000" b="1" i="0" u="none" strike="noStrike" baseline="0">
            <a:solidFill>
              <a:srgbClr val="000000"/>
            </a:solidFill>
            <a:latin typeface="Arial"/>
            <a:cs typeface="Arial"/>
          </a:endParaRPr>
        </a:p>
        <a:p>
          <a:pPr algn="l" rtl="0">
            <a:lnSpc>
              <a:spcPts val="900"/>
            </a:lnSpc>
            <a:defRPr sz="1000"/>
          </a:pPr>
          <a:r>
            <a:rPr lang="en-US" sz="1200" b="1" i="0" u="none" strike="noStrike" baseline="0">
              <a:solidFill>
                <a:srgbClr val="000000"/>
              </a:solidFill>
              <a:latin typeface="Arial"/>
              <a:cs typeface="Arial"/>
            </a:rPr>
            <a:t>Bulk Material Trajectory</a:t>
          </a:r>
        </a:p>
        <a:p>
          <a:pPr algn="l" rtl="0">
            <a:lnSpc>
              <a:spcPts val="900"/>
            </a:lnSpc>
            <a:defRPr sz="1000"/>
          </a:pPr>
          <a:endParaRPr lang="en-US" sz="1200" b="0" i="0" u="none" strike="noStrike" baseline="0">
            <a:solidFill>
              <a:srgbClr val="000000"/>
            </a:solidFill>
            <a:latin typeface="Arial"/>
            <a:cs typeface="Arial"/>
          </a:endParaRPr>
        </a:p>
        <a:p>
          <a:pPr algn="l" rtl="0">
            <a:lnSpc>
              <a:spcPts val="1000"/>
            </a:lnSpc>
            <a:defRPr sz="1000"/>
          </a:pPr>
          <a:r>
            <a:rPr lang="en-US" sz="1200" b="0" i="0" u="none" strike="noStrike" baseline="0">
              <a:solidFill>
                <a:srgbClr val="000000"/>
              </a:solidFill>
              <a:latin typeface="Arial"/>
              <a:cs typeface="Arial"/>
            </a:rPr>
            <a:t>The trajectory of the bulk material as it leaves the top of the head pulley can be calculated and plotted using the formulas below. The magnet removes tramp iron from the material carried on the conveyor belt.</a:t>
          </a:r>
        </a:p>
        <a:p>
          <a:pPr algn="l" rtl="0">
            <a:lnSpc>
              <a:spcPts val="900"/>
            </a:lnSpc>
            <a:defRPr sz="1000"/>
          </a:pPr>
          <a:endParaRPr lang="en-US" sz="1000" b="0" i="0" u="none" strike="noStrike" baseline="0">
            <a:solidFill>
              <a:srgbClr val="000000"/>
            </a:solidFill>
            <a:latin typeface="Arial"/>
            <a:cs typeface="Arial"/>
          </a:endParaRPr>
        </a:p>
        <a:p>
          <a:pPr algn="l" rtl="0">
            <a:lnSpc>
              <a:spcPts val="900"/>
            </a:lnSpc>
            <a:defRPr sz="1000"/>
          </a:pPr>
          <a:endParaRPr lang="en-US" sz="1000" b="0" i="0" u="none" strike="noStrike" baseline="0">
            <a:solidFill>
              <a:srgbClr val="000000"/>
            </a:solidFill>
            <a:latin typeface="Arial"/>
            <a:cs typeface="Arial"/>
          </a:endParaRPr>
        </a:p>
        <a:p>
          <a:pPr algn="l" rtl="0">
            <a:lnSpc>
              <a:spcPts val="900"/>
            </a:lnSpc>
            <a:defRPr sz="1000"/>
          </a:pPr>
          <a:endParaRPr lang="en-US" sz="1000" b="0" i="0" u="none" strike="noStrike" baseline="0">
            <a:solidFill>
              <a:srgbClr val="000000"/>
            </a:solidFill>
            <a:latin typeface="Arial"/>
            <a:cs typeface="Arial"/>
          </a:endParaRPr>
        </a:p>
      </xdr:txBody>
    </xdr:sp>
    <xdr:clientData/>
  </xdr:twoCellAnchor>
  <xdr:twoCellAnchor>
    <xdr:from>
      <xdr:col>0</xdr:col>
      <xdr:colOff>508000</xdr:colOff>
      <xdr:row>69</xdr:row>
      <xdr:rowOff>95250</xdr:rowOff>
    </xdr:from>
    <xdr:to>
      <xdr:col>4</xdr:col>
      <xdr:colOff>387397</xdr:colOff>
      <xdr:row>96</xdr:row>
      <xdr:rowOff>88905</xdr:rowOff>
    </xdr:to>
    <xdr:sp macro="" textlink="">
      <xdr:nvSpPr>
        <xdr:cNvPr id="3075" name="Text Box 3">
          <a:extLst>
            <a:ext uri="{FF2B5EF4-FFF2-40B4-BE49-F238E27FC236}">
              <a16:creationId xmlns:a16="http://schemas.microsoft.com/office/drawing/2014/main" id="{2E76F7D2-E6E0-C167-3CCD-493553517B4E}"/>
            </a:ext>
          </a:extLst>
        </xdr:cNvPr>
        <xdr:cNvSpPr txBox="1">
          <a:spLocks noChangeArrowheads="1"/>
        </xdr:cNvSpPr>
      </xdr:nvSpPr>
      <xdr:spPr bwMode="auto">
        <a:xfrm>
          <a:off x="733425" y="10820400"/>
          <a:ext cx="4572000" cy="4371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Example: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Given a belt slope of +15 degrees, find the belt speed S that will result in an impact point at, X1 = 3 ft after traveling 0.50 seconds. What will Y1 be?</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Solution:</a:t>
          </a:r>
        </a:p>
        <a:p>
          <a:pPr algn="l" rtl="0">
            <a:defRPr sz="1000"/>
          </a:pPr>
          <a:r>
            <a:rPr lang="en-US" sz="1200" b="1" i="0" u="none" strike="noStrike" baseline="0">
              <a:solidFill>
                <a:srgbClr val="000000"/>
              </a:solidFill>
              <a:latin typeface="Arial"/>
              <a:cs typeface="Arial"/>
            </a:rPr>
            <a:t>* </a:t>
          </a:r>
          <a:r>
            <a:rPr lang="en-US" sz="1200" b="0" i="0" u="none" strike="noStrike" baseline="0">
              <a:solidFill>
                <a:srgbClr val="000000"/>
              </a:solidFill>
              <a:latin typeface="Arial"/>
              <a:cs typeface="Arial"/>
            </a:rPr>
            <a:t>Select cell B35 containing the numerical value of </a:t>
          </a:r>
          <a:r>
            <a:rPr lang="en-US" sz="1200" b="1" i="0" u="none" strike="noStrike" baseline="0">
              <a:solidFill>
                <a:srgbClr val="000000"/>
              </a:solidFill>
              <a:latin typeface="Arial"/>
              <a:cs typeface="Arial"/>
            </a:rPr>
            <a:t>X1</a:t>
          </a:r>
          <a:r>
            <a:rPr lang="en-US" sz="1200" b="0" i="0" u="none" strike="noStrike" baseline="0">
              <a:solidFill>
                <a:srgbClr val="000000"/>
              </a:solidFill>
              <a:latin typeface="Arial"/>
              <a:cs typeface="Arial"/>
            </a:rPr>
            <a:t>.</a:t>
          </a:r>
          <a:endParaRPr lang="en-US" sz="1200" b="1"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Goal Seek</a:t>
          </a:r>
        </a:p>
        <a:p>
          <a:pPr algn="l" rtl="0">
            <a:defRPr sz="1000"/>
          </a:pPr>
          <a:r>
            <a:rPr lang="en-US" sz="1200" b="0" i="0" u="none" strike="noStrike" baseline="0">
              <a:solidFill>
                <a:srgbClr val="000000"/>
              </a:solidFill>
              <a:latin typeface="Arial"/>
              <a:cs typeface="Arial"/>
            </a:rPr>
            <a:t>1. Type input values: S = 300 and A = 15, and Δt = 0.50, above.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2. Pick the cell B35 containing the calculated numerical value [ 2.41 ] ft.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3. Pick drop down menu: Tools &gt; Goal Seek.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4. Pick "To value:" and type [ 3 ].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5. Pick "By changing cell:" Pick the cell B27 containing belt speed S = [300].</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6. OK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7. Optimized belt speed is calculated: S = 373   ft/min</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Answers:</a:t>
          </a:r>
          <a:endParaRPr lang="en-US" sz="1200" b="0" i="0" u="none" strike="noStrike" baseline="0">
            <a:solidFill>
              <a:srgbClr val="000000"/>
            </a:solidFill>
            <a:latin typeface="Arial"/>
            <a:cs typeface="Arial"/>
          </a:endParaRPr>
        </a:p>
        <a:p>
          <a:pPr algn="l" rtl="0">
            <a:defRPr sz="1000"/>
          </a:pPr>
          <a:r>
            <a:rPr lang="en-US" sz="1200" b="0" i="0" u="sng" strike="noStrike" baseline="0">
              <a:solidFill>
                <a:srgbClr val="000000"/>
              </a:solidFill>
              <a:latin typeface="Arial"/>
              <a:cs typeface="Arial"/>
            </a:rPr>
            <a:t>Belt Speed = 373 ft/min</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sng" strike="noStrike" baseline="0">
              <a:solidFill>
                <a:srgbClr val="000000"/>
              </a:solidFill>
              <a:latin typeface="Arial"/>
              <a:cs typeface="Arial"/>
            </a:rPr>
            <a:t>Distance traveled in 0.50 seconds vertically,  Y1 = -3.22 ft</a:t>
          </a: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0</xdr:col>
      <xdr:colOff>349250</xdr:colOff>
      <xdr:row>39</xdr:row>
      <xdr:rowOff>12700</xdr:rowOff>
    </xdr:from>
    <xdr:to>
      <xdr:col>4</xdr:col>
      <xdr:colOff>501650</xdr:colOff>
      <xdr:row>51</xdr:row>
      <xdr:rowOff>6350</xdr:rowOff>
    </xdr:to>
    <xdr:pic>
      <xdr:nvPicPr>
        <xdr:cNvPr id="3654" name="Picture 6" descr="BELT-CONVEYORS-CHUTE">
          <a:extLst>
            <a:ext uri="{FF2B5EF4-FFF2-40B4-BE49-F238E27FC236}">
              <a16:creationId xmlns:a16="http://schemas.microsoft.com/office/drawing/2014/main" id="{4882DE6C-7E4E-9541-7BB9-4282AC0FF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6978650"/>
          <a:ext cx="5492750" cy="235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485775</xdr:colOff>
      <xdr:row>55</xdr:row>
      <xdr:rowOff>19050</xdr:rowOff>
    </xdr:from>
    <xdr:to>
      <xdr:col>4</xdr:col>
      <xdr:colOff>387350</xdr:colOff>
      <xdr:row>68</xdr:row>
      <xdr:rowOff>44410</xdr:rowOff>
    </xdr:to>
    <xdr:sp macro="" textlink="">
      <xdr:nvSpPr>
        <xdr:cNvPr id="3079" name="Text Box 7">
          <a:extLst>
            <a:ext uri="{FF2B5EF4-FFF2-40B4-BE49-F238E27FC236}">
              <a16:creationId xmlns:a16="http://schemas.microsoft.com/office/drawing/2014/main" id="{6C11051B-79ED-4CC7-81D9-BB327E5CE93E}"/>
            </a:ext>
          </a:extLst>
        </xdr:cNvPr>
        <xdr:cNvSpPr txBox="1">
          <a:spLocks noChangeArrowheads="1"/>
        </xdr:cNvSpPr>
      </xdr:nvSpPr>
      <xdr:spPr bwMode="auto">
        <a:xfrm>
          <a:off x="485775" y="10591800"/>
          <a:ext cx="5241925" cy="258441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Head Chute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head chute confines dust. A hinged, removable baffle plate is used to reduce dimension X1 in confined areas. Stray particles are deflected by the dribble chute onto the next conveyor.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inspection door allows access to rod out material pluging the chute.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Conveyors are usually equipped with a walkway running the full length on one side. Outdoor conveyors may need a cover.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stop cable should be provided the full length on the walkway side of the conveyor.</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0</xdr:col>
      <xdr:colOff>1162050</xdr:colOff>
      <xdr:row>9</xdr:row>
      <xdr:rowOff>76200</xdr:rowOff>
    </xdr:from>
    <xdr:to>
      <xdr:col>5</xdr:col>
      <xdr:colOff>600144</xdr:colOff>
      <xdr:row>24</xdr:row>
      <xdr:rowOff>88900</xdr:rowOff>
    </xdr:to>
    <xdr:pic>
      <xdr:nvPicPr>
        <xdr:cNvPr id="3656" name="Picture 9" descr="BELT-CONVEYORS-DWG-2">
          <a:extLst>
            <a:ext uri="{FF2B5EF4-FFF2-40B4-BE49-F238E27FC236}">
              <a16:creationId xmlns:a16="http://schemas.microsoft.com/office/drawing/2014/main" id="{49067380-045F-B07A-6A26-F75EB6A1B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 y="1517650"/>
          <a:ext cx="5388044" cy="296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273051</xdr:colOff>
      <xdr:row>3</xdr:row>
      <xdr:rowOff>50800</xdr:rowOff>
    </xdr:from>
    <xdr:to>
      <xdr:col>4</xdr:col>
      <xdr:colOff>63501</xdr:colOff>
      <xdr:row>10</xdr:row>
      <xdr:rowOff>190500</xdr:rowOff>
    </xdr:to>
    <xdr:sp macro="" textlink="">
      <xdr:nvSpPr>
        <xdr:cNvPr id="4098" name="Text Box 2">
          <a:extLst>
            <a:ext uri="{FF2B5EF4-FFF2-40B4-BE49-F238E27FC236}">
              <a16:creationId xmlns:a16="http://schemas.microsoft.com/office/drawing/2014/main" id="{822E37D6-F455-7CB3-7560-77DACA4E1FD2}"/>
            </a:ext>
          </a:extLst>
        </xdr:cNvPr>
        <xdr:cNvSpPr txBox="1">
          <a:spLocks noChangeArrowheads="1"/>
        </xdr:cNvSpPr>
      </xdr:nvSpPr>
      <xdr:spPr bwMode="auto">
        <a:xfrm>
          <a:off x="273051" y="704850"/>
          <a:ext cx="4165600" cy="151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Trough Belt Conveyor Power</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equations below are approximate and are to be applied to preliminary engineering estimates only. Refer to, "Belt Conveyors for Bulk Materials" a CEMA publication, for more detailed and accurate data and formulas. CEMA refers to, Conveyor Equipment Manufactures Association.</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298451</xdr:colOff>
      <xdr:row>63</xdr:row>
      <xdr:rowOff>31750</xdr:rowOff>
    </xdr:from>
    <xdr:to>
      <xdr:col>2</xdr:col>
      <xdr:colOff>654051</xdr:colOff>
      <xdr:row>68</xdr:row>
      <xdr:rowOff>63637</xdr:rowOff>
    </xdr:to>
    <xdr:sp macro="" textlink="">
      <xdr:nvSpPr>
        <xdr:cNvPr id="4103" name="Text Box 7">
          <a:extLst>
            <a:ext uri="{FF2B5EF4-FFF2-40B4-BE49-F238E27FC236}">
              <a16:creationId xmlns:a16="http://schemas.microsoft.com/office/drawing/2014/main" id="{F7CFD966-5309-6B5A-F3A9-FB54D2E1DA8D}"/>
            </a:ext>
          </a:extLst>
        </xdr:cNvPr>
        <xdr:cNvSpPr txBox="1">
          <a:spLocks noChangeArrowheads="1"/>
        </xdr:cNvSpPr>
      </xdr:nvSpPr>
      <xdr:spPr bwMode="auto">
        <a:xfrm>
          <a:off x="698501" y="12617450"/>
          <a:ext cx="3841750" cy="101613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Arial"/>
              <a:cs typeface="Arial"/>
            </a:rPr>
            <a:t>Assume the drive pulley will be lagged with a 1/2 inch thick layer of grooved rubber and the angle of belt wrap around the pulley will be 200 degrees, with a snub pulley, and the conveyor will have a gravity take-up.</a:t>
          </a:r>
        </a:p>
        <a:p>
          <a:pPr algn="l" rtl="0">
            <a:defRPr sz="1000"/>
          </a:pPr>
          <a:r>
            <a:rPr lang="en-US" sz="1200" b="0" i="0" u="none" strike="noStrike" baseline="0">
              <a:solidFill>
                <a:srgbClr val="000000"/>
              </a:solidFill>
              <a:latin typeface="Arial"/>
              <a:cs typeface="Arial"/>
            </a:rPr>
            <a:t>DF = Drive factor = 0.42</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273050</xdr:colOff>
      <xdr:row>73</xdr:row>
      <xdr:rowOff>25400</xdr:rowOff>
    </xdr:from>
    <xdr:to>
      <xdr:col>3</xdr:col>
      <xdr:colOff>333354</xdr:colOff>
      <xdr:row>77</xdr:row>
      <xdr:rowOff>19082</xdr:rowOff>
    </xdr:to>
    <xdr:sp macro="" textlink="">
      <xdr:nvSpPr>
        <xdr:cNvPr id="4104" name="Text Box 8">
          <a:extLst>
            <a:ext uri="{FF2B5EF4-FFF2-40B4-BE49-F238E27FC236}">
              <a16:creationId xmlns:a16="http://schemas.microsoft.com/office/drawing/2014/main" id="{AD9C48D4-2C7B-8FB9-ED6E-A16ED5E6EFB1}"/>
            </a:ext>
          </a:extLst>
        </xdr:cNvPr>
        <xdr:cNvSpPr txBox="1">
          <a:spLocks noChangeArrowheads="1"/>
        </xdr:cNvSpPr>
      </xdr:nvSpPr>
      <xdr:spPr bwMode="auto">
        <a:xfrm>
          <a:off x="390525" y="11877675"/>
          <a:ext cx="3581400" cy="6381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conveyor belt must have a tension rating high enough to withstand the sum of the tight and slack side tensions.</a:t>
          </a:r>
        </a:p>
      </xdr:txBody>
    </xdr:sp>
    <xdr:clientData/>
  </xdr:twoCellAnchor>
  <xdr:twoCellAnchor>
    <xdr:from>
      <xdr:col>5</xdr:col>
      <xdr:colOff>127000</xdr:colOff>
      <xdr:row>25</xdr:row>
      <xdr:rowOff>184150</xdr:rowOff>
    </xdr:from>
    <xdr:to>
      <xdr:col>7</xdr:col>
      <xdr:colOff>571500</xdr:colOff>
      <xdr:row>35</xdr:row>
      <xdr:rowOff>184150</xdr:rowOff>
    </xdr:to>
    <xdr:sp macro="" textlink="">
      <xdr:nvSpPr>
        <xdr:cNvPr id="4110" name="Text Box 14">
          <a:extLst>
            <a:ext uri="{FF2B5EF4-FFF2-40B4-BE49-F238E27FC236}">
              <a16:creationId xmlns:a16="http://schemas.microsoft.com/office/drawing/2014/main" id="{5A3DE6CA-72E7-081D-01ED-3FD266C193B2}"/>
            </a:ext>
          </a:extLst>
        </xdr:cNvPr>
        <xdr:cNvSpPr txBox="1">
          <a:spLocks noChangeArrowheads="1"/>
        </xdr:cNvSpPr>
      </xdr:nvSpPr>
      <xdr:spPr bwMode="auto">
        <a:xfrm>
          <a:off x="5111750" y="5168900"/>
          <a:ext cx="1663700" cy="1974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200" b="0" i="0" u="sng" strike="noStrike" baseline="0">
            <a:solidFill>
              <a:srgbClr val="000000"/>
            </a:solidFill>
            <a:latin typeface="Arial"/>
            <a:cs typeface="Arial"/>
          </a:endParaRPr>
        </a:p>
        <a:p>
          <a:pPr algn="l" rtl="0">
            <a:defRPr sz="1000"/>
          </a:pPr>
          <a:r>
            <a:rPr lang="en-US" sz="1200" b="0" i="0" u="sng" strike="noStrike" baseline="0">
              <a:solidFill>
                <a:srgbClr val="000000"/>
              </a:solidFill>
              <a:latin typeface="Arial"/>
              <a:cs typeface="Arial"/>
            </a:rPr>
            <a:t>Standard Belt Widths</a:t>
          </a:r>
        </a:p>
        <a:p>
          <a:pPr algn="l" rtl="0">
            <a:defRPr sz="1000"/>
          </a:pPr>
          <a:r>
            <a:rPr lang="en-US" sz="1200" b="0" i="0" u="none" strike="noStrike" baseline="0">
              <a:solidFill>
                <a:srgbClr val="000000"/>
              </a:solidFill>
              <a:latin typeface="Arial"/>
              <a:cs typeface="Arial"/>
            </a:rPr>
            <a:t>             24</a:t>
          </a:r>
        </a:p>
        <a:p>
          <a:pPr algn="l" rtl="0">
            <a:defRPr sz="1000"/>
          </a:pPr>
          <a:r>
            <a:rPr lang="en-US" sz="1200" b="0" i="0" u="none" strike="noStrike" baseline="0">
              <a:solidFill>
                <a:srgbClr val="000000"/>
              </a:solidFill>
              <a:latin typeface="Arial"/>
              <a:cs typeface="Arial"/>
            </a:rPr>
            <a:t>             30</a:t>
          </a:r>
        </a:p>
        <a:p>
          <a:pPr algn="l" rtl="0">
            <a:defRPr sz="1000"/>
          </a:pPr>
          <a:r>
            <a:rPr lang="en-US" sz="1200" b="0" i="0" u="none" strike="noStrike" baseline="0">
              <a:solidFill>
                <a:srgbClr val="000000"/>
              </a:solidFill>
              <a:latin typeface="Arial"/>
              <a:cs typeface="Arial"/>
            </a:rPr>
            <a:t>             36</a:t>
          </a:r>
        </a:p>
        <a:p>
          <a:pPr algn="l" rtl="0">
            <a:defRPr sz="1000"/>
          </a:pPr>
          <a:r>
            <a:rPr lang="en-US" sz="1200" b="0" i="0" u="none" strike="noStrike" baseline="0">
              <a:solidFill>
                <a:srgbClr val="000000"/>
              </a:solidFill>
              <a:latin typeface="Arial"/>
              <a:cs typeface="Arial"/>
            </a:rPr>
            <a:t>             42</a:t>
          </a:r>
        </a:p>
        <a:p>
          <a:pPr algn="l" rtl="0">
            <a:defRPr sz="1000"/>
          </a:pPr>
          <a:r>
            <a:rPr lang="en-US" sz="1200" b="0" i="0" u="none" strike="noStrike" baseline="0">
              <a:solidFill>
                <a:srgbClr val="000000"/>
              </a:solidFill>
              <a:latin typeface="Arial"/>
              <a:cs typeface="Arial"/>
            </a:rPr>
            <a:t>             48</a:t>
          </a:r>
        </a:p>
        <a:p>
          <a:pPr algn="l" rtl="0">
            <a:defRPr sz="1000"/>
          </a:pPr>
          <a:r>
            <a:rPr lang="en-US" sz="1200" b="0" i="0" u="none" strike="noStrike" baseline="0">
              <a:solidFill>
                <a:srgbClr val="000000"/>
              </a:solidFill>
              <a:latin typeface="Arial"/>
              <a:cs typeface="Arial"/>
            </a:rPr>
            <a:t>             54</a:t>
          </a:r>
        </a:p>
        <a:p>
          <a:pPr algn="l" rtl="0">
            <a:defRPr sz="1000"/>
          </a:pPr>
          <a:r>
            <a:rPr lang="en-US" sz="1200" b="0" i="0" u="none" strike="noStrike" baseline="0">
              <a:solidFill>
                <a:srgbClr val="000000"/>
              </a:solidFill>
              <a:latin typeface="Arial"/>
              <a:cs typeface="Arial"/>
            </a:rPr>
            <a:t>             60</a:t>
          </a:r>
        </a:p>
        <a:p>
          <a:pPr algn="l" rtl="0">
            <a:defRPr sz="1000"/>
          </a:pPr>
          <a:r>
            <a:rPr lang="en-US" sz="1200" b="0" i="0" u="none" strike="noStrike" baseline="0">
              <a:solidFill>
                <a:srgbClr val="000000"/>
              </a:solidFill>
              <a:latin typeface="Arial"/>
              <a:cs typeface="Arial"/>
            </a:rPr>
            <a:t>             72</a:t>
          </a:r>
          <a:endParaRPr lang="en-US" sz="1000" b="0" i="0" u="none" strike="noStrike" baseline="0">
            <a:solidFill>
              <a:srgbClr val="000000"/>
            </a:solidFill>
            <a:latin typeface="Arial"/>
            <a:cs typeface="Arial"/>
          </a:endParaRPr>
        </a:p>
      </xdr:txBody>
    </xdr:sp>
    <xdr:clientData/>
  </xdr:twoCellAnchor>
  <xdr:twoCellAnchor>
    <xdr:from>
      <xdr:col>1</xdr:col>
      <xdr:colOff>247651</xdr:colOff>
      <xdr:row>81</xdr:row>
      <xdr:rowOff>101600</xdr:rowOff>
    </xdr:from>
    <xdr:to>
      <xdr:col>2</xdr:col>
      <xdr:colOff>349251</xdr:colOff>
      <xdr:row>85</xdr:row>
      <xdr:rowOff>6350</xdr:rowOff>
    </xdr:to>
    <xdr:sp macro="" textlink="">
      <xdr:nvSpPr>
        <xdr:cNvPr id="4111" name="Text Box 15">
          <a:extLst>
            <a:ext uri="{FF2B5EF4-FFF2-40B4-BE49-F238E27FC236}">
              <a16:creationId xmlns:a16="http://schemas.microsoft.com/office/drawing/2014/main" id="{502387C9-991E-B63A-740B-70BE4677FA20}"/>
            </a:ext>
          </a:extLst>
        </xdr:cNvPr>
        <xdr:cNvSpPr txBox="1">
          <a:spLocks noChangeArrowheads="1"/>
        </xdr:cNvSpPr>
      </xdr:nvSpPr>
      <xdr:spPr bwMode="auto">
        <a:xfrm>
          <a:off x="647701" y="16256000"/>
          <a:ext cx="3587750" cy="6921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Arial"/>
              <a:cs typeface="Arial"/>
            </a:rPr>
            <a:t>Conveyor belts are strength and endurance rated in lbs per inch of belt width. This value will be given to the belt vendor when selecting a belt. </a:t>
          </a:r>
        </a:p>
      </xdr:txBody>
    </xdr:sp>
    <xdr:clientData/>
  </xdr:twoCellAnchor>
  <xdr:twoCellAnchor>
    <xdr:from>
      <xdr:col>1</xdr:col>
      <xdr:colOff>228600</xdr:colOff>
      <xdr:row>90</xdr:row>
      <xdr:rowOff>139700</xdr:rowOff>
    </xdr:from>
    <xdr:to>
      <xdr:col>2</xdr:col>
      <xdr:colOff>184150</xdr:colOff>
      <xdr:row>93</xdr:row>
      <xdr:rowOff>114300</xdr:rowOff>
    </xdr:to>
    <xdr:sp macro="" textlink="">
      <xdr:nvSpPr>
        <xdr:cNvPr id="4112" name="Text Box 16">
          <a:extLst>
            <a:ext uri="{FF2B5EF4-FFF2-40B4-BE49-F238E27FC236}">
              <a16:creationId xmlns:a16="http://schemas.microsoft.com/office/drawing/2014/main" id="{5E6D09E9-427B-DDF9-5057-44BCEB924B2C}"/>
            </a:ext>
          </a:extLst>
        </xdr:cNvPr>
        <xdr:cNvSpPr txBox="1">
          <a:spLocks noChangeArrowheads="1"/>
        </xdr:cNvSpPr>
      </xdr:nvSpPr>
      <xdr:spPr bwMode="auto">
        <a:xfrm>
          <a:off x="628650" y="18097500"/>
          <a:ext cx="3441700" cy="5651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Arial"/>
              <a:cs typeface="Arial"/>
            </a:rPr>
            <a:t>The conveyor motor must overcome the difference between belt tight side and slack side tensions. This is the effective belt tension (Te).</a:t>
          </a:r>
        </a:p>
      </xdr:txBody>
    </xdr:sp>
    <xdr:clientData/>
  </xdr:twoCellAnchor>
  <xdr:twoCellAnchor>
    <xdr:from>
      <xdr:col>1</xdr:col>
      <xdr:colOff>349250</xdr:colOff>
      <xdr:row>107</xdr:row>
      <xdr:rowOff>6350</xdr:rowOff>
    </xdr:from>
    <xdr:to>
      <xdr:col>4</xdr:col>
      <xdr:colOff>304800</xdr:colOff>
      <xdr:row>131</xdr:row>
      <xdr:rowOff>88835</xdr:rowOff>
    </xdr:to>
    <xdr:sp macro="" textlink="">
      <xdr:nvSpPr>
        <xdr:cNvPr id="4115" name="Text Box 19">
          <a:extLst>
            <a:ext uri="{FF2B5EF4-FFF2-40B4-BE49-F238E27FC236}">
              <a16:creationId xmlns:a16="http://schemas.microsoft.com/office/drawing/2014/main" id="{A9C2AC44-8D20-3FD6-F803-3D0659086340}"/>
            </a:ext>
          </a:extLst>
        </xdr:cNvPr>
        <xdr:cNvSpPr txBox="1">
          <a:spLocks noChangeArrowheads="1"/>
        </xdr:cNvSpPr>
      </xdr:nvSpPr>
      <xdr:spPr bwMode="auto">
        <a:xfrm>
          <a:off x="504825" y="16925925"/>
          <a:ext cx="4124325" cy="40100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Example: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Given a: 150 ft belt conveyor, 36 inch belt, belt speed 300 ft/min, belt slope of +15 degrees, requires a 45 hp drive motor. Assume normal values for drive efficiency, chute factor and start acceleration apply.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Goal Seek to calculate the belt conveyor capacity if a 60 hp motor replaced the 45 hp one.</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Solution:</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 Select cell B98 containing the numerical value of hp [ 45 ].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2. Pick drop down menu: Tools &gt; Goal Seek.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3. Pick "To value:" and type [ 60 ].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4. Pick "By changing cell containing the numerical value of TPH =: [ 350 ]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5. OK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6. Optimized belt capacity is calculated: TPH = [ 501 ]  tons/hr</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Answer:</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Desired conveyor capacity,  TPH = 501 tons/hr</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158750</xdr:colOff>
      <xdr:row>11</xdr:row>
      <xdr:rowOff>6350</xdr:rowOff>
    </xdr:from>
    <xdr:to>
      <xdr:col>6</xdr:col>
      <xdr:colOff>355324</xdr:colOff>
      <xdr:row>25</xdr:row>
      <xdr:rowOff>133350</xdr:rowOff>
    </xdr:to>
    <xdr:pic>
      <xdr:nvPicPr>
        <xdr:cNvPr id="14532" name="Picture 21" descr="BELT-CONVEYORS-DWG">
          <a:extLst>
            <a:ext uri="{FF2B5EF4-FFF2-40B4-BE49-F238E27FC236}">
              <a16:creationId xmlns:a16="http://schemas.microsoft.com/office/drawing/2014/main" id="{294121C9-7F33-289B-7371-B13DC1735C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 y="2235200"/>
          <a:ext cx="6641824"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387350</xdr:colOff>
      <xdr:row>14</xdr:row>
      <xdr:rowOff>19050</xdr:rowOff>
    </xdr:from>
    <xdr:to>
      <xdr:col>22</xdr:col>
      <xdr:colOff>120650</xdr:colOff>
      <xdr:row>37</xdr:row>
      <xdr:rowOff>82550</xdr:rowOff>
    </xdr:to>
    <xdr:pic>
      <xdr:nvPicPr>
        <xdr:cNvPr id="14533" name="Picture 1">
          <a:extLst>
            <a:ext uri="{FF2B5EF4-FFF2-40B4-BE49-F238E27FC236}">
              <a16:creationId xmlns:a16="http://schemas.microsoft.com/office/drawing/2014/main" id="{1FC52707-C361-3114-6A8A-7570F277A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2838450"/>
          <a:ext cx="8267700" cy="469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215900</xdr:colOff>
      <xdr:row>42</xdr:row>
      <xdr:rowOff>127000</xdr:rowOff>
    </xdr:from>
    <xdr:to>
      <xdr:col>22</xdr:col>
      <xdr:colOff>254000</xdr:colOff>
      <xdr:row>68</xdr:row>
      <xdr:rowOff>76200</xdr:rowOff>
    </xdr:to>
    <xdr:pic>
      <xdr:nvPicPr>
        <xdr:cNvPr id="14534" name="Picture 2">
          <a:extLst>
            <a:ext uri="{FF2B5EF4-FFF2-40B4-BE49-F238E27FC236}">
              <a16:creationId xmlns:a16="http://schemas.microsoft.com/office/drawing/2014/main" id="{028CDCCB-EE9B-38BC-1FB0-63800617B6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19850" y="6737350"/>
          <a:ext cx="9182100" cy="508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349250</xdr:colOff>
      <xdr:row>76</xdr:row>
      <xdr:rowOff>31750</xdr:rowOff>
    </xdr:from>
    <xdr:to>
      <xdr:col>22</xdr:col>
      <xdr:colOff>565150</xdr:colOff>
      <xdr:row>106</xdr:row>
      <xdr:rowOff>101600</xdr:rowOff>
    </xdr:to>
    <xdr:pic>
      <xdr:nvPicPr>
        <xdr:cNvPr id="14535" name="Picture 3">
          <a:extLst>
            <a:ext uri="{FF2B5EF4-FFF2-40B4-BE49-F238E27FC236}">
              <a16:creationId xmlns:a16="http://schemas.microsoft.com/office/drawing/2014/main" id="{2E76D65B-F614-56FD-0FA3-F212D742C7E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04150" y="15252700"/>
          <a:ext cx="9359900" cy="605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215900</xdr:colOff>
      <xdr:row>23</xdr:row>
      <xdr:rowOff>19051</xdr:rowOff>
    </xdr:from>
    <xdr:to>
      <xdr:col>5</xdr:col>
      <xdr:colOff>120650</xdr:colOff>
      <xdr:row>40</xdr:row>
      <xdr:rowOff>101601</xdr:rowOff>
    </xdr:to>
    <xdr:sp macro="" textlink="">
      <xdr:nvSpPr>
        <xdr:cNvPr id="6145" name="Text Box 1">
          <a:extLst>
            <a:ext uri="{FF2B5EF4-FFF2-40B4-BE49-F238E27FC236}">
              <a16:creationId xmlns:a16="http://schemas.microsoft.com/office/drawing/2014/main" id="{411B0B08-0477-6AA0-7E44-7E453A4CF9F7}"/>
            </a:ext>
          </a:extLst>
        </xdr:cNvPr>
        <xdr:cNvSpPr txBox="1">
          <a:spLocks noChangeArrowheads="1"/>
        </xdr:cNvSpPr>
      </xdr:nvSpPr>
      <xdr:spPr bwMode="auto">
        <a:xfrm>
          <a:off x="215900" y="4610101"/>
          <a:ext cx="5562600" cy="3429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Pulley Force System With Gear Drive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forces and torque acting on a typical belt conveyor head pulley are illustrated above. The pulley is crowned to keep the belt centered.</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Pulley drive torque Q is applied to the pulley shaft beyond the bearing on one side with a coupling. There is no overhang load as in the application of a chain drive.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difference between conveyor belt tight side tension Tt, and slack side tension Ts is overcome by drive chain tension.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Forces T1 and T2 at the left and right pulley hubs are equal to the sum of tight and slack side belt tensions.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shaft support reactions R1 and R2 act at the left and right bearings. One bearing is of the, "fixed" type and the other is, "movable". The shaft must be allowed to expand when its temperature increases.</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2</xdr:col>
      <xdr:colOff>101600</xdr:colOff>
      <xdr:row>41</xdr:row>
      <xdr:rowOff>50800</xdr:rowOff>
    </xdr:from>
    <xdr:to>
      <xdr:col>6</xdr:col>
      <xdr:colOff>137182</xdr:colOff>
      <xdr:row>50</xdr:row>
      <xdr:rowOff>88900</xdr:rowOff>
    </xdr:to>
    <xdr:pic>
      <xdr:nvPicPr>
        <xdr:cNvPr id="11201" name="Picture 2" descr="S-N-GRAPH">
          <a:extLst>
            <a:ext uri="{FF2B5EF4-FFF2-40B4-BE49-F238E27FC236}">
              <a16:creationId xmlns:a16="http://schemas.microsoft.com/office/drawing/2014/main" id="{8FF1270E-2139-C9DE-BC58-D7B52AF67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3550" y="8185150"/>
          <a:ext cx="3401082"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203200</xdr:colOff>
      <xdr:row>42</xdr:row>
      <xdr:rowOff>6350</xdr:rowOff>
    </xdr:from>
    <xdr:to>
      <xdr:col>1</xdr:col>
      <xdr:colOff>2730500</xdr:colOff>
      <xdr:row>50</xdr:row>
      <xdr:rowOff>50800</xdr:rowOff>
    </xdr:to>
    <xdr:sp macro="" textlink="">
      <xdr:nvSpPr>
        <xdr:cNvPr id="6147" name="Text Box 3">
          <a:extLst>
            <a:ext uri="{FF2B5EF4-FFF2-40B4-BE49-F238E27FC236}">
              <a16:creationId xmlns:a16="http://schemas.microsoft.com/office/drawing/2014/main" id="{8145B274-0D6C-A63D-8D07-4CFA02CF3693}"/>
            </a:ext>
          </a:extLst>
        </xdr:cNvPr>
        <xdr:cNvSpPr txBox="1">
          <a:spLocks noChangeArrowheads="1"/>
        </xdr:cNvSpPr>
      </xdr:nvSpPr>
      <xdr:spPr bwMode="auto">
        <a:xfrm>
          <a:off x="203200" y="8337550"/>
          <a:ext cx="2527300" cy="16192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100"/>
            </a:lnSpc>
            <a:defRPr sz="1000"/>
          </a:pPr>
          <a:endParaRPr lang="en-US" sz="1000" b="1" i="0" u="none" strike="noStrike" baseline="0">
            <a:solidFill>
              <a:srgbClr val="000000"/>
            </a:solidFill>
            <a:latin typeface="Arial"/>
            <a:cs typeface="Arial"/>
          </a:endParaRPr>
        </a:p>
        <a:p>
          <a:pPr algn="l" rtl="0">
            <a:lnSpc>
              <a:spcPts val="1100"/>
            </a:lnSpc>
            <a:defRPr sz="1000"/>
          </a:pPr>
          <a:r>
            <a:rPr lang="en-US" sz="1200" b="1" i="0" u="none" strike="noStrike" baseline="0">
              <a:solidFill>
                <a:srgbClr val="000000"/>
              </a:solidFill>
              <a:latin typeface="Arial"/>
              <a:cs typeface="Arial"/>
            </a:rPr>
            <a:t>Shaft Fatigue Loading</a:t>
          </a:r>
        </a:p>
        <a:p>
          <a:pPr algn="l" rtl="0">
            <a:lnSpc>
              <a:spcPts val="1100"/>
            </a:lnSpc>
            <a:defRPr sz="1000"/>
          </a:pPr>
          <a:endParaRPr lang="en-US" sz="1200" b="1" i="0" u="none" strike="noStrike" baseline="0">
            <a:solidFill>
              <a:srgbClr val="000000"/>
            </a:solidFill>
            <a:latin typeface="Arial"/>
            <a:cs typeface="Arial"/>
          </a:endParaRPr>
        </a:p>
        <a:p>
          <a:pPr algn="l" rtl="0">
            <a:lnSpc>
              <a:spcPts val="1100"/>
            </a:lnSpc>
            <a:defRPr sz="1000"/>
          </a:pPr>
          <a:r>
            <a:rPr lang="en-US" sz="1200" b="0" i="0" u="none" strike="noStrike" baseline="0">
              <a:solidFill>
                <a:srgbClr val="000000"/>
              </a:solidFill>
              <a:latin typeface="Arial"/>
              <a:cs typeface="Arial"/>
            </a:rPr>
            <a:t>The resultant of conveyor belt tight and slack side tensions acts in one direction while the pulley rotates. </a:t>
          </a:r>
        </a:p>
        <a:p>
          <a:pPr algn="l" rtl="0">
            <a:lnSpc>
              <a:spcPts val="1100"/>
            </a:lnSpc>
            <a:defRPr sz="1000"/>
          </a:pPr>
          <a:endParaRPr lang="en-US" sz="1200" b="0" i="0" u="none" strike="noStrike" baseline="0">
            <a:solidFill>
              <a:srgbClr val="000000"/>
            </a:solidFill>
            <a:latin typeface="Arial"/>
            <a:cs typeface="Arial"/>
          </a:endParaRPr>
        </a:p>
        <a:p>
          <a:pPr algn="l" rtl="0">
            <a:lnSpc>
              <a:spcPts val="1100"/>
            </a:lnSpc>
            <a:defRPr sz="1000"/>
          </a:pPr>
          <a:r>
            <a:rPr lang="en-US" sz="1200" b="0" i="0" u="none" strike="noStrike" baseline="0">
              <a:solidFill>
                <a:srgbClr val="000000"/>
              </a:solidFill>
              <a:latin typeface="Arial"/>
              <a:cs typeface="Arial"/>
            </a:rPr>
            <a:t>This causes a fully reversing bending stress Sb in the shaft and is illustrated above. </a:t>
          </a:r>
        </a:p>
      </xdr:txBody>
    </xdr:sp>
    <xdr:clientData/>
  </xdr:twoCellAnchor>
  <xdr:twoCellAnchor>
    <xdr:from>
      <xdr:col>1</xdr:col>
      <xdr:colOff>409575</xdr:colOff>
      <xdr:row>122</xdr:row>
      <xdr:rowOff>152400</xdr:rowOff>
    </xdr:from>
    <xdr:to>
      <xdr:col>4</xdr:col>
      <xdr:colOff>317533</xdr:colOff>
      <xdr:row>127</xdr:row>
      <xdr:rowOff>57150</xdr:rowOff>
    </xdr:to>
    <xdr:sp macro="" textlink="">
      <xdr:nvSpPr>
        <xdr:cNvPr id="6148" name="Text Box 4">
          <a:extLst>
            <a:ext uri="{FF2B5EF4-FFF2-40B4-BE49-F238E27FC236}">
              <a16:creationId xmlns:a16="http://schemas.microsoft.com/office/drawing/2014/main" id="{9DA8BFCA-993A-ECC1-4423-454B1399E0FF}"/>
            </a:ext>
          </a:extLst>
        </xdr:cNvPr>
        <xdr:cNvSpPr txBox="1">
          <a:spLocks noChangeArrowheads="1"/>
        </xdr:cNvSpPr>
      </xdr:nvSpPr>
      <xdr:spPr bwMode="auto">
        <a:xfrm>
          <a:off x="409575" y="24244300"/>
          <a:ext cx="4956208" cy="889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800"/>
            </a:lnSpc>
            <a:defRPr sz="1000"/>
          </a:pPr>
          <a:endParaRPr lang="en-US" sz="1200" b="1" i="0" u="none" strike="noStrike" baseline="0">
            <a:solidFill>
              <a:srgbClr val="000000"/>
            </a:solidFill>
            <a:latin typeface="Arial"/>
            <a:cs typeface="Arial"/>
          </a:endParaRPr>
        </a:p>
        <a:p>
          <a:pPr algn="l" rtl="0">
            <a:lnSpc>
              <a:spcPts val="800"/>
            </a:lnSpc>
            <a:defRPr sz="1000"/>
          </a:pPr>
          <a:r>
            <a:rPr lang="en-US" sz="1200" b="1" i="0" u="none" strike="noStrike" baseline="0">
              <a:solidFill>
                <a:srgbClr val="000000"/>
              </a:solidFill>
              <a:latin typeface="Arial"/>
              <a:cs typeface="Arial"/>
            </a:rPr>
            <a:t>Shaft Moment Diagrams</a:t>
          </a:r>
        </a:p>
        <a:p>
          <a:pPr algn="l" rtl="0">
            <a:lnSpc>
              <a:spcPts val="800"/>
            </a:lnSpc>
            <a:defRPr sz="1000"/>
          </a:pPr>
          <a:endParaRPr lang="en-US" sz="1200" b="1" i="0" u="none" strike="noStrike" baseline="0">
            <a:solidFill>
              <a:srgbClr val="000000"/>
            </a:solidFill>
            <a:latin typeface="Arial"/>
            <a:cs typeface="Arial"/>
          </a:endParaRPr>
        </a:p>
        <a:p>
          <a:pPr algn="l" rtl="0">
            <a:lnSpc>
              <a:spcPts val="800"/>
            </a:lnSpc>
            <a:defRPr sz="1000"/>
          </a:pPr>
          <a:r>
            <a:rPr lang="en-US" sz="1200" b="0" i="0" u="none" strike="noStrike" baseline="0">
              <a:solidFill>
                <a:srgbClr val="000000"/>
              </a:solidFill>
              <a:latin typeface="Arial"/>
              <a:cs typeface="Arial"/>
            </a:rPr>
            <a:t>The pulley shaft bending moment diagram in the horizontal and vertical planes  are plotted above. </a:t>
          </a:r>
        </a:p>
        <a:p>
          <a:pPr algn="l" rtl="0">
            <a:lnSpc>
              <a:spcPts val="800"/>
            </a:lnSpc>
            <a:defRPr sz="1000"/>
          </a:pPr>
          <a:endParaRPr lang="en-US" sz="1200" b="0" i="0" u="none" strike="noStrike" baseline="0">
            <a:solidFill>
              <a:srgbClr val="000000"/>
            </a:solidFill>
            <a:latin typeface="Arial"/>
            <a:cs typeface="Arial"/>
          </a:endParaRPr>
        </a:p>
        <a:p>
          <a:pPr algn="l" rtl="0">
            <a:lnSpc>
              <a:spcPts val="800"/>
            </a:lnSpc>
            <a:defRPr sz="1000"/>
          </a:pPr>
          <a:r>
            <a:rPr lang="en-US" sz="1200" b="0" i="0" u="none" strike="noStrike" baseline="0">
              <a:solidFill>
                <a:srgbClr val="000000"/>
              </a:solidFill>
              <a:latin typeface="Arial"/>
              <a:cs typeface="Arial"/>
            </a:rPr>
            <a:t>The resultant moments at points are plotted below.</a:t>
          </a:r>
        </a:p>
        <a:p>
          <a:pPr algn="l" rtl="0">
            <a:lnSpc>
              <a:spcPts val="800"/>
            </a:lnSpc>
            <a:defRPr sz="1000"/>
          </a:pPr>
          <a:endParaRPr lang="en-US" sz="1200" b="0" i="0" u="none" strike="noStrike" baseline="0">
            <a:solidFill>
              <a:srgbClr val="000000"/>
            </a:solidFill>
            <a:latin typeface="Arial"/>
            <a:cs typeface="Arial"/>
          </a:endParaRPr>
        </a:p>
        <a:p>
          <a:pPr algn="l" rtl="0">
            <a:lnSpc>
              <a:spcPts val="1000"/>
            </a:lnSpc>
            <a:defRPr sz="1000"/>
          </a:pPr>
          <a:endParaRPr lang="en-US" sz="1200" b="1" i="0" u="none" strike="noStrike" baseline="0">
            <a:solidFill>
              <a:srgbClr val="000000"/>
            </a:solidFill>
            <a:latin typeface="Arial"/>
            <a:cs typeface="Arial"/>
          </a:endParaRPr>
        </a:p>
        <a:p>
          <a:pPr algn="l" rtl="0">
            <a:lnSpc>
              <a:spcPts val="1000"/>
            </a:lnSpc>
            <a:defRPr sz="1000"/>
          </a:pPr>
          <a:endParaRPr lang="en-US" sz="1000" b="1" i="0" u="none" strike="noStrike" baseline="0">
            <a:solidFill>
              <a:srgbClr val="000000"/>
            </a:solidFill>
            <a:latin typeface="Arial"/>
            <a:cs typeface="Arial"/>
          </a:endParaRPr>
        </a:p>
      </xdr:txBody>
    </xdr:sp>
    <xdr:clientData/>
  </xdr:twoCellAnchor>
  <xdr:twoCellAnchor>
    <xdr:from>
      <xdr:col>1</xdr:col>
      <xdr:colOff>200025</xdr:colOff>
      <xdr:row>135</xdr:row>
      <xdr:rowOff>19050</xdr:rowOff>
    </xdr:from>
    <xdr:to>
      <xdr:col>2</xdr:col>
      <xdr:colOff>492015</xdr:colOff>
      <xdr:row>151</xdr:row>
      <xdr:rowOff>12700</xdr:rowOff>
    </xdr:to>
    <xdr:sp macro="" textlink="">
      <xdr:nvSpPr>
        <xdr:cNvPr id="6158" name="Text Box 14">
          <a:extLst>
            <a:ext uri="{FF2B5EF4-FFF2-40B4-BE49-F238E27FC236}">
              <a16:creationId xmlns:a16="http://schemas.microsoft.com/office/drawing/2014/main" id="{F351B14F-B26B-33E3-41F8-C1573880BF06}"/>
            </a:ext>
          </a:extLst>
        </xdr:cNvPr>
        <xdr:cNvSpPr txBox="1">
          <a:spLocks noChangeArrowheads="1"/>
        </xdr:cNvSpPr>
      </xdr:nvSpPr>
      <xdr:spPr bwMode="auto">
        <a:xfrm>
          <a:off x="200025" y="26670000"/>
          <a:ext cx="3193940" cy="31432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Pulley Shaft Torque</a:t>
          </a:r>
        </a:p>
        <a:p>
          <a:pPr algn="l" rtl="0">
            <a:defRPr sz="1000"/>
          </a:pPr>
          <a:r>
            <a:rPr lang="en-US" sz="1200" b="0" i="0" u="none" strike="noStrike" baseline="0">
              <a:solidFill>
                <a:srgbClr val="000000"/>
              </a:solidFill>
              <a:latin typeface="Arial"/>
              <a:cs typeface="Arial"/>
            </a:rPr>
            <a:t>The conveyor motor drive torque Q is transmitted to the pulley shaft left and right hubs.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Half of the total torque is applied to each pulley hub if ANSI Standard Fits for square parallel keys are supplied.</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Elevated stress will be caused by a key and key slot in shaft and hub is used. The average stress concentration factor Kk for shaft key connections is 4. Ref. "Robertson, Stress Concentration Factors".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Some manufacturer's avoid keys by using compression hubs that clamp the shaft.</a:t>
          </a:r>
        </a:p>
      </xdr:txBody>
    </xdr:sp>
    <xdr:clientData/>
  </xdr:twoCellAnchor>
  <xdr:twoCellAnchor>
    <xdr:from>
      <xdr:col>1</xdr:col>
      <xdr:colOff>104775</xdr:colOff>
      <xdr:row>214</xdr:row>
      <xdr:rowOff>6350</xdr:rowOff>
    </xdr:from>
    <xdr:to>
      <xdr:col>4</xdr:col>
      <xdr:colOff>393619</xdr:colOff>
      <xdr:row>240</xdr:row>
      <xdr:rowOff>38100</xdr:rowOff>
    </xdr:to>
    <xdr:sp macro="" textlink="">
      <xdr:nvSpPr>
        <xdr:cNvPr id="6161" name="Text Box 17">
          <a:extLst>
            <a:ext uri="{FF2B5EF4-FFF2-40B4-BE49-F238E27FC236}">
              <a16:creationId xmlns:a16="http://schemas.microsoft.com/office/drawing/2014/main" id="{1413DE2C-54F0-8EE3-9236-19F1964C3202}"/>
            </a:ext>
          </a:extLst>
        </xdr:cNvPr>
        <xdr:cNvSpPr txBox="1">
          <a:spLocks noChangeArrowheads="1"/>
        </xdr:cNvSpPr>
      </xdr:nvSpPr>
      <xdr:spPr bwMode="auto">
        <a:xfrm>
          <a:off x="714375" y="42252900"/>
          <a:ext cx="5337094" cy="5149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400" b="1" i="0" u="none" strike="noStrike" baseline="0">
              <a:solidFill>
                <a:srgbClr val="000000"/>
              </a:solidFill>
              <a:latin typeface="Arial"/>
              <a:cs typeface="Arial"/>
            </a:rPr>
            <a:t>Allowable Stress</a:t>
          </a:r>
        </a:p>
        <a:p>
          <a:pPr algn="l" rtl="0">
            <a:defRPr sz="1000"/>
          </a:pPr>
          <a:r>
            <a:rPr lang="en-US" sz="1400" b="1" i="0" u="none" strike="noStrike" baseline="0">
              <a:solidFill>
                <a:srgbClr val="000000"/>
              </a:solidFill>
              <a:latin typeface="Arial"/>
              <a:cs typeface="Arial"/>
            </a:rPr>
            <a:t>a.</a:t>
          </a:r>
          <a:r>
            <a:rPr lang="en-US" sz="1400" b="0" i="0" u="none" strike="noStrike" baseline="0">
              <a:solidFill>
                <a:srgbClr val="000000"/>
              </a:solidFill>
              <a:latin typeface="Arial"/>
              <a:cs typeface="Arial"/>
            </a:rPr>
            <a:t> ANSI B105.1 specifies a maximum allowable bending stress of 8,000 lbs/in^2 at the pulley hub.</a:t>
          </a:r>
        </a:p>
        <a:p>
          <a:pPr algn="l" rtl="0">
            <a:defRPr sz="1000"/>
          </a:pPr>
          <a:endParaRPr lang="en-US" sz="1400" b="0" i="0" u="none" strike="noStrike" baseline="0">
            <a:solidFill>
              <a:srgbClr val="000000"/>
            </a:solidFill>
            <a:latin typeface="Arial"/>
            <a:cs typeface="Arial"/>
          </a:endParaRPr>
        </a:p>
        <a:p>
          <a:pPr algn="l" rtl="0">
            <a:defRPr sz="1000"/>
          </a:pPr>
          <a:r>
            <a:rPr lang="en-US" sz="1400" b="1" i="0" u="none" strike="noStrike" baseline="0">
              <a:solidFill>
                <a:srgbClr val="000000"/>
              </a:solidFill>
              <a:latin typeface="Arial"/>
              <a:cs typeface="Arial"/>
            </a:rPr>
            <a:t>b. </a:t>
          </a:r>
          <a:r>
            <a:rPr lang="en-US" sz="1400" b="0" i="0" u="none" strike="noStrike" baseline="0">
              <a:solidFill>
                <a:srgbClr val="000000"/>
              </a:solidFill>
              <a:latin typeface="Arial"/>
              <a:cs typeface="Arial"/>
            </a:rPr>
            <a:t>L. J. Laughlin, member S.M.E., production marketing manager with Precision Pulley &amp; Idler, Pela, IA, said, "It is interesting to note that during the last 30 years, manufacturers have switched to using 1045 shafting for conveyor pulleys." Ref: SME annual meeting Pre-print number, 03-103, Feb. 2003.</a:t>
          </a:r>
        </a:p>
        <a:p>
          <a:pPr algn="l" rtl="0">
            <a:defRPr sz="1000"/>
          </a:pPr>
          <a:endParaRPr lang="en-US" sz="1400" b="0" i="0" u="none" strike="noStrike" baseline="0">
            <a:solidFill>
              <a:srgbClr val="000000"/>
            </a:solidFill>
            <a:latin typeface="Arial"/>
            <a:cs typeface="Arial"/>
          </a:endParaRPr>
        </a:p>
        <a:p>
          <a:pPr algn="l" rtl="0">
            <a:defRPr sz="1000"/>
          </a:pPr>
          <a:r>
            <a:rPr lang="en-US" sz="1400" b="1" i="0" u="none" strike="noStrike" baseline="0">
              <a:solidFill>
                <a:srgbClr val="000000"/>
              </a:solidFill>
              <a:latin typeface="Arial"/>
              <a:cs typeface="Arial"/>
            </a:rPr>
            <a:t>c.</a:t>
          </a:r>
          <a:r>
            <a:rPr lang="en-US" sz="1400" b="0" i="0" u="none" strike="noStrike" baseline="0">
              <a:solidFill>
                <a:srgbClr val="000000"/>
              </a:solidFill>
              <a:latin typeface="Arial"/>
              <a:cs typeface="Arial"/>
            </a:rPr>
            <a:t> ASTM 1045 Steel has a tensile strength of 100,000 bls/in^2, a yield strength of 85,000 lbs/in^2, an elongation of 19% in 2 inches, and a Brinell Hardness of 223.</a:t>
          </a:r>
        </a:p>
        <a:p>
          <a:pPr algn="l" rtl="0">
            <a:defRPr sz="1000"/>
          </a:pPr>
          <a:endParaRPr lang="en-US" sz="1400" b="0" i="0" u="none" strike="noStrike" baseline="0">
            <a:solidFill>
              <a:srgbClr val="000000"/>
            </a:solidFill>
            <a:latin typeface="Arial"/>
            <a:cs typeface="Arial"/>
          </a:endParaRPr>
        </a:p>
        <a:p>
          <a:pPr algn="l" rtl="0">
            <a:defRPr sz="1000"/>
          </a:pPr>
          <a:r>
            <a:rPr lang="en-US" sz="1400" b="1" i="0" u="none" strike="noStrike" baseline="0">
              <a:solidFill>
                <a:srgbClr val="000000"/>
              </a:solidFill>
              <a:latin typeface="Arial"/>
              <a:cs typeface="Arial"/>
            </a:rPr>
            <a:t>d. </a:t>
          </a:r>
          <a:r>
            <a:rPr lang="en-US" sz="1400" b="0" i="0" u="none" strike="noStrike" baseline="0">
              <a:solidFill>
                <a:srgbClr val="000000"/>
              </a:solidFill>
              <a:latin typeface="Arial"/>
              <a:cs typeface="Arial"/>
            </a:rPr>
            <a:t>The yield strength of the shaft steel, 85,000 lbs/in^2 is 10 times the allowable stress of 8,000 lbs/in^2. There are at least three reasons for this low allowable stress. </a:t>
          </a:r>
        </a:p>
        <a:p>
          <a:pPr algn="l" rtl="0">
            <a:defRPr sz="1000"/>
          </a:pPr>
          <a:endParaRPr lang="en-US" sz="1400" b="0" i="0" u="none" strike="noStrike" baseline="0">
            <a:solidFill>
              <a:srgbClr val="000000"/>
            </a:solidFill>
            <a:latin typeface="Arial"/>
            <a:cs typeface="Arial"/>
          </a:endParaRPr>
        </a:p>
        <a:p>
          <a:pPr algn="l" rtl="0">
            <a:defRPr sz="1000"/>
          </a:pPr>
          <a:r>
            <a:rPr lang="en-US" sz="1400" b="0" i="0" u="none" strike="noStrike" baseline="0">
              <a:solidFill>
                <a:srgbClr val="000000"/>
              </a:solidFill>
              <a:latin typeface="Arial"/>
              <a:cs typeface="Arial"/>
            </a:rPr>
            <a:t>1. Shaft deflections cause hub deflections and fatigue failures in the pulley.</a:t>
          </a:r>
        </a:p>
        <a:p>
          <a:pPr algn="l" rtl="0">
            <a:defRPr sz="1000"/>
          </a:pPr>
          <a:r>
            <a:rPr lang="en-US" sz="1400" b="0" i="0" u="none" strike="noStrike" baseline="0">
              <a:solidFill>
                <a:srgbClr val="000000"/>
              </a:solidFill>
              <a:latin typeface="Arial"/>
              <a:cs typeface="Arial"/>
            </a:rPr>
            <a:t>2. Stress concentrations in the shaft due to reduced diameters at the bearings, welds, and key slots causing fatigue failure in the shaft.</a:t>
          </a:r>
        </a:p>
        <a:p>
          <a:pPr algn="l" rtl="0">
            <a:defRPr sz="1000"/>
          </a:pPr>
          <a:r>
            <a:rPr lang="en-US" sz="1400" b="0" i="0" u="none" strike="noStrike" baseline="0">
              <a:solidFill>
                <a:srgbClr val="000000"/>
              </a:solidFill>
              <a:latin typeface="Arial"/>
              <a:cs typeface="Arial"/>
            </a:rPr>
            <a:t>3. Limits to bearing deflections</a:t>
          </a:r>
        </a:p>
      </xdr:txBody>
    </xdr:sp>
    <xdr:clientData/>
  </xdr:twoCellAnchor>
  <xdr:twoCellAnchor editAs="oneCell">
    <xdr:from>
      <xdr:col>2</xdr:col>
      <xdr:colOff>615950</xdr:colOff>
      <xdr:row>164</xdr:row>
      <xdr:rowOff>44450</xdr:rowOff>
    </xdr:from>
    <xdr:to>
      <xdr:col>2</xdr:col>
      <xdr:colOff>673100</xdr:colOff>
      <xdr:row>165</xdr:row>
      <xdr:rowOff>31750</xdr:rowOff>
    </xdr:to>
    <xdr:sp macro="" textlink="">
      <xdr:nvSpPr>
        <xdr:cNvPr id="11206" name="Text Box 19">
          <a:extLst>
            <a:ext uri="{FF2B5EF4-FFF2-40B4-BE49-F238E27FC236}">
              <a16:creationId xmlns:a16="http://schemas.microsoft.com/office/drawing/2014/main" id="{D2A83B56-842A-0AEE-4AA0-384F6FF15118}"/>
            </a:ext>
          </a:extLst>
        </xdr:cNvPr>
        <xdr:cNvSpPr txBox="1">
          <a:spLocks noChangeArrowheads="1"/>
        </xdr:cNvSpPr>
      </xdr:nvSpPr>
      <xdr:spPr bwMode="auto">
        <a:xfrm>
          <a:off x="3517900" y="24885650"/>
          <a:ext cx="57150" cy="184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180975</xdr:colOff>
      <xdr:row>151</xdr:row>
      <xdr:rowOff>177800</xdr:rowOff>
    </xdr:from>
    <xdr:to>
      <xdr:col>3</xdr:col>
      <xdr:colOff>469900</xdr:colOff>
      <xdr:row>160</xdr:row>
      <xdr:rowOff>158750</xdr:rowOff>
    </xdr:to>
    <xdr:sp macro="" textlink="">
      <xdr:nvSpPr>
        <xdr:cNvPr id="6164" name="Text Box 20">
          <a:extLst>
            <a:ext uri="{FF2B5EF4-FFF2-40B4-BE49-F238E27FC236}">
              <a16:creationId xmlns:a16="http://schemas.microsoft.com/office/drawing/2014/main" id="{6BA07FD1-8A75-AD7E-49FC-5FEC80A7F8E0}"/>
            </a:ext>
          </a:extLst>
        </xdr:cNvPr>
        <xdr:cNvSpPr txBox="1">
          <a:spLocks noChangeArrowheads="1"/>
        </xdr:cNvSpPr>
      </xdr:nvSpPr>
      <xdr:spPr bwMode="auto">
        <a:xfrm>
          <a:off x="180975" y="29978350"/>
          <a:ext cx="4467225" cy="1752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sum of conveyor belt tight side and slack side tensions, Tt &amp; Ts apply equal forces T1 and T2 at the left and right pulley hubs. Equal and opposite reactions R1 &amp; R2 at the bearings.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These forces cause bending in the pulley shaft.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Torque is applied to the right end of the shaft by the drive motor and speed reduction gear.</a:t>
          </a:r>
        </a:p>
      </xdr:txBody>
    </xdr:sp>
    <xdr:clientData/>
  </xdr:twoCellAnchor>
  <xdr:twoCellAnchor>
    <xdr:from>
      <xdr:col>1</xdr:col>
      <xdr:colOff>98424</xdr:colOff>
      <xdr:row>242</xdr:row>
      <xdr:rowOff>12701</xdr:rowOff>
    </xdr:from>
    <xdr:to>
      <xdr:col>1</xdr:col>
      <xdr:colOff>2514599</xdr:colOff>
      <xdr:row>255</xdr:row>
      <xdr:rowOff>114301</xdr:rowOff>
    </xdr:to>
    <xdr:sp macro="" textlink="">
      <xdr:nvSpPr>
        <xdr:cNvPr id="6166" name="Text Box 22">
          <a:extLst>
            <a:ext uri="{FF2B5EF4-FFF2-40B4-BE49-F238E27FC236}">
              <a16:creationId xmlns:a16="http://schemas.microsoft.com/office/drawing/2014/main" id="{69092695-0EC1-2263-1A1A-9AF44410A072}"/>
            </a:ext>
          </a:extLst>
        </xdr:cNvPr>
        <xdr:cNvSpPr txBox="1">
          <a:spLocks noChangeArrowheads="1"/>
        </xdr:cNvSpPr>
      </xdr:nvSpPr>
      <xdr:spPr bwMode="auto">
        <a:xfrm>
          <a:off x="708024" y="47771051"/>
          <a:ext cx="2416175" cy="2660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000"/>
            </a:lnSpc>
            <a:defRPr sz="1000"/>
          </a:pPr>
          <a:endParaRPr lang="en-US" sz="1200" b="1" i="0" u="none" strike="noStrike" baseline="0">
            <a:solidFill>
              <a:srgbClr val="000000"/>
            </a:solidFill>
            <a:latin typeface="Arial"/>
            <a:cs typeface="Arial"/>
          </a:endParaRPr>
        </a:p>
        <a:p>
          <a:pPr algn="l" rtl="0">
            <a:lnSpc>
              <a:spcPts val="1000"/>
            </a:lnSpc>
            <a:defRPr sz="1000"/>
          </a:pPr>
          <a:r>
            <a:rPr lang="en-US" sz="1200" b="1" i="0" u="none" strike="noStrike" baseline="0">
              <a:solidFill>
                <a:srgbClr val="000000"/>
              </a:solidFill>
              <a:latin typeface="Arial"/>
              <a:cs typeface="Arial"/>
            </a:rPr>
            <a:t>Bearing Deflections</a:t>
          </a:r>
        </a:p>
        <a:p>
          <a:pPr algn="l" rtl="0">
            <a:lnSpc>
              <a:spcPts val="1000"/>
            </a:lnSpc>
            <a:defRPr sz="1000"/>
          </a:pPr>
          <a:endParaRPr lang="en-US" sz="1200" b="1" i="0" u="none" strike="noStrike" baseline="0">
            <a:solidFill>
              <a:srgbClr val="000000"/>
            </a:solidFill>
            <a:latin typeface="Arial"/>
            <a:cs typeface="Arial"/>
          </a:endParaRPr>
        </a:p>
        <a:p>
          <a:pPr algn="l" rtl="0">
            <a:lnSpc>
              <a:spcPts val="1000"/>
            </a:lnSpc>
            <a:defRPr sz="1000"/>
          </a:pPr>
          <a:r>
            <a:rPr lang="en-US" sz="1200" b="0" i="0" u="none" strike="noStrike" baseline="0">
              <a:solidFill>
                <a:srgbClr val="000000"/>
              </a:solidFill>
              <a:latin typeface="Arial"/>
              <a:cs typeface="Arial"/>
            </a:rPr>
            <a:t>The limit for taper roller bearing deflections is: 0.033 to 0.050 degrees.</a:t>
          </a:r>
        </a:p>
        <a:p>
          <a:pPr algn="l" rtl="0">
            <a:lnSpc>
              <a:spcPts val="1000"/>
            </a:lnSpc>
            <a:defRPr sz="1000"/>
          </a:pPr>
          <a:r>
            <a:rPr lang="en-US" sz="1200" b="0" i="0" u="none" strike="noStrike" baseline="0">
              <a:solidFill>
                <a:srgbClr val="000000"/>
              </a:solidFill>
              <a:latin typeface="Arial"/>
              <a:cs typeface="Arial"/>
            </a:rPr>
            <a:t> </a:t>
          </a:r>
          <a:endParaRPr lang="en-US" sz="1200" b="1" i="0" u="none" strike="noStrike" baseline="0">
            <a:solidFill>
              <a:srgbClr val="000000"/>
            </a:solidFill>
            <a:latin typeface="Arial"/>
            <a:cs typeface="Arial"/>
          </a:endParaRPr>
        </a:p>
        <a:p>
          <a:pPr algn="l" rtl="0">
            <a:lnSpc>
              <a:spcPts val="1000"/>
            </a:lnSpc>
            <a:defRPr sz="1000"/>
          </a:pPr>
          <a:r>
            <a:rPr lang="en-US" sz="1200" b="0" i="0" u="none" strike="noStrike" baseline="0">
              <a:solidFill>
                <a:srgbClr val="000000"/>
              </a:solidFill>
              <a:latin typeface="Arial"/>
              <a:cs typeface="Arial"/>
            </a:rPr>
            <a:t>The limit for ball bearing deflections is: 0.17 to 0.25 degrees.</a:t>
          </a:r>
        </a:p>
        <a:p>
          <a:pPr algn="l" rtl="0">
            <a:lnSpc>
              <a:spcPts val="1000"/>
            </a:lnSpc>
            <a:defRPr sz="1000"/>
          </a:pPr>
          <a:endParaRPr lang="en-US" sz="1200" b="0" i="0" u="none" strike="noStrike" baseline="0">
            <a:solidFill>
              <a:srgbClr val="000000"/>
            </a:solidFill>
            <a:latin typeface="Arial"/>
            <a:cs typeface="Arial"/>
          </a:endParaRPr>
        </a:p>
        <a:p>
          <a:pPr algn="l" rtl="0">
            <a:lnSpc>
              <a:spcPts val="1000"/>
            </a:lnSpc>
            <a:defRPr sz="1000"/>
          </a:pPr>
          <a:r>
            <a:rPr lang="en-US" sz="1200" b="0" i="0" u="none" strike="noStrike" baseline="0">
              <a:solidFill>
                <a:srgbClr val="000000"/>
              </a:solidFill>
              <a:latin typeface="Arial"/>
              <a:cs typeface="Arial"/>
            </a:rPr>
            <a:t>The limit for pulley hub deflection is: 0.13 degrees, imposed by the conveyor manufactures, based on the slope of the unconstrained shaft.</a:t>
          </a:r>
        </a:p>
        <a:p>
          <a:pPr algn="l" rtl="0">
            <a:lnSpc>
              <a:spcPts val="1000"/>
            </a:lnSpc>
            <a:defRPr sz="1000"/>
          </a:pPr>
          <a:endParaRPr lang="en-US" sz="1200" b="0" i="0" u="none" strike="noStrike" baseline="0">
            <a:solidFill>
              <a:srgbClr val="000000"/>
            </a:solidFill>
            <a:latin typeface="Arial"/>
            <a:cs typeface="Arial"/>
          </a:endParaRPr>
        </a:p>
        <a:p>
          <a:pPr algn="l" rtl="0">
            <a:lnSpc>
              <a:spcPts val="1000"/>
            </a:lnSpc>
            <a:defRPr sz="1000"/>
          </a:pPr>
          <a:r>
            <a:rPr lang="en-US" sz="1200" b="0" i="0" u="none" strike="noStrike" baseline="0">
              <a:solidFill>
                <a:srgbClr val="000000"/>
              </a:solidFill>
              <a:latin typeface="Arial"/>
              <a:cs typeface="Arial"/>
            </a:rPr>
            <a:t>Self aligning bearings are required based on the calculations below.</a:t>
          </a:r>
        </a:p>
      </xdr:txBody>
    </xdr:sp>
    <xdr:clientData/>
  </xdr:twoCellAnchor>
  <xdr:twoCellAnchor editAs="oneCell">
    <xdr:from>
      <xdr:col>2</xdr:col>
      <xdr:colOff>844550</xdr:colOff>
      <xdr:row>134</xdr:row>
      <xdr:rowOff>165100</xdr:rowOff>
    </xdr:from>
    <xdr:to>
      <xdr:col>7</xdr:col>
      <xdr:colOff>270672</xdr:colOff>
      <xdr:row>150</xdr:row>
      <xdr:rowOff>165100</xdr:rowOff>
    </xdr:to>
    <xdr:pic>
      <xdr:nvPicPr>
        <xdr:cNvPr id="11209" name="Picture 31" descr="PULLEY-SHAFT-TORQUE">
          <a:extLst>
            <a:ext uri="{FF2B5EF4-FFF2-40B4-BE49-F238E27FC236}">
              <a16:creationId xmlns:a16="http://schemas.microsoft.com/office/drawing/2014/main" id="{446A3650-81BA-1771-CAB8-80D3D8C4D2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46500" y="26619200"/>
          <a:ext cx="3401222" cy="314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279399</xdr:colOff>
      <xdr:row>108</xdr:row>
      <xdr:rowOff>139700</xdr:rowOff>
    </xdr:from>
    <xdr:to>
      <xdr:col>5</xdr:col>
      <xdr:colOff>413484</xdr:colOff>
      <xdr:row>122</xdr:row>
      <xdr:rowOff>31750</xdr:rowOff>
    </xdr:to>
    <xdr:pic>
      <xdr:nvPicPr>
        <xdr:cNvPr id="11210" name="Picture 32" descr="MOMENTS-VERT&amp;HORIZ-GEAR">
          <a:extLst>
            <a:ext uri="{FF2B5EF4-FFF2-40B4-BE49-F238E27FC236}">
              <a16:creationId xmlns:a16="http://schemas.microsoft.com/office/drawing/2014/main" id="{5206C519-37CA-A856-0BB3-C7ED7B1AA4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9399" y="21475700"/>
          <a:ext cx="579193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296</xdr:row>
      <xdr:rowOff>82550</xdr:rowOff>
    </xdr:from>
    <xdr:to>
      <xdr:col>4</xdr:col>
      <xdr:colOff>279433</xdr:colOff>
      <xdr:row>309</xdr:row>
      <xdr:rowOff>38100</xdr:rowOff>
    </xdr:to>
    <xdr:sp macro="" textlink="">
      <xdr:nvSpPr>
        <xdr:cNvPr id="6182" name="Text Box 38">
          <a:extLst>
            <a:ext uri="{FF2B5EF4-FFF2-40B4-BE49-F238E27FC236}">
              <a16:creationId xmlns:a16="http://schemas.microsoft.com/office/drawing/2014/main" id="{53ED2A71-B431-2C54-307E-CDEF54552B12}"/>
            </a:ext>
          </a:extLst>
        </xdr:cNvPr>
        <xdr:cNvSpPr txBox="1">
          <a:spLocks noChangeArrowheads="1"/>
        </xdr:cNvSpPr>
      </xdr:nvSpPr>
      <xdr:spPr bwMode="auto">
        <a:xfrm>
          <a:off x="1057275" y="58515250"/>
          <a:ext cx="4880008" cy="2514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Superposition Method</a:t>
          </a:r>
        </a:p>
        <a:p>
          <a:pPr algn="l" rtl="0">
            <a:defRPr sz="1000"/>
          </a:pPr>
          <a:endParaRPr lang="en-US" sz="1200" b="1"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superposition method states that the total deflection in one direction at one point in an elastic beam is equal to the sum of the deflections caused by each applied load and moment taking into account the signs of the deflections.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pulley shaft deflected shape due to belt tension has been calculated above.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superposition method and symmetry will be used to find the total shaft slope at X = 0, A, B, and C.</a:t>
          </a:r>
        </a:p>
      </xdr:txBody>
    </xdr:sp>
    <xdr:clientData/>
  </xdr:twoCellAnchor>
  <xdr:twoCellAnchor editAs="oneCell">
    <xdr:from>
      <xdr:col>1</xdr:col>
      <xdr:colOff>2787649</xdr:colOff>
      <xdr:row>241</xdr:row>
      <xdr:rowOff>133350</xdr:rowOff>
    </xdr:from>
    <xdr:to>
      <xdr:col>7</xdr:col>
      <xdr:colOff>1075386</xdr:colOff>
      <xdr:row>262</xdr:row>
      <xdr:rowOff>76200</xdr:rowOff>
    </xdr:to>
    <xdr:pic>
      <xdr:nvPicPr>
        <xdr:cNvPr id="11212" name="Picture 40" descr="PULLEY-DEFLECTION-T1">
          <a:extLst>
            <a:ext uri="{FF2B5EF4-FFF2-40B4-BE49-F238E27FC236}">
              <a16:creationId xmlns:a16="http://schemas.microsoft.com/office/drawing/2014/main" id="{EFDD0A9C-9419-A69C-B91B-232BF3A8226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97249" y="47694850"/>
          <a:ext cx="5164787" cy="407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215899</xdr:colOff>
      <xdr:row>5</xdr:row>
      <xdr:rowOff>76200</xdr:rowOff>
    </xdr:from>
    <xdr:to>
      <xdr:col>6</xdr:col>
      <xdr:colOff>547378</xdr:colOff>
      <xdr:row>21</xdr:row>
      <xdr:rowOff>57150</xdr:rowOff>
    </xdr:to>
    <xdr:pic>
      <xdr:nvPicPr>
        <xdr:cNvPr id="11213" name="Picture 42" descr="PULLEY-DEFLECTION-GEAR">
          <a:extLst>
            <a:ext uri="{FF2B5EF4-FFF2-40B4-BE49-F238E27FC236}">
              <a16:creationId xmlns:a16="http://schemas.microsoft.com/office/drawing/2014/main" id="{F871AC3C-76EC-7BE2-5E32-9D0F5F10DD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5899" y="1123950"/>
          <a:ext cx="6598929" cy="313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164</xdr:row>
      <xdr:rowOff>101600</xdr:rowOff>
    </xdr:from>
    <xdr:to>
      <xdr:col>7</xdr:col>
      <xdr:colOff>432348</xdr:colOff>
      <xdr:row>181</xdr:row>
      <xdr:rowOff>114300</xdr:rowOff>
    </xdr:to>
    <xdr:pic>
      <xdr:nvPicPr>
        <xdr:cNvPr id="11214" name="Picture 43" descr="PULLEY-DEFLECTION-GEAR">
          <a:extLst>
            <a:ext uri="{FF2B5EF4-FFF2-40B4-BE49-F238E27FC236}">
              <a16:creationId xmlns:a16="http://schemas.microsoft.com/office/drawing/2014/main" id="{C7FAA401-ED6F-211A-64F3-C7FC67E7F2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8200" y="32492950"/>
          <a:ext cx="7080798" cy="335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325</xdr:row>
      <xdr:rowOff>82550</xdr:rowOff>
    </xdr:from>
    <xdr:to>
      <xdr:col>3</xdr:col>
      <xdr:colOff>323850</xdr:colOff>
      <xdr:row>343</xdr:row>
      <xdr:rowOff>82550</xdr:rowOff>
    </xdr:to>
    <xdr:sp macro="" textlink="">
      <xdr:nvSpPr>
        <xdr:cNvPr id="6188" name="Text Box 44">
          <a:extLst>
            <a:ext uri="{FF2B5EF4-FFF2-40B4-BE49-F238E27FC236}">
              <a16:creationId xmlns:a16="http://schemas.microsoft.com/office/drawing/2014/main" id="{C846B07A-632C-5B70-8B8A-20A33F7E8EA7}"/>
            </a:ext>
          </a:extLst>
        </xdr:cNvPr>
        <xdr:cNvSpPr txBox="1">
          <a:spLocks noChangeArrowheads="1"/>
        </xdr:cNvSpPr>
      </xdr:nvSpPr>
      <xdr:spPr bwMode="auto">
        <a:xfrm>
          <a:off x="638175" y="50196750"/>
          <a:ext cx="3819525" cy="2914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ASME Code</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ASME Code equation for power shafting diameter D is: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D^3 = [ ( 16 / ( 3.1416*Ss)*[ ( Kb*Mb)^2 + (Kt*Mt)^2]^0.5</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Allowable shear stress: Ss = 8000 lbs/in^2 for shaft without keyway.</a:t>
          </a:r>
        </a:p>
        <a:p>
          <a:pPr algn="l" rtl="0">
            <a:defRPr sz="1000"/>
          </a:pPr>
          <a:r>
            <a:rPr lang="en-US" sz="1200" b="0" i="0" u="none" strike="noStrike" baseline="0">
              <a:solidFill>
                <a:srgbClr val="000000"/>
              </a:solidFill>
              <a:latin typeface="Arial"/>
              <a:cs typeface="Arial"/>
            </a:rPr>
            <a:t>Allowable shear stress: Ss = 6000 lbs/in^2 for shaft with keyway.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This allowable stress Ss applies to commercial steel shafting and takes into account the effects of fatigue.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bending shock, Kb and torque shock, Kt load factors are given below.</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Mb is the applied bending moment and Mt is the torque at the same point on the shaft.</a:t>
          </a:r>
        </a:p>
      </xdr:txBody>
    </xdr:sp>
    <xdr:clientData/>
  </xdr:twoCellAnchor>
  <xdr:twoCellAnchor>
    <xdr:from>
      <xdr:col>2</xdr:col>
      <xdr:colOff>508000</xdr:colOff>
      <xdr:row>51</xdr:row>
      <xdr:rowOff>165100</xdr:rowOff>
    </xdr:from>
    <xdr:to>
      <xdr:col>6</xdr:col>
      <xdr:colOff>139700</xdr:colOff>
      <xdr:row>53</xdr:row>
      <xdr:rowOff>57415</xdr:rowOff>
    </xdr:to>
    <xdr:sp macro="" textlink="">
      <xdr:nvSpPr>
        <xdr:cNvPr id="6189" name="Text Box 45">
          <a:extLst>
            <a:ext uri="{FF2B5EF4-FFF2-40B4-BE49-F238E27FC236}">
              <a16:creationId xmlns:a16="http://schemas.microsoft.com/office/drawing/2014/main" id="{86D215E8-6187-5E84-8FE7-BEBE01E6AA68}"/>
            </a:ext>
          </a:extLst>
        </xdr:cNvPr>
        <xdr:cNvSpPr txBox="1">
          <a:spLocks noChangeArrowheads="1"/>
        </xdr:cNvSpPr>
      </xdr:nvSpPr>
      <xdr:spPr bwMode="auto">
        <a:xfrm>
          <a:off x="4019550" y="10267950"/>
          <a:ext cx="2997200" cy="28601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Arial"/>
              <a:cs typeface="Arial"/>
            </a:rPr>
            <a:t>Angle TA degrees = TA / 57.2957 radians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263525</xdr:colOff>
      <xdr:row>24</xdr:row>
      <xdr:rowOff>44450</xdr:rowOff>
    </xdr:from>
    <xdr:to>
      <xdr:col>5</xdr:col>
      <xdr:colOff>44520</xdr:colOff>
      <xdr:row>43</xdr:row>
      <xdr:rowOff>114300</xdr:rowOff>
    </xdr:to>
    <xdr:sp macro="" textlink="">
      <xdr:nvSpPr>
        <xdr:cNvPr id="7169" name="Text Box 1">
          <a:extLst>
            <a:ext uri="{FF2B5EF4-FFF2-40B4-BE49-F238E27FC236}">
              <a16:creationId xmlns:a16="http://schemas.microsoft.com/office/drawing/2014/main" id="{3A95CDA9-F572-EC0E-8510-1CE3E471B1E7}"/>
            </a:ext>
          </a:extLst>
        </xdr:cNvPr>
        <xdr:cNvSpPr txBox="1">
          <a:spLocks noChangeArrowheads="1"/>
        </xdr:cNvSpPr>
      </xdr:nvSpPr>
      <xdr:spPr bwMode="auto">
        <a:xfrm>
          <a:off x="873125" y="4768850"/>
          <a:ext cx="5267395" cy="3810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Pulley Force System With Chain Drive</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forces and torque acting on a typical belt conveyor head pulley are illustrated above.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Pulley drive torque Q is applied to the pulley shaft beyond the bearing on one side. Fc is the drive chain tension force acting at angle CA.</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difference between conveyor belt tight side tension Tt, and slack side tension Ts is overcome by drive chain tension.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Drive chain force, Fc is equal to the difference between conveyor belt tight and slack side tensions multiplied by the Pulley / Sprocket radius ratio.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Forces T1 and T2 at the left and right pulley hubs are equal to the vector sum of tight and slack side belt tensions.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shaft support reactions R1 and R2 act at the left and right bearings. One bearing is of the, "fixed" type and the other is, "movable". The shaft must be allowed to expand when its temperature increases.</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2</xdr:col>
      <xdr:colOff>387349</xdr:colOff>
      <xdr:row>46</xdr:row>
      <xdr:rowOff>127000</xdr:rowOff>
    </xdr:from>
    <xdr:to>
      <xdr:col>6</xdr:col>
      <xdr:colOff>722914</xdr:colOff>
      <xdr:row>56</xdr:row>
      <xdr:rowOff>114300</xdr:rowOff>
    </xdr:to>
    <xdr:pic>
      <xdr:nvPicPr>
        <xdr:cNvPr id="12208" name="Picture 2" descr="S-N-GRAPH">
          <a:extLst>
            <a:ext uri="{FF2B5EF4-FFF2-40B4-BE49-F238E27FC236}">
              <a16:creationId xmlns:a16="http://schemas.microsoft.com/office/drawing/2014/main" id="{C00F9127-B59D-327E-2267-832D88613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78249" y="9245600"/>
          <a:ext cx="3650265" cy="195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273050</xdr:colOff>
      <xdr:row>47</xdr:row>
      <xdr:rowOff>44450</xdr:rowOff>
    </xdr:from>
    <xdr:to>
      <xdr:col>2</xdr:col>
      <xdr:colOff>66789</xdr:colOff>
      <xdr:row>57</xdr:row>
      <xdr:rowOff>95250</xdr:rowOff>
    </xdr:to>
    <xdr:sp macro="" textlink="">
      <xdr:nvSpPr>
        <xdr:cNvPr id="7171" name="Text Box 3">
          <a:extLst>
            <a:ext uri="{FF2B5EF4-FFF2-40B4-BE49-F238E27FC236}">
              <a16:creationId xmlns:a16="http://schemas.microsoft.com/office/drawing/2014/main" id="{96823D2A-A554-98ED-1CC4-3412E6B15D90}"/>
            </a:ext>
          </a:extLst>
        </xdr:cNvPr>
        <xdr:cNvSpPr txBox="1">
          <a:spLocks noChangeArrowheads="1"/>
        </xdr:cNvSpPr>
      </xdr:nvSpPr>
      <xdr:spPr bwMode="auto">
        <a:xfrm>
          <a:off x="882650" y="9359900"/>
          <a:ext cx="2575039" cy="2019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Shaft Fatigue Loading</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resultant of conveyor belt tight and slack side tensions acts in one direction while the pulley rotates. </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This causes a fully reversing bending stress Sb in the shaft and is illustrated, right. </a:t>
          </a:r>
        </a:p>
      </xdr:txBody>
    </xdr:sp>
    <xdr:clientData/>
  </xdr:twoCellAnchor>
  <xdr:twoCellAnchor>
    <xdr:from>
      <xdr:col>1</xdr:col>
      <xdr:colOff>358775</xdr:colOff>
      <xdr:row>146</xdr:row>
      <xdr:rowOff>63500</xdr:rowOff>
    </xdr:from>
    <xdr:to>
      <xdr:col>3</xdr:col>
      <xdr:colOff>158750</xdr:colOff>
      <xdr:row>151</xdr:row>
      <xdr:rowOff>50775</xdr:rowOff>
    </xdr:to>
    <xdr:sp macro="" textlink="">
      <xdr:nvSpPr>
        <xdr:cNvPr id="7172" name="Text Box 4">
          <a:extLst>
            <a:ext uri="{FF2B5EF4-FFF2-40B4-BE49-F238E27FC236}">
              <a16:creationId xmlns:a16="http://schemas.microsoft.com/office/drawing/2014/main" id="{CC165DBE-31FD-B61E-BDA9-35E552FD5885}"/>
            </a:ext>
          </a:extLst>
        </xdr:cNvPr>
        <xdr:cNvSpPr txBox="1">
          <a:spLocks noChangeArrowheads="1"/>
        </xdr:cNvSpPr>
      </xdr:nvSpPr>
      <xdr:spPr bwMode="auto">
        <a:xfrm>
          <a:off x="968375" y="28879800"/>
          <a:ext cx="3851275" cy="971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900"/>
            </a:lnSpc>
            <a:defRPr sz="1000"/>
          </a:pPr>
          <a:endParaRPr lang="en-US" sz="1000" b="1" i="0" u="none" strike="noStrike" baseline="0">
            <a:solidFill>
              <a:srgbClr val="000000"/>
            </a:solidFill>
            <a:latin typeface="Arial"/>
            <a:cs typeface="Arial"/>
          </a:endParaRPr>
        </a:p>
        <a:p>
          <a:pPr algn="l" rtl="0">
            <a:lnSpc>
              <a:spcPts val="900"/>
            </a:lnSpc>
            <a:defRPr sz="1000"/>
          </a:pPr>
          <a:r>
            <a:rPr lang="en-US" sz="1100" b="1" i="0" u="none" strike="noStrike" baseline="0">
              <a:solidFill>
                <a:srgbClr val="000000"/>
              </a:solidFill>
              <a:latin typeface="Arial"/>
              <a:cs typeface="Arial"/>
            </a:rPr>
            <a:t>Shaft Moment Diagrams</a:t>
          </a:r>
        </a:p>
        <a:p>
          <a:pPr algn="l" rtl="0">
            <a:lnSpc>
              <a:spcPts val="900"/>
            </a:lnSpc>
            <a:defRPr sz="1000"/>
          </a:pPr>
          <a:endParaRPr lang="en-US" sz="1100" b="1" i="0" u="none" strike="noStrike" baseline="0">
            <a:solidFill>
              <a:srgbClr val="000000"/>
            </a:solidFill>
            <a:latin typeface="Arial"/>
            <a:cs typeface="Arial"/>
          </a:endParaRPr>
        </a:p>
        <a:p>
          <a:pPr algn="l" rtl="0">
            <a:lnSpc>
              <a:spcPts val="900"/>
            </a:lnSpc>
            <a:defRPr sz="1000"/>
          </a:pPr>
          <a:r>
            <a:rPr lang="en-US" sz="1100" b="0" i="0" u="none" strike="noStrike" baseline="0">
              <a:solidFill>
                <a:srgbClr val="000000"/>
              </a:solidFill>
              <a:latin typeface="Arial"/>
              <a:cs typeface="Arial"/>
            </a:rPr>
            <a:t>The pulley shaft bending moment diagram in the horizontal and vertical planes  are plotted above. The resultant moments at points are plotted below.</a:t>
          </a:r>
        </a:p>
        <a:p>
          <a:pPr algn="l" rtl="0">
            <a:lnSpc>
              <a:spcPts val="1000"/>
            </a:lnSpc>
            <a:defRPr sz="1000"/>
          </a:pPr>
          <a:endParaRPr lang="en-US" sz="1100" b="0" i="0" u="none" strike="noStrike" baseline="0">
            <a:solidFill>
              <a:srgbClr val="000000"/>
            </a:solidFill>
            <a:latin typeface="Arial"/>
            <a:cs typeface="Arial"/>
          </a:endParaRPr>
        </a:p>
        <a:p>
          <a:pPr algn="l" rtl="0">
            <a:lnSpc>
              <a:spcPts val="900"/>
            </a:lnSpc>
            <a:defRPr sz="1000"/>
          </a:pPr>
          <a:endParaRPr lang="en-US" sz="1000" b="1" i="0" u="none" strike="noStrike" baseline="0">
            <a:solidFill>
              <a:srgbClr val="000000"/>
            </a:solidFill>
            <a:latin typeface="Arial"/>
            <a:cs typeface="Arial"/>
          </a:endParaRPr>
        </a:p>
        <a:p>
          <a:pPr algn="l" rtl="0">
            <a:lnSpc>
              <a:spcPts val="900"/>
            </a:lnSpc>
            <a:defRPr sz="1000"/>
          </a:pPr>
          <a:endParaRPr lang="en-US" sz="1000" b="1" i="0" u="none" strike="noStrike" baseline="0">
            <a:solidFill>
              <a:srgbClr val="000000"/>
            </a:solidFill>
            <a:latin typeface="Arial"/>
            <a:cs typeface="Arial"/>
          </a:endParaRPr>
        </a:p>
      </xdr:txBody>
    </xdr:sp>
    <xdr:clientData/>
  </xdr:twoCellAnchor>
  <xdr:twoCellAnchor>
    <xdr:from>
      <xdr:col>1</xdr:col>
      <xdr:colOff>219075</xdr:colOff>
      <xdr:row>165</xdr:row>
      <xdr:rowOff>44450</xdr:rowOff>
    </xdr:from>
    <xdr:to>
      <xdr:col>2</xdr:col>
      <xdr:colOff>428625</xdr:colOff>
      <xdr:row>180</xdr:row>
      <xdr:rowOff>63524</xdr:rowOff>
    </xdr:to>
    <xdr:sp macro="" textlink="">
      <xdr:nvSpPr>
        <xdr:cNvPr id="7174" name="Text Box 6">
          <a:extLst>
            <a:ext uri="{FF2B5EF4-FFF2-40B4-BE49-F238E27FC236}">
              <a16:creationId xmlns:a16="http://schemas.microsoft.com/office/drawing/2014/main" id="{209F47AE-65E7-0E59-DB91-75586A800022}"/>
            </a:ext>
          </a:extLst>
        </xdr:cNvPr>
        <xdr:cNvSpPr txBox="1">
          <a:spLocks noChangeArrowheads="1"/>
        </xdr:cNvSpPr>
      </xdr:nvSpPr>
      <xdr:spPr bwMode="auto">
        <a:xfrm>
          <a:off x="323850" y="25155525"/>
          <a:ext cx="2943225" cy="2466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1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Pulley Shaft Torque</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conveyor motor drive torque Q is transmitted to the pulley shaft left and right hubs. Half of the total torque is applied to each pulley hub if ANSI Standard Fits for square parallel keys are supplied.</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Elevated stress will be caused by a key and key slot in shaft and hub is used. The average stress concentration factor Kk for shaft key connections is 4. Ref. "Robertson, Stress Concentration Factors".</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Some manufacturer's avoid keys by using compression hubs that clamp the shaft</a:t>
          </a:r>
          <a:r>
            <a:rPr lang="en-US" sz="1000" b="0" i="0" u="none" strike="noStrike" baseline="0">
              <a:solidFill>
                <a:srgbClr val="000000"/>
              </a:solidFill>
              <a:latin typeface="Arial"/>
              <a:cs typeface="Arial"/>
            </a:rPr>
            <a:t>.</a:t>
          </a:r>
        </a:p>
      </xdr:txBody>
    </xdr:sp>
    <xdr:clientData/>
  </xdr:twoCellAnchor>
  <xdr:twoCellAnchor>
    <xdr:from>
      <xdr:col>1</xdr:col>
      <xdr:colOff>123825</xdr:colOff>
      <xdr:row>242</xdr:row>
      <xdr:rowOff>63500</xdr:rowOff>
    </xdr:from>
    <xdr:to>
      <xdr:col>5</xdr:col>
      <xdr:colOff>34</xdr:colOff>
      <xdr:row>263</xdr:row>
      <xdr:rowOff>158750</xdr:rowOff>
    </xdr:to>
    <xdr:sp macro="" textlink="">
      <xdr:nvSpPr>
        <xdr:cNvPr id="7175" name="Text Box 7">
          <a:extLst>
            <a:ext uri="{FF2B5EF4-FFF2-40B4-BE49-F238E27FC236}">
              <a16:creationId xmlns:a16="http://schemas.microsoft.com/office/drawing/2014/main" id="{599333BC-263F-CAED-FCD7-0F99615146F9}"/>
            </a:ext>
          </a:extLst>
        </xdr:cNvPr>
        <xdr:cNvSpPr txBox="1">
          <a:spLocks noChangeArrowheads="1"/>
        </xdr:cNvSpPr>
      </xdr:nvSpPr>
      <xdr:spPr bwMode="auto">
        <a:xfrm>
          <a:off x="733425" y="47948850"/>
          <a:ext cx="5870609" cy="4229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1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Allowable Stress (Copied from Head Shaft-Gear Drive)</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a:t>
          </a:r>
          <a:r>
            <a:rPr lang="en-US" sz="1200" b="0" i="0" u="none" strike="noStrike" baseline="0">
              <a:solidFill>
                <a:srgbClr val="000000"/>
              </a:solidFill>
              <a:latin typeface="Arial"/>
              <a:cs typeface="Arial"/>
            </a:rPr>
            <a:t> ANSI B105.1 specifies a maximum allowable bending stress of 8,000 lbs/in^2 at the pulley hub.</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b. </a:t>
          </a:r>
          <a:r>
            <a:rPr lang="en-US" sz="1200" b="0" i="0" u="none" strike="noStrike" baseline="0">
              <a:solidFill>
                <a:srgbClr val="000000"/>
              </a:solidFill>
              <a:latin typeface="Arial"/>
              <a:cs typeface="Arial"/>
            </a:rPr>
            <a:t>L. J. Laughlin, member S.M.E., production marketing manager with Precision Pulley &amp; Idler, Pela, IA, said, "It is interesting to note that during the last 30 years, manufacturers have switched to using 1045 shafting for conveyor pulleys." Ref: SME annual meeting Pre-print number, 03-103, Feb. 2003.</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c.</a:t>
          </a:r>
          <a:r>
            <a:rPr lang="en-US" sz="1200" b="0" i="0" u="none" strike="noStrike" baseline="0">
              <a:solidFill>
                <a:srgbClr val="000000"/>
              </a:solidFill>
              <a:latin typeface="Arial"/>
              <a:cs typeface="Arial"/>
            </a:rPr>
            <a:t> ASTM 1045 Steel has a tensile strength of 100,000 bls/in^2, a yield strength of 85,000 lbs/in^2, an elongation of 19% in 2 inches, and a Brinell Hardness of 223.</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d. </a:t>
          </a:r>
          <a:r>
            <a:rPr lang="en-US" sz="1200" b="0" i="0" u="none" strike="noStrike" baseline="0">
              <a:solidFill>
                <a:srgbClr val="000000"/>
              </a:solidFill>
              <a:latin typeface="Arial"/>
              <a:cs typeface="Arial"/>
            </a:rPr>
            <a:t>The yield strength of the shaft steel, 85,000 lbs/in^2 is 10 times the allowable stress of 8,000 lbs/in^2. There are at least three reasons for this low allowable stress.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 Shaft deflections cause hub deflections and fatigue failures in the pulley.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2. Stress concentrations in the shaft due to reduced diameters at the bearings, welds, and key slots causing fatigue failure in the shaft.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3. Limits to bearing deflections</a:t>
          </a:r>
          <a:endParaRPr lang="en-US" sz="1100" b="0" i="0" u="none" strike="noStrike" baseline="0">
            <a:solidFill>
              <a:srgbClr val="000000"/>
            </a:solidFill>
            <a:latin typeface="Arial"/>
            <a:cs typeface="Arial"/>
          </a:endParaRPr>
        </a:p>
      </xdr:txBody>
    </xdr:sp>
    <xdr:clientData/>
  </xdr:twoCellAnchor>
  <xdr:twoCellAnchor editAs="oneCell">
    <xdr:from>
      <xdr:col>2</xdr:col>
      <xdr:colOff>635000</xdr:colOff>
      <xdr:row>183</xdr:row>
      <xdr:rowOff>50800</xdr:rowOff>
    </xdr:from>
    <xdr:to>
      <xdr:col>2</xdr:col>
      <xdr:colOff>685800</xdr:colOff>
      <xdr:row>184</xdr:row>
      <xdr:rowOff>38100</xdr:rowOff>
    </xdr:to>
    <xdr:sp macro="" textlink="">
      <xdr:nvSpPr>
        <xdr:cNvPr id="12213" name="Text Box 8">
          <a:extLst>
            <a:ext uri="{FF2B5EF4-FFF2-40B4-BE49-F238E27FC236}">
              <a16:creationId xmlns:a16="http://schemas.microsoft.com/office/drawing/2014/main" id="{C2416F64-50ED-1CD7-2E52-C98645535FFB}"/>
            </a:ext>
          </a:extLst>
        </xdr:cNvPr>
        <xdr:cNvSpPr txBox="1">
          <a:spLocks noChangeArrowheads="1"/>
        </xdr:cNvSpPr>
      </xdr:nvSpPr>
      <xdr:spPr bwMode="auto">
        <a:xfrm>
          <a:off x="3416300" y="27609800"/>
          <a:ext cx="50800" cy="184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231774</xdr:colOff>
      <xdr:row>182</xdr:row>
      <xdr:rowOff>63500</xdr:rowOff>
    </xdr:from>
    <xdr:to>
      <xdr:col>4</xdr:col>
      <xdr:colOff>400049</xdr:colOff>
      <xdr:row>189</xdr:row>
      <xdr:rowOff>146050</xdr:rowOff>
    </xdr:to>
    <xdr:sp macro="" textlink="">
      <xdr:nvSpPr>
        <xdr:cNvPr id="7177" name="Text Box 9">
          <a:extLst>
            <a:ext uri="{FF2B5EF4-FFF2-40B4-BE49-F238E27FC236}">
              <a16:creationId xmlns:a16="http://schemas.microsoft.com/office/drawing/2014/main" id="{84431507-BCA2-3976-B130-4BDCB04932D3}"/>
            </a:ext>
          </a:extLst>
        </xdr:cNvPr>
        <xdr:cNvSpPr txBox="1">
          <a:spLocks noChangeArrowheads="1"/>
        </xdr:cNvSpPr>
      </xdr:nvSpPr>
      <xdr:spPr bwMode="auto">
        <a:xfrm>
          <a:off x="841374" y="36029900"/>
          <a:ext cx="4829175" cy="146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sum of conveyor belt tight side and slack side tensions, Tt &amp; Ts apply equal forces T1 and T2 at the left and right pulley hubs. Equal and opposite reactions R1 &amp; R2 at the bearings. These forces cause bending in the pulley shaft.</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Torque is applied to the right end of the shaft by the drive motor and speed reduction gear.</a:t>
          </a:r>
        </a:p>
      </xdr:txBody>
    </xdr:sp>
    <xdr:clientData/>
  </xdr:twoCellAnchor>
  <xdr:twoCellAnchor>
    <xdr:from>
      <xdr:col>1</xdr:col>
      <xdr:colOff>3175</xdr:colOff>
      <xdr:row>267</xdr:row>
      <xdr:rowOff>171451</xdr:rowOff>
    </xdr:from>
    <xdr:to>
      <xdr:col>1</xdr:col>
      <xdr:colOff>2076450</xdr:colOff>
      <xdr:row>281</xdr:row>
      <xdr:rowOff>63501</xdr:rowOff>
    </xdr:to>
    <xdr:sp macro="" textlink="">
      <xdr:nvSpPr>
        <xdr:cNvPr id="7178" name="Text Box 10">
          <a:extLst>
            <a:ext uri="{FF2B5EF4-FFF2-40B4-BE49-F238E27FC236}">
              <a16:creationId xmlns:a16="http://schemas.microsoft.com/office/drawing/2014/main" id="{80B06A7A-7B6A-C69A-8DCC-83608405CA32}"/>
            </a:ext>
          </a:extLst>
        </xdr:cNvPr>
        <xdr:cNvSpPr txBox="1">
          <a:spLocks noChangeArrowheads="1"/>
        </xdr:cNvSpPr>
      </xdr:nvSpPr>
      <xdr:spPr bwMode="auto">
        <a:xfrm>
          <a:off x="612775" y="52978051"/>
          <a:ext cx="2073275" cy="26479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900"/>
            </a:lnSpc>
            <a:defRPr sz="1000"/>
          </a:pPr>
          <a:endParaRPr lang="en-US" sz="1100" b="1" i="0" u="none" strike="noStrike" baseline="0">
            <a:solidFill>
              <a:srgbClr val="000000"/>
            </a:solidFill>
            <a:latin typeface="Arial"/>
            <a:cs typeface="Arial"/>
          </a:endParaRPr>
        </a:p>
        <a:p>
          <a:pPr algn="l" rtl="0">
            <a:lnSpc>
              <a:spcPts val="900"/>
            </a:lnSpc>
            <a:defRPr sz="1000"/>
          </a:pPr>
          <a:r>
            <a:rPr lang="en-US" sz="1100" b="1" i="0" u="none" strike="noStrike" baseline="0">
              <a:solidFill>
                <a:srgbClr val="000000"/>
              </a:solidFill>
              <a:latin typeface="Arial"/>
              <a:cs typeface="Arial"/>
            </a:rPr>
            <a:t>Bearing Deflections</a:t>
          </a:r>
        </a:p>
        <a:p>
          <a:pPr algn="l" rtl="0">
            <a:lnSpc>
              <a:spcPts val="900"/>
            </a:lnSpc>
            <a:defRPr sz="1000"/>
          </a:pPr>
          <a:r>
            <a:rPr lang="en-US" sz="1100" b="1" i="0" u="none" strike="noStrike" baseline="0">
              <a:solidFill>
                <a:srgbClr val="000000"/>
              </a:solidFill>
              <a:latin typeface="Arial"/>
              <a:cs typeface="Arial"/>
            </a:rPr>
            <a:t>(Copy)</a:t>
          </a:r>
        </a:p>
        <a:p>
          <a:pPr algn="l" rtl="0">
            <a:lnSpc>
              <a:spcPts val="900"/>
            </a:lnSpc>
            <a:defRPr sz="1000"/>
          </a:pPr>
          <a:endParaRPr lang="en-US" sz="1100" b="1" i="0" u="none" strike="noStrike" baseline="0">
            <a:solidFill>
              <a:srgbClr val="000000"/>
            </a:solidFill>
            <a:latin typeface="Arial"/>
            <a:cs typeface="Arial"/>
          </a:endParaRPr>
        </a:p>
        <a:p>
          <a:pPr algn="l" rtl="0">
            <a:lnSpc>
              <a:spcPts val="900"/>
            </a:lnSpc>
            <a:defRPr sz="1000"/>
          </a:pPr>
          <a:r>
            <a:rPr lang="en-US" sz="1100" b="0" i="0" u="none" strike="noStrike" baseline="0">
              <a:solidFill>
                <a:srgbClr val="000000"/>
              </a:solidFill>
              <a:latin typeface="Arial"/>
              <a:cs typeface="Arial"/>
            </a:rPr>
            <a:t>The limit for taper roller bearing deflections is: 0.033 to 0.050 degrees.</a:t>
          </a:r>
        </a:p>
        <a:p>
          <a:pPr algn="l" rtl="0">
            <a:lnSpc>
              <a:spcPts val="900"/>
            </a:lnSpc>
            <a:defRPr sz="1000"/>
          </a:pPr>
          <a:r>
            <a:rPr lang="en-US" sz="1100" b="0" i="0" u="none" strike="noStrike" baseline="0">
              <a:solidFill>
                <a:srgbClr val="000000"/>
              </a:solidFill>
              <a:latin typeface="Arial"/>
              <a:cs typeface="Arial"/>
            </a:rPr>
            <a:t> </a:t>
          </a: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limit for ball bearing deflections is: 0.17 to 0.25 degrees.</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limit for pulley hub deflection is: 0.13 degrees, imposed by CEMA based on the slope of the unconstrained shaft.</a:t>
          </a: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2</xdr:col>
      <xdr:colOff>660399</xdr:colOff>
      <xdr:row>164</xdr:row>
      <xdr:rowOff>50800</xdr:rowOff>
    </xdr:from>
    <xdr:to>
      <xdr:col>6</xdr:col>
      <xdr:colOff>807701</xdr:colOff>
      <xdr:row>180</xdr:row>
      <xdr:rowOff>44450</xdr:rowOff>
    </xdr:to>
    <xdr:pic>
      <xdr:nvPicPr>
        <xdr:cNvPr id="12216" name="Picture 11" descr="PULLEY-SHAFT-TORQUE">
          <a:extLst>
            <a:ext uri="{FF2B5EF4-FFF2-40B4-BE49-F238E27FC236}">
              <a16:creationId xmlns:a16="http://schemas.microsoft.com/office/drawing/2014/main" id="{DAFF7698-6E69-62E8-94E7-11764C1157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1299" y="32473900"/>
          <a:ext cx="3462002"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454025</xdr:colOff>
      <xdr:row>383</xdr:row>
      <xdr:rowOff>44450</xdr:rowOff>
    </xdr:from>
    <xdr:to>
      <xdr:col>2</xdr:col>
      <xdr:colOff>692150</xdr:colOff>
      <xdr:row>395</xdr:row>
      <xdr:rowOff>177800</xdr:rowOff>
    </xdr:to>
    <xdr:sp macro="" textlink="">
      <xdr:nvSpPr>
        <xdr:cNvPr id="7180" name="Text Box 12">
          <a:extLst>
            <a:ext uri="{FF2B5EF4-FFF2-40B4-BE49-F238E27FC236}">
              <a16:creationId xmlns:a16="http://schemas.microsoft.com/office/drawing/2014/main" id="{70985791-5BF0-1B34-4A5B-3ED893334F8E}"/>
            </a:ext>
          </a:extLst>
        </xdr:cNvPr>
        <xdr:cNvSpPr txBox="1">
          <a:spLocks noChangeArrowheads="1"/>
        </xdr:cNvSpPr>
      </xdr:nvSpPr>
      <xdr:spPr bwMode="auto">
        <a:xfrm>
          <a:off x="1063625" y="75996800"/>
          <a:ext cx="3527425" cy="2495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Superposition Method</a:t>
          </a:r>
        </a:p>
        <a:p>
          <a:pPr algn="l" rtl="0">
            <a:defRPr sz="1000"/>
          </a:pPr>
          <a:endParaRPr lang="en-US" sz="1100" b="1"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superposition method states that the total deflection in one direction at one point in an elastic beam is equal to the sum of the deflections caused by each applied load and moment taking into account the signs of the deflections.</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pulley shaft deflected shape due to belt tension has been calculated above.</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superposition method and symmetry will be used to find the total shaft slope at X = 0, A, B, and C.</a:t>
          </a:r>
        </a:p>
      </xdr:txBody>
    </xdr:sp>
    <xdr:clientData/>
  </xdr:twoCellAnchor>
  <xdr:twoCellAnchor editAs="oneCell">
    <xdr:from>
      <xdr:col>1</xdr:col>
      <xdr:colOff>2133599</xdr:colOff>
      <xdr:row>265</xdr:row>
      <xdr:rowOff>38100</xdr:rowOff>
    </xdr:from>
    <xdr:to>
      <xdr:col>6</xdr:col>
      <xdr:colOff>1074464</xdr:colOff>
      <xdr:row>288</xdr:row>
      <xdr:rowOff>0</xdr:rowOff>
    </xdr:to>
    <xdr:pic>
      <xdr:nvPicPr>
        <xdr:cNvPr id="12218" name="Picture 13" descr="PULLEY-DEFLECTION-T1">
          <a:extLst>
            <a:ext uri="{FF2B5EF4-FFF2-40B4-BE49-F238E27FC236}">
              <a16:creationId xmlns:a16="http://schemas.microsoft.com/office/drawing/2014/main" id="{D1BFC897-3527-CCBE-57BD-AA8B71058F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3199" y="52451000"/>
          <a:ext cx="5544865" cy="448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189</xdr:row>
      <xdr:rowOff>177800</xdr:rowOff>
    </xdr:from>
    <xdr:to>
      <xdr:col>5</xdr:col>
      <xdr:colOff>72646</xdr:colOff>
      <xdr:row>206</xdr:row>
      <xdr:rowOff>38100</xdr:rowOff>
    </xdr:to>
    <xdr:pic>
      <xdr:nvPicPr>
        <xdr:cNvPr id="12219" name="Picture 23" descr="PULLEY-DEFLECTION-SPROCKET">
          <a:extLst>
            <a:ext uri="{FF2B5EF4-FFF2-40B4-BE49-F238E27FC236}">
              <a16:creationId xmlns:a16="http://schemas.microsoft.com/office/drawing/2014/main" id="{AD3EDB6E-BA69-1CBE-9D44-A1D3533A83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1050" y="37553900"/>
          <a:ext cx="5895596" cy="320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165099</xdr:colOff>
      <xdr:row>4</xdr:row>
      <xdr:rowOff>6350</xdr:rowOff>
    </xdr:from>
    <xdr:to>
      <xdr:col>5</xdr:col>
      <xdr:colOff>560597</xdr:colOff>
      <xdr:row>21</xdr:row>
      <xdr:rowOff>139700</xdr:rowOff>
    </xdr:to>
    <xdr:pic>
      <xdr:nvPicPr>
        <xdr:cNvPr id="12220" name="Picture 24" descr="PULLEY-DEFLECTION-SPROCKET">
          <a:extLst>
            <a:ext uri="{FF2B5EF4-FFF2-40B4-BE49-F238E27FC236}">
              <a16:creationId xmlns:a16="http://schemas.microsoft.com/office/drawing/2014/main" id="{4B4770E6-F9DB-0F89-E77E-0EBFD7BCE4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4699" y="793750"/>
          <a:ext cx="6389898" cy="347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361949</xdr:colOff>
      <xdr:row>129</xdr:row>
      <xdr:rowOff>38100</xdr:rowOff>
    </xdr:from>
    <xdr:to>
      <xdr:col>5</xdr:col>
      <xdr:colOff>101258</xdr:colOff>
      <xdr:row>145</xdr:row>
      <xdr:rowOff>82550</xdr:rowOff>
    </xdr:to>
    <xdr:pic>
      <xdr:nvPicPr>
        <xdr:cNvPr id="12221" name="Picture 26" descr="MOMENTS-VERT&amp;HORIZ-CHAIN">
          <a:extLst>
            <a:ext uri="{FF2B5EF4-FFF2-40B4-BE49-F238E27FC236}">
              <a16:creationId xmlns:a16="http://schemas.microsoft.com/office/drawing/2014/main" id="{1A5DF8B1-8499-A37E-8425-EC692944E9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71549" y="25507950"/>
          <a:ext cx="5733709" cy="319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730250</xdr:colOff>
      <xdr:row>329</xdr:row>
      <xdr:rowOff>19050</xdr:rowOff>
    </xdr:from>
    <xdr:to>
      <xdr:col>4</xdr:col>
      <xdr:colOff>467186</xdr:colOff>
      <xdr:row>347</xdr:row>
      <xdr:rowOff>139700</xdr:rowOff>
    </xdr:to>
    <xdr:pic>
      <xdr:nvPicPr>
        <xdr:cNvPr id="12222" name="Picture 27" descr="SHAFT-MOMENT-DEFLECTION-2">
          <a:extLst>
            <a:ext uri="{FF2B5EF4-FFF2-40B4-BE49-F238E27FC236}">
              <a16:creationId xmlns:a16="http://schemas.microsoft.com/office/drawing/2014/main" id="{59A7B906-6DF3-9FD8-ADD1-65168500A81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39850" y="65233550"/>
          <a:ext cx="4905836" cy="366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413</xdr:row>
      <xdr:rowOff>82550</xdr:rowOff>
    </xdr:from>
    <xdr:to>
      <xdr:col>3</xdr:col>
      <xdr:colOff>311150</xdr:colOff>
      <xdr:row>429</xdr:row>
      <xdr:rowOff>127000</xdr:rowOff>
    </xdr:to>
    <xdr:sp macro="" textlink="">
      <xdr:nvSpPr>
        <xdr:cNvPr id="7196" name="Text Box 28">
          <a:extLst>
            <a:ext uri="{FF2B5EF4-FFF2-40B4-BE49-F238E27FC236}">
              <a16:creationId xmlns:a16="http://schemas.microsoft.com/office/drawing/2014/main" id="{6E166CA9-5548-559B-6A88-D4944AEF0F58}"/>
            </a:ext>
          </a:extLst>
        </xdr:cNvPr>
        <xdr:cNvSpPr txBox="1">
          <a:spLocks noChangeArrowheads="1"/>
        </xdr:cNvSpPr>
      </xdr:nvSpPr>
      <xdr:spPr bwMode="auto">
        <a:xfrm>
          <a:off x="1057275" y="81972150"/>
          <a:ext cx="4422775" cy="31940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ASME Code</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ASME Code equation for power shafting diameter D is: </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D^3 = [ ( 16 / ( 3.1416*Ss)*[ ( Kb*Mb)^2 + (Kt*Mt)^2]^0.5</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Allowable shear stress: Ss = 8000 lbs/in^2 for shaft without keyway.</a:t>
          </a:r>
        </a:p>
        <a:p>
          <a:pPr algn="l" rtl="0">
            <a:defRPr sz="1000"/>
          </a:pPr>
          <a:r>
            <a:rPr lang="en-US" sz="1100" b="0" i="0" u="none" strike="noStrike" baseline="0">
              <a:solidFill>
                <a:srgbClr val="000000"/>
              </a:solidFill>
              <a:latin typeface="Arial"/>
              <a:cs typeface="Arial"/>
            </a:rPr>
            <a:t>Allowable shear stress: Ss = 6000 lbs/in^2 for shaft with keyway.</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This allowable stress Ss apply to commercial steel shafting and take into account the effects of fatigue.</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The bending shock, Kb and torque shock, Kt load factors are given below.</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Arial"/>
              <a:cs typeface="Arial"/>
            </a:rPr>
            <a:t>Mb is the applied bending moment and Mt is the torque at the same point on the shaft.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622300</xdr:colOff>
      <xdr:row>155</xdr:row>
      <xdr:rowOff>50800</xdr:rowOff>
    </xdr:from>
    <xdr:to>
      <xdr:col>1</xdr:col>
      <xdr:colOff>704850</xdr:colOff>
      <xdr:row>156</xdr:row>
      <xdr:rowOff>146050</xdr:rowOff>
    </xdr:to>
    <xdr:sp macro="" textlink="">
      <xdr:nvSpPr>
        <xdr:cNvPr id="8322" name="Text Box 8">
          <a:extLst>
            <a:ext uri="{FF2B5EF4-FFF2-40B4-BE49-F238E27FC236}">
              <a16:creationId xmlns:a16="http://schemas.microsoft.com/office/drawing/2014/main" id="{E5567D19-8071-E2F9-D83A-34B974E793E2}"/>
            </a:ext>
          </a:extLst>
        </xdr:cNvPr>
        <xdr:cNvSpPr txBox="1">
          <a:spLocks noChangeArrowheads="1"/>
        </xdr:cNvSpPr>
      </xdr:nvSpPr>
      <xdr:spPr bwMode="auto">
        <a:xfrm>
          <a:off x="3517900" y="24752300"/>
          <a:ext cx="82550" cy="292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260350</xdr:colOff>
      <xdr:row>8</xdr:row>
      <xdr:rowOff>69850</xdr:rowOff>
    </xdr:from>
    <xdr:to>
      <xdr:col>11</xdr:col>
      <xdr:colOff>539750</xdr:colOff>
      <xdr:row>24</xdr:row>
      <xdr:rowOff>3175</xdr:rowOff>
    </xdr:to>
    <xdr:pic>
      <xdr:nvPicPr>
        <xdr:cNvPr id="2" name="Picture 1">
          <a:extLst>
            <a:ext uri="{FF2B5EF4-FFF2-40B4-BE49-F238E27FC236}">
              <a16:creationId xmlns:a16="http://schemas.microsoft.com/office/drawing/2014/main" id="{8004179E-1422-4579-BACE-053B436481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1300" y="32975550"/>
          <a:ext cx="2844800" cy="3082925"/>
        </a:xfrm>
        <a:prstGeom prst="rect">
          <a:avLst/>
        </a:prstGeom>
      </xdr:spPr>
    </xdr:pic>
    <xdr:clientData/>
  </xdr:twoCellAnchor>
  <xdr:twoCellAnchor editAs="oneCell">
    <xdr:from>
      <xdr:col>0</xdr:col>
      <xdr:colOff>1409700</xdr:colOff>
      <xdr:row>22</xdr:row>
      <xdr:rowOff>79375</xdr:rowOff>
    </xdr:from>
    <xdr:to>
      <xdr:col>1</xdr:col>
      <xdr:colOff>749300</xdr:colOff>
      <xdr:row>29</xdr:row>
      <xdr:rowOff>101600</xdr:rowOff>
    </xdr:to>
    <xdr:pic>
      <xdr:nvPicPr>
        <xdr:cNvPr id="3" name="Picture 2">
          <a:extLst>
            <a:ext uri="{FF2B5EF4-FFF2-40B4-BE49-F238E27FC236}">
              <a16:creationId xmlns:a16="http://schemas.microsoft.com/office/drawing/2014/main" id="{965A2508-95CF-495A-95F4-A44448C56D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09700" y="35740975"/>
          <a:ext cx="2235200" cy="1400175"/>
        </a:xfrm>
        <a:prstGeom prst="rect">
          <a:avLst/>
        </a:prstGeom>
      </xdr:spPr>
    </xdr:pic>
    <xdr:clientData/>
  </xdr:twoCellAnchor>
  <xdr:twoCellAnchor editAs="oneCell">
    <xdr:from>
      <xdr:col>2</xdr:col>
      <xdr:colOff>485775</xdr:colOff>
      <xdr:row>8</xdr:row>
      <xdr:rowOff>12700</xdr:rowOff>
    </xdr:from>
    <xdr:to>
      <xdr:col>7</xdr:col>
      <xdr:colOff>22225</xdr:colOff>
      <xdr:row>27</xdr:row>
      <xdr:rowOff>73025</xdr:rowOff>
    </xdr:to>
    <xdr:pic>
      <xdr:nvPicPr>
        <xdr:cNvPr id="4" name="Picture 3">
          <a:extLst>
            <a:ext uri="{FF2B5EF4-FFF2-40B4-BE49-F238E27FC236}">
              <a16:creationId xmlns:a16="http://schemas.microsoft.com/office/drawing/2014/main" id="{E122C6BA-53FC-4A3B-B600-45A698F6AFE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79975" y="32918400"/>
          <a:ext cx="2743200" cy="3800475"/>
        </a:xfrm>
        <a:prstGeom prst="rect">
          <a:avLst/>
        </a:prstGeom>
      </xdr:spPr>
    </xdr:pic>
    <xdr:clientData/>
  </xdr:twoCellAnchor>
  <xdr:twoCellAnchor editAs="oneCell">
    <xdr:from>
      <xdr:col>3</xdr:col>
      <xdr:colOff>22225</xdr:colOff>
      <xdr:row>1</xdr:row>
      <xdr:rowOff>38100</xdr:rowOff>
    </xdr:from>
    <xdr:to>
      <xdr:col>5</xdr:col>
      <xdr:colOff>215900</xdr:colOff>
      <xdr:row>5</xdr:row>
      <xdr:rowOff>161925</xdr:rowOff>
    </xdr:to>
    <xdr:pic>
      <xdr:nvPicPr>
        <xdr:cNvPr id="5" name="Picture 4">
          <a:extLst>
            <a:ext uri="{FF2B5EF4-FFF2-40B4-BE49-F238E27FC236}">
              <a16:creationId xmlns:a16="http://schemas.microsoft.com/office/drawing/2014/main" id="{4D89D798-93F6-48F9-9EEB-731C7CE23A1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57775" y="31565850"/>
          <a:ext cx="1476375" cy="911225"/>
        </a:xfrm>
        <a:prstGeom prst="rect">
          <a:avLst/>
        </a:prstGeom>
      </xdr:spPr>
    </xdr:pic>
    <xdr:clientData/>
  </xdr:twoCellAnchor>
  <xdr:twoCellAnchor editAs="oneCell">
    <xdr:from>
      <xdr:col>10</xdr:col>
      <xdr:colOff>165100</xdr:colOff>
      <xdr:row>30</xdr:row>
      <xdr:rowOff>139700</xdr:rowOff>
    </xdr:from>
    <xdr:to>
      <xdr:col>18</xdr:col>
      <xdr:colOff>339725</xdr:colOff>
      <xdr:row>54</xdr:row>
      <xdr:rowOff>22225</xdr:rowOff>
    </xdr:to>
    <xdr:pic>
      <xdr:nvPicPr>
        <xdr:cNvPr id="6" name="Picture 5">
          <a:extLst>
            <a:ext uri="{FF2B5EF4-FFF2-40B4-BE49-F238E27FC236}">
              <a16:creationId xmlns:a16="http://schemas.microsoft.com/office/drawing/2014/main" id="{467BDE5C-1323-423C-88A7-DD395BC6916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90100" y="37344350"/>
          <a:ext cx="5305425" cy="4651375"/>
        </a:xfrm>
        <a:prstGeom prst="rect">
          <a:avLst/>
        </a:prstGeom>
      </xdr:spPr>
    </xdr:pic>
    <xdr:clientData/>
  </xdr:twoCellAnchor>
  <xdr:twoCellAnchor editAs="oneCell">
    <xdr:from>
      <xdr:col>0</xdr:col>
      <xdr:colOff>219075</xdr:colOff>
      <xdr:row>46</xdr:row>
      <xdr:rowOff>171450</xdr:rowOff>
    </xdr:from>
    <xdr:to>
      <xdr:col>0</xdr:col>
      <xdr:colOff>2298700</xdr:colOff>
      <xdr:row>54</xdr:row>
      <xdr:rowOff>44450</xdr:rowOff>
    </xdr:to>
    <xdr:pic>
      <xdr:nvPicPr>
        <xdr:cNvPr id="12" name="Picture 11">
          <a:extLst>
            <a:ext uri="{FF2B5EF4-FFF2-40B4-BE49-F238E27FC236}">
              <a16:creationId xmlns:a16="http://schemas.microsoft.com/office/drawing/2014/main" id="{A3D9763A-2040-4A20-917E-9B843C9AAA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9075" y="40601900"/>
          <a:ext cx="2079625" cy="1447800"/>
        </a:xfrm>
        <a:prstGeom prst="rect">
          <a:avLst/>
        </a:prstGeom>
      </xdr:spPr>
    </xdr:pic>
    <xdr:clientData/>
  </xdr:twoCellAnchor>
  <xdr:twoCellAnchor editAs="oneCell">
    <xdr:from>
      <xdr:col>0</xdr:col>
      <xdr:colOff>2787650</xdr:colOff>
      <xdr:row>46</xdr:row>
      <xdr:rowOff>152400</xdr:rowOff>
    </xdr:from>
    <xdr:to>
      <xdr:col>3</xdr:col>
      <xdr:colOff>311150</xdr:colOff>
      <xdr:row>54</xdr:row>
      <xdr:rowOff>41275</xdr:rowOff>
    </xdr:to>
    <xdr:pic>
      <xdr:nvPicPr>
        <xdr:cNvPr id="13" name="Picture 12">
          <a:extLst>
            <a:ext uri="{FF2B5EF4-FFF2-40B4-BE49-F238E27FC236}">
              <a16:creationId xmlns:a16="http://schemas.microsoft.com/office/drawing/2014/main" id="{64A41EC0-6D6C-4799-9FF9-C79967F4125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87650" y="40582850"/>
          <a:ext cx="2559050" cy="1463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C314"/>
  <sheetViews>
    <sheetView workbookViewId="0">
      <selection activeCell="G4" sqref="G4"/>
    </sheetView>
  </sheetViews>
  <sheetFormatPr defaultColWidth="8.7109375" defaultRowHeight="15.75" x14ac:dyDescent="0.25"/>
  <cols>
    <col min="1" max="1" width="8.7109375" style="7"/>
    <col min="2" max="2" width="37.140625" style="15" customWidth="1"/>
    <col min="3" max="3" width="25.7109375" style="24" customWidth="1"/>
    <col min="4" max="6" width="8.7109375" style="7"/>
    <col min="7" max="7" width="13.140625" style="7" customWidth="1"/>
    <col min="8" max="16384" width="8.7109375" style="7"/>
  </cols>
  <sheetData>
    <row r="1" spans="2:28" ht="18" x14ac:dyDescent="0.25">
      <c r="B1" s="6" t="s">
        <v>511</v>
      </c>
      <c r="C1" s="7"/>
      <c r="E1" s="8"/>
    </row>
    <row r="2" spans="2:28" ht="18" x14ac:dyDescent="0.25">
      <c r="B2" s="55"/>
      <c r="C2" s="8"/>
    </row>
    <row r="3" spans="2:28" ht="18" x14ac:dyDescent="0.25">
      <c r="B3" s="6" t="s">
        <v>342</v>
      </c>
    </row>
    <row r="4" spans="2:28" x14ac:dyDescent="0.25">
      <c r="G4" s="9"/>
      <c r="H4" s="9"/>
      <c r="I4" s="9"/>
      <c r="J4" s="9"/>
      <c r="K4" s="9"/>
      <c r="L4" s="9"/>
      <c r="M4" s="9"/>
      <c r="N4" s="9"/>
      <c r="O4" s="9"/>
      <c r="P4" s="9"/>
      <c r="Q4" s="9"/>
      <c r="R4" s="9"/>
      <c r="S4" s="9"/>
      <c r="T4" s="9"/>
      <c r="U4" s="9"/>
      <c r="V4" s="9"/>
      <c r="W4" s="9"/>
      <c r="X4" s="9"/>
    </row>
    <row r="5" spans="2:28" x14ac:dyDescent="0.25">
      <c r="G5" s="9"/>
      <c r="H5" s="9"/>
      <c r="I5" s="9"/>
      <c r="J5" s="9"/>
      <c r="K5" s="9"/>
      <c r="L5" s="9"/>
      <c r="M5" s="9"/>
      <c r="N5" s="9"/>
      <c r="O5" s="9"/>
      <c r="P5" s="9"/>
      <c r="Q5" s="9"/>
      <c r="R5" s="9"/>
      <c r="S5" s="9"/>
      <c r="T5" s="9"/>
      <c r="U5" s="9"/>
      <c r="V5" s="9"/>
      <c r="W5" s="9"/>
      <c r="X5" s="9"/>
    </row>
    <row r="6" spans="2:28" x14ac:dyDescent="0.25">
      <c r="G6" s="9"/>
      <c r="H6" s="9"/>
      <c r="I6" s="9"/>
      <c r="J6" s="9"/>
      <c r="K6" s="9"/>
      <c r="L6" s="9"/>
      <c r="M6" s="9"/>
      <c r="N6" s="9"/>
      <c r="O6" s="9"/>
      <c r="P6" s="9"/>
      <c r="Q6" s="9"/>
      <c r="R6" s="9"/>
      <c r="S6" s="9"/>
      <c r="T6" s="9"/>
      <c r="U6" s="9"/>
      <c r="V6" s="9"/>
      <c r="W6" s="9"/>
      <c r="X6" s="9"/>
    </row>
    <row r="7" spans="2:28" x14ac:dyDescent="0.25">
      <c r="G7" s="9"/>
      <c r="H7" s="9"/>
      <c r="I7" s="9"/>
      <c r="J7" s="9"/>
      <c r="K7" s="9"/>
      <c r="L7" s="9"/>
      <c r="M7" s="9"/>
      <c r="N7" s="9"/>
      <c r="O7" s="9"/>
      <c r="P7" s="9"/>
      <c r="Q7" s="9"/>
      <c r="R7" s="9"/>
      <c r="S7" s="9"/>
      <c r="T7" s="9"/>
      <c r="U7" s="9"/>
      <c r="V7" s="9"/>
      <c r="W7" s="9"/>
      <c r="X7" s="9"/>
    </row>
    <row r="8" spans="2:28" x14ac:dyDescent="0.25">
      <c r="G8" s="9"/>
      <c r="H8" s="9"/>
      <c r="I8" s="9"/>
      <c r="J8" s="9"/>
      <c r="K8" s="9"/>
      <c r="L8" s="9"/>
      <c r="M8" s="9"/>
      <c r="N8" s="9"/>
      <c r="O8" s="9"/>
      <c r="P8" s="9"/>
      <c r="Q8" s="9"/>
      <c r="R8" s="9"/>
      <c r="S8" s="9"/>
      <c r="T8" s="9"/>
      <c r="U8" s="9"/>
      <c r="V8" s="9"/>
      <c r="W8" s="9"/>
      <c r="X8" s="9"/>
    </row>
    <row r="9" spans="2:28" x14ac:dyDescent="0.25">
      <c r="G9" s="9"/>
      <c r="H9" s="9"/>
      <c r="I9" s="9"/>
      <c r="J9" s="9"/>
      <c r="K9" s="9"/>
      <c r="L9" s="9"/>
      <c r="M9" s="9"/>
      <c r="N9" s="9"/>
      <c r="O9" s="9"/>
      <c r="P9" s="9"/>
      <c r="Q9" s="9"/>
      <c r="R9" s="9"/>
      <c r="S9" s="9"/>
      <c r="T9" s="9"/>
      <c r="U9" s="9"/>
      <c r="V9" s="9"/>
      <c r="W9" s="9"/>
      <c r="X9" s="9"/>
    </row>
    <row r="10" spans="2:28" x14ac:dyDescent="0.25">
      <c r="G10" s="9"/>
      <c r="H10" s="9"/>
      <c r="I10" s="9"/>
      <c r="J10" s="9"/>
      <c r="K10" s="9"/>
      <c r="L10" s="9"/>
      <c r="M10" s="9"/>
      <c r="N10" s="9"/>
      <c r="O10" s="9"/>
      <c r="P10" s="9"/>
      <c r="Q10" s="9"/>
      <c r="R10" s="9"/>
      <c r="S10" s="9"/>
      <c r="T10" s="9"/>
      <c r="U10" s="9"/>
      <c r="V10" s="9"/>
      <c r="W10" s="9"/>
      <c r="X10" s="9"/>
    </row>
    <row r="11" spans="2:28" x14ac:dyDescent="0.25">
      <c r="G11" s="9"/>
      <c r="H11" s="9"/>
      <c r="I11" s="9"/>
      <c r="J11" s="9"/>
      <c r="K11" s="9"/>
      <c r="L11" s="9"/>
      <c r="M11" s="9"/>
      <c r="N11" s="9"/>
      <c r="O11" s="9"/>
      <c r="P11" s="9"/>
      <c r="Q11" s="9"/>
      <c r="R11" s="9"/>
      <c r="S11" s="9"/>
      <c r="T11" s="9"/>
      <c r="U11" s="9"/>
      <c r="V11" s="9"/>
      <c r="W11" s="9"/>
      <c r="X11" s="9"/>
    </row>
    <row r="12" spans="2:28" x14ac:dyDescent="0.25">
      <c r="G12" s="9"/>
      <c r="H12" s="9"/>
      <c r="I12" s="9"/>
      <c r="J12" s="9"/>
      <c r="K12" s="9"/>
      <c r="L12" s="9"/>
      <c r="M12" s="9"/>
      <c r="N12" s="9"/>
      <c r="O12" s="9"/>
      <c r="P12" s="9"/>
      <c r="Q12" s="9"/>
      <c r="R12" s="9"/>
      <c r="S12" s="9"/>
      <c r="T12" s="9"/>
      <c r="U12" s="9"/>
      <c r="V12" s="9"/>
      <c r="W12" s="9"/>
      <c r="X12" s="9"/>
    </row>
    <row r="13" spans="2:28" x14ac:dyDescent="0.25">
      <c r="G13" s="9"/>
      <c r="H13" s="9"/>
      <c r="I13" s="9"/>
      <c r="J13" s="9"/>
      <c r="K13" s="9"/>
      <c r="L13" s="9"/>
      <c r="M13" s="9"/>
      <c r="N13" s="9"/>
      <c r="O13" s="9"/>
      <c r="P13" s="9"/>
      <c r="Q13" s="9"/>
      <c r="R13" s="9"/>
      <c r="S13" s="9"/>
      <c r="T13" s="9"/>
      <c r="U13" s="9"/>
      <c r="V13" s="9"/>
      <c r="W13" s="9"/>
      <c r="X13" s="9"/>
    </row>
    <row r="14" spans="2:28" x14ac:dyDescent="0.25">
      <c r="G14" s="9"/>
      <c r="H14" s="9"/>
      <c r="I14" s="9"/>
      <c r="J14" s="9"/>
      <c r="K14" s="9"/>
      <c r="L14" s="9"/>
      <c r="M14" s="9"/>
      <c r="N14" s="9"/>
      <c r="O14" s="9"/>
      <c r="P14" s="9"/>
      <c r="Q14" s="9"/>
      <c r="R14" s="9"/>
      <c r="S14" s="9"/>
      <c r="T14" s="9"/>
      <c r="U14" s="9"/>
      <c r="V14" s="9"/>
      <c r="W14" s="9"/>
      <c r="X14" s="9"/>
    </row>
    <row r="15" spans="2:28" x14ac:dyDescent="0.25">
      <c r="F15" s="81" t="s">
        <v>419</v>
      </c>
      <c r="G15" s="145"/>
      <c r="H15" s="145"/>
      <c r="I15" s="3"/>
      <c r="J15" s="3"/>
      <c r="K15" s="3"/>
      <c r="L15" s="3"/>
      <c r="M15" s="3"/>
      <c r="N15" s="9"/>
      <c r="O15" s="9"/>
      <c r="P15" s="9"/>
      <c r="Q15" s="9"/>
      <c r="R15" s="9"/>
      <c r="S15" s="9"/>
      <c r="T15" s="9"/>
      <c r="U15" s="9"/>
      <c r="V15" s="9"/>
      <c r="W15" s="9"/>
      <c r="X15" s="9"/>
    </row>
    <row r="16" spans="2:28" x14ac:dyDescent="0.25">
      <c r="F16" t="s">
        <v>420</v>
      </c>
      <c r="G16"/>
      <c r="H16"/>
      <c r="I16"/>
      <c r="J16" s="3"/>
      <c r="K16" s="3"/>
      <c r="L16" s="3"/>
      <c r="M16" s="3"/>
      <c r="N16" s="9"/>
      <c r="O16" s="9"/>
      <c r="P16" s="9"/>
      <c r="Q16" s="9"/>
      <c r="R16" s="9"/>
      <c r="S16" s="9"/>
      <c r="T16" s="9"/>
      <c r="U16" s="9"/>
      <c r="V16" s="9"/>
      <c r="W16" s="9"/>
      <c r="X16" s="9"/>
      <c r="Y16" s="9"/>
      <c r="Z16" s="9"/>
      <c r="AA16" s="9"/>
      <c r="AB16" s="9"/>
    </row>
    <row r="17" spans="6:29" x14ac:dyDescent="0.25">
      <c r="F17"/>
      <c r="G17"/>
      <c r="H17"/>
      <c r="I17"/>
      <c r="J17" s="3"/>
      <c r="K17" s="3"/>
      <c r="L17" s="3"/>
      <c r="M17" s="3"/>
      <c r="N17" s="9"/>
      <c r="O17" s="9"/>
      <c r="P17" s="9"/>
      <c r="Q17" s="9"/>
      <c r="R17" s="9"/>
      <c r="S17" s="9"/>
      <c r="T17" s="9"/>
      <c r="U17" s="9"/>
      <c r="V17" s="9"/>
      <c r="W17" s="9"/>
      <c r="X17" s="9"/>
      <c r="Y17" s="9"/>
      <c r="Z17" s="9"/>
      <c r="AA17" s="9"/>
      <c r="AB17" s="9"/>
    </row>
    <row r="18" spans="6:29" x14ac:dyDescent="0.25">
      <c r="F18"/>
      <c r="G18"/>
      <c r="H18"/>
      <c r="I18"/>
      <c r="J18" s="3"/>
      <c r="K18" s="3"/>
      <c r="L18" s="3"/>
      <c r="M18" s="3"/>
      <c r="N18" s="9"/>
      <c r="O18" s="9"/>
      <c r="P18" s="9"/>
      <c r="Q18" s="9"/>
      <c r="R18" s="9"/>
      <c r="S18" s="9"/>
      <c r="T18" s="9"/>
      <c r="U18" s="9"/>
      <c r="V18" s="9"/>
      <c r="W18" s="9"/>
      <c r="X18" s="9"/>
      <c r="Y18" s="9"/>
      <c r="Z18" s="9"/>
      <c r="AA18" s="9"/>
      <c r="AB18" s="9"/>
    </row>
    <row r="19" spans="6:29" x14ac:dyDescent="0.25">
      <c r="F19"/>
      <c r="G19"/>
      <c r="H19"/>
      <c r="I19"/>
      <c r="J19" s="3"/>
      <c r="K19" s="3"/>
      <c r="L19" s="3"/>
      <c r="M19" s="3"/>
      <c r="N19" s="9"/>
      <c r="O19" s="9"/>
      <c r="P19" s="9"/>
      <c r="Q19" s="9"/>
      <c r="R19" s="9"/>
      <c r="S19" s="9"/>
      <c r="T19" s="9"/>
      <c r="U19" s="9"/>
      <c r="V19" s="9"/>
      <c r="W19" s="9"/>
      <c r="X19" s="9"/>
      <c r="Y19" s="9"/>
      <c r="Z19" s="9"/>
      <c r="AA19" s="9"/>
      <c r="AB19" s="9"/>
    </row>
    <row r="20" spans="6:29" x14ac:dyDescent="0.25">
      <c r="F20"/>
      <c r="G20"/>
      <c r="H20"/>
      <c r="I20"/>
      <c r="J20" s="3"/>
      <c r="K20" s="3"/>
      <c r="L20" s="3"/>
      <c r="M20" s="3"/>
      <c r="N20" s="9"/>
      <c r="O20" s="9"/>
      <c r="P20" s="9"/>
      <c r="Q20" s="9"/>
      <c r="R20" s="9"/>
      <c r="S20" s="9"/>
      <c r="T20" s="9"/>
      <c r="U20" s="9"/>
      <c r="V20" s="9"/>
      <c r="W20" s="9"/>
      <c r="X20" s="9"/>
      <c r="Y20" s="9"/>
      <c r="Z20" s="9"/>
      <c r="AA20" s="9"/>
      <c r="AB20" s="9"/>
    </row>
    <row r="21" spans="6:29" x14ac:dyDescent="0.25">
      <c r="F21"/>
      <c r="G21"/>
      <c r="H21"/>
      <c r="I21"/>
      <c r="J21" s="3"/>
      <c r="K21" s="3"/>
      <c r="L21" s="3"/>
      <c r="M21" s="3"/>
      <c r="N21" s="9"/>
      <c r="O21" s="9"/>
      <c r="P21" s="9"/>
      <c r="Q21" s="9"/>
      <c r="R21" s="9"/>
      <c r="S21" s="9"/>
      <c r="T21" s="9"/>
      <c r="U21" s="9"/>
      <c r="V21" s="9"/>
      <c r="W21" s="9"/>
      <c r="X21" s="9"/>
      <c r="Y21" s="9"/>
      <c r="Z21" s="9"/>
      <c r="AA21" s="9"/>
      <c r="AB21" s="9"/>
    </row>
    <row r="22" spans="6:29" x14ac:dyDescent="0.25">
      <c r="F22"/>
      <c r="G22"/>
      <c r="H22"/>
      <c r="I22"/>
      <c r="J22" s="3"/>
      <c r="K22" s="3"/>
      <c r="L22" s="3"/>
      <c r="M22" s="3"/>
      <c r="N22" s="9"/>
      <c r="O22" s="9"/>
      <c r="P22" s="9"/>
      <c r="Q22" s="9"/>
      <c r="R22" s="9"/>
      <c r="S22" s="9"/>
      <c r="T22" s="9"/>
      <c r="U22" s="9"/>
      <c r="V22" s="9"/>
      <c r="W22" s="9"/>
      <c r="X22" s="9"/>
      <c r="Y22" s="9"/>
      <c r="Z22" s="9"/>
      <c r="AA22" s="9"/>
      <c r="AB22" s="9"/>
    </row>
    <row r="23" spans="6:29" x14ac:dyDescent="0.25">
      <c r="F23"/>
      <c r="G23"/>
      <c r="H23"/>
      <c r="I23"/>
      <c r="J23"/>
      <c r="K23"/>
      <c r="L23"/>
      <c r="M23" s="3"/>
      <c r="N23" s="9"/>
      <c r="O23" s="9"/>
      <c r="P23" s="9"/>
      <c r="Q23" s="9"/>
      <c r="R23" s="9"/>
      <c r="S23" s="9"/>
      <c r="T23" s="9"/>
      <c r="U23" s="9"/>
      <c r="V23" s="9"/>
      <c r="W23" s="9"/>
      <c r="X23" s="9"/>
      <c r="Y23" s="9"/>
      <c r="Z23" s="9"/>
      <c r="AA23" s="9"/>
      <c r="AB23" s="9"/>
    </row>
    <row r="24" spans="6:29" x14ac:dyDescent="0.25">
      <c r="F24"/>
      <c r="G24"/>
      <c r="H24"/>
      <c r="I24"/>
      <c r="J24"/>
      <c r="K24"/>
      <c r="L24"/>
      <c r="M24" s="3"/>
      <c r="N24" s="9"/>
      <c r="O24" s="9"/>
      <c r="P24" s="9"/>
      <c r="Q24" s="9"/>
      <c r="R24" s="9"/>
      <c r="S24" s="9"/>
      <c r="T24" s="9"/>
      <c r="U24" s="9"/>
      <c r="V24" s="9"/>
      <c r="W24" s="9"/>
      <c r="X24" s="9"/>
      <c r="Y24" s="9"/>
      <c r="Z24" s="9"/>
      <c r="AA24" s="9"/>
      <c r="AB24" s="9"/>
    </row>
    <row r="25" spans="6:29" x14ac:dyDescent="0.25">
      <c r="F25"/>
      <c r="G25"/>
      <c r="H25"/>
      <c r="I25"/>
      <c r="J25"/>
      <c r="K25"/>
      <c r="L25"/>
      <c r="M25" s="3"/>
      <c r="N25" s="9"/>
      <c r="O25" s="9"/>
      <c r="P25" s="9"/>
      <c r="Q25" s="9"/>
      <c r="R25" s="9"/>
      <c r="S25" s="9"/>
      <c r="T25" s="9"/>
      <c r="U25" s="9"/>
      <c r="V25" s="9"/>
      <c r="W25" s="9"/>
      <c r="X25" s="9"/>
      <c r="Y25" s="9"/>
      <c r="Z25" s="9"/>
      <c r="AA25" s="9"/>
      <c r="AB25" s="9"/>
    </row>
    <row r="26" spans="6:29" x14ac:dyDescent="0.25">
      <c r="F26"/>
      <c r="G26"/>
      <c r="H26"/>
      <c r="I26"/>
      <c r="J26"/>
      <c r="K26"/>
      <c r="L26"/>
      <c r="M26" s="3"/>
      <c r="N26" s="9"/>
      <c r="O26" s="9"/>
      <c r="P26" s="9"/>
      <c r="Q26" s="9"/>
      <c r="R26" s="9"/>
      <c r="S26" s="9"/>
      <c r="T26" s="9"/>
      <c r="U26" s="9"/>
      <c r="V26" s="9"/>
      <c r="W26" s="9"/>
      <c r="X26" s="9"/>
      <c r="Y26" s="9"/>
      <c r="Z26" s="9"/>
      <c r="AA26" s="9"/>
      <c r="AB26" s="9"/>
    </row>
    <row r="27" spans="6:29" x14ac:dyDescent="0.25">
      <c r="G27" s="9"/>
      <c r="H27" s="9"/>
      <c r="I27" s="9"/>
      <c r="J27" s="9"/>
      <c r="K27" s="9"/>
      <c r="L27" s="9"/>
      <c r="M27" s="9"/>
      <c r="N27" s="9"/>
      <c r="O27" s="9"/>
      <c r="P27" s="9"/>
      <c r="Q27" s="9"/>
      <c r="R27" s="9"/>
      <c r="S27" s="9"/>
      <c r="T27" s="9"/>
      <c r="U27" s="9"/>
      <c r="V27" s="9"/>
      <c r="W27" s="9"/>
      <c r="X27" s="9"/>
      <c r="Y27" s="9"/>
      <c r="Z27" s="9"/>
      <c r="AA27" s="9"/>
      <c r="AB27" s="9"/>
      <c r="AC27" s="9"/>
    </row>
    <row r="28" spans="6:29" x14ac:dyDescent="0.25">
      <c r="G28" s="9"/>
      <c r="H28" s="9"/>
      <c r="I28" s="9"/>
      <c r="J28" s="9"/>
      <c r="K28" s="9"/>
      <c r="L28" s="9"/>
      <c r="M28" s="9"/>
      <c r="N28" s="9"/>
      <c r="O28" s="9"/>
      <c r="P28" s="9"/>
      <c r="Q28" s="9"/>
      <c r="R28" s="9"/>
      <c r="S28" s="9"/>
      <c r="T28" s="9"/>
      <c r="U28" s="9"/>
      <c r="V28" s="9"/>
      <c r="W28" s="9"/>
      <c r="X28" s="9"/>
      <c r="Y28" s="9"/>
      <c r="Z28" s="9"/>
      <c r="AA28" s="9"/>
      <c r="AB28" s="9"/>
      <c r="AC28" s="9"/>
    </row>
    <row r="29" spans="6:29" x14ac:dyDescent="0.25">
      <c r="G29" s="146"/>
      <c r="H29" s="9"/>
      <c r="I29" s="9"/>
      <c r="J29" s="9"/>
      <c r="K29" s="9"/>
      <c r="L29" s="9"/>
      <c r="M29" s="9"/>
      <c r="N29" s="9"/>
      <c r="O29" s="9"/>
      <c r="P29" s="9"/>
      <c r="Q29" s="9"/>
      <c r="R29" s="9"/>
      <c r="S29" s="9"/>
      <c r="T29" s="9"/>
      <c r="U29" s="9"/>
      <c r="V29" s="9"/>
      <c r="W29" s="9"/>
      <c r="X29" s="9"/>
      <c r="Y29" s="9"/>
      <c r="Z29" s="9"/>
      <c r="AA29" s="9"/>
      <c r="AB29" s="9"/>
      <c r="AC29" s="9"/>
    </row>
    <row r="30" spans="6:29" x14ac:dyDescent="0.25">
      <c r="G30" s="9"/>
      <c r="H30" s="9"/>
      <c r="I30" s="9"/>
      <c r="J30" s="9"/>
      <c r="K30" s="9"/>
      <c r="L30" s="9"/>
      <c r="M30" s="9"/>
      <c r="N30" s="9"/>
      <c r="O30" s="9"/>
      <c r="P30" s="9"/>
      <c r="Q30" s="9"/>
      <c r="R30" s="9"/>
      <c r="S30" s="9"/>
      <c r="T30" s="9"/>
      <c r="U30" s="9"/>
      <c r="V30" s="9"/>
      <c r="W30" s="9"/>
      <c r="X30" s="9"/>
      <c r="Y30" s="9"/>
      <c r="Z30" s="9"/>
      <c r="AA30" s="9"/>
      <c r="AB30" s="9"/>
      <c r="AC30" s="9"/>
    </row>
    <row r="31" spans="6:29" x14ac:dyDescent="0.25">
      <c r="G31" s="9"/>
      <c r="H31" s="9"/>
      <c r="I31" s="9"/>
      <c r="J31" s="9"/>
      <c r="K31" s="9"/>
      <c r="L31" s="9"/>
      <c r="M31" s="9"/>
      <c r="N31" s="9"/>
      <c r="O31" s="9"/>
      <c r="P31" s="9"/>
      <c r="Q31" s="9"/>
      <c r="R31" s="9"/>
      <c r="S31" s="9"/>
      <c r="T31" s="9"/>
      <c r="U31" s="9"/>
      <c r="V31" s="9"/>
      <c r="W31" s="9"/>
      <c r="X31" s="9"/>
      <c r="Y31" s="9"/>
      <c r="Z31" s="9"/>
      <c r="AA31" s="9"/>
      <c r="AB31" s="9"/>
      <c r="AC31" s="9"/>
    </row>
    <row r="32" spans="6:29" x14ac:dyDescent="0.25">
      <c r="G32" s="9"/>
      <c r="H32" s="9"/>
      <c r="I32" s="9"/>
      <c r="J32" s="9"/>
      <c r="K32" s="9"/>
      <c r="L32" s="9"/>
      <c r="M32" s="9"/>
      <c r="N32" s="9"/>
      <c r="O32" s="9"/>
      <c r="P32" s="9"/>
      <c r="Q32" s="9"/>
      <c r="R32" s="9"/>
      <c r="S32" s="9"/>
      <c r="T32" s="9"/>
      <c r="U32" s="9"/>
      <c r="V32" s="9"/>
      <c r="W32" s="9"/>
      <c r="X32" s="9"/>
      <c r="Y32" s="9"/>
      <c r="Z32" s="9"/>
      <c r="AA32" s="9"/>
      <c r="AB32" s="9"/>
      <c r="AC32" s="9"/>
    </row>
    <row r="33" spans="7:29" x14ac:dyDescent="0.25">
      <c r="G33" s="9"/>
      <c r="H33" s="9"/>
      <c r="I33" s="9"/>
      <c r="J33" s="9"/>
      <c r="K33" s="9"/>
      <c r="L33" s="9"/>
      <c r="M33" s="9"/>
      <c r="N33" s="9"/>
      <c r="O33" s="9"/>
      <c r="P33" s="9"/>
      <c r="Q33" s="9"/>
      <c r="R33" s="9"/>
      <c r="S33" s="9"/>
      <c r="T33" s="9"/>
      <c r="U33" s="9"/>
      <c r="V33" s="9"/>
      <c r="W33" s="9"/>
      <c r="X33" s="9"/>
      <c r="Y33" s="9"/>
      <c r="Z33" s="9"/>
      <c r="AA33" s="9"/>
      <c r="AB33" s="9"/>
      <c r="AC33" s="9"/>
    </row>
    <row r="34" spans="7:29" x14ac:dyDescent="0.25">
      <c r="G34" s="9"/>
      <c r="H34" s="9"/>
      <c r="I34" s="9"/>
      <c r="J34" s="9"/>
      <c r="K34" s="9"/>
      <c r="L34" s="9"/>
      <c r="M34" s="9"/>
      <c r="N34" s="9"/>
      <c r="O34" s="9"/>
      <c r="P34" s="9"/>
      <c r="Q34" s="9"/>
      <c r="R34" s="9"/>
      <c r="S34" s="9"/>
      <c r="T34" s="9"/>
      <c r="U34" s="9"/>
      <c r="V34" s="9"/>
      <c r="W34" s="9"/>
      <c r="X34" s="9"/>
      <c r="Y34" s="9"/>
      <c r="Z34" s="9"/>
      <c r="AA34" s="9"/>
      <c r="AB34" s="9"/>
      <c r="AC34" s="9"/>
    </row>
    <row r="35" spans="7:29" x14ac:dyDescent="0.25">
      <c r="G35" s="9"/>
      <c r="H35" s="9"/>
      <c r="I35" s="9"/>
      <c r="J35" s="9"/>
      <c r="K35" s="9"/>
      <c r="L35" s="9"/>
      <c r="M35" s="9"/>
      <c r="N35" s="9"/>
      <c r="O35" s="9"/>
      <c r="P35" s="9"/>
      <c r="Q35" s="9"/>
      <c r="R35" s="9"/>
      <c r="S35" s="9"/>
      <c r="T35" s="9"/>
      <c r="U35" s="9"/>
      <c r="V35" s="9"/>
      <c r="W35" s="9"/>
      <c r="X35" s="9"/>
      <c r="Y35" s="9"/>
      <c r="Z35" s="9"/>
      <c r="AA35" s="9"/>
      <c r="AB35" s="9"/>
      <c r="AC35" s="9"/>
    </row>
    <row r="36" spans="7:29" x14ac:dyDescent="0.25">
      <c r="G36" s="9"/>
      <c r="H36" s="9"/>
      <c r="I36" s="9"/>
      <c r="J36" s="9"/>
      <c r="K36" s="9"/>
      <c r="L36" s="9"/>
      <c r="M36" s="9"/>
      <c r="N36" s="9"/>
      <c r="O36" s="9"/>
      <c r="P36" s="9"/>
      <c r="Q36" s="9"/>
      <c r="R36" s="9"/>
      <c r="S36" s="9"/>
      <c r="T36" s="9"/>
      <c r="U36" s="9"/>
      <c r="V36" s="9"/>
      <c r="W36" s="9"/>
      <c r="X36" s="9"/>
      <c r="Y36" s="9"/>
      <c r="Z36" s="9"/>
      <c r="AA36" s="9"/>
      <c r="AB36" s="9"/>
      <c r="AC36" s="9"/>
    </row>
    <row r="37" spans="7:29" x14ac:dyDescent="0.25">
      <c r="G37" s="9"/>
      <c r="H37" s="9"/>
      <c r="I37" s="9"/>
      <c r="J37" s="9"/>
      <c r="K37" s="9"/>
      <c r="L37" s="9"/>
      <c r="M37" s="9"/>
      <c r="N37" s="9"/>
      <c r="O37" s="9"/>
      <c r="P37" s="9"/>
      <c r="Q37" s="9"/>
      <c r="R37" s="9"/>
      <c r="S37" s="9"/>
      <c r="T37" s="9"/>
      <c r="U37" s="9"/>
      <c r="V37" s="9"/>
      <c r="W37" s="9"/>
      <c r="X37" s="9"/>
      <c r="Y37" s="9"/>
      <c r="Z37" s="9"/>
      <c r="AA37" s="9"/>
      <c r="AB37" s="9"/>
      <c r="AC37" s="9"/>
    </row>
    <row r="38" spans="7:29" x14ac:dyDescent="0.25">
      <c r="G38" s="9"/>
      <c r="H38" s="9"/>
      <c r="I38" s="9"/>
      <c r="J38" s="9"/>
      <c r="K38" s="9"/>
      <c r="L38" s="9"/>
      <c r="M38" s="9"/>
      <c r="N38" s="9"/>
      <c r="O38" s="9"/>
      <c r="P38" s="9"/>
      <c r="Q38" s="9"/>
      <c r="R38" s="9"/>
      <c r="S38" s="9"/>
      <c r="T38" s="9"/>
      <c r="U38" s="9"/>
      <c r="V38" s="9"/>
      <c r="W38" s="9"/>
      <c r="X38" s="9"/>
      <c r="Y38" s="9"/>
      <c r="Z38" s="9"/>
      <c r="AA38" s="9"/>
      <c r="AB38" s="9"/>
      <c r="AC38" s="9"/>
    </row>
    <row r="39" spans="7:29" x14ac:dyDescent="0.25">
      <c r="G39" s="9"/>
      <c r="H39" s="9"/>
      <c r="I39" s="9"/>
      <c r="J39" s="9"/>
      <c r="K39" s="9"/>
      <c r="L39" s="9"/>
      <c r="M39" s="9"/>
      <c r="N39" s="9"/>
      <c r="O39" s="9"/>
      <c r="P39" s="9"/>
      <c r="Q39" s="9"/>
      <c r="R39" s="9"/>
      <c r="S39" s="9"/>
      <c r="T39" s="9"/>
      <c r="U39" s="9"/>
      <c r="V39" s="9"/>
      <c r="W39" s="9"/>
      <c r="X39" s="9"/>
      <c r="Y39" s="9"/>
      <c r="Z39" s="9"/>
      <c r="AA39" s="9"/>
      <c r="AB39" s="9"/>
      <c r="AC39" s="9"/>
    </row>
    <row r="40" spans="7:29" x14ac:dyDescent="0.25">
      <c r="G40" s="9"/>
      <c r="H40" s="9"/>
      <c r="I40" s="9"/>
      <c r="J40" s="9"/>
      <c r="K40" s="9"/>
      <c r="L40" s="9"/>
      <c r="M40" s="9"/>
      <c r="N40" s="9"/>
      <c r="O40" s="9"/>
      <c r="P40" s="9"/>
      <c r="Q40" s="9"/>
      <c r="R40" s="9"/>
      <c r="S40" s="9"/>
      <c r="T40" s="9"/>
      <c r="U40" s="9"/>
      <c r="V40" s="9"/>
      <c r="W40" s="9"/>
      <c r="X40" s="9"/>
      <c r="Y40" s="9"/>
      <c r="Z40" s="9"/>
      <c r="AA40" s="9"/>
      <c r="AB40" s="9"/>
      <c r="AC40" s="9"/>
    </row>
    <row r="41" spans="7:29" x14ac:dyDescent="0.25">
      <c r="G41" s="9"/>
      <c r="H41" s="9"/>
      <c r="I41" s="9"/>
      <c r="J41" s="9"/>
      <c r="K41" s="9"/>
      <c r="L41" s="9"/>
      <c r="M41" s="9"/>
      <c r="N41" s="9"/>
      <c r="O41" s="9"/>
      <c r="P41" s="9"/>
      <c r="Q41" s="9"/>
      <c r="R41" s="9"/>
      <c r="S41" s="9"/>
      <c r="T41" s="9"/>
      <c r="U41" s="9"/>
      <c r="V41" s="9"/>
      <c r="W41" s="9"/>
      <c r="X41" s="9"/>
      <c r="Y41" s="9"/>
      <c r="Z41" s="9"/>
      <c r="AA41" s="9"/>
      <c r="AB41" s="9"/>
      <c r="AC41" s="9"/>
    </row>
    <row r="42" spans="7:29" x14ac:dyDescent="0.25">
      <c r="G42" s="9"/>
      <c r="H42" s="9"/>
      <c r="I42" s="9"/>
      <c r="J42" s="9"/>
      <c r="K42" s="9"/>
      <c r="L42" s="9"/>
      <c r="M42" s="9"/>
      <c r="N42" s="9"/>
      <c r="O42" s="9"/>
      <c r="P42" s="9"/>
      <c r="Q42" s="9"/>
      <c r="R42" s="9"/>
      <c r="S42" s="9"/>
      <c r="T42" s="9"/>
      <c r="U42" s="9"/>
      <c r="V42" s="9"/>
      <c r="W42" s="9"/>
      <c r="X42" s="9"/>
      <c r="Y42" s="9"/>
      <c r="Z42" s="9"/>
      <c r="AA42" s="9"/>
      <c r="AB42" s="9"/>
      <c r="AC42" s="9"/>
    </row>
    <row r="43" spans="7:29" x14ac:dyDescent="0.25">
      <c r="G43" s="9"/>
      <c r="H43" s="9"/>
      <c r="I43" s="9"/>
      <c r="J43" s="9"/>
      <c r="K43" s="9"/>
      <c r="L43" s="9"/>
      <c r="M43" s="9"/>
      <c r="N43" s="9"/>
      <c r="O43" s="9"/>
      <c r="P43" s="9"/>
      <c r="Q43" s="9"/>
      <c r="R43" s="9"/>
      <c r="S43" s="9"/>
      <c r="T43" s="9"/>
      <c r="U43" s="9"/>
      <c r="V43" s="9"/>
      <c r="W43" s="9"/>
      <c r="X43" s="9"/>
      <c r="Y43" s="9"/>
      <c r="Z43" s="9"/>
      <c r="AA43" s="9"/>
      <c r="AB43" s="9"/>
      <c r="AC43" s="9"/>
    </row>
    <row r="44" spans="7:29" x14ac:dyDescent="0.25">
      <c r="G44" s="9"/>
      <c r="H44" s="9"/>
      <c r="I44" s="9"/>
      <c r="J44" s="9"/>
      <c r="K44" s="9"/>
      <c r="L44" s="9"/>
      <c r="M44" s="9"/>
      <c r="N44" s="9"/>
      <c r="O44" s="9"/>
      <c r="P44" s="9"/>
      <c r="Q44" s="9"/>
      <c r="R44" s="9"/>
      <c r="S44" s="9"/>
      <c r="T44" s="9"/>
      <c r="U44" s="9"/>
      <c r="V44" s="9"/>
      <c r="W44" s="9"/>
      <c r="X44" s="9"/>
      <c r="Y44" s="9"/>
      <c r="Z44" s="9"/>
      <c r="AA44" s="9"/>
      <c r="AB44" s="9"/>
      <c r="AC44" s="9"/>
    </row>
    <row r="45" spans="7:29" x14ac:dyDescent="0.25">
      <c r="G45" s="9"/>
      <c r="H45" s="9"/>
      <c r="I45" s="9"/>
      <c r="J45" s="9"/>
      <c r="K45" s="9"/>
      <c r="L45" s="9"/>
      <c r="M45" s="9"/>
      <c r="N45" s="9"/>
      <c r="O45" s="9"/>
      <c r="P45" s="9"/>
      <c r="Q45" s="9"/>
      <c r="R45" s="9"/>
      <c r="S45" s="9"/>
      <c r="T45" s="9"/>
      <c r="U45" s="9"/>
      <c r="V45" s="9"/>
      <c r="W45" s="9"/>
      <c r="X45" s="9"/>
      <c r="Y45" s="9"/>
      <c r="Z45" s="9"/>
      <c r="AA45" s="9"/>
      <c r="AB45" s="9"/>
      <c r="AC45" s="9"/>
    </row>
    <row r="46" spans="7:29" x14ac:dyDescent="0.25">
      <c r="G46" s="9"/>
      <c r="H46" s="9"/>
      <c r="I46" s="9"/>
      <c r="J46" s="9"/>
      <c r="K46" s="9"/>
      <c r="L46" s="9"/>
      <c r="M46" s="9"/>
      <c r="N46" s="9"/>
      <c r="O46" s="9"/>
      <c r="P46" s="9"/>
      <c r="Q46" s="9"/>
      <c r="R46" s="9"/>
      <c r="S46" s="9"/>
      <c r="T46" s="9"/>
      <c r="U46" s="9"/>
      <c r="V46" s="9"/>
      <c r="W46" s="9"/>
      <c r="X46" s="9"/>
      <c r="Y46" s="9"/>
      <c r="Z46" s="9"/>
      <c r="AA46" s="9"/>
      <c r="AB46" s="9"/>
      <c r="AC46" s="9"/>
    </row>
    <row r="47" spans="7:29" x14ac:dyDescent="0.25">
      <c r="G47" s="9"/>
      <c r="H47" s="9"/>
      <c r="I47" s="9"/>
      <c r="J47" s="9"/>
      <c r="K47" s="9"/>
      <c r="L47" s="9"/>
      <c r="M47" s="9"/>
      <c r="N47" s="9"/>
      <c r="O47" s="9"/>
      <c r="P47" s="9"/>
      <c r="Q47" s="9"/>
      <c r="R47" s="9"/>
      <c r="S47" s="9"/>
      <c r="T47" s="9"/>
      <c r="U47" s="9"/>
      <c r="V47" s="9"/>
      <c r="W47" s="9"/>
      <c r="X47" s="9"/>
      <c r="Y47" s="9"/>
      <c r="Z47" s="9"/>
      <c r="AA47" s="9"/>
      <c r="AB47" s="9"/>
      <c r="AC47" s="9"/>
    </row>
    <row r="48" spans="7:29" x14ac:dyDescent="0.25">
      <c r="G48" s="9"/>
      <c r="H48" s="9"/>
      <c r="I48" s="9"/>
      <c r="J48" s="9"/>
      <c r="K48" s="9"/>
      <c r="L48" s="9"/>
      <c r="M48" s="9"/>
      <c r="N48" s="9"/>
      <c r="O48" s="9"/>
      <c r="P48" s="9"/>
      <c r="Q48" s="9"/>
      <c r="R48" s="9"/>
      <c r="S48" s="9"/>
      <c r="T48" s="9"/>
      <c r="U48" s="9"/>
      <c r="V48" s="9"/>
      <c r="W48" s="9"/>
      <c r="X48" s="9"/>
      <c r="Y48" s="9"/>
      <c r="Z48" s="9"/>
      <c r="AA48" s="9"/>
      <c r="AB48" s="9"/>
      <c r="AC48" s="9"/>
    </row>
    <row r="49" spans="6:29" x14ac:dyDescent="0.25">
      <c r="G49" s="9"/>
      <c r="H49" s="9"/>
      <c r="I49" s="9"/>
      <c r="J49" s="9"/>
      <c r="K49" s="9"/>
      <c r="L49" s="9"/>
      <c r="M49" s="9"/>
      <c r="N49" s="9"/>
      <c r="O49" s="9"/>
      <c r="P49" s="9"/>
      <c r="Q49" s="9"/>
      <c r="R49" s="9"/>
      <c r="S49" s="9"/>
      <c r="T49" s="9"/>
      <c r="U49" s="9"/>
      <c r="V49" s="9"/>
      <c r="W49" s="9"/>
      <c r="X49" s="9"/>
      <c r="Y49" s="9"/>
      <c r="Z49" s="9"/>
      <c r="AA49" s="9"/>
      <c r="AB49" s="9"/>
      <c r="AC49" s="9"/>
    </row>
    <row r="50" spans="6:29" x14ac:dyDescent="0.25">
      <c r="G50" s="9"/>
      <c r="H50" s="9"/>
      <c r="I50" s="9"/>
      <c r="J50" s="9"/>
      <c r="K50" s="9"/>
      <c r="L50" s="9"/>
      <c r="M50" s="9"/>
      <c r="N50" s="9"/>
      <c r="O50" s="9"/>
      <c r="P50" s="9"/>
      <c r="Q50" s="9"/>
      <c r="R50" s="9"/>
      <c r="S50" s="9"/>
      <c r="T50" s="9"/>
      <c r="U50" s="9"/>
      <c r="V50" s="9"/>
      <c r="W50" s="9"/>
      <c r="X50" s="9"/>
      <c r="Y50" s="9"/>
      <c r="Z50" s="9"/>
      <c r="AA50" s="9"/>
      <c r="AB50" s="9"/>
      <c r="AC50" s="9"/>
    </row>
    <row r="51" spans="6:29" x14ac:dyDescent="0.25">
      <c r="G51" s="9"/>
      <c r="H51" s="9"/>
      <c r="I51" s="9"/>
      <c r="J51" s="9"/>
      <c r="K51" s="9"/>
      <c r="L51" s="9"/>
      <c r="M51" s="9"/>
      <c r="N51" s="9"/>
      <c r="O51" s="9"/>
      <c r="P51" s="9"/>
      <c r="Q51" s="9"/>
      <c r="R51" s="9"/>
      <c r="S51" s="9"/>
      <c r="T51" s="9"/>
      <c r="U51" s="9"/>
      <c r="V51" s="9"/>
      <c r="W51" s="9"/>
      <c r="X51" s="9"/>
      <c r="Y51" s="9"/>
      <c r="Z51" s="9"/>
      <c r="AA51" s="9"/>
      <c r="AB51" s="9"/>
      <c r="AC51" s="9"/>
    </row>
    <row r="52" spans="6:29" x14ac:dyDescent="0.25">
      <c r="F52" s="23"/>
      <c r="G52" s="9"/>
      <c r="H52" s="9"/>
      <c r="I52" s="9"/>
      <c r="J52" s="9"/>
      <c r="K52" s="9"/>
      <c r="L52" s="9"/>
      <c r="M52" s="9"/>
      <c r="N52" s="9"/>
      <c r="O52" s="9"/>
      <c r="P52" s="9"/>
      <c r="Q52" s="9"/>
      <c r="R52" s="9"/>
      <c r="S52" s="9"/>
      <c r="T52" s="9"/>
      <c r="U52" s="9"/>
      <c r="V52" s="9"/>
      <c r="W52" s="9"/>
      <c r="X52" s="9"/>
      <c r="Y52" s="9"/>
      <c r="Z52" s="9"/>
      <c r="AA52" s="9"/>
      <c r="AB52" s="9"/>
      <c r="AC52" s="9"/>
    </row>
    <row r="53" spans="6:29" x14ac:dyDescent="0.25">
      <c r="G53" s="9"/>
      <c r="H53" s="9"/>
      <c r="I53" s="9"/>
      <c r="J53" s="9"/>
      <c r="K53" s="9"/>
      <c r="L53" s="9"/>
      <c r="M53" s="9"/>
      <c r="N53" s="9"/>
      <c r="O53" s="9"/>
      <c r="P53" s="9"/>
      <c r="Q53" s="9"/>
      <c r="R53" s="9"/>
      <c r="S53" s="9"/>
      <c r="T53" s="9"/>
      <c r="U53" s="9"/>
      <c r="V53" s="9"/>
      <c r="W53" s="9"/>
      <c r="X53" s="9"/>
      <c r="Y53" s="9"/>
      <c r="Z53" s="9"/>
      <c r="AA53" s="9"/>
      <c r="AB53" s="9"/>
      <c r="AC53" s="9"/>
    </row>
    <row r="54" spans="6:29" x14ac:dyDescent="0.25">
      <c r="G54" s="9"/>
      <c r="H54" s="9"/>
      <c r="I54" s="9"/>
      <c r="J54" s="9"/>
      <c r="K54" s="9"/>
      <c r="L54" s="9"/>
      <c r="M54" s="9"/>
      <c r="N54" s="9"/>
      <c r="O54" s="9"/>
      <c r="P54" s="9"/>
      <c r="Q54" s="9"/>
      <c r="R54" s="9"/>
      <c r="S54" s="9"/>
      <c r="T54" s="9"/>
      <c r="U54" s="9"/>
      <c r="V54" s="9"/>
      <c r="W54" s="9"/>
      <c r="X54" s="9"/>
      <c r="Y54" s="9"/>
      <c r="Z54" s="9"/>
      <c r="AA54" s="9"/>
      <c r="AB54" s="9"/>
      <c r="AC54" s="9"/>
    </row>
    <row r="55" spans="6:29" x14ac:dyDescent="0.25">
      <c r="G55" s="9"/>
      <c r="H55" s="9"/>
      <c r="I55" s="9"/>
      <c r="J55" s="9"/>
      <c r="K55" s="9"/>
      <c r="L55" s="9"/>
      <c r="M55" s="9"/>
      <c r="N55" s="9"/>
      <c r="O55" s="9"/>
      <c r="P55" s="9"/>
      <c r="Q55" s="9"/>
      <c r="R55" s="9"/>
      <c r="S55" s="9"/>
      <c r="T55" s="9"/>
      <c r="U55" s="9"/>
      <c r="V55" s="9"/>
      <c r="W55" s="9"/>
      <c r="X55" s="9"/>
      <c r="Y55" s="9"/>
      <c r="Z55" s="9"/>
      <c r="AA55" s="9"/>
      <c r="AB55" s="9"/>
      <c r="AC55" s="9"/>
    </row>
    <row r="56" spans="6:29" x14ac:dyDescent="0.25">
      <c r="G56" s="9"/>
      <c r="H56" s="9"/>
      <c r="I56" s="9"/>
      <c r="J56" s="9"/>
      <c r="K56" s="9"/>
      <c r="L56" s="9"/>
      <c r="M56" s="9"/>
      <c r="N56" s="9"/>
      <c r="O56" s="9"/>
      <c r="P56" s="9"/>
      <c r="Q56" s="9"/>
      <c r="R56" s="9"/>
      <c r="S56" s="9"/>
      <c r="T56" s="9"/>
      <c r="U56" s="9"/>
      <c r="V56" s="9"/>
      <c r="W56" s="9"/>
      <c r="X56" s="9"/>
      <c r="Y56" s="9"/>
      <c r="Z56" s="9"/>
      <c r="AA56" s="9"/>
      <c r="AB56" s="9"/>
      <c r="AC56" s="9"/>
    </row>
    <row r="57" spans="6:29" x14ac:dyDescent="0.25">
      <c r="G57" s="9"/>
      <c r="H57" s="9"/>
      <c r="I57" s="9"/>
      <c r="J57" s="9"/>
      <c r="K57" s="9"/>
      <c r="L57" s="9"/>
      <c r="M57" s="9"/>
      <c r="N57" s="9"/>
      <c r="O57" s="9"/>
      <c r="P57" s="9"/>
      <c r="Q57" s="9"/>
      <c r="R57" s="9"/>
      <c r="S57" s="9"/>
      <c r="T57" s="9"/>
      <c r="U57" s="9"/>
      <c r="V57" s="9"/>
      <c r="W57" s="9"/>
      <c r="X57" s="9"/>
      <c r="Y57" s="9"/>
      <c r="Z57" s="9"/>
      <c r="AA57" s="9"/>
      <c r="AB57" s="9"/>
      <c r="AC57" s="9"/>
    </row>
    <row r="58" spans="6:29" x14ac:dyDescent="0.25">
      <c r="G58" s="9"/>
      <c r="H58" s="9"/>
      <c r="I58" s="9"/>
      <c r="J58" s="9"/>
      <c r="K58" s="9"/>
      <c r="L58" s="9"/>
      <c r="M58" s="9"/>
      <c r="N58" s="9"/>
      <c r="O58" s="9"/>
      <c r="P58" s="9"/>
      <c r="Q58" s="9"/>
      <c r="R58" s="9"/>
      <c r="S58" s="9"/>
      <c r="T58" s="9"/>
      <c r="U58" s="9"/>
      <c r="V58" s="9"/>
      <c r="W58" s="9"/>
      <c r="X58" s="9"/>
      <c r="Y58" s="9"/>
      <c r="Z58" s="9"/>
      <c r="AA58" s="9"/>
      <c r="AB58" s="9"/>
      <c r="AC58" s="9"/>
    </row>
    <row r="59" spans="6:29" x14ac:dyDescent="0.25">
      <c r="G59" s="9"/>
      <c r="H59" s="9"/>
      <c r="I59" s="9"/>
      <c r="J59" s="9"/>
      <c r="K59" s="9"/>
      <c r="L59" s="9"/>
      <c r="M59" s="9"/>
      <c r="N59" s="9"/>
      <c r="O59" s="9"/>
      <c r="P59" s="9"/>
      <c r="Q59" s="9"/>
      <c r="R59" s="9"/>
      <c r="S59" s="9"/>
      <c r="T59" s="9"/>
      <c r="U59" s="9"/>
      <c r="V59" s="9"/>
      <c r="W59" s="9"/>
      <c r="X59" s="9"/>
      <c r="Y59" s="9"/>
      <c r="Z59" s="9"/>
      <c r="AA59" s="9"/>
      <c r="AB59" s="9"/>
      <c r="AC59" s="9"/>
    </row>
    <row r="60" spans="6:29" x14ac:dyDescent="0.25">
      <c r="G60" s="9"/>
      <c r="H60" s="9"/>
      <c r="I60" s="9"/>
      <c r="J60" s="9"/>
      <c r="K60" s="9"/>
      <c r="L60" s="9"/>
      <c r="M60" s="9"/>
      <c r="N60" s="9"/>
      <c r="O60" s="9"/>
      <c r="P60" s="9"/>
      <c r="Q60" s="9"/>
      <c r="R60" s="9"/>
      <c r="S60" s="9"/>
      <c r="T60" s="9"/>
      <c r="U60" s="9"/>
      <c r="V60" s="9"/>
      <c r="W60" s="9"/>
      <c r="X60" s="9"/>
      <c r="Y60" s="9"/>
      <c r="Z60" s="9"/>
      <c r="AA60" s="9"/>
      <c r="AB60" s="9"/>
      <c r="AC60" s="9"/>
    </row>
    <row r="61" spans="6:29" x14ac:dyDescent="0.25">
      <c r="G61" s="9"/>
      <c r="H61" s="9"/>
      <c r="I61" s="9"/>
      <c r="J61" s="9"/>
      <c r="K61" s="9"/>
      <c r="L61" s="9"/>
      <c r="M61" s="9"/>
      <c r="N61" s="9"/>
      <c r="O61" s="9"/>
      <c r="P61" s="9"/>
      <c r="Q61" s="9"/>
      <c r="R61" s="9"/>
      <c r="S61" s="9"/>
      <c r="T61" s="9"/>
      <c r="U61" s="9"/>
      <c r="V61" s="9"/>
      <c r="W61" s="9"/>
      <c r="X61" s="9"/>
      <c r="Y61" s="9"/>
      <c r="Z61" s="9"/>
      <c r="AA61" s="9"/>
      <c r="AB61" s="9"/>
      <c r="AC61" s="9"/>
    </row>
    <row r="62" spans="6:29" x14ac:dyDescent="0.25">
      <c r="G62" s="9"/>
      <c r="H62" s="9"/>
      <c r="I62" s="9"/>
      <c r="J62" s="9"/>
      <c r="K62" s="9"/>
      <c r="L62" s="9"/>
      <c r="M62" s="9"/>
      <c r="N62" s="9"/>
      <c r="O62" s="9"/>
      <c r="P62" s="9"/>
      <c r="Q62" s="9"/>
      <c r="R62" s="9"/>
      <c r="S62" s="9"/>
      <c r="T62" s="9"/>
      <c r="U62" s="9"/>
      <c r="V62" s="9"/>
      <c r="W62" s="9"/>
      <c r="X62" s="9"/>
      <c r="Y62" s="9"/>
      <c r="Z62" s="9"/>
      <c r="AA62" s="9"/>
      <c r="AB62" s="9"/>
      <c r="AC62" s="9"/>
    </row>
    <row r="63" spans="6:29" x14ac:dyDescent="0.25">
      <c r="G63" s="9"/>
      <c r="H63" s="9"/>
      <c r="I63" s="9"/>
      <c r="J63" s="9"/>
      <c r="K63" s="9"/>
      <c r="L63" s="9"/>
      <c r="M63" s="9"/>
      <c r="N63" s="9"/>
      <c r="O63" s="9"/>
      <c r="P63" s="9"/>
      <c r="Q63" s="9"/>
      <c r="R63" s="9"/>
      <c r="S63" s="9"/>
      <c r="T63" s="9"/>
      <c r="U63" s="9"/>
      <c r="V63" s="9"/>
      <c r="W63" s="9"/>
      <c r="X63" s="9"/>
      <c r="Y63" s="9"/>
      <c r="Z63" s="9"/>
      <c r="AA63" s="9"/>
      <c r="AB63" s="9"/>
      <c r="AC63" s="9"/>
    </row>
    <row r="64" spans="6:29" x14ac:dyDescent="0.25">
      <c r="G64" s="9"/>
      <c r="H64" s="9"/>
      <c r="I64" s="9"/>
      <c r="J64" s="9"/>
      <c r="K64" s="9"/>
      <c r="L64" s="9"/>
      <c r="M64" s="9"/>
      <c r="N64" s="9"/>
      <c r="O64" s="9"/>
      <c r="P64" s="9"/>
      <c r="Q64" s="9"/>
      <c r="R64" s="9"/>
      <c r="S64" s="9"/>
      <c r="T64" s="9"/>
      <c r="U64" s="9"/>
      <c r="V64" s="9"/>
      <c r="W64" s="9"/>
      <c r="X64" s="9"/>
      <c r="Y64" s="9"/>
      <c r="Z64" s="9"/>
      <c r="AA64" s="9"/>
      <c r="AB64" s="9"/>
      <c r="AC64" s="9"/>
    </row>
    <row r="65" spans="7:29" x14ac:dyDescent="0.25">
      <c r="G65" s="9"/>
      <c r="H65" s="9"/>
      <c r="I65" s="9"/>
      <c r="J65" s="9"/>
      <c r="K65" s="9"/>
      <c r="L65" s="9"/>
      <c r="M65" s="9"/>
      <c r="N65" s="9"/>
      <c r="O65" s="9"/>
      <c r="P65" s="9"/>
      <c r="Q65" s="9"/>
      <c r="R65" s="9"/>
      <c r="S65" s="9"/>
      <c r="T65" s="9"/>
      <c r="U65" s="9"/>
      <c r="V65" s="9"/>
      <c r="W65" s="9"/>
      <c r="X65" s="9"/>
      <c r="Y65" s="9"/>
      <c r="Z65" s="9"/>
      <c r="AA65" s="9"/>
      <c r="AB65" s="9"/>
      <c r="AC65" s="9"/>
    </row>
    <row r="66" spans="7:29" x14ac:dyDescent="0.25">
      <c r="G66" s="9"/>
      <c r="H66" s="9"/>
      <c r="I66" s="9"/>
      <c r="J66" s="9"/>
      <c r="K66" s="9"/>
      <c r="L66" s="9"/>
      <c r="M66" s="9"/>
      <c r="N66" s="9"/>
      <c r="O66" s="9"/>
      <c r="P66" s="9"/>
      <c r="Q66" s="9"/>
      <c r="R66" s="9"/>
      <c r="S66" s="9"/>
      <c r="T66" s="9"/>
      <c r="U66" s="9"/>
      <c r="V66" s="9"/>
      <c r="W66" s="9"/>
      <c r="X66" s="9"/>
      <c r="Y66" s="9"/>
      <c r="Z66" s="9"/>
      <c r="AA66" s="9"/>
      <c r="AB66" s="9"/>
      <c r="AC66" s="9"/>
    </row>
    <row r="67" spans="7:29" x14ac:dyDescent="0.25">
      <c r="G67" s="9"/>
      <c r="H67" s="9"/>
      <c r="I67" s="9"/>
      <c r="J67" s="9"/>
      <c r="K67" s="9"/>
      <c r="L67" s="9"/>
      <c r="M67" s="9"/>
      <c r="N67" s="9"/>
      <c r="O67" s="9"/>
      <c r="P67" s="9"/>
      <c r="Q67" s="9"/>
      <c r="R67" s="9"/>
      <c r="S67" s="9"/>
      <c r="T67" s="9"/>
      <c r="U67" s="9"/>
      <c r="V67" s="9"/>
      <c r="W67" s="9"/>
      <c r="X67" s="9"/>
      <c r="Y67" s="9"/>
      <c r="Z67" s="9"/>
      <c r="AA67" s="9"/>
      <c r="AB67" s="9"/>
      <c r="AC67" s="9"/>
    </row>
    <row r="68" spans="7:29" x14ac:dyDescent="0.25">
      <c r="G68" s="9"/>
      <c r="H68" s="9"/>
      <c r="I68" s="9"/>
      <c r="J68" s="9"/>
      <c r="K68" s="9"/>
      <c r="L68" s="9"/>
      <c r="M68" s="9"/>
      <c r="N68" s="9"/>
      <c r="O68" s="9"/>
      <c r="P68" s="9"/>
      <c r="Q68" s="9"/>
      <c r="R68" s="9"/>
      <c r="S68" s="9"/>
      <c r="T68" s="9"/>
      <c r="U68" s="9"/>
      <c r="V68" s="9"/>
      <c r="W68" s="9"/>
      <c r="X68" s="9"/>
      <c r="Y68" s="9"/>
      <c r="Z68" s="9"/>
      <c r="AA68" s="9"/>
      <c r="AB68" s="9"/>
      <c r="AC68" s="9"/>
    </row>
    <row r="69" spans="7:29" x14ac:dyDescent="0.25">
      <c r="G69" s="9"/>
      <c r="H69" s="9"/>
      <c r="I69" s="9"/>
      <c r="J69" s="9"/>
      <c r="K69" s="9"/>
      <c r="L69" s="9"/>
      <c r="M69" s="9"/>
      <c r="N69" s="9"/>
      <c r="O69" s="9"/>
      <c r="P69" s="9"/>
      <c r="Q69" s="9"/>
      <c r="R69" s="9"/>
      <c r="S69" s="9"/>
      <c r="T69" s="9"/>
      <c r="U69" s="9"/>
      <c r="V69" s="9"/>
      <c r="W69" s="9"/>
      <c r="X69" s="9"/>
      <c r="Y69" s="9"/>
      <c r="Z69" s="9"/>
      <c r="AA69" s="9"/>
      <c r="AB69" s="9"/>
      <c r="AC69" s="9"/>
    </row>
    <row r="70" spans="7:29" x14ac:dyDescent="0.25">
      <c r="G70" s="9"/>
      <c r="H70" s="9"/>
      <c r="I70" s="9"/>
      <c r="J70" s="9"/>
      <c r="K70" s="9"/>
      <c r="L70" s="9"/>
      <c r="M70" s="9"/>
      <c r="N70" s="9"/>
      <c r="O70" s="9"/>
      <c r="P70" s="9"/>
      <c r="Q70" s="9"/>
      <c r="R70" s="9"/>
      <c r="S70" s="9"/>
      <c r="T70" s="9"/>
      <c r="U70" s="9"/>
      <c r="V70" s="9"/>
      <c r="W70" s="9"/>
      <c r="X70" s="9"/>
      <c r="Y70" s="9"/>
      <c r="Z70" s="9"/>
      <c r="AA70" s="9"/>
      <c r="AB70" s="9"/>
      <c r="AC70" s="9"/>
    </row>
    <row r="71" spans="7:29" x14ac:dyDescent="0.25">
      <c r="G71" s="9"/>
      <c r="H71" s="9"/>
      <c r="I71" s="9"/>
      <c r="J71" s="9"/>
      <c r="K71" s="9"/>
      <c r="L71" s="9"/>
      <c r="M71" s="9"/>
      <c r="N71" s="9"/>
      <c r="O71" s="9"/>
      <c r="P71" s="9"/>
      <c r="Q71" s="9"/>
      <c r="R71" s="9"/>
      <c r="S71" s="9"/>
      <c r="T71" s="9"/>
      <c r="U71" s="9"/>
      <c r="V71" s="9"/>
      <c r="W71" s="9"/>
      <c r="X71" s="9"/>
      <c r="Y71" s="9"/>
      <c r="Z71" s="9"/>
      <c r="AA71" s="9"/>
      <c r="AB71" s="9"/>
      <c r="AC71" s="9"/>
    </row>
    <row r="72" spans="7:29" x14ac:dyDescent="0.25">
      <c r="G72" s="9"/>
      <c r="H72" s="9"/>
      <c r="I72" s="9"/>
      <c r="J72" s="9"/>
      <c r="K72" s="9"/>
      <c r="L72" s="9"/>
      <c r="M72" s="9"/>
      <c r="N72" s="9"/>
      <c r="O72" s="9"/>
      <c r="P72" s="9"/>
      <c r="Q72" s="9"/>
      <c r="R72" s="9"/>
      <c r="S72" s="9"/>
      <c r="T72" s="9"/>
      <c r="U72" s="9"/>
      <c r="V72" s="9"/>
      <c r="W72" s="9"/>
      <c r="X72" s="9"/>
      <c r="Y72" s="9"/>
      <c r="Z72" s="9"/>
      <c r="AA72" s="9"/>
      <c r="AB72" s="9"/>
      <c r="AC72" s="9"/>
    </row>
    <row r="73" spans="7:29" x14ac:dyDescent="0.25">
      <c r="G73" s="9"/>
      <c r="H73" s="9"/>
      <c r="I73" s="9"/>
      <c r="J73" s="9"/>
      <c r="K73" s="9"/>
      <c r="L73" s="9"/>
      <c r="M73" s="9"/>
      <c r="N73" s="9"/>
      <c r="O73" s="9"/>
      <c r="P73" s="9"/>
      <c r="Q73" s="9"/>
      <c r="R73" s="9"/>
      <c r="S73" s="9"/>
      <c r="T73" s="9"/>
      <c r="U73" s="9"/>
      <c r="V73" s="9"/>
      <c r="W73" s="9"/>
      <c r="X73" s="9"/>
      <c r="Y73" s="9"/>
      <c r="Z73" s="9"/>
      <c r="AA73" s="9"/>
      <c r="AB73" s="9"/>
      <c r="AC73" s="9"/>
    </row>
    <row r="74" spans="7:29" x14ac:dyDescent="0.25">
      <c r="G74" s="9"/>
      <c r="H74" s="9"/>
      <c r="I74" s="9"/>
      <c r="J74" s="9"/>
      <c r="K74" s="9"/>
      <c r="L74" s="9"/>
      <c r="M74" s="9"/>
      <c r="N74" s="9"/>
      <c r="O74" s="9"/>
      <c r="P74" s="9"/>
      <c r="Q74" s="9"/>
      <c r="R74" s="9"/>
      <c r="S74" s="9"/>
      <c r="T74" s="9"/>
      <c r="U74" s="9"/>
      <c r="V74" s="9"/>
      <c r="W74" s="9"/>
      <c r="X74" s="9"/>
      <c r="Y74" s="9"/>
      <c r="Z74" s="9"/>
      <c r="AA74" s="9"/>
      <c r="AB74" s="9"/>
      <c r="AC74" s="9"/>
    </row>
    <row r="75" spans="7:29" x14ac:dyDescent="0.25">
      <c r="G75" s="9"/>
      <c r="H75" s="9"/>
      <c r="I75" s="9"/>
      <c r="J75" s="9"/>
      <c r="K75" s="9"/>
      <c r="L75" s="9"/>
      <c r="M75" s="9"/>
      <c r="N75" s="9"/>
      <c r="O75" s="9"/>
      <c r="P75" s="9"/>
      <c r="Q75" s="9"/>
      <c r="R75" s="9"/>
      <c r="S75" s="9"/>
      <c r="T75" s="9"/>
      <c r="U75" s="9"/>
      <c r="V75" s="9"/>
      <c r="W75" s="9"/>
      <c r="X75" s="9"/>
      <c r="Y75" s="9"/>
      <c r="Z75" s="9"/>
      <c r="AA75" s="9"/>
      <c r="AB75" s="9"/>
      <c r="AC75" s="9"/>
    </row>
    <row r="76" spans="7:29" x14ac:dyDescent="0.25">
      <c r="G76" s="9"/>
      <c r="H76" s="9"/>
      <c r="I76" s="9"/>
      <c r="J76" s="9"/>
      <c r="K76" s="9"/>
      <c r="L76" s="9"/>
      <c r="M76" s="9"/>
      <c r="N76" s="9"/>
      <c r="O76" s="9"/>
      <c r="P76" s="9"/>
      <c r="Q76" s="9"/>
      <c r="R76" s="9"/>
      <c r="S76" s="9"/>
      <c r="T76" s="9"/>
      <c r="U76" s="9"/>
      <c r="V76" s="9"/>
      <c r="W76" s="9"/>
      <c r="X76" s="9"/>
      <c r="Y76" s="9"/>
      <c r="Z76" s="9"/>
      <c r="AA76" s="9"/>
      <c r="AB76" s="9"/>
      <c r="AC76" s="9"/>
    </row>
    <row r="77" spans="7:29" x14ac:dyDescent="0.25">
      <c r="G77" s="9"/>
      <c r="H77" s="9"/>
      <c r="I77" s="9"/>
      <c r="J77" s="9"/>
      <c r="K77" s="9"/>
      <c r="L77" s="9"/>
      <c r="M77" s="9"/>
      <c r="N77" s="9"/>
      <c r="O77" s="9"/>
      <c r="P77" s="9"/>
      <c r="Q77" s="9"/>
      <c r="R77" s="9"/>
      <c r="S77" s="9"/>
      <c r="T77" s="9"/>
      <c r="U77" s="9"/>
      <c r="V77" s="9"/>
      <c r="W77" s="9"/>
      <c r="X77" s="9"/>
      <c r="Y77" s="9"/>
      <c r="Z77" s="9"/>
      <c r="AA77" s="9"/>
      <c r="AB77" s="9"/>
      <c r="AC77" s="9"/>
    </row>
    <row r="78" spans="7:29" x14ac:dyDescent="0.25">
      <c r="G78" s="9"/>
      <c r="H78" s="9"/>
      <c r="I78" s="9"/>
      <c r="J78" s="9"/>
      <c r="K78" s="9"/>
      <c r="L78" s="9"/>
      <c r="M78" s="9"/>
      <c r="N78" s="9"/>
      <c r="O78" s="9"/>
      <c r="P78" s="9"/>
      <c r="Q78" s="9"/>
      <c r="R78" s="9"/>
      <c r="S78" s="9"/>
      <c r="T78" s="9"/>
      <c r="U78" s="9"/>
      <c r="V78" s="9"/>
      <c r="W78" s="9"/>
      <c r="X78" s="9"/>
      <c r="Y78" s="9"/>
      <c r="Z78" s="9"/>
      <c r="AA78" s="9"/>
      <c r="AB78" s="9"/>
      <c r="AC78" s="9"/>
    </row>
    <row r="79" spans="7:29" x14ac:dyDescent="0.25">
      <c r="G79" s="9"/>
      <c r="H79" s="9"/>
      <c r="I79" s="9"/>
      <c r="J79" s="9"/>
      <c r="K79" s="9"/>
      <c r="L79" s="9"/>
      <c r="M79" s="9"/>
      <c r="N79" s="9"/>
      <c r="O79" s="9"/>
      <c r="P79" s="9"/>
      <c r="Q79" s="9"/>
      <c r="R79" s="9"/>
      <c r="S79" s="9"/>
      <c r="T79" s="9"/>
      <c r="U79" s="9"/>
      <c r="V79" s="9"/>
      <c r="W79" s="9"/>
      <c r="X79" s="9"/>
      <c r="Y79" s="9"/>
      <c r="Z79" s="9"/>
      <c r="AA79" s="9"/>
      <c r="AB79" s="9"/>
      <c r="AC79" s="9"/>
    </row>
    <row r="104" spans="6:6" x14ac:dyDescent="0.25">
      <c r="F104" s="23"/>
    </row>
    <row r="156" spans="6:6" x14ac:dyDescent="0.25">
      <c r="F156" s="23"/>
    </row>
    <row r="208" spans="6:6" x14ac:dyDescent="0.25">
      <c r="F208" s="23"/>
    </row>
    <row r="259" spans="2:6" x14ac:dyDescent="0.25">
      <c r="F259" s="23"/>
    </row>
    <row r="260" spans="2:6" x14ac:dyDescent="0.25">
      <c r="B260" s="50"/>
    </row>
    <row r="294" spans="2:2" ht="18" x14ac:dyDescent="0.25">
      <c r="B294" s="35" t="s">
        <v>341</v>
      </c>
    </row>
    <row r="311" spans="3:6" x14ac:dyDescent="0.25">
      <c r="F311" s="23"/>
    </row>
    <row r="314" spans="3:6" x14ac:dyDescent="0.25">
      <c r="C314" s="24" t="s">
        <v>418</v>
      </c>
    </row>
  </sheetData>
  <sheetProtection sheet="1" selectLockedCells="1"/>
  <phoneticPr fontId="1"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E204"/>
  <sheetViews>
    <sheetView tabSelected="1" zoomScale="130" zoomScaleNormal="130" workbookViewId="0">
      <selection activeCell="H1" sqref="H1"/>
    </sheetView>
  </sheetViews>
  <sheetFormatPr defaultColWidth="8.7109375" defaultRowHeight="15" x14ac:dyDescent="0.2"/>
  <cols>
    <col min="1" max="1" width="8.7109375" style="7"/>
    <col min="2" max="2" width="40.42578125" style="7" customWidth="1"/>
    <col min="3" max="3" width="24.5703125" style="7" customWidth="1"/>
    <col min="4" max="4" width="11.140625" style="7" customWidth="1"/>
    <col min="5" max="5" width="13.42578125" style="7" customWidth="1"/>
    <col min="6" max="6" width="9.85546875" style="7" customWidth="1"/>
    <col min="7" max="7" width="9.28515625" style="7" customWidth="1"/>
    <col min="8" max="16384" width="8.7109375" style="7"/>
  </cols>
  <sheetData>
    <row r="1" spans="2:15" ht="18" x14ac:dyDescent="0.25">
      <c r="B1" s="6" t="s">
        <v>512</v>
      </c>
      <c r="E1" s="8"/>
      <c r="G1" s="9"/>
      <c r="H1" s="9"/>
      <c r="I1" s="9"/>
      <c r="J1" s="9"/>
      <c r="K1" s="9"/>
      <c r="L1" s="9"/>
      <c r="M1" s="9"/>
      <c r="N1" s="9"/>
      <c r="O1" s="9"/>
    </row>
    <row r="2" spans="2:15" ht="15.75" x14ac:dyDescent="0.25">
      <c r="B2" s="8" t="s">
        <v>342</v>
      </c>
      <c r="C2" s="8"/>
      <c r="G2" s="10" t="s">
        <v>19</v>
      </c>
      <c r="H2" s="9"/>
      <c r="I2" s="9"/>
      <c r="J2" s="9"/>
      <c r="K2" s="9"/>
      <c r="L2" s="9"/>
      <c r="M2" s="9"/>
      <c r="N2" s="9"/>
      <c r="O2" s="9"/>
    </row>
    <row r="3" spans="2:15" x14ac:dyDescent="0.2">
      <c r="G3" s="9"/>
      <c r="H3" s="9"/>
      <c r="I3" s="9"/>
      <c r="J3" s="9"/>
      <c r="K3" s="9"/>
      <c r="L3" s="9"/>
      <c r="M3" s="9"/>
      <c r="N3" s="9"/>
      <c r="O3" s="9"/>
    </row>
    <row r="4" spans="2:15" x14ac:dyDescent="0.2">
      <c r="G4" s="11"/>
      <c r="H4" s="12"/>
      <c r="I4" s="12"/>
      <c r="J4" s="9"/>
      <c r="K4" s="9"/>
      <c r="L4" s="11"/>
      <c r="M4" s="9"/>
      <c r="N4" s="9"/>
      <c r="O4" s="9"/>
    </row>
    <row r="5" spans="2:15" x14ac:dyDescent="0.2">
      <c r="B5" s="13"/>
      <c r="C5" s="14"/>
      <c r="D5" s="14"/>
      <c r="G5" s="9"/>
      <c r="H5" s="9"/>
      <c r="I5" s="9"/>
      <c r="J5" s="9"/>
      <c r="K5" s="9"/>
      <c r="L5" s="9"/>
      <c r="M5" s="9"/>
      <c r="N5" s="9"/>
      <c r="O5" s="9"/>
    </row>
    <row r="6" spans="2:15" x14ac:dyDescent="0.2">
      <c r="B6" s="13"/>
      <c r="C6" s="14"/>
      <c r="D6" s="14"/>
      <c r="G6" s="9"/>
      <c r="H6" s="9"/>
      <c r="I6" s="9"/>
      <c r="J6" s="9"/>
      <c r="K6" s="9"/>
      <c r="L6" s="9"/>
      <c r="M6" s="9"/>
      <c r="N6" s="9"/>
      <c r="O6" s="9"/>
    </row>
    <row r="7" spans="2:15" x14ac:dyDescent="0.2">
      <c r="B7" s="13"/>
      <c r="C7" s="14"/>
      <c r="D7" s="14"/>
      <c r="G7" s="11"/>
      <c r="H7" s="9"/>
      <c r="I7" s="9"/>
      <c r="J7" s="9"/>
      <c r="K7" s="9"/>
      <c r="L7" s="9"/>
      <c r="M7" s="9"/>
      <c r="N7" s="9"/>
      <c r="O7" s="9"/>
    </row>
    <row r="8" spans="2:15" x14ac:dyDescent="0.2">
      <c r="B8" s="13"/>
      <c r="C8" s="14"/>
      <c r="D8" s="14"/>
      <c r="G8" s="11"/>
      <c r="H8" s="9"/>
      <c r="I8" s="9"/>
      <c r="J8" s="9"/>
      <c r="K8" s="9"/>
      <c r="L8" s="9"/>
      <c r="M8" s="9"/>
      <c r="N8" s="9"/>
      <c r="O8" s="9"/>
    </row>
    <row r="9" spans="2:15" x14ac:dyDescent="0.2">
      <c r="B9" s="13"/>
      <c r="C9" s="14"/>
      <c r="D9" s="14"/>
      <c r="G9" s="11"/>
      <c r="H9" s="9"/>
      <c r="I9" s="9"/>
      <c r="J9" s="9"/>
      <c r="K9" s="9"/>
      <c r="L9" s="9"/>
      <c r="M9" s="9"/>
      <c r="N9" s="9"/>
      <c r="O9" s="9"/>
    </row>
    <row r="10" spans="2:15" x14ac:dyDescent="0.2">
      <c r="B10" s="13"/>
      <c r="C10" s="14"/>
      <c r="D10" s="14"/>
      <c r="G10" s="11"/>
      <c r="H10" s="9"/>
      <c r="I10" s="9"/>
      <c r="J10" s="9"/>
      <c r="K10" s="9"/>
      <c r="L10" s="9"/>
      <c r="M10" s="9"/>
      <c r="N10" s="9"/>
      <c r="O10" s="9"/>
    </row>
    <row r="11" spans="2:15" ht="15.75" x14ac:dyDescent="0.25">
      <c r="B11" s="13"/>
      <c r="C11" s="14"/>
      <c r="D11" s="14"/>
      <c r="G11" s="82" t="s">
        <v>419</v>
      </c>
      <c r="H11" s="83"/>
      <c r="I11" s="83"/>
      <c r="J11" s="84"/>
      <c r="K11" s="3"/>
      <c r="L11" s="3"/>
      <c r="M11" s="3"/>
      <c r="N11" s="3"/>
      <c r="O11" s="9"/>
    </row>
    <row r="12" spans="2:15" x14ac:dyDescent="0.2">
      <c r="B12" s="13"/>
      <c r="C12" s="14"/>
      <c r="D12" s="14"/>
      <c r="G12" s="85" t="s">
        <v>421</v>
      </c>
      <c r="H12" s="84"/>
      <c r="I12" s="84"/>
      <c r="J12" s="84"/>
      <c r="K12" s="3"/>
      <c r="L12" s="3"/>
      <c r="M12" s="3"/>
      <c r="N12" s="3"/>
      <c r="O12" s="9"/>
    </row>
    <row r="13" spans="2:15" x14ac:dyDescent="0.2">
      <c r="B13" s="13"/>
      <c r="C13" s="14"/>
      <c r="D13" s="14"/>
      <c r="G13" s="84"/>
      <c r="H13" s="84"/>
      <c r="I13" s="84"/>
      <c r="J13" s="84"/>
      <c r="K13" s="3"/>
      <c r="L13" s="3"/>
      <c r="M13" s="3"/>
      <c r="N13" s="3"/>
      <c r="O13" s="9"/>
    </row>
    <row r="14" spans="2:15" x14ac:dyDescent="0.2">
      <c r="B14" s="13"/>
      <c r="C14" s="14"/>
      <c r="D14" s="14"/>
      <c r="G14" s="84"/>
      <c r="H14" s="84"/>
      <c r="I14" s="84"/>
      <c r="J14" s="84"/>
      <c r="K14" s="3"/>
      <c r="L14" s="3"/>
      <c r="M14" s="3"/>
      <c r="N14" s="3"/>
      <c r="O14" s="9"/>
    </row>
    <row r="15" spans="2:15" x14ac:dyDescent="0.2">
      <c r="B15" s="13"/>
      <c r="C15" s="14"/>
      <c r="D15" s="14"/>
      <c r="G15" s="84"/>
      <c r="H15" s="84"/>
      <c r="I15" s="84"/>
      <c r="J15" s="84"/>
      <c r="K15" s="3"/>
      <c r="L15" s="3"/>
      <c r="M15" s="3"/>
      <c r="N15" s="3"/>
      <c r="O15" s="9"/>
    </row>
    <row r="16" spans="2:15" x14ac:dyDescent="0.2">
      <c r="B16" s="13"/>
      <c r="C16" s="14"/>
      <c r="D16" s="14"/>
      <c r="G16" s="84"/>
      <c r="H16" s="84"/>
      <c r="I16" s="84"/>
      <c r="J16" s="84"/>
      <c r="K16" s="3"/>
      <c r="L16" s="3"/>
      <c r="M16" s="3"/>
      <c r="N16" s="3"/>
      <c r="O16" s="9"/>
    </row>
    <row r="17" spans="7:31" x14ac:dyDescent="0.2">
      <c r="G17" s="84"/>
      <c r="H17" s="84"/>
      <c r="I17" s="84"/>
      <c r="J17" s="84"/>
      <c r="K17" s="3"/>
      <c r="L17" s="3"/>
      <c r="M17" s="3"/>
      <c r="N17" s="3"/>
      <c r="O17" s="9"/>
    </row>
    <row r="18" spans="7:31" x14ac:dyDescent="0.2">
      <c r="G18" s="84"/>
      <c r="H18" s="84"/>
      <c r="I18" s="84"/>
      <c r="J18" s="84"/>
      <c r="K18" s="3"/>
      <c r="L18" s="3"/>
      <c r="M18" s="3"/>
      <c r="N18" s="3"/>
      <c r="O18" s="9"/>
    </row>
    <row r="19" spans="7:31" x14ac:dyDescent="0.2">
      <c r="G19" s="84"/>
      <c r="H19" s="84"/>
      <c r="I19" s="84"/>
      <c r="J19" s="84"/>
      <c r="K19" s="84"/>
      <c r="L19" s="84"/>
      <c r="M19" s="84"/>
      <c r="N19"/>
      <c r="O19" s="9"/>
    </row>
    <row r="20" spans="7:31" x14ac:dyDescent="0.2">
      <c r="G20" s="84"/>
      <c r="H20" s="84"/>
      <c r="I20" s="84"/>
      <c r="J20" s="84"/>
      <c r="K20" s="84"/>
      <c r="L20" s="84"/>
      <c r="M20" s="84"/>
      <c r="N20"/>
      <c r="O20" s="9"/>
    </row>
    <row r="21" spans="7:31" x14ac:dyDescent="0.2">
      <c r="G21" s="84"/>
      <c r="H21" s="84"/>
      <c r="I21" s="84"/>
      <c r="J21" s="84"/>
      <c r="K21" s="84"/>
      <c r="L21" s="84"/>
      <c r="M21" s="84"/>
      <c r="N21"/>
      <c r="O21" s="9"/>
    </row>
    <row r="22" spans="7:31" x14ac:dyDescent="0.2">
      <c r="G22" s="84"/>
      <c r="H22" s="84"/>
      <c r="I22" s="84"/>
      <c r="J22" s="84"/>
      <c r="K22" s="84"/>
      <c r="L22" s="84"/>
      <c r="M22" s="84"/>
      <c r="N22"/>
      <c r="O22" s="9"/>
    </row>
    <row r="23" spans="7:31" x14ac:dyDescent="0.2">
      <c r="G23"/>
      <c r="H23"/>
      <c r="I23"/>
      <c r="J23"/>
      <c r="K23"/>
      <c r="L23"/>
      <c r="M23"/>
      <c r="N23"/>
      <c r="O23" s="9"/>
    </row>
    <row r="24" spans="7:31" x14ac:dyDescent="0.2">
      <c r="G24" s="9"/>
      <c r="H24" s="9"/>
      <c r="I24" s="9"/>
      <c r="J24" s="9"/>
      <c r="K24" s="9"/>
      <c r="L24" s="9"/>
      <c r="M24" s="9"/>
      <c r="N24" s="9"/>
      <c r="O24" s="9"/>
    </row>
    <row r="25" spans="7:31" x14ac:dyDescent="0.2">
      <c r="G25" s="9"/>
      <c r="H25" s="9"/>
      <c r="I25" s="9"/>
      <c r="J25" s="9"/>
      <c r="K25" s="9"/>
      <c r="L25" s="9"/>
      <c r="M25" s="9"/>
      <c r="N25" s="9"/>
      <c r="O25" s="9"/>
    </row>
    <row r="26" spans="7:31" x14ac:dyDescent="0.2">
      <c r="G26" s="9"/>
      <c r="H26" s="9"/>
      <c r="I26" s="9"/>
      <c r="J26" s="9"/>
      <c r="K26" s="9"/>
      <c r="L26" s="9"/>
      <c r="M26" s="9"/>
      <c r="N26" s="9"/>
      <c r="O26" s="9"/>
    </row>
    <row r="27" spans="7:31" x14ac:dyDescent="0.2">
      <c r="G27" s="9"/>
      <c r="H27" s="9"/>
      <c r="I27" s="9"/>
      <c r="J27" s="9"/>
      <c r="K27" s="9"/>
      <c r="L27" s="9"/>
      <c r="M27" s="9"/>
      <c r="N27" s="9"/>
      <c r="O27" s="9"/>
    </row>
    <row r="28" spans="7:31" x14ac:dyDescent="0.2">
      <c r="G28" s="9"/>
      <c r="H28" s="9"/>
      <c r="I28" s="9"/>
      <c r="J28" s="9"/>
      <c r="K28" s="9"/>
      <c r="L28" s="9"/>
      <c r="M28" s="9"/>
      <c r="N28" s="9"/>
      <c r="O28" s="9"/>
      <c r="AB28" s="9"/>
      <c r="AC28" s="11" t="s">
        <v>386</v>
      </c>
      <c r="AD28" s="14">
        <v>675</v>
      </c>
      <c r="AE28" s="7" t="s">
        <v>385</v>
      </c>
    </row>
    <row r="29" spans="7:31" x14ac:dyDescent="0.2">
      <c r="G29" s="9"/>
      <c r="H29" s="9"/>
      <c r="I29" s="9"/>
      <c r="J29" s="9"/>
      <c r="K29" s="9"/>
      <c r="L29" s="9"/>
    </row>
    <row r="30" spans="7:31" x14ac:dyDescent="0.2">
      <c r="G30" s="9"/>
      <c r="H30" s="9"/>
      <c r="I30" s="9"/>
      <c r="J30" s="9"/>
      <c r="K30" s="9"/>
      <c r="L30" s="9"/>
      <c r="M30" s="9"/>
      <c r="N30" s="9"/>
      <c r="O30" s="52"/>
    </row>
    <row r="31" spans="7:31" x14ac:dyDescent="0.2">
      <c r="G31" s="9"/>
      <c r="H31" s="9"/>
      <c r="I31" s="9"/>
      <c r="J31" s="9"/>
      <c r="K31" s="9"/>
      <c r="L31" s="9"/>
      <c r="M31" s="9"/>
      <c r="N31" s="9"/>
      <c r="O31" s="52"/>
    </row>
    <row r="32" spans="7:31" x14ac:dyDescent="0.2">
      <c r="G32" s="9"/>
      <c r="H32" s="9"/>
      <c r="I32" s="9"/>
      <c r="J32" s="9"/>
      <c r="K32" s="9"/>
      <c r="L32" s="9"/>
      <c r="M32" s="9"/>
      <c r="N32" s="9"/>
      <c r="O32" s="52"/>
    </row>
    <row r="33" spans="2:15" x14ac:dyDescent="0.2">
      <c r="G33" s="9"/>
      <c r="H33" s="9"/>
      <c r="I33" s="9"/>
      <c r="J33" s="9"/>
      <c r="K33" s="9"/>
      <c r="L33" s="9"/>
      <c r="M33" s="9"/>
      <c r="N33" s="9"/>
      <c r="O33" s="9"/>
    </row>
    <row r="34" spans="2:15" x14ac:dyDescent="0.2">
      <c r="G34" s="9"/>
      <c r="H34" s="9"/>
      <c r="I34" s="9"/>
      <c r="J34" s="9"/>
      <c r="K34" s="9"/>
      <c r="L34" s="9"/>
      <c r="M34" s="9"/>
      <c r="N34" s="9"/>
      <c r="O34" s="9"/>
    </row>
    <row r="35" spans="2:15" ht="15.75" x14ac:dyDescent="0.25">
      <c r="B35" s="8"/>
      <c r="G35" s="9"/>
      <c r="H35" s="9"/>
      <c r="I35" s="9"/>
      <c r="J35" s="9"/>
      <c r="K35" s="9"/>
      <c r="L35" s="9"/>
      <c r="M35" s="9"/>
      <c r="N35" s="9"/>
      <c r="O35" s="9"/>
    </row>
    <row r="36" spans="2:15" x14ac:dyDescent="0.2">
      <c r="G36" s="9"/>
      <c r="H36" s="9"/>
      <c r="I36" s="9"/>
      <c r="J36" s="9"/>
      <c r="K36" s="9"/>
      <c r="L36" s="9"/>
      <c r="M36" s="9"/>
      <c r="N36" s="9"/>
      <c r="O36" s="9"/>
    </row>
    <row r="37" spans="2:15" x14ac:dyDescent="0.2">
      <c r="G37" s="9"/>
      <c r="H37" s="9"/>
      <c r="I37" s="9"/>
      <c r="J37" s="9"/>
      <c r="K37" s="9"/>
      <c r="L37" s="9"/>
      <c r="M37" s="9"/>
      <c r="N37" s="9"/>
      <c r="O37" s="9"/>
    </row>
    <row r="38" spans="2:15" x14ac:dyDescent="0.2">
      <c r="G38" s="9"/>
      <c r="H38" s="9"/>
      <c r="I38" s="9"/>
      <c r="J38" s="9"/>
      <c r="K38" s="9"/>
      <c r="L38" s="9"/>
      <c r="M38" s="9"/>
      <c r="N38" s="9"/>
      <c r="O38" s="9"/>
    </row>
    <row r="39" spans="2:15" x14ac:dyDescent="0.2">
      <c r="G39" s="9"/>
      <c r="H39" s="9"/>
      <c r="I39" s="9"/>
      <c r="J39" s="9"/>
      <c r="K39" s="9"/>
      <c r="L39" s="9"/>
      <c r="M39" s="9"/>
      <c r="N39" s="9"/>
      <c r="O39" s="9"/>
    </row>
    <row r="40" spans="2:15" x14ac:dyDescent="0.2">
      <c r="G40" s="9"/>
      <c r="H40" s="9"/>
      <c r="J40" s="9"/>
      <c r="K40" s="9"/>
      <c r="L40" s="11"/>
      <c r="M40" s="9"/>
      <c r="N40" s="9"/>
      <c r="O40" s="9"/>
    </row>
    <row r="41" spans="2:15" ht="16.5" thickBot="1" x14ac:dyDescent="0.3">
      <c r="B41" s="15"/>
      <c r="C41" s="16" t="s">
        <v>3</v>
      </c>
      <c r="E41" s="34" t="s">
        <v>349</v>
      </c>
      <c r="G41" s="9"/>
      <c r="H41" s="9"/>
      <c r="I41" s="17"/>
      <c r="J41" s="9"/>
      <c r="K41" s="9"/>
      <c r="L41" s="11"/>
      <c r="M41" s="9"/>
      <c r="N41" s="9"/>
      <c r="O41" s="9"/>
    </row>
    <row r="42" spans="2:15" ht="15.75" x14ac:dyDescent="0.25">
      <c r="B42" s="15" t="s">
        <v>24</v>
      </c>
      <c r="C42" s="18">
        <v>40</v>
      </c>
      <c r="D42" s="7" t="s">
        <v>14</v>
      </c>
      <c r="E42" s="147">
        <f>C42*16.02</f>
        <v>640.79999999999995</v>
      </c>
      <c r="F42" s="36" t="s">
        <v>345</v>
      </c>
      <c r="G42" s="31"/>
      <c r="H42" s="9"/>
      <c r="I42" s="17"/>
      <c r="J42" s="9"/>
      <c r="K42" s="9"/>
      <c r="L42" s="11"/>
      <c r="M42" s="9"/>
      <c r="N42" s="9"/>
      <c r="O42" s="9"/>
    </row>
    <row r="43" spans="2:15" ht="15.75" x14ac:dyDescent="0.25">
      <c r="B43" s="15" t="s">
        <v>160</v>
      </c>
      <c r="C43" s="19">
        <v>15</v>
      </c>
      <c r="D43" s="7" t="s">
        <v>15</v>
      </c>
      <c r="E43" s="148">
        <f>C43*0.7</f>
        <v>10.5</v>
      </c>
      <c r="F43" s="38" t="s">
        <v>348</v>
      </c>
      <c r="G43" s="32"/>
      <c r="H43" s="9"/>
      <c r="I43" s="17"/>
      <c r="J43" s="9"/>
      <c r="K43" s="9"/>
      <c r="L43" s="11"/>
      <c r="M43" s="9"/>
      <c r="N43" s="9"/>
      <c r="O43" s="9"/>
    </row>
    <row r="44" spans="2:15" ht="15.75" x14ac:dyDescent="0.25">
      <c r="B44" s="15" t="s">
        <v>0</v>
      </c>
      <c r="C44" s="19">
        <v>42</v>
      </c>
      <c r="D44" s="7" t="s">
        <v>16</v>
      </c>
      <c r="E44" s="148">
        <f>C44*25.4</f>
        <v>1066.8</v>
      </c>
      <c r="F44" s="38" t="s">
        <v>343</v>
      </c>
      <c r="G44" s="32"/>
      <c r="H44" s="9"/>
      <c r="I44" s="17"/>
      <c r="J44" s="9"/>
      <c r="K44" s="9"/>
      <c r="L44" s="11"/>
      <c r="M44" s="9"/>
      <c r="N44" s="9"/>
      <c r="O44" s="9"/>
    </row>
    <row r="45" spans="2:15" ht="15.75" x14ac:dyDescent="0.25">
      <c r="B45" s="15" t="s">
        <v>1</v>
      </c>
      <c r="C45" s="19">
        <v>392.90585255732515</v>
      </c>
      <c r="D45" s="7" t="s">
        <v>17</v>
      </c>
      <c r="E45" s="39">
        <f>C45*0.00508</f>
        <v>1.9959617309912119</v>
      </c>
      <c r="F45" s="38" t="s">
        <v>346</v>
      </c>
      <c r="G45" s="32"/>
      <c r="H45" s="9"/>
      <c r="I45" s="17"/>
      <c r="J45" s="9"/>
      <c r="K45" s="9"/>
      <c r="L45" s="11"/>
      <c r="M45" s="9"/>
      <c r="N45" s="9"/>
      <c r="O45" s="9"/>
    </row>
    <row r="46" spans="2:15" ht="15.75" x14ac:dyDescent="0.25">
      <c r="B46" s="15" t="s">
        <v>2</v>
      </c>
      <c r="C46" s="19">
        <v>35</v>
      </c>
      <c r="D46" s="7" t="s">
        <v>15</v>
      </c>
      <c r="E46" s="37">
        <v>45</v>
      </c>
      <c r="F46" s="38" t="s">
        <v>15</v>
      </c>
      <c r="G46" s="32"/>
      <c r="H46" s="9"/>
      <c r="I46" s="20"/>
      <c r="J46" s="9"/>
      <c r="K46" s="9"/>
      <c r="L46" s="11"/>
      <c r="M46" s="9"/>
      <c r="N46" s="9"/>
      <c r="O46" s="9"/>
    </row>
    <row r="47" spans="2:15" ht="15.75" x14ac:dyDescent="0.25">
      <c r="B47" s="15" t="s">
        <v>11</v>
      </c>
      <c r="C47" s="21">
        <v>1</v>
      </c>
      <c r="D47" s="7" t="s">
        <v>16</v>
      </c>
      <c r="E47" s="148">
        <f>C47*25.4</f>
        <v>25.4</v>
      </c>
      <c r="F47" s="38" t="s">
        <v>343</v>
      </c>
      <c r="G47" s="32"/>
      <c r="H47" s="9"/>
      <c r="I47" s="20"/>
      <c r="J47" s="9"/>
      <c r="K47" s="9"/>
      <c r="L47" s="11"/>
      <c r="M47" s="9"/>
      <c r="N47" s="9"/>
      <c r="O47" s="9"/>
    </row>
    <row r="48" spans="2:15" ht="16.5" thickBot="1" x14ac:dyDescent="0.3">
      <c r="B48" s="15" t="s">
        <v>12</v>
      </c>
      <c r="C48" s="22">
        <v>0.63</v>
      </c>
      <c r="D48" s="7" t="s">
        <v>16</v>
      </c>
      <c r="E48" s="40">
        <f>C48*25.4</f>
        <v>16.001999999999999</v>
      </c>
      <c r="F48" s="41" t="s">
        <v>343</v>
      </c>
      <c r="G48" s="33"/>
      <c r="H48" s="9"/>
      <c r="I48" s="9"/>
      <c r="J48" s="9"/>
      <c r="K48" s="9"/>
      <c r="L48" s="9"/>
      <c r="M48" s="9"/>
      <c r="N48" s="9"/>
      <c r="O48" s="9"/>
    </row>
    <row r="49" spans="2:15" ht="15.75" x14ac:dyDescent="0.25">
      <c r="F49" s="23"/>
      <c r="G49" s="9"/>
      <c r="H49" s="9"/>
      <c r="I49" s="9"/>
      <c r="J49" s="9"/>
      <c r="K49" s="9"/>
      <c r="L49" s="9"/>
      <c r="M49" s="9"/>
      <c r="N49" s="9"/>
      <c r="O49" s="9"/>
    </row>
    <row r="50" spans="2:15" ht="18" x14ac:dyDescent="0.25">
      <c r="B50" s="35" t="s">
        <v>350</v>
      </c>
      <c r="G50" s="9"/>
      <c r="H50" s="9"/>
      <c r="I50" s="9"/>
      <c r="J50" s="9"/>
      <c r="K50" s="9"/>
      <c r="L50" s="9"/>
      <c r="M50" s="9"/>
      <c r="N50" s="9"/>
      <c r="O50" s="9"/>
    </row>
    <row r="51" spans="2:15" ht="16.5" thickBot="1" x14ac:dyDescent="0.3">
      <c r="C51" s="16" t="s">
        <v>4</v>
      </c>
      <c r="G51" s="9"/>
      <c r="H51" s="9"/>
      <c r="I51" s="9"/>
      <c r="J51" s="9"/>
      <c r="K51" s="9"/>
      <c r="L51" s="9"/>
      <c r="M51" s="9"/>
      <c r="N51" s="9"/>
      <c r="O51" s="9"/>
    </row>
    <row r="52" spans="2:15" ht="16.5" thickBot="1" x14ac:dyDescent="0.3">
      <c r="B52" s="15" t="s">
        <v>344</v>
      </c>
      <c r="C52" s="44">
        <v>60</v>
      </c>
      <c r="D52" s="7" t="s">
        <v>18</v>
      </c>
      <c r="E52" s="54">
        <f>25.4*C52</f>
        <v>1524</v>
      </c>
      <c r="F52" s="45" t="s">
        <v>343</v>
      </c>
      <c r="H52" s="13"/>
      <c r="I52" s="24"/>
      <c r="K52" s="9"/>
      <c r="L52" s="9"/>
      <c r="M52" s="9"/>
      <c r="N52" s="9"/>
      <c r="O52" s="9"/>
    </row>
    <row r="53" spans="2:15" ht="15.75" x14ac:dyDescent="0.25">
      <c r="B53" s="15" t="s">
        <v>6</v>
      </c>
      <c r="C53" s="14">
        <v>20</v>
      </c>
      <c r="D53" s="7" t="s">
        <v>16</v>
      </c>
      <c r="H53" s="13"/>
      <c r="I53" s="24"/>
      <c r="K53" s="9"/>
      <c r="L53" s="9"/>
      <c r="M53" s="9"/>
      <c r="N53" s="9"/>
      <c r="O53" s="9"/>
    </row>
    <row r="54" spans="2:15" ht="15.75" x14ac:dyDescent="0.25">
      <c r="B54" s="15" t="s">
        <v>5</v>
      </c>
      <c r="C54" s="44">
        <v>20</v>
      </c>
      <c r="D54" s="7" t="s">
        <v>16</v>
      </c>
      <c r="E54" s="24"/>
      <c r="H54" s="13"/>
      <c r="I54" s="24"/>
      <c r="K54" s="9"/>
      <c r="L54" s="9"/>
      <c r="M54" s="9"/>
      <c r="N54" s="9"/>
      <c r="O54" s="9"/>
    </row>
    <row r="55" spans="2:15" ht="15.75" x14ac:dyDescent="0.25">
      <c r="B55" s="15" t="s">
        <v>134</v>
      </c>
      <c r="C55" s="14">
        <v>45</v>
      </c>
      <c r="D55" s="7" t="s">
        <v>15</v>
      </c>
      <c r="H55" s="13"/>
      <c r="I55" s="24"/>
      <c r="K55" s="9"/>
      <c r="L55" s="9"/>
      <c r="M55" s="9"/>
      <c r="N55" s="9"/>
      <c r="O55" s="9"/>
    </row>
    <row r="56" spans="2:15" ht="15.75" x14ac:dyDescent="0.25">
      <c r="B56" s="15" t="s">
        <v>7</v>
      </c>
      <c r="C56" s="7" t="s">
        <v>394</v>
      </c>
      <c r="H56" s="13"/>
      <c r="I56" s="24"/>
      <c r="K56" s="9"/>
      <c r="L56" s="9"/>
      <c r="M56" s="9"/>
      <c r="N56" s="9"/>
      <c r="O56" s="9"/>
    </row>
    <row r="57" spans="2:15" ht="15.75" x14ac:dyDescent="0.25">
      <c r="B57" s="15" t="s">
        <v>367</v>
      </c>
      <c r="C57" s="25">
        <f>C54+2*(C53*COS(C55/57.3))</f>
        <v>48.285907424332521</v>
      </c>
      <c r="D57" s="7" t="s">
        <v>16</v>
      </c>
      <c r="H57" s="13"/>
      <c r="I57" s="24"/>
      <c r="K57" s="9"/>
      <c r="L57" s="9"/>
      <c r="M57" s="9"/>
      <c r="N57" s="9"/>
      <c r="O57" s="9"/>
    </row>
    <row r="58" spans="2:15" ht="15.75" x14ac:dyDescent="0.25">
      <c r="B58" s="15" t="s">
        <v>387</v>
      </c>
      <c r="C58" s="25">
        <v>15</v>
      </c>
      <c r="D58" s="7" t="s">
        <v>15</v>
      </c>
      <c r="H58" s="13"/>
      <c r="I58" s="24"/>
      <c r="K58" s="9"/>
      <c r="L58" s="9"/>
      <c r="M58" s="9"/>
      <c r="N58" s="9"/>
      <c r="O58" s="9"/>
    </row>
    <row r="59" spans="2:15" ht="15.75" x14ac:dyDescent="0.25">
      <c r="B59" s="15" t="s">
        <v>10</v>
      </c>
      <c r="C59" s="25" t="s">
        <v>395</v>
      </c>
      <c r="G59" s="9"/>
      <c r="H59" s="9"/>
      <c r="I59" s="9"/>
      <c r="J59" s="9"/>
      <c r="K59" s="9"/>
      <c r="L59" s="9"/>
      <c r="M59" s="9"/>
      <c r="N59" s="9"/>
      <c r="O59" s="9"/>
    </row>
    <row r="60" spans="2:15" ht="15.75" x14ac:dyDescent="0.25">
      <c r="B60" s="15" t="s">
        <v>367</v>
      </c>
      <c r="C60" s="25">
        <f>C53 * SIN(C55/57.3) * C54</f>
        <v>282.82634975936918</v>
      </c>
      <c r="D60" s="7" t="s">
        <v>385</v>
      </c>
      <c r="G60" s="9"/>
      <c r="H60" s="15"/>
      <c r="I60" s="24"/>
      <c r="K60" s="9"/>
      <c r="L60" s="9"/>
      <c r="M60" s="9"/>
      <c r="N60" s="9"/>
      <c r="O60" s="9"/>
    </row>
    <row r="61" spans="2:15" ht="15.75" x14ac:dyDescent="0.25">
      <c r="B61" s="15" t="s">
        <v>9</v>
      </c>
      <c r="C61" s="25" t="s">
        <v>405</v>
      </c>
      <c r="G61" s="9"/>
      <c r="H61" s="15"/>
      <c r="I61" s="24"/>
      <c r="K61" s="9"/>
      <c r="L61" s="9"/>
      <c r="M61" s="9"/>
      <c r="N61" s="9"/>
      <c r="O61" s="9"/>
    </row>
    <row r="62" spans="2:15" ht="15.75" x14ac:dyDescent="0.25">
      <c r="B62" s="15" t="s">
        <v>367</v>
      </c>
      <c r="C62" s="25">
        <f>(C53*COS(C55/57.3)*C53*SIN(C55/57.3))/2</f>
        <v>99.999999330692603</v>
      </c>
      <c r="D62" s="7" t="s">
        <v>385</v>
      </c>
      <c r="G62" s="9"/>
      <c r="H62" s="15"/>
      <c r="I62" s="24"/>
      <c r="K62" s="9"/>
      <c r="L62" s="9"/>
      <c r="M62" s="9"/>
      <c r="N62" s="9"/>
      <c r="O62" s="9"/>
    </row>
    <row r="63" spans="2:15" ht="15.75" x14ac:dyDescent="0.25">
      <c r="B63" s="15" t="s">
        <v>406</v>
      </c>
      <c r="C63" s="25">
        <v>1.2212474472394084</v>
      </c>
      <c r="G63" s="9"/>
      <c r="H63" s="15"/>
      <c r="I63" s="24"/>
      <c r="K63" s="9"/>
      <c r="L63" s="9"/>
      <c r="M63" s="9"/>
      <c r="N63" s="9"/>
      <c r="O63" s="9"/>
    </row>
    <row r="64" spans="2:15" ht="15.75" x14ac:dyDescent="0.25">
      <c r="B64" s="15" t="s">
        <v>384</v>
      </c>
      <c r="C64" s="7" t="s">
        <v>407</v>
      </c>
      <c r="G64" s="9"/>
      <c r="H64" s="15"/>
      <c r="I64" s="24"/>
      <c r="K64" s="9"/>
      <c r="M64" s="9"/>
      <c r="N64" s="9"/>
      <c r="O64" s="9"/>
    </row>
    <row r="65" spans="2:19" ht="15.75" x14ac:dyDescent="0.25">
      <c r="B65" s="15" t="s">
        <v>367</v>
      </c>
      <c r="C65" s="43">
        <f>C63* C55</f>
        <v>54.956135125773379</v>
      </c>
      <c r="D65" s="7" t="s">
        <v>15</v>
      </c>
      <c r="G65" s="9"/>
      <c r="H65" s="15"/>
      <c r="I65" s="24"/>
      <c r="K65" s="9"/>
      <c r="L65" s="9"/>
      <c r="M65" s="9"/>
      <c r="N65" s="9"/>
      <c r="O65" s="9"/>
    </row>
    <row r="66" spans="2:19" ht="15.75" x14ac:dyDescent="0.25">
      <c r="B66" s="15" t="s">
        <v>388</v>
      </c>
      <c r="C66" s="7" t="s">
        <v>389</v>
      </c>
      <c r="G66" s="9"/>
      <c r="H66" s="15"/>
      <c r="I66" s="24"/>
      <c r="K66" s="9"/>
      <c r="L66" s="9"/>
      <c r="M66" s="9"/>
      <c r="N66" s="9"/>
      <c r="O66" s="9"/>
    </row>
    <row r="67" spans="2:19" ht="15.75" x14ac:dyDescent="0.25">
      <c r="B67" s="15" t="s">
        <v>367</v>
      </c>
      <c r="C67" s="43">
        <f>90 - C65</f>
        <v>35.043864874226621</v>
      </c>
      <c r="D67" s="7" t="s">
        <v>15</v>
      </c>
      <c r="G67" s="9"/>
      <c r="H67" s="9"/>
      <c r="I67" s="9"/>
      <c r="J67" s="9"/>
      <c r="K67" s="9"/>
      <c r="L67" s="9"/>
      <c r="M67" s="9"/>
      <c r="N67" s="15" t="s">
        <v>397</v>
      </c>
      <c r="O67" s="9"/>
    </row>
    <row r="68" spans="2:19" ht="15.75" x14ac:dyDescent="0.25">
      <c r="B68" s="15" t="s">
        <v>8</v>
      </c>
      <c r="C68" s="7" t="s">
        <v>396</v>
      </c>
      <c r="G68" s="9"/>
      <c r="I68" s="9"/>
      <c r="J68" s="9"/>
      <c r="K68" s="9"/>
      <c r="L68" s="9"/>
      <c r="M68" s="9"/>
      <c r="N68" s="9"/>
      <c r="O68" s="9"/>
    </row>
    <row r="69" spans="2:19" x14ac:dyDescent="0.2">
      <c r="C69" s="25">
        <f>(C57/2) / SIN(C67/57.3)</f>
        <v>42.048696735328107</v>
      </c>
      <c r="D69" s="7" t="s">
        <v>16</v>
      </c>
      <c r="G69" s="9"/>
      <c r="H69" s="9"/>
      <c r="I69" s="9"/>
      <c r="J69" s="9"/>
      <c r="K69" s="9"/>
      <c r="L69" s="9"/>
      <c r="M69" s="9"/>
      <c r="N69" s="9"/>
      <c r="O69" s="9"/>
    </row>
    <row r="70" spans="2:19" ht="16.5" thickBot="1" x14ac:dyDescent="0.3">
      <c r="C70" s="50" t="s">
        <v>392</v>
      </c>
      <c r="K70" s="8"/>
      <c r="L70" s="51" t="s">
        <v>510</v>
      </c>
      <c r="M70" s="8" t="s">
        <v>403</v>
      </c>
      <c r="N70" s="8"/>
    </row>
    <row r="71" spans="2:19" ht="16.5" thickBot="1" x14ac:dyDescent="0.3">
      <c r="B71" s="15" t="s">
        <v>390</v>
      </c>
      <c r="C71" s="14" t="s">
        <v>391</v>
      </c>
      <c r="L71" s="13" t="s">
        <v>367</v>
      </c>
      <c r="M71" s="63">
        <v>733</v>
      </c>
      <c r="N71" s="10" t="s">
        <v>385</v>
      </c>
      <c r="O71" s="9"/>
    </row>
    <row r="72" spans="2:19" ht="15.75" x14ac:dyDescent="0.25">
      <c r="B72" s="15" t="s">
        <v>367</v>
      </c>
      <c r="C72" s="44">
        <f>C69^2 * ((2*C67/57.3) - SIN(2*C67/57.3)) / 2</f>
        <v>250.17367722274412</v>
      </c>
      <c r="D72" s="7" t="s">
        <v>385</v>
      </c>
      <c r="L72" s="13" t="s">
        <v>5</v>
      </c>
      <c r="M72" s="14">
        <v>20</v>
      </c>
      <c r="N72" s="9" t="s">
        <v>16</v>
      </c>
      <c r="O72" s="9"/>
    </row>
    <row r="73" spans="2:19" ht="15.75" x14ac:dyDescent="0.25">
      <c r="B73" s="15"/>
      <c r="C73" s="25"/>
      <c r="L73" s="13" t="s">
        <v>6</v>
      </c>
      <c r="M73" s="27">
        <v>20</v>
      </c>
      <c r="N73" s="58" t="s">
        <v>16</v>
      </c>
      <c r="O73" s="9"/>
    </row>
    <row r="74" spans="2:19" ht="16.5" thickBot="1" x14ac:dyDescent="0.3">
      <c r="B74" s="15" t="s">
        <v>393</v>
      </c>
      <c r="C74" s="25" t="s">
        <v>404</v>
      </c>
      <c r="F74" s="34" t="s">
        <v>349</v>
      </c>
      <c r="L74" s="13" t="s">
        <v>134</v>
      </c>
      <c r="M74" s="27">
        <v>45</v>
      </c>
      <c r="N74" s="58" t="s">
        <v>15</v>
      </c>
    </row>
    <row r="75" spans="2:19" ht="16.5" thickBot="1" x14ac:dyDescent="0.3">
      <c r="B75" s="15" t="s">
        <v>398</v>
      </c>
      <c r="C75" s="56">
        <f>C72+C60+2*C62</f>
        <v>733.00002564349847</v>
      </c>
      <c r="D75" s="7" t="s">
        <v>385</v>
      </c>
      <c r="F75" s="75">
        <f>0.0006452*C75</f>
        <v>0.47293161654518517</v>
      </c>
      <c r="G75" s="7" t="s">
        <v>400</v>
      </c>
      <c r="L75" s="10"/>
      <c r="M75" s="9"/>
      <c r="N75" s="9"/>
    </row>
    <row r="76" spans="2:19" ht="16.5" thickBot="1" x14ac:dyDescent="0.3">
      <c r="B76" s="15" t="s">
        <v>26</v>
      </c>
      <c r="C76" s="14" t="s">
        <v>399</v>
      </c>
      <c r="D76" s="7" t="s">
        <v>19</v>
      </c>
      <c r="G76" s="9"/>
      <c r="L76" s="10"/>
      <c r="N76" s="9"/>
      <c r="O76" s="9"/>
    </row>
    <row r="77" spans="2:19" ht="16.5" thickBot="1" x14ac:dyDescent="0.3">
      <c r="B77" s="15" t="s">
        <v>22</v>
      </c>
      <c r="C77" s="26">
        <f>(C75/144)*C45</f>
        <v>1999.9999999999998</v>
      </c>
      <c r="D77" s="7" t="s">
        <v>21</v>
      </c>
      <c r="F77" s="57">
        <f>C77*0.02832</f>
        <v>56.639999999999993</v>
      </c>
      <c r="G77" s="9" t="s">
        <v>417</v>
      </c>
      <c r="O77" s="9"/>
    </row>
    <row r="78" spans="2:19" ht="16.5" thickBot="1" x14ac:dyDescent="0.3">
      <c r="B78" s="15" t="s">
        <v>27</v>
      </c>
      <c r="C78" s="14" t="s">
        <v>25</v>
      </c>
      <c r="F78" s="14"/>
      <c r="K78" s="9"/>
      <c r="L78" s="9"/>
      <c r="M78" s="9"/>
      <c r="N78" s="9"/>
      <c r="O78" s="9"/>
    </row>
    <row r="79" spans="2:19" ht="16.5" thickBot="1" x14ac:dyDescent="0.3">
      <c r="B79" s="15" t="s">
        <v>23</v>
      </c>
      <c r="C79" s="26">
        <f>C77*C42*60 / 2000</f>
        <v>2399.9999999999995</v>
      </c>
      <c r="D79" s="7" t="s">
        <v>20</v>
      </c>
      <c r="F79" s="56">
        <f>C79/1.1</f>
        <v>2181.8181818181811</v>
      </c>
      <c r="G79" s="7" t="s">
        <v>347</v>
      </c>
      <c r="I79" s="13"/>
      <c r="J79" s="9"/>
      <c r="K79" s="9"/>
      <c r="L79" s="9"/>
      <c r="M79" s="9"/>
      <c r="N79" s="9"/>
      <c r="O79" s="9"/>
    </row>
    <row r="80" spans="2:19" ht="18" x14ac:dyDescent="0.25">
      <c r="O80" s="9"/>
      <c r="S80" s="6"/>
    </row>
    <row r="81" spans="2:24" ht="15.75" x14ac:dyDescent="0.25">
      <c r="O81" s="9"/>
      <c r="S81" s="15"/>
      <c r="T81" s="14"/>
      <c r="X81" s="42"/>
    </row>
    <row r="82" spans="2:24" ht="18" x14ac:dyDescent="0.25">
      <c r="B82" s="64"/>
      <c r="C82" s="58"/>
      <c r="D82" s="58"/>
      <c r="E82" s="58"/>
      <c r="F82" s="58"/>
      <c r="G82" s="65"/>
      <c r="H82" s="30"/>
      <c r="I82" s="9"/>
      <c r="J82" s="9"/>
      <c r="K82" s="9"/>
      <c r="L82" s="9"/>
      <c r="M82" s="9"/>
      <c r="N82" s="9"/>
      <c r="O82" s="9"/>
      <c r="S82" s="15"/>
      <c r="T82" s="25"/>
    </row>
    <row r="83" spans="2:24" ht="15.75" x14ac:dyDescent="0.25">
      <c r="B83" s="66"/>
      <c r="C83" s="58"/>
      <c r="D83" s="58"/>
      <c r="E83" s="58"/>
      <c r="F83" s="58"/>
      <c r="G83" s="58"/>
      <c r="H83" s="52"/>
      <c r="I83" s="9"/>
      <c r="J83" s="9"/>
      <c r="K83" s="9"/>
      <c r="L83" s="9"/>
      <c r="M83" s="9"/>
      <c r="N83" s="9"/>
      <c r="O83" s="9"/>
      <c r="S83" s="15"/>
      <c r="T83" s="14"/>
    </row>
    <row r="84" spans="2:24" ht="15.75" x14ac:dyDescent="0.25">
      <c r="B84" s="67"/>
      <c r="C84" s="58"/>
      <c r="D84" s="58"/>
      <c r="E84" s="68"/>
      <c r="F84" s="58"/>
      <c r="G84" s="69"/>
      <c r="H84" s="52"/>
      <c r="K84" s="9"/>
      <c r="L84" s="9"/>
      <c r="M84" s="9"/>
      <c r="N84" s="9"/>
      <c r="O84" s="9"/>
    </row>
    <row r="85" spans="2:24" ht="15.75" x14ac:dyDescent="0.25">
      <c r="B85" s="67"/>
      <c r="C85" s="27"/>
      <c r="D85" s="58"/>
      <c r="E85" s="58"/>
      <c r="F85" s="58"/>
      <c r="G85" s="69"/>
      <c r="H85" s="52"/>
      <c r="K85" s="9"/>
      <c r="L85" s="9"/>
      <c r="M85" s="9"/>
      <c r="N85" s="9"/>
      <c r="O85" s="9"/>
      <c r="S85" s="13"/>
      <c r="T85" s="14"/>
    </row>
    <row r="86" spans="2:24" ht="15.75" x14ac:dyDescent="0.25">
      <c r="B86" s="67"/>
      <c r="C86" s="70"/>
      <c r="D86" s="58"/>
      <c r="E86" s="58"/>
      <c r="F86" s="58"/>
      <c r="G86" s="71"/>
      <c r="H86" s="53"/>
      <c r="I86" s="9"/>
      <c r="J86" s="9"/>
      <c r="K86" s="9"/>
      <c r="L86" s="9"/>
      <c r="M86" s="9"/>
      <c r="N86" s="9"/>
      <c r="O86" s="9"/>
      <c r="S86" s="13"/>
    </row>
    <row r="87" spans="2:24" ht="15.75" x14ac:dyDescent="0.25">
      <c r="B87" s="67"/>
      <c r="C87" s="27"/>
      <c r="D87" s="65"/>
      <c r="E87" s="58"/>
      <c r="F87" s="58"/>
      <c r="G87" s="58"/>
      <c r="H87" s="53"/>
      <c r="I87" s="9"/>
      <c r="J87" s="9"/>
      <c r="K87" s="9"/>
      <c r="L87" s="9"/>
      <c r="M87" s="9"/>
      <c r="N87" s="9"/>
      <c r="O87" s="9"/>
    </row>
    <row r="88" spans="2:24" ht="15.75" x14ac:dyDescent="0.25">
      <c r="B88" s="67"/>
      <c r="C88" s="28"/>
      <c r="D88" s="58"/>
      <c r="E88" s="72"/>
      <c r="F88" s="58"/>
      <c r="G88" s="65"/>
      <c r="H88" s="9"/>
      <c r="I88" s="9"/>
      <c r="K88" s="9"/>
      <c r="L88" s="9"/>
      <c r="M88" s="9"/>
      <c r="N88" s="9"/>
      <c r="O88" s="9"/>
    </row>
    <row r="89" spans="2:24" ht="15.75" x14ac:dyDescent="0.25">
      <c r="B89" s="67"/>
      <c r="C89" s="28"/>
      <c r="D89" s="58"/>
      <c r="E89" s="66"/>
      <c r="F89" s="68"/>
      <c r="G89" s="65"/>
      <c r="H89" s="9"/>
      <c r="I89" s="9"/>
      <c r="J89" s="9"/>
      <c r="K89" s="9"/>
      <c r="L89" s="9"/>
      <c r="M89" s="9"/>
      <c r="N89" s="9"/>
      <c r="O89" s="9"/>
    </row>
    <row r="90" spans="2:24" ht="15.75" x14ac:dyDescent="0.25">
      <c r="B90" s="73"/>
      <c r="C90" s="74"/>
      <c r="D90" s="58"/>
      <c r="E90" s="58"/>
      <c r="F90" s="58"/>
      <c r="G90" s="58"/>
      <c r="H90" s="9"/>
      <c r="I90" s="9"/>
      <c r="J90" s="9"/>
      <c r="K90" s="9"/>
      <c r="L90" s="9"/>
      <c r="M90" s="9"/>
      <c r="N90" s="9"/>
      <c r="O90" s="9"/>
    </row>
    <row r="91" spans="2:24" x14ac:dyDescent="0.2">
      <c r="B91" s="58"/>
      <c r="C91" s="58"/>
      <c r="D91" s="58"/>
      <c r="E91" s="58"/>
      <c r="F91" s="58"/>
      <c r="G91" s="58"/>
      <c r="H91" s="9"/>
      <c r="I91" s="9"/>
      <c r="J91" s="9"/>
      <c r="K91" s="9"/>
      <c r="L91" s="9"/>
      <c r="M91" s="9"/>
      <c r="N91" s="9"/>
      <c r="O91" s="9"/>
    </row>
    <row r="92" spans="2:24" ht="18" x14ac:dyDescent="0.25">
      <c r="B92" s="35"/>
      <c r="E92" s="9"/>
      <c r="H92" s="9"/>
      <c r="I92" s="9"/>
      <c r="J92" s="9"/>
      <c r="K92" s="9"/>
      <c r="L92" s="9"/>
      <c r="M92" s="9"/>
      <c r="N92" s="9"/>
      <c r="O92" s="9"/>
    </row>
    <row r="93" spans="2:24" x14ac:dyDescent="0.2">
      <c r="H93" s="9"/>
      <c r="I93" s="9"/>
      <c r="J93" s="9"/>
      <c r="K93" s="9"/>
      <c r="L93" s="9"/>
      <c r="M93" s="9"/>
      <c r="N93" s="9"/>
      <c r="O93" s="9"/>
    </row>
    <row r="94" spans="2:24" ht="15.75" x14ac:dyDescent="0.25">
      <c r="F94" s="10"/>
      <c r="H94" s="9"/>
      <c r="I94" s="9"/>
      <c r="J94" s="9"/>
      <c r="K94" s="9"/>
      <c r="L94" s="9"/>
      <c r="M94" s="9"/>
      <c r="N94" s="9"/>
      <c r="O94" s="9"/>
    </row>
    <row r="95" spans="2:24" ht="15.75" x14ac:dyDescent="0.25">
      <c r="F95" s="10"/>
      <c r="H95" s="9"/>
      <c r="I95" s="9"/>
      <c r="J95" s="9"/>
      <c r="K95" s="9"/>
      <c r="L95" s="9"/>
      <c r="M95" s="9"/>
      <c r="N95" s="9"/>
      <c r="O95" s="9"/>
    </row>
    <row r="96" spans="2:24" x14ac:dyDescent="0.2">
      <c r="H96" s="9"/>
      <c r="I96" s="9"/>
      <c r="J96" s="9"/>
      <c r="K96" s="9"/>
      <c r="L96" s="9"/>
      <c r="M96" s="9"/>
      <c r="N96" s="9"/>
      <c r="O96" s="9"/>
    </row>
    <row r="97" spans="2:16" x14ac:dyDescent="0.2">
      <c r="D97" s="58"/>
      <c r="H97" s="9"/>
      <c r="I97" s="9"/>
      <c r="J97" s="9"/>
      <c r="K97" s="9"/>
      <c r="L97" s="9"/>
      <c r="M97" s="9"/>
      <c r="N97" s="9"/>
      <c r="O97" s="9"/>
    </row>
    <row r="98" spans="2:16" x14ac:dyDescent="0.2">
      <c r="B98" s="13" t="s">
        <v>409</v>
      </c>
      <c r="C98" s="14">
        <v>849</v>
      </c>
      <c r="D98" s="38" t="s">
        <v>345</v>
      </c>
      <c r="G98" s="11"/>
      <c r="H98" s="9"/>
      <c r="I98" s="9"/>
      <c r="J98" s="9"/>
      <c r="K98" s="9"/>
      <c r="L98" s="9"/>
      <c r="M98" s="9"/>
      <c r="N98" s="9"/>
      <c r="O98" s="9"/>
    </row>
    <row r="99" spans="2:16" x14ac:dyDescent="0.2">
      <c r="B99" s="13" t="s">
        <v>410</v>
      </c>
      <c r="C99" s="14">
        <v>1600</v>
      </c>
      <c r="D99" s="7" t="s">
        <v>343</v>
      </c>
      <c r="K99" s="9"/>
      <c r="L99" s="9"/>
      <c r="M99" s="9"/>
      <c r="N99" s="9"/>
      <c r="O99" s="9"/>
    </row>
    <row r="100" spans="2:16" x14ac:dyDescent="0.2">
      <c r="B100" s="13" t="s">
        <v>411</v>
      </c>
      <c r="C100" s="14">
        <v>15</v>
      </c>
      <c r="D100" s="7" t="s">
        <v>15</v>
      </c>
      <c r="K100" s="9"/>
      <c r="L100" s="9"/>
      <c r="M100" s="9"/>
      <c r="N100" s="9"/>
      <c r="O100" s="9"/>
    </row>
    <row r="101" spans="2:16" x14ac:dyDescent="0.2">
      <c r="B101" s="13" t="s">
        <v>412</v>
      </c>
      <c r="C101" s="43">
        <v>1</v>
      </c>
      <c r="D101" s="7" t="s">
        <v>346</v>
      </c>
      <c r="K101" s="9"/>
      <c r="L101" s="9"/>
      <c r="M101" s="9"/>
      <c r="N101" s="9"/>
      <c r="O101" s="9"/>
      <c r="P101" s="53"/>
    </row>
    <row r="102" spans="2:16" ht="16.5" thickBot="1" x14ac:dyDescent="0.3">
      <c r="B102" s="15" t="s">
        <v>413</v>
      </c>
      <c r="C102" s="14" t="s">
        <v>414</v>
      </c>
      <c r="K102" s="9"/>
      <c r="L102" s="9"/>
      <c r="M102" s="9"/>
      <c r="N102" s="9"/>
      <c r="O102" s="9"/>
    </row>
    <row r="103" spans="2:16" ht="16.5" thickBot="1" x14ac:dyDescent="0.3">
      <c r="B103" s="13" t="s">
        <v>367</v>
      </c>
      <c r="C103" s="56">
        <f>1190 * 849/1000</f>
        <v>1010.31</v>
      </c>
      <c r="D103" s="7" t="s">
        <v>347</v>
      </c>
      <c r="K103" s="9"/>
      <c r="L103" s="9"/>
      <c r="M103" s="9"/>
      <c r="N103" s="9"/>
      <c r="O103" s="9"/>
    </row>
    <row r="104" spans="2:16" x14ac:dyDescent="0.2">
      <c r="B104" s="53"/>
      <c r="G104" s="9"/>
      <c r="H104" s="9"/>
      <c r="I104" s="9"/>
      <c r="J104" s="9"/>
      <c r="K104" s="9"/>
      <c r="L104" s="9"/>
      <c r="M104" s="9"/>
      <c r="N104" s="9"/>
      <c r="O104" s="9"/>
    </row>
    <row r="105" spans="2:16" ht="18" x14ac:dyDescent="0.25">
      <c r="B105" s="35" t="s">
        <v>416</v>
      </c>
      <c r="K105" s="9"/>
      <c r="L105" s="9"/>
      <c r="M105" s="9"/>
      <c r="N105" s="9"/>
      <c r="O105" s="9"/>
    </row>
    <row r="106" spans="2:16" ht="15.75" x14ac:dyDescent="0.25">
      <c r="B106" s="8" t="s">
        <v>366</v>
      </c>
      <c r="K106" s="9"/>
      <c r="L106" s="9"/>
      <c r="M106" s="9"/>
      <c r="N106" s="9"/>
      <c r="O106" s="9"/>
    </row>
    <row r="107" spans="2:16" ht="15.75" x14ac:dyDescent="0.25">
      <c r="B107" s="8" t="s">
        <v>402</v>
      </c>
      <c r="F107" s="9"/>
      <c r="G107" s="9"/>
      <c r="H107" s="9"/>
      <c r="I107" s="9"/>
      <c r="J107" s="9"/>
      <c r="K107" s="9"/>
      <c r="M107" s="9"/>
      <c r="N107" s="9"/>
      <c r="O107" s="9"/>
    </row>
    <row r="108" spans="2:16" ht="16.5" thickBot="1" x14ac:dyDescent="0.3">
      <c r="C108" s="16" t="s">
        <v>3</v>
      </c>
      <c r="F108" s="9"/>
      <c r="G108" s="9"/>
      <c r="H108" s="9"/>
      <c r="I108" s="9"/>
      <c r="J108" s="9"/>
      <c r="K108" s="9"/>
      <c r="M108" s="9"/>
      <c r="N108" s="9"/>
      <c r="O108" s="9"/>
    </row>
    <row r="109" spans="2:16" ht="15.75" x14ac:dyDescent="0.25">
      <c r="B109" s="15" t="s">
        <v>359</v>
      </c>
      <c r="C109" s="76">
        <v>1208</v>
      </c>
      <c r="D109" s="7" t="s">
        <v>347</v>
      </c>
      <c r="F109" s="9"/>
      <c r="G109" s="9"/>
      <c r="H109" s="9"/>
      <c r="I109" s="9"/>
      <c r="J109" s="9"/>
      <c r="K109" s="9"/>
      <c r="M109" s="9"/>
      <c r="N109" s="9"/>
      <c r="O109" s="9"/>
    </row>
    <row r="110" spans="2:16" ht="16.5" thickBot="1" x14ac:dyDescent="0.3">
      <c r="B110" s="15" t="s">
        <v>351</v>
      </c>
      <c r="C110" s="77">
        <v>300</v>
      </c>
      <c r="D110" s="7" t="s">
        <v>360</v>
      </c>
      <c r="F110" s="9"/>
      <c r="G110" s="9"/>
      <c r="H110" s="9"/>
      <c r="I110" s="9"/>
      <c r="J110" s="9"/>
      <c r="K110" s="9"/>
      <c r="M110" s="9"/>
      <c r="N110" s="9"/>
      <c r="O110" s="9"/>
    </row>
    <row r="111" spans="2:16" ht="16.5" thickBot="1" x14ac:dyDescent="0.3">
      <c r="B111" s="15" t="s">
        <v>352</v>
      </c>
      <c r="C111" s="78">
        <v>1</v>
      </c>
      <c r="D111" s="7" t="s">
        <v>346</v>
      </c>
      <c r="E111" s="47">
        <f>196.9*C111</f>
        <v>196.9</v>
      </c>
      <c r="F111" s="46" t="s">
        <v>17</v>
      </c>
      <c r="G111" s="9"/>
      <c r="H111" s="9"/>
      <c r="I111" s="9"/>
      <c r="J111" s="9"/>
      <c r="K111" s="9"/>
      <c r="M111" s="9"/>
      <c r="N111" s="9"/>
      <c r="O111" s="9"/>
    </row>
    <row r="112" spans="2:16" ht="15.75" x14ac:dyDescent="0.25">
      <c r="B112" s="15" t="s">
        <v>353</v>
      </c>
      <c r="C112" s="77">
        <v>30</v>
      </c>
      <c r="D112" s="7" t="s">
        <v>360</v>
      </c>
      <c r="F112" s="9"/>
      <c r="G112" s="9"/>
      <c r="H112" s="9"/>
      <c r="I112" s="9"/>
      <c r="J112" s="9"/>
      <c r="K112" s="9"/>
      <c r="M112" s="9"/>
      <c r="N112" s="9"/>
      <c r="O112" s="9"/>
    </row>
    <row r="113" spans="2:15" ht="15.75" x14ac:dyDescent="0.25">
      <c r="B113" s="15" t="s">
        <v>354</v>
      </c>
      <c r="C113" s="77">
        <v>0.64</v>
      </c>
      <c r="D113" s="7" t="s">
        <v>363</v>
      </c>
      <c r="F113" s="9"/>
      <c r="G113" s="9"/>
      <c r="H113" s="9"/>
      <c r="I113" s="9"/>
      <c r="J113" s="9"/>
      <c r="K113" s="9"/>
      <c r="M113" s="9"/>
      <c r="N113" s="9"/>
      <c r="O113" s="9"/>
    </row>
    <row r="114" spans="2:15" ht="15.75" x14ac:dyDescent="0.25">
      <c r="C114" s="37" t="s">
        <v>408</v>
      </c>
      <c r="F114" s="9"/>
      <c r="G114" s="9"/>
      <c r="H114" s="9"/>
      <c r="I114" s="9"/>
      <c r="J114" s="9"/>
      <c r="K114" s="9"/>
      <c r="M114" s="9"/>
      <c r="N114" s="9"/>
      <c r="O114" s="9"/>
    </row>
    <row r="115" spans="2:15" ht="15.75" x14ac:dyDescent="0.25">
      <c r="B115" s="15" t="s">
        <v>356</v>
      </c>
      <c r="C115" s="77">
        <v>2.2499999999999999E-2</v>
      </c>
      <c r="F115" s="9"/>
      <c r="G115" s="9"/>
      <c r="H115" s="9"/>
      <c r="I115" s="9"/>
      <c r="J115" s="9"/>
      <c r="K115" s="9"/>
      <c r="M115" s="9"/>
      <c r="N115" s="9"/>
      <c r="O115" s="9"/>
    </row>
    <row r="116" spans="2:15" ht="15.75" x14ac:dyDescent="0.25">
      <c r="B116" s="15" t="s">
        <v>357</v>
      </c>
      <c r="C116" s="79">
        <v>0.02</v>
      </c>
      <c r="D116" s="7" t="s">
        <v>362</v>
      </c>
      <c r="F116" s="9"/>
      <c r="G116" s="9"/>
      <c r="H116" s="9"/>
      <c r="I116" s="9"/>
      <c r="J116" s="9"/>
      <c r="K116" s="9"/>
      <c r="M116" s="9"/>
      <c r="N116" s="9"/>
      <c r="O116" s="9"/>
    </row>
    <row r="117" spans="2:15" ht="15.75" x14ac:dyDescent="0.25">
      <c r="B117" s="15" t="s">
        <v>358</v>
      </c>
      <c r="C117" s="79">
        <v>2.5000000000000001E-2</v>
      </c>
      <c r="D117" s="7" t="s">
        <v>361</v>
      </c>
      <c r="F117" s="9"/>
      <c r="G117" s="9"/>
      <c r="H117" s="9"/>
      <c r="I117" s="9"/>
      <c r="J117" s="9"/>
      <c r="K117" s="9"/>
      <c r="M117" s="9"/>
      <c r="N117" s="9"/>
      <c r="O117" s="9"/>
    </row>
    <row r="118" spans="2:15" ht="15.75" x14ac:dyDescent="0.25">
      <c r="B118" s="15" t="s">
        <v>355</v>
      </c>
      <c r="C118" s="77">
        <v>60</v>
      </c>
      <c r="D118" s="7" t="s">
        <v>364</v>
      </c>
      <c r="F118" s="9"/>
      <c r="G118" s="9"/>
      <c r="H118" s="9"/>
      <c r="I118" s="9"/>
      <c r="K118" s="9"/>
      <c r="M118" s="9"/>
      <c r="N118" s="9"/>
      <c r="O118" s="9"/>
    </row>
    <row r="119" spans="2:15" ht="15.75" x14ac:dyDescent="0.25">
      <c r="B119" s="15" t="s">
        <v>355</v>
      </c>
      <c r="C119" s="77">
        <v>45</v>
      </c>
      <c r="D119" s="7" t="s">
        <v>365</v>
      </c>
      <c r="F119" s="9"/>
      <c r="G119" s="9"/>
      <c r="H119" s="9"/>
      <c r="I119" s="9"/>
      <c r="K119" s="9"/>
      <c r="M119" s="9"/>
      <c r="N119" s="9"/>
      <c r="O119" s="9"/>
    </row>
    <row r="120" spans="2:15" ht="16.5" thickBot="1" x14ac:dyDescent="0.3">
      <c r="B120" s="15" t="s">
        <v>415</v>
      </c>
      <c r="C120" s="80">
        <v>118</v>
      </c>
      <c r="D120" s="7" t="s">
        <v>345</v>
      </c>
      <c r="G120" s="9"/>
      <c r="H120" s="9"/>
      <c r="I120" s="9"/>
      <c r="K120" s="9"/>
      <c r="M120" s="9"/>
      <c r="N120" s="9"/>
      <c r="O120" s="9"/>
    </row>
    <row r="121" spans="2:15" x14ac:dyDescent="0.2">
      <c r="H121" s="9"/>
      <c r="I121" s="9"/>
      <c r="J121" s="9"/>
      <c r="K121" s="9"/>
      <c r="M121" s="9"/>
      <c r="N121" s="9"/>
      <c r="O121" s="9"/>
    </row>
    <row r="122" spans="2:15" ht="15.75" x14ac:dyDescent="0.25">
      <c r="F122" s="9"/>
      <c r="G122" s="9"/>
      <c r="H122" s="10"/>
      <c r="I122" s="9"/>
      <c r="J122" s="9"/>
      <c r="K122" s="9"/>
      <c r="M122" s="9"/>
      <c r="N122" s="9"/>
      <c r="O122" s="9"/>
    </row>
    <row r="123" spans="2:15" x14ac:dyDescent="0.2">
      <c r="J123" s="9"/>
      <c r="K123" s="9"/>
      <c r="M123" s="9"/>
      <c r="N123" s="9"/>
      <c r="O123" s="9"/>
    </row>
    <row r="124" spans="2:15" x14ac:dyDescent="0.2">
      <c r="J124" s="9"/>
      <c r="K124" s="9"/>
      <c r="M124" s="9"/>
      <c r="N124" s="9"/>
      <c r="O124" s="9"/>
    </row>
    <row r="125" spans="2:15" x14ac:dyDescent="0.2">
      <c r="J125" s="9"/>
      <c r="K125" s="9"/>
      <c r="M125" s="9"/>
      <c r="N125" s="9"/>
      <c r="O125" s="9"/>
    </row>
    <row r="126" spans="2:15" x14ac:dyDescent="0.2">
      <c r="J126" s="9"/>
      <c r="K126" s="9"/>
      <c r="M126" s="9"/>
      <c r="N126" s="9"/>
      <c r="O126" s="9"/>
    </row>
    <row r="127" spans="2:15" x14ac:dyDescent="0.2">
      <c r="J127" s="9"/>
      <c r="K127" s="9"/>
      <c r="M127" s="9"/>
      <c r="N127" s="9"/>
      <c r="O127" s="9"/>
    </row>
    <row r="128" spans="2:15" ht="15.75" x14ac:dyDescent="0.25">
      <c r="B128" s="15"/>
      <c r="C128" s="16" t="s">
        <v>4</v>
      </c>
      <c r="F128" s="10"/>
      <c r="G128" s="9"/>
      <c r="H128" s="9"/>
      <c r="J128" s="9"/>
      <c r="K128" s="9"/>
      <c r="M128" s="9"/>
      <c r="N128" s="9"/>
      <c r="O128" s="9"/>
    </row>
    <row r="129" spans="2:15" ht="18" x14ac:dyDescent="0.25">
      <c r="B129" s="6" t="s">
        <v>371</v>
      </c>
      <c r="C129" s="50" t="s">
        <v>369</v>
      </c>
      <c r="D129" s="8"/>
      <c r="E129" s="8"/>
      <c r="F129" s="10" t="s">
        <v>370</v>
      </c>
      <c r="G129" s="10"/>
      <c r="H129" s="9"/>
      <c r="J129" s="9"/>
      <c r="K129" s="9"/>
      <c r="M129" s="9"/>
      <c r="N129" s="9"/>
      <c r="O129" s="9"/>
    </row>
    <row r="130" spans="2:15" ht="15.75" x14ac:dyDescent="0.25">
      <c r="B130" s="15" t="s">
        <v>372</v>
      </c>
      <c r="C130" s="14" t="s">
        <v>374</v>
      </c>
      <c r="E130" s="14"/>
      <c r="F130" s="9"/>
      <c r="G130" s="9"/>
      <c r="H130" s="9"/>
      <c r="K130" s="9"/>
      <c r="M130" s="9"/>
      <c r="N130" s="9"/>
      <c r="O130" s="9"/>
    </row>
    <row r="131" spans="2:15" ht="15.75" x14ac:dyDescent="0.25">
      <c r="B131" s="15" t="s">
        <v>367</v>
      </c>
      <c r="C131" s="44">
        <f>(((C116*(C110+C118)*C120)+((C117*(C110+C119)*C109/(3.6*C111))+(C109*C112/3.6*C111)))*9.81*10^-3)</f>
        <v>135.48035099999998</v>
      </c>
      <c r="D131" s="7" t="s">
        <v>373</v>
      </c>
      <c r="E131" s="49" t="s">
        <v>367</v>
      </c>
      <c r="F131" s="48">
        <f>224.8*C131</f>
        <v>30455.982904799999</v>
      </c>
      <c r="G131" s="7" t="s">
        <v>41</v>
      </c>
      <c r="K131" s="9"/>
      <c r="M131" s="9"/>
      <c r="N131" s="9"/>
      <c r="O131" s="9"/>
    </row>
    <row r="132" spans="2:15" x14ac:dyDescent="0.2">
      <c r="K132" s="9"/>
      <c r="M132" s="9"/>
      <c r="N132" s="9"/>
      <c r="O132" s="9"/>
    </row>
    <row r="133" spans="2:15" ht="15.75" x14ac:dyDescent="0.25">
      <c r="B133" s="51" t="s">
        <v>375</v>
      </c>
      <c r="C133" s="14">
        <f>F133*25.4</f>
        <v>762</v>
      </c>
      <c r="D133" s="7" t="s">
        <v>343</v>
      </c>
      <c r="E133" s="13" t="s">
        <v>367</v>
      </c>
      <c r="F133" s="14">
        <v>30</v>
      </c>
      <c r="G133" s="9" t="s">
        <v>16</v>
      </c>
      <c r="H133" s="9"/>
      <c r="K133" s="9"/>
      <c r="M133" s="9"/>
      <c r="N133" s="9"/>
      <c r="O133" s="9"/>
    </row>
    <row r="134" spans="2:15" ht="15.75" x14ac:dyDescent="0.25">
      <c r="B134" s="15" t="s">
        <v>377</v>
      </c>
      <c r="C134" s="14" t="s">
        <v>378</v>
      </c>
      <c r="E134" s="13" t="s">
        <v>367</v>
      </c>
      <c r="F134" s="14" t="s">
        <v>378</v>
      </c>
      <c r="H134" s="9"/>
      <c r="I134" s="9"/>
      <c r="J134" s="9"/>
      <c r="K134" s="9"/>
      <c r="M134" s="9"/>
      <c r="N134" s="9"/>
      <c r="O134" s="9"/>
    </row>
    <row r="135" spans="2:15" ht="15.75" x14ac:dyDescent="0.25">
      <c r="B135" s="15" t="s">
        <v>367</v>
      </c>
      <c r="C135" s="62">
        <f>1.356*F135</f>
        <v>51622.891023636003</v>
      </c>
      <c r="D135" s="7" t="s">
        <v>401</v>
      </c>
      <c r="E135" s="13" t="s">
        <v>367</v>
      </c>
      <c r="F135" s="48">
        <f>F131 * (F133/12)/2</f>
        <v>38069.978630999998</v>
      </c>
      <c r="H135" s="9" t="s">
        <v>379</v>
      </c>
      <c r="I135" s="9"/>
      <c r="J135" s="9"/>
      <c r="K135" s="9"/>
      <c r="M135" s="9"/>
      <c r="N135" s="9"/>
      <c r="O135" s="9"/>
    </row>
    <row r="136" spans="2:15" ht="15.75" x14ac:dyDescent="0.25">
      <c r="B136" s="15" t="s">
        <v>381</v>
      </c>
      <c r="C136" s="61" t="s">
        <v>382</v>
      </c>
      <c r="E136" s="13" t="s">
        <v>367</v>
      </c>
      <c r="F136" s="7" t="s">
        <v>382</v>
      </c>
      <c r="I136" s="9"/>
      <c r="K136" s="9"/>
      <c r="L136" s="9"/>
      <c r="M136" s="9"/>
      <c r="N136" s="9"/>
      <c r="O136" s="9"/>
    </row>
    <row r="137" spans="2:15" ht="15.75" x14ac:dyDescent="0.25">
      <c r="B137" s="15" t="s">
        <v>367</v>
      </c>
      <c r="C137" s="43">
        <f>F137</f>
        <v>12.54140127388535</v>
      </c>
      <c r="D137" s="7" t="s">
        <v>178</v>
      </c>
      <c r="E137" s="13" t="s">
        <v>367</v>
      </c>
      <c r="F137" s="43">
        <f>E111 / (2*3.14 *F133/12)</f>
        <v>12.54140127388535</v>
      </c>
      <c r="H137" s="7" t="s">
        <v>178</v>
      </c>
      <c r="J137" s="9"/>
      <c r="K137" s="9"/>
      <c r="L137" s="9"/>
      <c r="M137" s="9"/>
      <c r="N137" s="9"/>
      <c r="O137" s="9"/>
    </row>
    <row r="138" spans="2:15" ht="16.5" thickBot="1" x14ac:dyDescent="0.3">
      <c r="B138" s="15" t="s">
        <v>376</v>
      </c>
      <c r="C138" s="14" t="s">
        <v>383</v>
      </c>
      <c r="E138" s="13" t="s">
        <v>367</v>
      </c>
      <c r="F138" s="12" t="s">
        <v>380</v>
      </c>
      <c r="G138" s="9"/>
      <c r="H138" s="9"/>
      <c r="I138" s="9"/>
      <c r="J138" s="9"/>
      <c r="K138" s="9"/>
      <c r="L138" s="9"/>
      <c r="M138" s="9"/>
      <c r="N138" s="9"/>
      <c r="O138" s="9"/>
    </row>
    <row r="139" spans="2:15" ht="16.5" thickBot="1" x14ac:dyDescent="0.3">
      <c r="B139" s="15" t="s">
        <v>367</v>
      </c>
      <c r="C139" s="59">
        <f xml:space="preserve"> 0.7457 *F139</f>
        <v>67.754562248792936</v>
      </c>
      <c r="D139" s="45" t="s">
        <v>368</v>
      </c>
      <c r="E139" s="13" t="s">
        <v>367</v>
      </c>
      <c r="F139" s="60">
        <f>2*3.14*F137*F135/33000</f>
        <v>90.86034899932001</v>
      </c>
      <c r="G139" s="46" t="s">
        <v>90</v>
      </c>
      <c r="H139" s="9"/>
      <c r="I139" s="9"/>
      <c r="J139" s="9"/>
      <c r="K139" s="9"/>
      <c r="L139" s="9"/>
      <c r="M139" s="9"/>
      <c r="N139" s="9"/>
      <c r="O139" s="9"/>
    </row>
    <row r="140" spans="2:15" ht="15.75" x14ac:dyDescent="0.25">
      <c r="B140" s="8"/>
      <c r="C140" s="50" t="s">
        <v>369</v>
      </c>
      <c r="D140" s="8"/>
      <c r="E140" s="8"/>
      <c r="F140" s="10" t="s">
        <v>370</v>
      </c>
      <c r="G140" s="10"/>
      <c r="H140" s="9"/>
      <c r="I140" s="9"/>
      <c r="J140" s="9"/>
      <c r="K140" s="9"/>
      <c r="L140" s="9"/>
      <c r="M140" s="9"/>
      <c r="N140" s="9"/>
      <c r="O140" s="9"/>
    </row>
    <row r="141" spans="2:15" ht="15.75" x14ac:dyDescent="0.25">
      <c r="B141" s="13"/>
      <c r="F141" s="23"/>
      <c r="G141" s="9"/>
      <c r="H141" s="9"/>
      <c r="I141" s="9"/>
      <c r="J141" s="9"/>
      <c r="K141" s="9"/>
      <c r="L141" s="9"/>
      <c r="M141" s="9"/>
      <c r="N141" s="9"/>
      <c r="O141" s="9"/>
    </row>
    <row r="142" spans="2:15" x14ac:dyDescent="0.2">
      <c r="B142" s="13"/>
      <c r="G142" s="9"/>
      <c r="H142" s="9"/>
      <c r="I142" s="9"/>
      <c r="J142" s="9"/>
      <c r="K142" s="9"/>
      <c r="L142" s="9"/>
      <c r="M142" s="9"/>
      <c r="N142" s="9"/>
      <c r="O142" s="9"/>
    </row>
    <row r="143" spans="2:15" x14ac:dyDescent="0.2">
      <c r="I143" s="9"/>
      <c r="J143" s="9"/>
      <c r="K143" s="9"/>
      <c r="L143" s="9"/>
      <c r="M143" s="9"/>
      <c r="N143" s="9"/>
      <c r="O143" s="9"/>
    </row>
    <row r="144" spans="2:15" ht="15.75" x14ac:dyDescent="0.25">
      <c r="B144" s="8" t="s">
        <v>476</v>
      </c>
      <c r="I144" s="9"/>
      <c r="J144" s="9"/>
      <c r="K144" s="9"/>
      <c r="L144" s="9"/>
      <c r="M144" s="9"/>
      <c r="N144" s="9"/>
      <c r="O144" s="9"/>
    </row>
    <row r="145" spans="2:15" ht="15.75" x14ac:dyDescent="0.25">
      <c r="B145" s="8" t="s">
        <v>366</v>
      </c>
      <c r="I145" s="9"/>
      <c r="J145" s="9"/>
      <c r="K145" s="9"/>
      <c r="L145" s="9"/>
      <c r="M145" s="9"/>
      <c r="N145" s="9"/>
      <c r="O145" s="9"/>
    </row>
    <row r="146" spans="2:15" ht="15.75" x14ac:dyDescent="0.25">
      <c r="B146" s="8" t="s">
        <v>402</v>
      </c>
      <c r="I146" s="9"/>
      <c r="J146" s="9"/>
      <c r="K146" s="9"/>
      <c r="L146" s="9"/>
      <c r="M146" s="9"/>
      <c r="N146" s="9"/>
      <c r="O146" s="9"/>
    </row>
    <row r="147" spans="2:15" x14ac:dyDescent="0.2">
      <c r="I147" s="9"/>
      <c r="J147" s="9"/>
      <c r="K147" s="9"/>
      <c r="L147" s="9"/>
      <c r="M147" s="9"/>
      <c r="N147" s="9"/>
      <c r="O147" s="9"/>
    </row>
    <row r="148" spans="2:15" ht="15.75" x14ac:dyDescent="0.25">
      <c r="B148" s="8" t="s">
        <v>484</v>
      </c>
    </row>
    <row r="149" spans="2:15" ht="15.75" x14ac:dyDescent="0.25">
      <c r="B149" s="8" t="s">
        <v>485</v>
      </c>
    </row>
    <row r="151" spans="2:15" ht="18.75" thickBot="1" x14ac:dyDescent="0.3">
      <c r="B151" s="6" t="s">
        <v>477</v>
      </c>
      <c r="C151" s="16" t="s">
        <v>3</v>
      </c>
    </row>
    <row r="152" spans="2:15" ht="16.5" thickBot="1" x14ac:dyDescent="0.3">
      <c r="B152" s="15" t="s">
        <v>344</v>
      </c>
      <c r="C152" s="76">
        <v>2</v>
      </c>
      <c r="D152" s="7" t="s">
        <v>360</v>
      </c>
      <c r="I152" s="9"/>
      <c r="J152" s="9"/>
      <c r="K152" s="9"/>
      <c r="L152" s="9"/>
      <c r="M152" s="9"/>
      <c r="N152" s="9"/>
      <c r="O152" s="9"/>
    </row>
    <row r="153" spans="2:15" ht="16.5" thickBot="1" x14ac:dyDescent="0.3">
      <c r="B153" s="15" t="s">
        <v>478</v>
      </c>
      <c r="C153" s="77">
        <v>849</v>
      </c>
      <c r="D153" s="7" t="s">
        <v>480</v>
      </c>
      <c r="F153" s="150">
        <f>C153/16.02</f>
        <v>52.99625468164794</v>
      </c>
      <c r="G153" s="45" t="s">
        <v>488</v>
      </c>
      <c r="I153" s="9"/>
      <c r="J153" s="9"/>
      <c r="K153" s="9"/>
      <c r="L153" s="9"/>
      <c r="M153" s="9"/>
      <c r="N153" s="9"/>
      <c r="O153" s="9"/>
    </row>
    <row r="154" spans="2:15" ht="16.5" thickBot="1" x14ac:dyDescent="0.3">
      <c r="B154" s="15" t="s">
        <v>479</v>
      </c>
      <c r="C154" s="124">
        <v>1</v>
      </c>
      <c r="D154" s="7" t="s">
        <v>346</v>
      </c>
    </row>
    <row r="155" spans="2:15" ht="15.75" x14ac:dyDescent="0.25">
      <c r="B155" s="13"/>
      <c r="C155" s="16" t="s">
        <v>110</v>
      </c>
    </row>
    <row r="156" spans="2:15" ht="16.5" thickBot="1" x14ac:dyDescent="0.3">
      <c r="B156" s="15" t="s">
        <v>481</v>
      </c>
      <c r="C156" s="14" t="s">
        <v>482</v>
      </c>
      <c r="G156" s="9"/>
      <c r="H156" s="9"/>
    </row>
    <row r="157" spans="2:15" ht="15.75" thickBot="1" x14ac:dyDescent="0.25">
      <c r="B157" s="13" t="s">
        <v>367</v>
      </c>
      <c r="C157" s="149">
        <f>(C152^2*C153*C154)/1085</f>
        <v>3.1299539170506914</v>
      </c>
      <c r="D157" s="45" t="s">
        <v>368</v>
      </c>
      <c r="F157" s="150">
        <f>C157/0.7547</f>
        <v>4.1472822539428797</v>
      </c>
      <c r="G157" s="45" t="s">
        <v>483</v>
      </c>
    </row>
    <row r="158" spans="2:15" ht="15.75" x14ac:dyDescent="0.25">
      <c r="C158" s="50" t="s">
        <v>369</v>
      </c>
      <c r="D158" s="8"/>
      <c r="E158" s="8"/>
      <c r="F158" s="10" t="s">
        <v>370</v>
      </c>
      <c r="G158" s="10"/>
      <c r="I158" s="25"/>
    </row>
    <row r="159" spans="2:15" x14ac:dyDescent="0.2">
      <c r="I159" s="25"/>
    </row>
    <row r="161" spans="2:10" ht="18.75" thickBot="1" x14ac:dyDescent="0.3">
      <c r="B161" s="6" t="s">
        <v>497</v>
      </c>
      <c r="C161" s="16" t="s">
        <v>3</v>
      </c>
    </row>
    <row r="162" spans="2:10" ht="15.75" x14ac:dyDescent="0.25">
      <c r="B162" s="15" t="s">
        <v>486</v>
      </c>
      <c r="C162" s="154">
        <v>1.6</v>
      </c>
      <c r="D162" s="7" t="s">
        <v>360</v>
      </c>
    </row>
    <row r="163" spans="2:10" ht="16.5" thickBot="1" x14ac:dyDescent="0.3">
      <c r="B163" s="15" t="s">
        <v>487</v>
      </c>
      <c r="C163" s="78">
        <v>0.8</v>
      </c>
      <c r="D163" s="7" t="s">
        <v>360</v>
      </c>
    </row>
    <row r="164" spans="2:10" ht="16.5" thickBot="1" x14ac:dyDescent="0.3">
      <c r="B164" s="15" t="s">
        <v>478</v>
      </c>
      <c r="C164" s="77">
        <v>849</v>
      </c>
      <c r="D164" s="7" t="s">
        <v>480</v>
      </c>
      <c r="F164" s="150">
        <f>C164/16.02</f>
        <v>52.99625468164794</v>
      </c>
      <c r="G164" s="45" t="s">
        <v>488</v>
      </c>
      <c r="H164" s="13"/>
      <c r="J164" s="7" t="s">
        <v>508</v>
      </c>
    </row>
    <row r="165" spans="2:10" ht="16.5" thickBot="1" x14ac:dyDescent="0.3">
      <c r="B165" s="15" t="s">
        <v>491</v>
      </c>
      <c r="C165" s="143">
        <v>0.6</v>
      </c>
      <c r="H165" s="13"/>
      <c r="J165" s="7" t="s">
        <v>509</v>
      </c>
    </row>
    <row r="166" spans="2:10" ht="15.75" x14ac:dyDescent="0.25">
      <c r="C166" s="16" t="s">
        <v>110</v>
      </c>
      <c r="H166" s="13"/>
    </row>
    <row r="167" spans="2:10" ht="16.5" thickBot="1" x14ac:dyDescent="0.3">
      <c r="B167" s="15" t="s">
        <v>489</v>
      </c>
      <c r="C167" s="7" t="s">
        <v>490</v>
      </c>
      <c r="H167" s="13"/>
      <c r="I167" s="25"/>
    </row>
    <row r="168" spans="2:10" ht="16.5" thickBot="1" x14ac:dyDescent="0.3">
      <c r="B168" s="15" t="s">
        <v>367</v>
      </c>
      <c r="C168" s="149">
        <f>C165*2*C162^2*C163*C164*10^-3</f>
        <v>2.086502400000001</v>
      </c>
      <c r="D168" s="45" t="s">
        <v>373</v>
      </c>
    </row>
    <row r="169" spans="2:10" ht="15.75" x14ac:dyDescent="0.25">
      <c r="B169" s="8"/>
    </row>
    <row r="170" spans="2:10" ht="16.5" thickBot="1" x14ac:dyDescent="0.3">
      <c r="B170" s="15" t="s">
        <v>492</v>
      </c>
      <c r="C170" s="7" t="s">
        <v>493</v>
      </c>
    </row>
    <row r="171" spans="2:10" ht="15.75" x14ac:dyDescent="0.25">
      <c r="B171" s="13"/>
      <c r="C171" s="151">
        <v>0.4</v>
      </c>
      <c r="D171" s="7" t="s">
        <v>494</v>
      </c>
    </row>
    <row r="172" spans="2:10" ht="15.75" x14ac:dyDescent="0.25">
      <c r="B172" s="13"/>
      <c r="C172" s="152">
        <v>0.6</v>
      </c>
      <c r="D172" s="7" t="s">
        <v>495</v>
      </c>
    </row>
    <row r="173" spans="2:10" ht="16.5" thickBot="1" x14ac:dyDescent="0.3">
      <c r="B173" s="13"/>
      <c r="C173" s="153">
        <v>1</v>
      </c>
      <c r="D173" s="7" t="s">
        <v>496</v>
      </c>
    </row>
    <row r="174" spans="2:10" x14ac:dyDescent="0.2">
      <c r="B174" s="13"/>
      <c r="C174" s="28"/>
    </row>
    <row r="175" spans="2:10" ht="15.75" x14ac:dyDescent="0.25">
      <c r="C175" s="16"/>
    </row>
    <row r="176" spans="2:10" ht="18.75" thickBot="1" x14ac:dyDescent="0.3">
      <c r="B176" s="6" t="s">
        <v>498</v>
      </c>
      <c r="C176" s="16" t="s">
        <v>3</v>
      </c>
    </row>
    <row r="177" spans="2:4" ht="15.75" x14ac:dyDescent="0.25">
      <c r="B177" s="15" t="s">
        <v>499</v>
      </c>
      <c r="C177" s="154">
        <v>0.9</v>
      </c>
    </row>
    <row r="178" spans="2:4" ht="15.75" x14ac:dyDescent="0.25">
      <c r="B178" s="15" t="s">
        <v>479</v>
      </c>
      <c r="C178" s="78">
        <v>1</v>
      </c>
      <c r="D178" s="7" t="s">
        <v>346</v>
      </c>
    </row>
    <row r="179" spans="2:4" ht="16.5" thickBot="1" x14ac:dyDescent="0.3">
      <c r="B179" s="15" t="s">
        <v>489</v>
      </c>
      <c r="C179" s="124">
        <v>2.09</v>
      </c>
      <c r="D179" s="7" t="s">
        <v>373</v>
      </c>
    </row>
    <row r="180" spans="2:4" ht="15.75" x14ac:dyDescent="0.25">
      <c r="B180" s="13"/>
      <c r="C180" s="16" t="s">
        <v>110</v>
      </c>
    </row>
    <row r="181" spans="2:4" ht="15.75" x14ac:dyDescent="0.25">
      <c r="B181" s="15" t="s">
        <v>503</v>
      </c>
      <c r="C181" s="25" t="s">
        <v>500</v>
      </c>
    </row>
    <row r="182" spans="2:4" ht="15.75" x14ac:dyDescent="0.25">
      <c r="B182" s="15" t="s">
        <v>367</v>
      </c>
      <c r="C182" s="25">
        <f>(1+C177)*C179</f>
        <v>3.9709999999999996</v>
      </c>
      <c r="D182" s="7" t="s">
        <v>373</v>
      </c>
    </row>
    <row r="183" spans="2:4" ht="15.75" x14ac:dyDescent="0.25">
      <c r="B183" s="15" t="s">
        <v>501</v>
      </c>
      <c r="C183" s="25" t="s">
        <v>502</v>
      </c>
    </row>
    <row r="184" spans="2:4" ht="15.75" x14ac:dyDescent="0.25">
      <c r="B184" s="15" t="s">
        <v>367</v>
      </c>
      <c r="C184" s="25">
        <f>C178*C179</f>
        <v>2.09</v>
      </c>
      <c r="D184" s="7" t="s">
        <v>368</v>
      </c>
    </row>
    <row r="185" spans="2:4" x14ac:dyDescent="0.2">
      <c r="B185" s="13"/>
      <c r="C185" s="25"/>
    </row>
    <row r="186" spans="2:4" x14ac:dyDescent="0.2">
      <c r="B186" s="13" t="s">
        <v>504</v>
      </c>
      <c r="C186" s="25" t="s">
        <v>505</v>
      </c>
    </row>
    <row r="187" spans="2:4" ht="15.75" x14ac:dyDescent="0.25">
      <c r="B187" s="15"/>
      <c r="C187" s="25" t="s">
        <v>506</v>
      </c>
      <c r="D187" s="8"/>
    </row>
    <row r="188" spans="2:4" x14ac:dyDescent="0.2">
      <c r="B188" s="13"/>
      <c r="C188" s="25" t="s">
        <v>507</v>
      </c>
    </row>
    <row r="189" spans="2:4" ht="15.75" x14ac:dyDescent="0.25">
      <c r="B189" s="15"/>
      <c r="C189" s="29"/>
      <c r="D189" s="8"/>
    </row>
    <row r="191" spans="2:4" x14ac:dyDescent="0.2">
      <c r="C191" s="7" t="s">
        <v>418</v>
      </c>
    </row>
    <row r="204" spans="6:6" ht="15.75" x14ac:dyDescent="0.25">
      <c r="F204" s="23"/>
    </row>
  </sheetData>
  <sheetProtection selectLockedCells="1"/>
  <phoneticPr fontId="1" type="noConversion"/>
  <pageMargins left="0.75" right="0.75" top="1" bottom="1" header="0.5" footer="0.5"/>
  <pageSetup orientation="portrait" horizont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44"/>
  <sheetViews>
    <sheetView workbookViewId="0">
      <selection activeCell="I1" sqref="I1"/>
    </sheetView>
  </sheetViews>
  <sheetFormatPr defaultColWidth="8.7109375" defaultRowHeight="15" x14ac:dyDescent="0.2"/>
  <cols>
    <col min="1" max="1" width="43.140625" style="13" customWidth="1"/>
    <col min="2" max="2" width="15.85546875" style="7" customWidth="1"/>
    <col min="3" max="16384" width="8.7109375" style="7"/>
  </cols>
  <sheetData>
    <row r="1" spans="1:23" ht="18" x14ac:dyDescent="0.25">
      <c r="A1" s="6" t="s">
        <v>342</v>
      </c>
      <c r="E1" s="8"/>
      <c r="F1" s="9"/>
      <c r="G1" s="9"/>
      <c r="H1" s="9"/>
      <c r="I1" s="9"/>
      <c r="J1" s="9"/>
      <c r="K1" s="9"/>
      <c r="L1" s="9"/>
      <c r="M1" s="9"/>
      <c r="N1" s="9"/>
      <c r="O1" s="9"/>
      <c r="P1" s="9"/>
      <c r="Q1" s="9"/>
      <c r="R1" s="9"/>
      <c r="S1" s="9"/>
      <c r="T1" s="9"/>
      <c r="U1" s="9"/>
      <c r="V1" s="9"/>
      <c r="W1" s="9"/>
    </row>
    <row r="2" spans="1:23" ht="15.75" x14ac:dyDescent="0.25">
      <c r="A2" s="7"/>
      <c r="B2" s="8"/>
      <c r="F2" s="9"/>
      <c r="G2" s="9"/>
      <c r="H2" s="9"/>
      <c r="I2" s="9"/>
      <c r="J2" s="9"/>
      <c r="K2" s="9"/>
      <c r="L2" s="9"/>
      <c r="M2" s="9"/>
      <c r="N2" s="9"/>
      <c r="O2" s="9"/>
      <c r="P2" s="9"/>
      <c r="Q2" s="9"/>
      <c r="R2" s="9"/>
      <c r="S2" s="9"/>
      <c r="T2" s="9"/>
      <c r="U2" s="9"/>
      <c r="V2" s="9"/>
      <c r="W2" s="9"/>
    </row>
    <row r="3" spans="1:23" ht="18" x14ac:dyDescent="0.25">
      <c r="A3" s="6"/>
      <c r="F3" s="9"/>
      <c r="G3" s="9"/>
      <c r="H3" s="9"/>
      <c r="I3" s="9"/>
      <c r="J3" s="9"/>
      <c r="K3" s="9"/>
      <c r="L3" s="9"/>
      <c r="M3" s="9"/>
      <c r="N3" s="9"/>
      <c r="O3" s="9"/>
      <c r="P3" s="9"/>
      <c r="Q3" s="9"/>
      <c r="R3" s="9"/>
      <c r="S3" s="9"/>
      <c r="T3" s="9"/>
      <c r="U3" s="9"/>
      <c r="V3" s="9"/>
      <c r="W3" s="9"/>
    </row>
    <row r="4" spans="1:23" x14ac:dyDescent="0.2">
      <c r="F4" s="9"/>
      <c r="G4" s="9"/>
      <c r="H4" s="9"/>
      <c r="I4" s="9"/>
      <c r="J4" s="9"/>
      <c r="K4" s="9"/>
      <c r="L4" s="9"/>
      <c r="M4" s="9"/>
      <c r="N4" s="9"/>
      <c r="O4" s="9"/>
      <c r="P4" s="9"/>
      <c r="Q4" s="9"/>
      <c r="R4" s="9"/>
      <c r="S4" s="9"/>
      <c r="T4" s="9"/>
      <c r="U4" s="9"/>
      <c r="V4" s="9"/>
      <c r="W4" s="9"/>
    </row>
    <row r="5" spans="1:23" x14ac:dyDescent="0.2">
      <c r="F5" s="9"/>
      <c r="G5" s="9"/>
      <c r="H5" s="9"/>
      <c r="I5" s="9"/>
      <c r="J5" s="9"/>
      <c r="K5" s="9"/>
      <c r="L5" s="9"/>
      <c r="M5" s="9"/>
      <c r="N5" s="9"/>
      <c r="O5" s="9"/>
      <c r="P5" s="9"/>
      <c r="Q5" s="9"/>
      <c r="R5" s="9"/>
      <c r="S5" s="9"/>
      <c r="T5" s="9"/>
      <c r="U5" s="9"/>
      <c r="V5" s="9"/>
      <c r="W5" s="9"/>
    </row>
    <row r="6" spans="1:23" x14ac:dyDescent="0.2">
      <c r="F6" s="9"/>
      <c r="G6" s="9"/>
      <c r="H6" s="9"/>
      <c r="I6" s="9"/>
      <c r="J6" s="9"/>
      <c r="K6" s="9"/>
      <c r="L6" s="9"/>
      <c r="M6" s="9"/>
      <c r="N6" s="9"/>
      <c r="O6" s="9"/>
      <c r="P6" s="9"/>
      <c r="Q6" s="9"/>
      <c r="R6" s="9"/>
      <c r="S6" s="9"/>
      <c r="T6" s="9"/>
      <c r="U6" s="9"/>
      <c r="V6" s="9"/>
      <c r="W6" s="9"/>
    </row>
    <row r="7" spans="1:23" x14ac:dyDescent="0.2">
      <c r="H7" s="9"/>
      <c r="I7" s="9"/>
      <c r="J7" s="9"/>
      <c r="K7" s="9"/>
      <c r="L7" s="9"/>
      <c r="M7" s="9"/>
      <c r="N7" s="9"/>
      <c r="O7" s="9"/>
      <c r="P7" s="9"/>
      <c r="Q7" s="9"/>
      <c r="R7" s="9"/>
      <c r="S7" s="9"/>
      <c r="T7" s="9"/>
      <c r="U7" s="9"/>
      <c r="V7" s="9"/>
      <c r="W7" s="9"/>
    </row>
    <row r="8" spans="1:23" x14ac:dyDescent="0.2">
      <c r="H8" s="9"/>
      <c r="I8" s="9"/>
      <c r="J8" s="9"/>
      <c r="K8" s="9"/>
      <c r="L8" s="9"/>
      <c r="M8" s="9"/>
      <c r="N8" s="9"/>
      <c r="O8" s="9"/>
      <c r="P8" s="9"/>
      <c r="Q8" s="9"/>
      <c r="R8" s="9"/>
      <c r="S8" s="9"/>
      <c r="T8" s="9"/>
      <c r="U8" s="9"/>
      <c r="V8" s="9"/>
      <c r="W8" s="9"/>
    </row>
    <row r="9" spans="1:23" x14ac:dyDescent="0.2">
      <c r="F9" s="9"/>
      <c r="G9" s="9"/>
      <c r="H9" s="9"/>
      <c r="I9" s="9"/>
      <c r="J9" s="9"/>
      <c r="K9" s="9"/>
      <c r="L9" s="9"/>
      <c r="M9" s="9"/>
      <c r="N9" s="9"/>
      <c r="O9" s="9"/>
      <c r="P9" s="9"/>
      <c r="Q9" s="9"/>
      <c r="R9" s="9"/>
      <c r="S9" s="9"/>
      <c r="T9" s="9"/>
      <c r="U9" s="9"/>
      <c r="V9" s="9"/>
      <c r="W9" s="9"/>
    </row>
    <row r="10" spans="1:23" x14ac:dyDescent="0.2">
      <c r="F10" s="9"/>
      <c r="G10" s="9"/>
      <c r="H10" s="9"/>
      <c r="I10" s="9"/>
      <c r="J10" s="9"/>
      <c r="K10" s="9"/>
      <c r="L10" s="9"/>
      <c r="M10" s="9"/>
      <c r="N10" s="9"/>
      <c r="O10" s="9"/>
      <c r="P10" s="9"/>
      <c r="Q10" s="9"/>
      <c r="R10" s="9"/>
      <c r="S10" s="9"/>
      <c r="T10" s="9"/>
      <c r="U10" s="9"/>
      <c r="V10" s="9"/>
      <c r="W10" s="9"/>
    </row>
    <row r="11" spans="1:23" x14ac:dyDescent="0.2">
      <c r="A11" s="7"/>
      <c r="H11" s="9"/>
      <c r="I11" s="9"/>
      <c r="J11" s="9"/>
      <c r="K11" s="9"/>
      <c r="L11" s="9"/>
      <c r="M11" s="9"/>
      <c r="N11" s="9"/>
      <c r="O11" s="9"/>
      <c r="P11" s="9"/>
      <c r="Q11" s="9"/>
      <c r="R11" s="9"/>
      <c r="S11" s="9"/>
      <c r="T11" s="9"/>
      <c r="U11" s="9"/>
      <c r="V11" s="9"/>
      <c r="W11" s="9"/>
    </row>
    <row r="12" spans="1:23" x14ac:dyDescent="0.2">
      <c r="A12" s="7"/>
      <c r="H12" s="9"/>
      <c r="I12" s="9"/>
      <c r="J12" s="9"/>
      <c r="K12" s="9"/>
      <c r="L12" s="9"/>
      <c r="M12" s="9"/>
      <c r="N12" s="9"/>
      <c r="O12" s="9"/>
      <c r="P12" s="9"/>
      <c r="Q12" s="9"/>
      <c r="R12" s="9"/>
      <c r="S12" s="9"/>
      <c r="T12" s="9"/>
      <c r="U12" s="9"/>
      <c r="V12" s="9"/>
      <c r="W12" s="9"/>
    </row>
    <row r="13" spans="1:23" x14ac:dyDescent="0.2">
      <c r="F13" s="9"/>
      <c r="G13" s="9"/>
      <c r="H13" s="9"/>
      <c r="I13" s="9"/>
      <c r="J13" s="9"/>
      <c r="K13" s="9"/>
      <c r="L13" s="9"/>
      <c r="M13" s="9"/>
      <c r="N13" s="9"/>
      <c r="O13" s="9"/>
      <c r="P13" s="9"/>
      <c r="Q13" s="9"/>
      <c r="R13" s="9"/>
      <c r="S13" s="9"/>
      <c r="T13" s="9"/>
      <c r="U13" s="9"/>
      <c r="V13" s="9"/>
      <c r="W13" s="9"/>
    </row>
    <row r="14" spans="1:23" x14ac:dyDescent="0.2">
      <c r="F14" s="9"/>
      <c r="G14" s="9"/>
      <c r="H14" s="9"/>
      <c r="I14" s="9"/>
      <c r="J14" s="9"/>
      <c r="K14" s="9"/>
      <c r="L14" s="9"/>
      <c r="M14" s="9"/>
      <c r="N14" s="9"/>
      <c r="O14" s="9"/>
      <c r="P14" s="9"/>
      <c r="Q14" s="9"/>
      <c r="R14" s="9"/>
      <c r="S14" s="9"/>
      <c r="T14" s="9"/>
      <c r="U14" s="9"/>
      <c r="V14" s="9"/>
      <c r="W14" s="9"/>
    </row>
    <row r="15" spans="1:23" x14ac:dyDescent="0.2">
      <c r="F15" s="9"/>
      <c r="G15" s="9"/>
      <c r="H15" s="9"/>
      <c r="I15" s="9"/>
      <c r="J15" s="9"/>
      <c r="K15" s="9"/>
      <c r="L15" s="9"/>
      <c r="M15" s="9"/>
      <c r="N15" s="9"/>
      <c r="O15" s="9"/>
      <c r="P15" s="9"/>
      <c r="Q15" s="9"/>
      <c r="R15" s="9"/>
      <c r="S15" s="9"/>
      <c r="T15" s="9"/>
      <c r="U15" s="9"/>
      <c r="V15" s="9"/>
      <c r="W15" s="9"/>
    </row>
    <row r="16" spans="1:23" x14ac:dyDescent="0.2">
      <c r="F16" s="9"/>
      <c r="G16" s="9"/>
      <c r="H16" s="9"/>
      <c r="I16" s="9"/>
      <c r="J16" s="9"/>
      <c r="K16" s="9"/>
      <c r="L16" s="9"/>
      <c r="M16" s="9"/>
      <c r="N16" s="9"/>
      <c r="O16" s="9"/>
      <c r="P16" s="9"/>
      <c r="Q16" s="9"/>
      <c r="R16" s="9"/>
      <c r="S16" s="9"/>
      <c r="T16" s="9"/>
      <c r="U16" s="9"/>
      <c r="V16" s="9"/>
      <c r="W16" s="9"/>
    </row>
    <row r="17" spans="1:23" x14ac:dyDescent="0.2">
      <c r="F17" s="9"/>
      <c r="G17" s="9"/>
      <c r="H17" s="9"/>
      <c r="I17" s="9"/>
      <c r="J17" s="9"/>
      <c r="K17" s="9"/>
      <c r="L17" s="9"/>
      <c r="M17" s="9"/>
      <c r="N17" s="9"/>
      <c r="O17" s="9"/>
      <c r="P17" s="9"/>
      <c r="Q17" s="9"/>
      <c r="R17" s="9"/>
      <c r="S17" s="9"/>
      <c r="T17" s="9"/>
      <c r="U17" s="9"/>
      <c r="V17" s="9"/>
      <c r="W17" s="9"/>
    </row>
    <row r="18" spans="1:23" x14ac:dyDescent="0.2">
      <c r="F18" s="9"/>
      <c r="G18" s="9"/>
      <c r="H18" s="9"/>
      <c r="I18" s="9"/>
      <c r="J18" s="9"/>
      <c r="K18" s="9"/>
      <c r="L18" s="9"/>
      <c r="M18" s="9"/>
      <c r="N18" s="9"/>
      <c r="O18" s="9"/>
      <c r="P18" s="9"/>
      <c r="Q18" s="9"/>
      <c r="R18" s="9"/>
      <c r="S18" s="9"/>
      <c r="T18" s="9"/>
      <c r="U18" s="9"/>
      <c r="V18" s="9"/>
      <c r="W18" s="9"/>
    </row>
    <row r="19" spans="1:23" x14ac:dyDescent="0.2">
      <c r="F19" s="9"/>
      <c r="G19" s="9"/>
      <c r="H19" s="9"/>
      <c r="I19" s="9"/>
      <c r="J19" s="9"/>
      <c r="K19" s="9"/>
      <c r="L19" s="9"/>
      <c r="M19" s="9"/>
      <c r="N19" s="9"/>
      <c r="O19" s="9"/>
      <c r="P19" s="9"/>
      <c r="Q19" s="9"/>
      <c r="R19" s="9"/>
      <c r="S19" s="9"/>
      <c r="T19" s="9"/>
      <c r="U19" s="9"/>
      <c r="V19" s="9"/>
      <c r="W19" s="9"/>
    </row>
    <row r="20" spans="1:23" x14ac:dyDescent="0.2">
      <c r="F20" s="9"/>
      <c r="G20" s="9"/>
      <c r="H20" s="9"/>
      <c r="I20" s="9"/>
      <c r="J20" s="9"/>
      <c r="K20" s="9"/>
      <c r="L20" s="9"/>
      <c r="M20" s="9"/>
      <c r="N20" s="9"/>
      <c r="O20" s="9"/>
      <c r="P20" s="9"/>
      <c r="Q20" s="9"/>
      <c r="R20" s="9"/>
      <c r="S20" s="9"/>
      <c r="T20" s="9"/>
      <c r="U20" s="9"/>
      <c r="V20" s="9"/>
      <c r="W20" s="9"/>
    </row>
    <row r="21" spans="1:23" x14ac:dyDescent="0.2">
      <c r="F21" s="9"/>
      <c r="G21" s="9"/>
      <c r="H21" s="9"/>
      <c r="I21" s="9"/>
      <c r="J21" s="9"/>
      <c r="K21" s="9"/>
      <c r="L21" s="9"/>
      <c r="M21" s="9"/>
      <c r="N21" s="9"/>
      <c r="O21" s="9"/>
      <c r="P21" s="9"/>
      <c r="Q21" s="9"/>
      <c r="R21" s="9"/>
      <c r="S21" s="9"/>
      <c r="T21" s="9"/>
      <c r="U21" s="9"/>
      <c r="V21" s="9"/>
      <c r="W21" s="9"/>
    </row>
    <row r="22" spans="1:23" x14ac:dyDescent="0.2">
      <c r="F22" s="9"/>
      <c r="G22" s="9"/>
      <c r="H22" s="9"/>
      <c r="I22" s="9"/>
      <c r="J22" s="9"/>
      <c r="K22" s="9"/>
      <c r="L22" s="9"/>
      <c r="M22" s="9"/>
      <c r="N22" s="9"/>
      <c r="O22" s="9"/>
      <c r="P22" s="9"/>
      <c r="Q22" s="9"/>
      <c r="R22" s="9"/>
      <c r="S22" s="9"/>
      <c r="T22" s="9"/>
      <c r="U22" s="9"/>
      <c r="V22" s="9"/>
      <c r="W22" s="9"/>
    </row>
    <row r="23" spans="1:23" x14ac:dyDescent="0.2">
      <c r="F23" s="9"/>
      <c r="G23" s="9"/>
      <c r="H23" s="9"/>
      <c r="I23" s="9"/>
      <c r="J23" s="9"/>
      <c r="K23" s="9"/>
      <c r="L23" s="9"/>
      <c r="M23" s="9"/>
      <c r="N23" s="9"/>
      <c r="O23" s="9"/>
      <c r="P23" s="9"/>
      <c r="Q23" s="9"/>
      <c r="R23" s="9"/>
      <c r="S23" s="9"/>
      <c r="T23" s="9"/>
      <c r="U23" s="9"/>
      <c r="V23" s="9"/>
      <c r="W23" s="9"/>
    </row>
    <row r="24" spans="1:23" x14ac:dyDescent="0.2">
      <c r="F24" s="9"/>
      <c r="G24" s="9"/>
      <c r="H24" s="9"/>
      <c r="I24" s="9"/>
      <c r="J24" s="9"/>
      <c r="K24" s="9"/>
      <c r="L24" s="9"/>
      <c r="M24" s="9"/>
      <c r="N24" s="9"/>
      <c r="O24" s="9"/>
      <c r="P24" s="9"/>
      <c r="Q24" s="9"/>
      <c r="R24" s="9"/>
      <c r="S24" s="9"/>
      <c r="T24" s="9"/>
      <c r="U24" s="9"/>
      <c r="V24" s="9"/>
      <c r="W24" s="9"/>
    </row>
    <row r="25" spans="1:23" x14ac:dyDescent="0.2">
      <c r="F25" s="9"/>
      <c r="G25" s="9"/>
      <c r="H25" s="9"/>
      <c r="I25" s="9"/>
      <c r="J25" s="9"/>
      <c r="K25" s="9"/>
      <c r="L25" s="9"/>
      <c r="M25" s="9"/>
      <c r="N25" s="9"/>
      <c r="O25" s="9"/>
      <c r="P25" s="9"/>
      <c r="Q25" s="9"/>
      <c r="R25" s="9"/>
      <c r="S25" s="9"/>
      <c r="T25" s="9"/>
      <c r="U25" s="9"/>
      <c r="V25" s="9"/>
      <c r="W25" s="9"/>
    </row>
    <row r="26" spans="1:23" ht="18" x14ac:dyDescent="0.25">
      <c r="A26" s="35" t="s">
        <v>329</v>
      </c>
      <c r="F26" s="9"/>
      <c r="G26" s="9"/>
      <c r="H26" s="9"/>
      <c r="I26" s="9"/>
      <c r="J26" s="9"/>
      <c r="K26" s="9"/>
      <c r="L26" s="9"/>
      <c r="M26" s="9"/>
      <c r="N26" s="9"/>
      <c r="O26" s="9"/>
      <c r="P26" s="9"/>
      <c r="Q26" s="9"/>
      <c r="R26" s="9"/>
      <c r="S26" s="9"/>
      <c r="T26" s="9"/>
      <c r="U26" s="9"/>
      <c r="V26" s="9"/>
      <c r="W26" s="9"/>
    </row>
    <row r="27" spans="1:23" ht="16.5" thickBot="1" x14ac:dyDescent="0.3">
      <c r="B27" s="13"/>
      <c r="C27" s="16" t="s">
        <v>3</v>
      </c>
      <c r="F27" s="9"/>
      <c r="G27" s="9"/>
      <c r="H27" s="9"/>
      <c r="I27" s="9"/>
      <c r="J27" s="9"/>
      <c r="K27" s="9"/>
      <c r="L27" s="9"/>
      <c r="M27" s="9"/>
      <c r="N27" s="9"/>
      <c r="O27" s="9"/>
      <c r="P27" s="9"/>
      <c r="Q27" s="9"/>
      <c r="R27" s="9"/>
      <c r="S27" s="9"/>
      <c r="T27" s="9"/>
      <c r="U27" s="9"/>
      <c r="V27" s="9"/>
      <c r="W27" s="9"/>
    </row>
    <row r="28" spans="1:23" ht="15.75" x14ac:dyDescent="0.25">
      <c r="B28" s="15" t="s">
        <v>1</v>
      </c>
      <c r="C28" s="122">
        <v>310.58288435840632</v>
      </c>
      <c r="D28" s="7" t="s">
        <v>17</v>
      </c>
      <c r="F28" s="9"/>
      <c r="G28" s="9"/>
      <c r="H28" s="9"/>
      <c r="I28" s="9"/>
      <c r="J28" s="9"/>
      <c r="K28" s="9"/>
      <c r="L28" s="9"/>
      <c r="M28" s="9"/>
      <c r="N28" s="9"/>
      <c r="O28" s="9"/>
      <c r="P28" s="9"/>
      <c r="Q28" s="9"/>
      <c r="R28" s="9"/>
      <c r="S28" s="9"/>
      <c r="T28" s="9"/>
      <c r="U28" s="9"/>
      <c r="V28" s="9"/>
      <c r="W28" s="9"/>
    </row>
    <row r="29" spans="1:23" ht="15.75" x14ac:dyDescent="0.25">
      <c r="B29" s="15" t="s">
        <v>43</v>
      </c>
      <c r="C29" s="123">
        <v>15</v>
      </c>
      <c r="D29" s="7" t="s">
        <v>15</v>
      </c>
      <c r="F29" s="9"/>
      <c r="G29" s="9"/>
      <c r="H29" s="9"/>
      <c r="I29" s="9"/>
      <c r="J29" s="9"/>
      <c r="K29" s="9"/>
      <c r="L29" s="9"/>
      <c r="M29" s="9"/>
      <c r="N29" s="9"/>
      <c r="O29" s="9"/>
      <c r="P29" s="9"/>
      <c r="Q29" s="9"/>
      <c r="R29" s="9"/>
      <c r="S29" s="9"/>
      <c r="T29" s="9"/>
      <c r="U29" s="9"/>
      <c r="V29" s="9"/>
      <c r="W29" s="9"/>
    </row>
    <row r="30" spans="1:23" ht="16.5" thickBot="1" x14ac:dyDescent="0.3">
      <c r="B30" s="15" t="s">
        <v>328</v>
      </c>
      <c r="C30" s="124">
        <v>1</v>
      </c>
      <c r="D30" s="7" t="s">
        <v>100</v>
      </c>
      <c r="F30" s="9"/>
      <c r="G30" s="9"/>
      <c r="H30" s="9"/>
      <c r="I30" s="9"/>
      <c r="J30" s="9"/>
      <c r="K30" s="9"/>
      <c r="L30" s="9"/>
      <c r="M30" s="9"/>
      <c r="N30" s="9"/>
      <c r="O30" s="9"/>
      <c r="P30" s="9"/>
      <c r="Q30" s="9"/>
      <c r="R30" s="9"/>
      <c r="S30" s="9"/>
      <c r="T30" s="9"/>
      <c r="U30" s="9"/>
      <c r="V30" s="9"/>
      <c r="W30" s="9"/>
    </row>
    <row r="31" spans="1:23" ht="15.75" x14ac:dyDescent="0.25">
      <c r="B31" s="13"/>
      <c r="C31" s="16" t="s">
        <v>4</v>
      </c>
      <c r="F31" s="9"/>
      <c r="G31" s="9"/>
      <c r="H31" s="9"/>
      <c r="I31" s="9"/>
      <c r="J31" s="9"/>
      <c r="K31" s="9"/>
      <c r="L31" s="9"/>
      <c r="M31" s="9"/>
      <c r="N31" s="9"/>
      <c r="O31" s="9"/>
      <c r="P31" s="9"/>
      <c r="Q31" s="9"/>
      <c r="R31" s="9"/>
      <c r="S31" s="9"/>
      <c r="T31" s="9"/>
      <c r="U31" s="9"/>
      <c r="V31" s="9"/>
      <c r="W31" s="9"/>
    </row>
    <row r="32" spans="1:23" x14ac:dyDescent="0.2">
      <c r="B32" s="13" t="s">
        <v>92</v>
      </c>
      <c r="C32" s="7" t="s">
        <v>93</v>
      </c>
      <c r="F32" s="9"/>
      <c r="G32" s="9"/>
      <c r="H32" s="9"/>
      <c r="I32" s="9"/>
      <c r="J32" s="9"/>
      <c r="K32" s="9"/>
      <c r="L32" s="9"/>
      <c r="M32" s="9"/>
      <c r="N32" s="9"/>
      <c r="O32" s="9"/>
      <c r="P32" s="9"/>
      <c r="Q32" s="9"/>
      <c r="R32" s="9"/>
      <c r="S32" s="9"/>
      <c r="T32" s="9"/>
      <c r="U32" s="9"/>
      <c r="V32" s="9"/>
      <c r="W32" s="9"/>
    </row>
    <row r="33" spans="2:23" x14ac:dyDescent="0.2">
      <c r="B33" s="13" t="s">
        <v>94</v>
      </c>
      <c r="C33" s="25">
        <f>C28 / 60</f>
        <v>5.176381405973439</v>
      </c>
      <c r="D33" s="7" t="s">
        <v>95</v>
      </c>
      <c r="F33" s="9"/>
      <c r="G33" s="9"/>
      <c r="H33" s="9"/>
      <c r="I33" s="9"/>
      <c r="J33" s="9"/>
      <c r="K33" s="9"/>
      <c r="L33" s="9"/>
      <c r="M33" s="9"/>
      <c r="N33" s="9"/>
      <c r="O33" s="9"/>
      <c r="P33" s="9"/>
      <c r="Q33" s="9"/>
      <c r="R33" s="9"/>
      <c r="S33" s="9"/>
      <c r="T33" s="9"/>
      <c r="U33" s="9"/>
      <c r="V33" s="9"/>
      <c r="W33" s="9"/>
    </row>
    <row r="34" spans="2:23" x14ac:dyDescent="0.2">
      <c r="B34" s="13" t="s">
        <v>96</v>
      </c>
      <c r="C34" s="14">
        <v>32.200000000000003</v>
      </c>
      <c r="D34" s="7" t="s">
        <v>97</v>
      </c>
      <c r="F34" s="9"/>
      <c r="G34" s="9"/>
      <c r="H34" s="9"/>
      <c r="I34" s="9"/>
      <c r="J34" s="9"/>
      <c r="K34" s="9"/>
      <c r="L34" s="9"/>
      <c r="M34" s="9"/>
      <c r="N34" s="9"/>
      <c r="O34" s="9"/>
      <c r="P34" s="9"/>
      <c r="Q34" s="9"/>
      <c r="R34" s="9"/>
      <c r="S34" s="9"/>
      <c r="T34" s="9"/>
      <c r="U34" s="9"/>
      <c r="V34" s="9"/>
      <c r="W34" s="9"/>
    </row>
    <row r="35" spans="2:23" ht="15.75" thickBot="1" x14ac:dyDescent="0.25">
      <c r="B35" s="13" t="s">
        <v>189</v>
      </c>
      <c r="C35" s="14" t="s">
        <v>98</v>
      </c>
      <c r="F35" s="9"/>
      <c r="G35" s="9"/>
      <c r="H35" s="9"/>
      <c r="I35" s="9"/>
      <c r="J35" s="9"/>
      <c r="K35" s="9"/>
      <c r="L35" s="9"/>
      <c r="M35" s="9"/>
      <c r="N35" s="9"/>
      <c r="O35" s="9"/>
      <c r="P35" s="9"/>
      <c r="Q35" s="9"/>
      <c r="R35" s="9"/>
      <c r="S35" s="9"/>
      <c r="T35" s="9"/>
      <c r="U35" s="9"/>
      <c r="V35" s="9"/>
      <c r="W35" s="9"/>
    </row>
    <row r="36" spans="2:23" ht="16.5" thickBot="1" x14ac:dyDescent="0.3">
      <c r="B36" s="15" t="s">
        <v>190</v>
      </c>
      <c r="C36" s="166">
        <f xml:space="preserve"> C33 * C30* COS(C29/57.2957)</f>
        <v>4.9999999999999991</v>
      </c>
      <c r="D36" s="8" t="s">
        <v>33</v>
      </c>
      <c r="F36" s="9"/>
      <c r="G36" s="9"/>
      <c r="H36" s="9"/>
      <c r="I36" s="9"/>
      <c r="J36" s="9"/>
      <c r="K36" s="9"/>
      <c r="L36" s="9"/>
      <c r="M36" s="9"/>
      <c r="N36" s="9"/>
      <c r="O36" s="9"/>
      <c r="P36" s="9"/>
      <c r="Q36" s="9"/>
      <c r="R36" s="9"/>
      <c r="S36" s="9"/>
      <c r="T36" s="9"/>
      <c r="U36" s="9"/>
      <c r="V36" s="9"/>
      <c r="W36" s="9"/>
    </row>
    <row r="37" spans="2:23" ht="15.75" thickBot="1" x14ac:dyDescent="0.25">
      <c r="B37" s="13" t="s">
        <v>191</v>
      </c>
      <c r="C37" s="14" t="s">
        <v>99</v>
      </c>
      <c r="F37" s="9"/>
      <c r="G37" s="9"/>
      <c r="H37" s="9"/>
      <c r="I37" s="9"/>
      <c r="J37" s="9"/>
      <c r="K37" s="9"/>
      <c r="L37" s="9"/>
      <c r="M37" s="9"/>
      <c r="N37" s="9"/>
      <c r="O37" s="9"/>
      <c r="P37" s="9"/>
      <c r="Q37" s="9"/>
      <c r="R37" s="9"/>
      <c r="S37" s="9"/>
      <c r="T37" s="9"/>
      <c r="U37" s="9"/>
      <c r="V37" s="9"/>
      <c r="W37" s="9"/>
    </row>
    <row r="38" spans="2:23" ht="16.5" thickBot="1" x14ac:dyDescent="0.3">
      <c r="B38" s="15" t="s">
        <v>192</v>
      </c>
      <c r="C38" s="166">
        <f xml:space="preserve"> (C33 * C30 * SIN(C29/57.2957)) - (C34 * C30^2 / 2)</f>
        <v>-14.760252090836655</v>
      </c>
      <c r="D38" s="8" t="s">
        <v>33</v>
      </c>
      <c r="F38" s="9"/>
      <c r="G38" s="9"/>
      <c r="H38" s="9"/>
      <c r="I38" s="9"/>
      <c r="J38" s="9"/>
      <c r="K38" s="9"/>
      <c r="L38" s="9"/>
      <c r="M38" s="9"/>
      <c r="N38" s="9"/>
      <c r="O38" s="9"/>
      <c r="P38" s="9"/>
      <c r="Q38" s="9"/>
      <c r="R38" s="9"/>
      <c r="S38" s="9"/>
      <c r="T38" s="9"/>
      <c r="U38" s="9"/>
      <c r="V38" s="9"/>
      <c r="W38" s="9"/>
    </row>
    <row r="39" spans="2:23" x14ac:dyDescent="0.2">
      <c r="F39" s="9"/>
      <c r="G39" s="9"/>
      <c r="H39" s="9"/>
      <c r="I39" s="9"/>
      <c r="J39" s="9"/>
      <c r="K39" s="9"/>
      <c r="L39" s="9"/>
      <c r="M39" s="9"/>
      <c r="N39" s="9"/>
      <c r="O39" s="9"/>
      <c r="P39" s="9"/>
      <c r="Q39" s="9"/>
      <c r="R39" s="9"/>
      <c r="S39" s="9"/>
      <c r="T39" s="9"/>
      <c r="U39" s="9"/>
      <c r="V39" s="9"/>
      <c r="W39" s="9"/>
    </row>
    <row r="40" spans="2:23" x14ac:dyDescent="0.2">
      <c r="F40" s="9"/>
      <c r="G40" s="9"/>
      <c r="H40" s="9"/>
      <c r="I40" s="9"/>
      <c r="J40" s="9"/>
      <c r="K40" s="9"/>
      <c r="L40" s="9"/>
      <c r="M40" s="9"/>
      <c r="N40" s="9"/>
      <c r="O40" s="9"/>
      <c r="P40" s="9"/>
      <c r="Q40" s="9"/>
      <c r="R40" s="9"/>
      <c r="S40" s="9"/>
      <c r="T40" s="9"/>
      <c r="U40" s="9"/>
      <c r="V40" s="9"/>
      <c r="W40" s="9"/>
    </row>
    <row r="41" spans="2:23" x14ac:dyDescent="0.2">
      <c r="F41" s="9"/>
      <c r="G41" s="9"/>
      <c r="H41" s="9"/>
      <c r="I41" s="9"/>
      <c r="J41" s="9"/>
      <c r="K41" s="9"/>
      <c r="L41" s="9"/>
      <c r="M41" s="9"/>
      <c r="N41" s="9"/>
      <c r="O41" s="9"/>
      <c r="P41" s="9"/>
      <c r="Q41" s="9"/>
      <c r="R41" s="9"/>
      <c r="S41" s="9"/>
      <c r="T41" s="9"/>
      <c r="U41" s="9"/>
      <c r="V41" s="9"/>
      <c r="W41" s="9"/>
    </row>
    <row r="42" spans="2:23" ht="15.75" x14ac:dyDescent="0.25">
      <c r="F42" s="9"/>
      <c r="G42" s="9"/>
      <c r="H42" s="125"/>
      <c r="I42" s="125"/>
      <c r="J42" s="125"/>
      <c r="K42" s="9"/>
      <c r="L42" s="9"/>
      <c r="M42" s="9"/>
      <c r="N42" s="9"/>
      <c r="O42" s="9"/>
      <c r="P42" s="9"/>
      <c r="Q42" s="9"/>
      <c r="R42" s="9"/>
      <c r="S42" s="9"/>
      <c r="T42" s="9"/>
      <c r="U42" s="9"/>
      <c r="V42" s="9"/>
      <c r="W42" s="9"/>
    </row>
    <row r="43" spans="2:23" ht="15.75" x14ac:dyDescent="0.25">
      <c r="F43" s="9"/>
      <c r="G43" s="9"/>
      <c r="H43" s="125"/>
      <c r="I43" s="125"/>
      <c r="J43" s="125"/>
      <c r="K43" s="9"/>
      <c r="L43" s="9"/>
      <c r="M43" s="9"/>
      <c r="N43" s="9"/>
      <c r="O43" s="9"/>
      <c r="P43" s="9"/>
      <c r="Q43" s="9"/>
      <c r="R43" s="9"/>
      <c r="S43" s="9"/>
      <c r="T43" s="9"/>
      <c r="U43" s="9"/>
      <c r="V43" s="9"/>
      <c r="W43" s="9"/>
    </row>
    <row r="44" spans="2:23" x14ac:dyDescent="0.2">
      <c r="B44" s="14"/>
      <c r="F44" s="9"/>
      <c r="G44" s="9"/>
      <c r="H44" s="126"/>
      <c r="I44" s="126"/>
      <c r="J44" s="126"/>
      <c r="K44" s="9"/>
      <c r="L44" s="9"/>
      <c r="M44" s="9"/>
      <c r="N44" s="9"/>
      <c r="O44" s="9"/>
      <c r="P44" s="9"/>
      <c r="Q44" s="9"/>
      <c r="R44" s="9"/>
      <c r="S44" s="9"/>
      <c r="T44" s="9"/>
      <c r="U44" s="9"/>
      <c r="V44" s="9"/>
      <c r="W44" s="9"/>
    </row>
    <row r="45" spans="2:23" x14ac:dyDescent="0.2">
      <c r="B45" s="14"/>
      <c r="F45" s="9"/>
      <c r="G45" s="9"/>
      <c r="H45" s="126"/>
      <c r="I45" s="126"/>
      <c r="J45" s="126"/>
      <c r="K45" s="9"/>
      <c r="L45" s="9"/>
      <c r="M45" s="9"/>
      <c r="N45" s="9"/>
      <c r="O45" s="9"/>
      <c r="P45" s="9"/>
      <c r="Q45" s="9"/>
      <c r="R45" s="9"/>
      <c r="S45" s="9"/>
      <c r="T45" s="9"/>
      <c r="U45" s="9"/>
      <c r="V45" s="9"/>
      <c r="W45" s="9"/>
    </row>
    <row r="46" spans="2:23" x14ac:dyDescent="0.2">
      <c r="B46" s="14"/>
      <c r="F46" s="9"/>
      <c r="G46" s="9"/>
      <c r="H46" s="126"/>
      <c r="I46" s="126"/>
      <c r="J46" s="126"/>
      <c r="K46" s="9"/>
      <c r="L46" s="9"/>
      <c r="M46" s="9"/>
      <c r="N46" s="9"/>
      <c r="O46" s="9"/>
      <c r="P46" s="9"/>
      <c r="Q46" s="9"/>
      <c r="R46" s="9"/>
      <c r="S46" s="9"/>
      <c r="T46" s="9"/>
      <c r="U46" s="9"/>
      <c r="V46" s="9"/>
      <c r="W46" s="9"/>
    </row>
    <row r="47" spans="2:23" x14ac:dyDescent="0.2">
      <c r="B47" s="14"/>
      <c r="F47" s="9"/>
      <c r="G47" s="9"/>
      <c r="H47" s="126"/>
      <c r="I47" s="126"/>
      <c r="J47" s="126"/>
      <c r="K47" s="9"/>
      <c r="L47" s="9"/>
      <c r="M47" s="9"/>
      <c r="N47" s="9"/>
      <c r="O47" s="9"/>
      <c r="P47" s="9"/>
      <c r="Q47" s="9"/>
      <c r="R47" s="9"/>
      <c r="S47" s="9"/>
      <c r="T47" s="9"/>
      <c r="U47" s="9"/>
      <c r="V47" s="9"/>
      <c r="W47" s="9"/>
    </row>
    <row r="48" spans="2:23" x14ac:dyDescent="0.2">
      <c r="B48" s="14"/>
      <c r="F48" s="9"/>
      <c r="G48" s="9"/>
      <c r="H48" s="126"/>
      <c r="I48" s="126"/>
      <c r="J48" s="126"/>
      <c r="K48" s="9"/>
      <c r="L48" s="9"/>
      <c r="M48" s="9"/>
      <c r="N48" s="9"/>
      <c r="O48" s="9"/>
      <c r="P48" s="9"/>
      <c r="Q48" s="9"/>
      <c r="R48" s="9"/>
      <c r="S48" s="9"/>
      <c r="T48" s="9"/>
      <c r="U48" s="9"/>
      <c r="V48" s="9"/>
      <c r="W48" s="9"/>
    </row>
    <row r="49" spans="1:23" x14ac:dyDescent="0.2">
      <c r="F49" s="9"/>
      <c r="G49" s="9"/>
      <c r="H49" s="126"/>
      <c r="I49" s="126"/>
      <c r="J49" s="126"/>
      <c r="K49" s="9"/>
      <c r="L49" s="9"/>
      <c r="M49" s="9"/>
      <c r="N49" s="9"/>
      <c r="O49" s="9"/>
      <c r="P49" s="9"/>
      <c r="Q49" s="9"/>
      <c r="R49" s="9"/>
      <c r="S49" s="9"/>
      <c r="T49" s="9"/>
      <c r="U49" s="9"/>
      <c r="V49" s="9"/>
      <c r="W49" s="9"/>
    </row>
    <row r="50" spans="1:23" x14ac:dyDescent="0.2">
      <c r="F50" s="9"/>
      <c r="G50" s="9"/>
      <c r="H50" s="126"/>
      <c r="I50" s="126"/>
      <c r="J50" s="126"/>
      <c r="K50" s="9"/>
      <c r="L50" s="9"/>
      <c r="M50" s="9"/>
      <c r="N50" s="9"/>
      <c r="O50" s="9"/>
      <c r="P50" s="9"/>
      <c r="Q50" s="9"/>
      <c r="R50" s="9"/>
      <c r="S50" s="9"/>
      <c r="T50" s="9"/>
      <c r="U50" s="9"/>
      <c r="V50" s="9"/>
      <c r="W50" s="9"/>
    </row>
    <row r="51" spans="1:23" x14ac:dyDescent="0.2">
      <c r="F51" s="9"/>
      <c r="G51" s="9"/>
      <c r="H51" s="126"/>
      <c r="I51" s="126"/>
      <c r="J51" s="126"/>
      <c r="K51" s="9"/>
      <c r="L51" s="9"/>
      <c r="M51" s="9"/>
      <c r="N51" s="9"/>
      <c r="O51" s="9"/>
      <c r="P51" s="9"/>
      <c r="Q51" s="9"/>
      <c r="R51" s="9"/>
      <c r="S51" s="9"/>
      <c r="T51" s="9"/>
      <c r="U51" s="9"/>
      <c r="V51" s="9"/>
      <c r="W51" s="9"/>
    </row>
    <row r="52" spans="1:23" x14ac:dyDescent="0.2">
      <c r="F52" s="9"/>
      <c r="G52" s="9"/>
      <c r="H52" s="126"/>
      <c r="I52" s="126"/>
      <c r="J52" s="126"/>
      <c r="K52" s="9"/>
      <c r="L52" s="9"/>
      <c r="M52" s="9"/>
      <c r="N52" s="9"/>
      <c r="O52" s="9"/>
      <c r="P52" s="9"/>
      <c r="Q52" s="9"/>
      <c r="R52" s="9"/>
      <c r="S52" s="9"/>
      <c r="T52" s="9"/>
      <c r="U52" s="9"/>
      <c r="V52" s="9"/>
      <c r="W52" s="9"/>
    </row>
    <row r="53" spans="1:23" x14ac:dyDescent="0.2">
      <c r="F53" s="9"/>
      <c r="G53" s="9"/>
      <c r="H53" s="126"/>
      <c r="I53" s="126"/>
      <c r="J53" s="126"/>
      <c r="K53" s="9"/>
      <c r="L53" s="9"/>
      <c r="M53" s="9"/>
      <c r="N53" s="9"/>
      <c r="O53" s="9"/>
      <c r="P53" s="9"/>
      <c r="Q53" s="9"/>
      <c r="R53" s="9"/>
      <c r="S53" s="9"/>
      <c r="T53" s="9"/>
      <c r="U53" s="9"/>
      <c r="V53" s="9"/>
      <c r="W53" s="9"/>
    </row>
    <row r="54" spans="1:23" ht="18" x14ac:dyDescent="0.25">
      <c r="A54" s="35" t="s">
        <v>325</v>
      </c>
      <c r="F54" s="9"/>
      <c r="G54" s="9"/>
      <c r="H54" s="126"/>
      <c r="I54" s="126"/>
      <c r="J54" s="126"/>
      <c r="K54" s="9"/>
      <c r="L54" s="9"/>
      <c r="M54" s="9"/>
      <c r="N54" s="9"/>
      <c r="O54" s="9"/>
      <c r="P54" s="9"/>
      <c r="Q54" s="9"/>
      <c r="R54" s="9"/>
      <c r="S54" s="9"/>
      <c r="T54" s="9"/>
      <c r="U54" s="9"/>
      <c r="V54" s="9"/>
      <c r="W54" s="9"/>
    </row>
    <row r="55" spans="1:23" ht="15.75" x14ac:dyDescent="0.25">
      <c r="A55" s="7"/>
      <c r="F55" s="127"/>
      <c r="G55" s="9"/>
      <c r="H55" s="9"/>
      <c r="I55" s="9"/>
      <c r="J55" s="9"/>
      <c r="K55" s="9"/>
      <c r="L55" s="9"/>
      <c r="M55" s="9"/>
      <c r="N55" s="9"/>
      <c r="O55" s="9"/>
      <c r="P55" s="9"/>
      <c r="Q55" s="9"/>
      <c r="R55" s="9"/>
      <c r="S55" s="9"/>
      <c r="T55" s="9"/>
      <c r="U55" s="9"/>
      <c r="V55" s="9"/>
      <c r="W55" s="9"/>
    </row>
    <row r="56" spans="1:23" x14ac:dyDescent="0.2">
      <c r="F56" s="9"/>
      <c r="G56" s="9"/>
      <c r="H56" s="9"/>
      <c r="I56" s="9"/>
      <c r="J56" s="9"/>
      <c r="K56" s="9"/>
      <c r="L56" s="9"/>
      <c r="M56" s="9"/>
      <c r="N56" s="9"/>
      <c r="O56" s="9"/>
      <c r="P56" s="9"/>
      <c r="Q56" s="9"/>
      <c r="R56" s="9"/>
      <c r="S56" s="9"/>
      <c r="T56" s="9"/>
      <c r="U56" s="9"/>
      <c r="V56" s="9"/>
      <c r="W56" s="9"/>
    </row>
    <row r="57" spans="1:23" ht="15.75" x14ac:dyDescent="0.25">
      <c r="A57" s="50"/>
      <c r="F57" s="9"/>
      <c r="G57" s="9"/>
      <c r="H57" s="9"/>
      <c r="I57" s="9"/>
      <c r="J57" s="9"/>
      <c r="K57" s="9"/>
      <c r="L57" s="9"/>
      <c r="M57" s="9"/>
      <c r="N57" s="9"/>
      <c r="O57" s="9"/>
      <c r="P57" s="9"/>
      <c r="Q57" s="9"/>
      <c r="R57" s="9"/>
      <c r="S57" s="9"/>
      <c r="T57" s="9"/>
      <c r="U57" s="9"/>
      <c r="V57" s="9"/>
      <c r="W57" s="9"/>
    </row>
    <row r="58" spans="1:23" x14ac:dyDescent="0.2">
      <c r="F58" s="9"/>
      <c r="G58" s="9"/>
      <c r="H58" s="9"/>
      <c r="I58" s="9"/>
      <c r="J58" s="9"/>
      <c r="K58" s="9"/>
      <c r="L58" s="9"/>
      <c r="M58" s="9"/>
      <c r="N58" s="9"/>
      <c r="O58" s="9"/>
      <c r="P58" s="9"/>
      <c r="Q58" s="9"/>
      <c r="R58" s="9"/>
      <c r="S58" s="9"/>
      <c r="T58" s="9"/>
      <c r="U58" s="9"/>
      <c r="V58" s="9"/>
      <c r="W58" s="9"/>
    </row>
    <row r="59" spans="1:23" x14ac:dyDescent="0.2">
      <c r="A59" s="53"/>
      <c r="B59" s="27"/>
      <c r="F59" s="9"/>
      <c r="G59" s="9"/>
      <c r="H59" s="9"/>
      <c r="I59" s="9"/>
      <c r="J59" s="9"/>
      <c r="K59" s="9"/>
      <c r="L59" s="9"/>
      <c r="M59" s="9"/>
      <c r="N59" s="9"/>
      <c r="O59" s="9"/>
      <c r="P59" s="9"/>
      <c r="Q59" s="9"/>
      <c r="R59" s="9"/>
      <c r="S59" s="9"/>
      <c r="T59" s="9"/>
      <c r="U59" s="9"/>
      <c r="V59" s="9"/>
      <c r="W59" s="9"/>
    </row>
    <row r="60" spans="1:23" x14ac:dyDescent="0.2">
      <c r="A60" s="53"/>
      <c r="B60" s="27"/>
      <c r="F60" s="9"/>
      <c r="G60" s="9"/>
      <c r="H60" s="9"/>
      <c r="I60" s="9"/>
      <c r="J60" s="9"/>
      <c r="K60" s="9"/>
      <c r="L60" s="9"/>
      <c r="M60" s="9"/>
      <c r="N60" s="9"/>
      <c r="O60" s="9"/>
      <c r="P60" s="9"/>
      <c r="Q60" s="9"/>
      <c r="R60" s="9"/>
      <c r="S60" s="9"/>
      <c r="T60" s="9"/>
      <c r="U60" s="9"/>
      <c r="V60" s="9"/>
      <c r="W60" s="9"/>
    </row>
    <row r="61" spans="1:23" x14ac:dyDescent="0.2">
      <c r="A61" s="53"/>
      <c r="B61" s="14"/>
      <c r="F61" s="9"/>
      <c r="G61" s="9"/>
      <c r="H61" s="9"/>
      <c r="I61" s="9"/>
      <c r="J61" s="9"/>
      <c r="K61" s="9"/>
      <c r="L61" s="9"/>
      <c r="M61" s="9"/>
      <c r="N61" s="9"/>
      <c r="O61" s="9"/>
      <c r="P61" s="9"/>
      <c r="Q61" s="9"/>
      <c r="R61" s="9"/>
      <c r="S61" s="9"/>
      <c r="T61" s="9"/>
      <c r="U61" s="9"/>
      <c r="V61" s="9"/>
      <c r="W61" s="9"/>
    </row>
    <row r="62" spans="1:23" x14ac:dyDescent="0.2">
      <c r="A62" s="53"/>
      <c r="F62" s="9"/>
      <c r="G62" s="9"/>
      <c r="H62" s="9"/>
      <c r="I62" s="9"/>
      <c r="J62" s="9"/>
      <c r="K62" s="9"/>
      <c r="L62" s="9"/>
      <c r="M62" s="9"/>
      <c r="N62" s="9"/>
      <c r="O62" s="9"/>
      <c r="P62" s="9"/>
      <c r="Q62" s="9"/>
      <c r="R62" s="9"/>
      <c r="S62" s="9"/>
      <c r="T62" s="9"/>
      <c r="U62" s="9"/>
      <c r="V62" s="9"/>
      <c r="W62" s="9"/>
    </row>
    <row r="63" spans="1:23" x14ac:dyDescent="0.2">
      <c r="A63" s="53"/>
      <c r="F63" s="9"/>
      <c r="G63" s="9"/>
      <c r="H63" s="9"/>
      <c r="I63" s="9"/>
      <c r="J63" s="9"/>
      <c r="K63" s="9"/>
      <c r="L63" s="9"/>
      <c r="M63" s="9"/>
      <c r="N63" s="9"/>
      <c r="O63" s="9"/>
      <c r="P63" s="9"/>
      <c r="Q63" s="9"/>
      <c r="R63" s="9"/>
      <c r="S63" s="9"/>
      <c r="T63" s="9"/>
      <c r="U63" s="9"/>
      <c r="V63" s="9"/>
      <c r="W63" s="9"/>
    </row>
    <row r="64" spans="1:23" x14ac:dyDescent="0.2">
      <c r="F64" s="9"/>
      <c r="G64" s="9"/>
      <c r="H64" s="9"/>
      <c r="I64" s="9"/>
      <c r="J64" s="9"/>
      <c r="K64" s="9"/>
      <c r="L64" s="9"/>
      <c r="M64" s="9"/>
      <c r="N64" s="9"/>
      <c r="O64" s="9"/>
      <c r="P64" s="9"/>
      <c r="Q64" s="9"/>
      <c r="R64" s="9"/>
      <c r="S64" s="9"/>
      <c r="T64" s="9"/>
      <c r="U64" s="9"/>
      <c r="V64" s="9"/>
      <c r="W64" s="9"/>
    </row>
    <row r="65" spans="1:23" x14ac:dyDescent="0.2">
      <c r="F65" s="9"/>
      <c r="G65" s="9"/>
      <c r="H65" s="9"/>
      <c r="I65" s="9"/>
      <c r="J65" s="9"/>
      <c r="K65" s="9"/>
      <c r="L65" s="9"/>
      <c r="M65" s="9"/>
      <c r="N65" s="9"/>
      <c r="O65" s="9"/>
      <c r="P65" s="9"/>
      <c r="Q65" s="9"/>
      <c r="R65" s="9"/>
      <c r="S65" s="9"/>
      <c r="T65" s="9"/>
      <c r="U65" s="9"/>
      <c r="V65" s="9"/>
      <c r="W65" s="9"/>
    </row>
    <row r="66" spans="1:23" ht="15.75" x14ac:dyDescent="0.25">
      <c r="A66" s="50" t="s">
        <v>161</v>
      </c>
      <c r="F66" s="9"/>
      <c r="G66" s="9"/>
      <c r="H66" s="9"/>
      <c r="I66" s="9"/>
      <c r="J66" s="9"/>
      <c r="K66" s="9"/>
      <c r="L66" s="9"/>
      <c r="M66" s="9"/>
      <c r="N66" s="9"/>
      <c r="O66" s="9"/>
      <c r="P66" s="9"/>
      <c r="Q66" s="9"/>
      <c r="R66" s="9"/>
      <c r="S66" s="9"/>
      <c r="T66" s="9"/>
      <c r="U66" s="9"/>
      <c r="V66" s="9"/>
      <c r="W66" s="9"/>
    </row>
    <row r="67" spans="1:23" x14ac:dyDescent="0.2">
      <c r="A67" s="14"/>
      <c r="F67" s="9"/>
      <c r="G67" s="9"/>
      <c r="H67" s="9"/>
      <c r="I67" s="9"/>
      <c r="J67" s="9"/>
      <c r="K67" s="9"/>
      <c r="L67" s="9"/>
      <c r="M67" s="9"/>
      <c r="N67" s="9"/>
      <c r="O67" s="9"/>
      <c r="P67" s="9"/>
      <c r="Q67" s="9"/>
      <c r="R67" s="9"/>
      <c r="S67" s="9"/>
      <c r="T67" s="9"/>
      <c r="U67" s="9"/>
      <c r="V67" s="9"/>
      <c r="W67" s="9"/>
    </row>
    <row r="68" spans="1:23" x14ac:dyDescent="0.2">
      <c r="A68" s="14"/>
      <c r="F68" s="9"/>
      <c r="G68" s="9"/>
      <c r="H68" s="9"/>
      <c r="I68" s="9"/>
      <c r="J68" s="9"/>
      <c r="K68" s="9"/>
      <c r="L68" s="9"/>
      <c r="M68" s="9"/>
      <c r="N68" s="9"/>
      <c r="O68" s="9"/>
      <c r="P68" s="9"/>
      <c r="Q68" s="9"/>
      <c r="R68" s="9"/>
      <c r="S68" s="9"/>
      <c r="T68" s="9"/>
      <c r="U68" s="9"/>
      <c r="V68" s="9"/>
      <c r="W68" s="9"/>
    </row>
    <row r="69" spans="1:23" x14ac:dyDescent="0.2">
      <c r="F69" s="9"/>
      <c r="G69" s="9"/>
      <c r="H69" s="9"/>
      <c r="I69" s="9"/>
      <c r="J69" s="9"/>
      <c r="K69" s="9"/>
      <c r="L69" s="9"/>
      <c r="M69" s="9"/>
      <c r="N69" s="9"/>
      <c r="O69" s="9"/>
      <c r="P69" s="9"/>
      <c r="Q69" s="9"/>
      <c r="R69" s="9"/>
      <c r="S69" s="9"/>
      <c r="T69" s="9"/>
      <c r="U69" s="9"/>
      <c r="V69" s="9"/>
      <c r="W69" s="9"/>
    </row>
    <row r="70" spans="1:23" x14ac:dyDescent="0.2">
      <c r="F70" s="9"/>
      <c r="G70" s="9"/>
      <c r="H70" s="9"/>
      <c r="I70" s="9"/>
      <c r="J70" s="9"/>
      <c r="K70" s="9"/>
      <c r="L70" s="9"/>
      <c r="M70" s="9"/>
      <c r="N70" s="9"/>
      <c r="O70" s="9"/>
      <c r="P70" s="9"/>
      <c r="Q70" s="9"/>
      <c r="R70" s="9"/>
      <c r="S70" s="9"/>
      <c r="T70" s="9"/>
      <c r="U70" s="9"/>
      <c r="V70" s="9"/>
      <c r="W70" s="9"/>
    </row>
    <row r="71" spans="1:23" x14ac:dyDescent="0.2">
      <c r="F71" s="9"/>
      <c r="G71" s="9"/>
      <c r="H71" s="9"/>
      <c r="I71" s="9"/>
      <c r="J71" s="9"/>
      <c r="K71" s="9"/>
      <c r="L71" s="9"/>
      <c r="M71" s="9"/>
      <c r="N71" s="9"/>
      <c r="O71" s="9"/>
      <c r="P71" s="9"/>
      <c r="Q71" s="9"/>
      <c r="R71" s="9"/>
      <c r="S71" s="9"/>
      <c r="T71" s="9"/>
      <c r="U71" s="9"/>
      <c r="V71" s="9"/>
      <c r="W71" s="9"/>
    </row>
    <row r="72" spans="1:23" x14ac:dyDescent="0.2">
      <c r="F72" s="9"/>
      <c r="G72" s="9"/>
      <c r="H72" s="9"/>
      <c r="I72" s="9"/>
      <c r="J72" s="9"/>
      <c r="K72" s="9"/>
      <c r="L72" s="9"/>
      <c r="M72" s="9"/>
      <c r="N72" s="9"/>
      <c r="O72" s="9"/>
      <c r="P72" s="9"/>
      <c r="Q72" s="9"/>
      <c r="R72" s="9"/>
      <c r="S72" s="9"/>
      <c r="T72" s="9"/>
      <c r="U72" s="9"/>
      <c r="V72" s="9"/>
      <c r="W72" s="9"/>
    </row>
    <row r="73" spans="1:23" x14ac:dyDescent="0.2">
      <c r="F73" s="9"/>
      <c r="G73" s="9"/>
      <c r="H73" s="9"/>
      <c r="I73" s="9"/>
      <c r="J73" s="9"/>
      <c r="K73" s="9"/>
      <c r="L73" s="9"/>
      <c r="M73" s="9"/>
      <c r="N73" s="9"/>
      <c r="O73" s="9"/>
      <c r="P73" s="9"/>
      <c r="Q73" s="9"/>
      <c r="R73" s="9"/>
      <c r="S73" s="9"/>
      <c r="T73" s="9"/>
      <c r="U73" s="9"/>
      <c r="V73" s="9"/>
      <c r="W73" s="9"/>
    </row>
    <row r="74" spans="1:23" x14ac:dyDescent="0.2">
      <c r="F74" s="9"/>
      <c r="G74" s="9"/>
      <c r="H74" s="9"/>
      <c r="I74" s="9"/>
      <c r="J74" s="9"/>
      <c r="K74" s="9"/>
      <c r="L74" s="9"/>
      <c r="M74" s="9"/>
      <c r="N74" s="9"/>
      <c r="O74" s="9"/>
      <c r="P74" s="9"/>
      <c r="Q74" s="9"/>
      <c r="R74" s="9"/>
      <c r="S74" s="9"/>
      <c r="T74" s="9"/>
      <c r="U74" s="9"/>
      <c r="V74" s="9"/>
      <c r="W74" s="9"/>
    </row>
    <row r="75" spans="1:23" x14ac:dyDescent="0.2">
      <c r="F75" s="9"/>
      <c r="G75" s="9"/>
      <c r="H75" s="9"/>
      <c r="I75" s="9"/>
      <c r="J75" s="9"/>
      <c r="K75" s="9"/>
      <c r="L75" s="9"/>
      <c r="M75" s="9"/>
      <c r="N75" s="9"/>
      <c r="O75" s="9"/>
      <c r="P75" s="9"/>
      <c r="Q75" s="9"/>
      <c r="R75" s="9"/>
      <c r="S75" s="9"/>
      <c r="T75" s="9"/>
      <c r="U75" s="9"/>
      <c r="V75" s="9"/>
      <c r="W75" s="9"/>
    </row>
    <row r="76" spans="1:23" x14ac:dyDescent="0.2">
      <c r="F76" s="9"/>
      <c r="G76" s="9"/>
      <c r="H76" s="9"/>
      <c r="I76" s="9"/>
      <c r="J76" s="9"/>
      <c r="K76" s="9"/>
      <c r="L76" s="9"/>
      <c r="M76" s="9"/>
      <c r="N76" s="9"/>
      <c r="O76" s="9"/>
      <c r="P76" s="9"/>
      <c r="Q76" s="9"/>
      <c r="R76" s="9"/>
      <c r="S76" s="9"/>
      <c r="T76" s="9"/>
      <c r="U76" s="9"/>
      <c r="V76" s="9"/>
      <c r="W76" s="9"/>
    </row>
    <row r="77" spans="1:23" x14ac:dyDescent="0.2">
      <c r="F77" s="9"/>
      <c r="G77" s="9"/>
      <c r="H77" s="9"/>
      <c r="I77" s="9"/>
      <c r="J77" s="9"/>
      <c r="K77" s="9"/>
      <c r="L77" s="9"/>
      <c r="M77" s="9"/>
      <c r="N77" s="9"/>
      <c r="O77" s="9"/>
      <c r="P77" s="9"/>
      <c r="Q77" s="9"/>
      <c r="R77" s="9"/>
      <c r="S77" s="9"/>
      <c r="T77" s="9"/>
      <c r="U77" s="9"/>
      <c r="V77" s="9"/>
      <c r="W77" s="9"/>
    </row>
    <row r="78" spans="1:23" x14ac:dyDescent="0.2">
      <c r="F78" s="9"/>
      <c r="G78" s="9"/>
      <c r="H78" s="9"/>
      <c r="I78" s="9"/>
      <c r="J78" s="9"/>
      <c r="K78" s="9"/>
      <c r="L78" s="9"/>
      <c r="M78" s="9"/>
      <c r="N78" s="9"/>
      <c r="O78" s="9"/>
      <c r="P78" s="9"/>
      <c r="Q78" s="9"/>
      <c r="R78" s="9"/>
      <c r="S78" s="9"/>
      <c r="T78" s="9"/>
      <c r="U78" s="9"/>
      <c r="V78" s="9"/>
      <c r="W78" s="9"/>
    </row>
    <row r="79" spans="1:23" x14ac:dyDescent="0.2">
      <c r="F79" s="9"/>
      <c r="G79" s="9"/>
      <c r="H79" s="9"/>
      <c r="I79" s="9"/>
      <c r="J79" s="9"/>
      <c r="K79" s="9"/>
      <c r="L79" s="9"/>
      <c r="M79" s="9"/>
      <c r="N79" s="9"/>
      <c r="O79" s="9"/>
      <c r="P79" s="9"/>
      <c r="Q79" s="9"/>
      <c r="R79" s="9"/>
      <c r="S79" s="9"/>
      <c r="T79" s="9"/>
      <c r="U79" s="9"/>
      <c r="V79" s="9"/>
      <c r="W79" s="9"/>
    </row>
    <row r="80" spans="1:23" x14ac:dyDescent="0.2">
      <c r="F80" s="9"/>
      <c r="G80" s="9"/>
      <c r="H80" s="9"/>
      <c r="I80" s="9"/>
      <c r="J80" s="9"/>
      <c r="K80" s="9"/>
      <c r="L80" s="9"/>
      <c r="M80" s="9"/>
      <c r="N80" s="9"/>
      <c r="O80" s="9"/>
      <c r="P80" s="9"/>
      <c r="Q80" s="9"/>
      <c r="R80" s="9"/>
      <c r="S80" s="9"/>
      <c r="T80" s="9"/>
      <c r="U80" s="9"/>
      <c r="V80" s="9"/>
      <c r="W80" s="9"/>
    </row>
    <row r="81" spans="6:23" x14ac:dyDescent="0.2">
      <c r="F81" s="9"/>
      <c r="G81" s="9"/>
      <c r="H81" s="9"/>
      <c r="I81" s="9"/>
      <c r="J81" s="9"/>
      <c r="K81" s="9"/>
      <c r="L81" s="9"/>
      <c r="M81" s="9"/>
      <c r="N81" s="9"/>
      <c r="O81" s="9"/>
      <c r="P81" s="9"/>
      <c r="Q81" s="9"/>
      <c r="R81" s="9"/>
      <c r="S81" s="9"/>
      <c r="T81" s="9"/>
      <c r="U81" s="9"/>
      <c r="V81" s="9"/>
      <c r="W81" s="9"/>
    </row>
    <row r="82" spans="6:23" x14ac:dyDescent="0.2">
      <c r="F82" s="9"/>
      <c r="G82" s="9"/>
      <c r="H82" s="9"/>
      <c r="I82" s="9"/>
      <c r="J82" s="9"/>
      <c r="K82" s="9"/>
      <c r="L82" s="9"/>
      <c r="M82" s="9"/>
      <c r="N82" s="9"/>
      <c r="O82" s="9"/>
      <c r="P82" s="9"/>
      <c r="Q82" s="9"/>
      <c r="R82" s="9"/>
      <c r="S82" s="9"/>
      <c r="T82" s="9"/>
      <c r="U82" s="9"/>
      <c r="V82" s="9"/>
      <c r="W82" s="9"/>
    </row>
    <row r="83" spans="6:23" x14ac:dyDescent="0.2">
      <c r="F83" s="9"/>
      <c r="G83" s="9"/>
      <c r="H83" s="9"/>
      <c r="I83" s="9"/>
      <c r="J83" s="9"/>
      <c r="K83" s="9"/>
      <c r="L83" s="9"/>
      <c r="M83" s="9"/>
      <c r="N83" s="9"/>
      <c r="O83" s="9"/>
      <c r="P83" s="9"/>
      <c r="Q83" s="9"/>
      <c r="R83" s="9"/>
      <c r="S83" s="9"/>
      <c r="T83" s="9"/>
      <c r="U83" s="9"/>
      <c r="V83" s="9"/>
      <c r="W83" s="9"/>
    </row>
    <row r="84" spans="6:23" x14ac:dyDescent="0.2">
      <c r="F84" s="9"/>
      <c r="G84" s="9"/>
      <c r="H84" s="9"/>
      <c r="I84" s="9"/>
      <c r="J84" s="9"/>
      <c r="K84" s="9"/>
      <c r="L84" s="9"/>
      <c r="M84" s="9"/>
      <c r="N84" s="9"/>
      <c r="O84" s="9"/>
      <c r="P84" s="9"/>
      <c r="Q84" s="9"/>
      <c r="R84" s="9"/>
      <c r="S84" s="9"/>
      <c r="T84" s="9"/>
      <c r="U84" s="9"/>
      <c r="V84" s="9"/>
      <c r="W84" s="9"/>
    </row>
    <row r="85" spans="6:23" x14ac:dyDescent="0.2">
      <c r="F85" s="9"/>
      <c r="G85" s="9"/>
      <c r="H85" s="9"/>
      <c r="I85" s="9"/>
      <c r="J85" s="9"/>
      <c r="K85" s="9"/>
      <c r="L85" s="9"/>
      <c r="M85" s="9"/>
      <c r="N85" s="9"/>
      <c r="O85" s="9"/>
      <c r="P85" s="9"/>
      <c r="Q85" s="9"/>
      <c r="R85" s="9"/>
      <c r="S85" s="9"/>
      <c r="T85" s="9"/>
      <c r="U85" s="9"/>
      <c r="V85" s="9"/>
      <c r="W85" s="9"/>
    </row>
    <row r="86" spans="6:23" x14ac:dyDescent="0.2">
      <c r="F86" s="9"/>
      <c r="G86" s="9"/>
      <c r="H86" s="9"/>
      <c r="I86" s="9"/>
      <c r="J86" s="9"/>
      <c r="K86" s="9"/>
      <c r="L86" s="9"/>
      <c r="M86" s="9"/>
      <c r="N86" s="9"/>
      <c r="O86" s="9"/>
      <c r="P86" s="9"/>
      <c r="Q86" s="9"/>
      <c r="R86" s="9"/>
      <c r="S86" s="9"/>
      <c r="T86" s="9"/>
      <c r="U86" s="9"/>
      <c r="V86" s="9"/>
      <c r="W86" s="9"/>
    </row>
    <row r="87" spans="6:23" x14ac:dyDescent="0.2">
      <c r="F87" s="9"/>
      <c r="G87" s="9"/>
      <c r="H87" s="9"/>
      <c r="I87" s="9"/>
      <c r="J87" s="9"/>
      <c r="K87" s="9"/>
      <c r="L87" s="9"/>
      <c r="M87" s="9"/>
      <c r="N87" s="9"/>
      <c r="O87" s="9"/>
      <c r="P87" s="9"/>
      <c r="Q87" s="9"/>
      <c r="R87" s="9"/>
      <c r="S87" s="9"/>
      <c r="T87" s="9"/>
      <c r="U87" s="9"/>
      <c r="V87" s="9"/>
      <c r="W87" s="9"/>
    </row>
    <row r="88" spans="6:23" x14ac:dyDescent="0.2">
      <c r="F88" s="9"/>
      <c r="G88" s="9"/>
      <c r="H88" s="9"/>
      <c r="I88" s="9"/>
      <c r="J88" s="9"/>
      <c r="K88" s="9"/>
      <c r="L88" s="9"/>
      <c r="M88" s="9"/>
      <c r="N88" s="9"/>
      <c r="O88" s="9"/>
      <c r="P88" s="9"/>
      <c r="Q88" s="9"/>
      <c r="R88" s="9"/>
      <c r="S88" s="9"/>
      <c r="T88" s="9"/>
      <c r="U88" s="9"/>
      <c r="V88" s="9"/>
      <c r="W88" s="9"/>
    </row>
    <row r="89" spans="6:23" x14ac:dyDescent="0.2">
      <c r="F89" s="9"/>
      <c r="G89" s="9"/>
      <c r="H89" s="9"/>
      <c r="I89" s="9"/>
      <c r="J89" s="9"/>
    </row>
    <row r="90" spans="6:23" x14ac:dyDescent="0.2">
      <c r="F90" s="9"/>
      <c r="G90" s="9"/>
      <c r="H90" s="9"/>
      <c r="I90" s="9"/>
      <c r="J90" s="9"/>
    </row>
    <row r="91" spans="6:23" x14ac:dyDescent="0.2">
      <c r="F91" s="9"/>
      <c r="G91" s="9"/>
      <c r="H91" s="9"/>
      <c r="I91" s="9"/>
      <c r="J91" s="9"/>
    </row>
    <row r="92" spans="6:23" x14ac:dyDescent="0.2">
      <c r="F92" s="9"/>
      <c r="G92" s="9"/>
      <c r="H92" s="9"/>
      <c r="I92" s="9"/>
      <c r="J92" s="9"/>
    </row>
    <row r="93" spans="6:23" x14ac:dyDescent="0.2">
      <c r="F93" s="9"/>
      <c r="G93" s="9"/>
      <c r="H93" s="9"/>
      <c r="I93" s="9"/>
      <c r="J93" s="9"/>
    </row>
    <row r="94" spans="6:23" x14ac:dyDescent="0.2">
      <c r="F94" s="9"/>
      <c r="G94" s="9"/>
      <c r="H94" s="9"/>
      <c r="I94" s="9"/>
      <c r="J94" s="9"/>
    </row>
    <row r="95" spans="6:23" x14ac:dyDescent="0.2">
      <c r="F95" s="9"/>
      <c r="G95" s="9"/>
      <c r="H95" s="9"/>
      <c r="I95" s="9"/>
      <c r="J95" s="9"/>
    </row>
    <row r="96" spans="6:23" x14ac:dyDescent="0.2">
      <c r="F96" s="9"/>
      <c r="G96" s="9"/>
      <c r="H96" s="9"/>
      <c r="I96" s="9"/>
      <c r="J96" s="9"/>
    </row>
    <row r="97" spans="2:10" x14ac:dyDescent="0.2">
      <c r="F97" s="9"/>
      <c r="G97" s="9"/>
      <c r="H97" s="9"/>
      <c r="I97" s="9"/>
      <c r="J97" s="9"/>
    </row>
    <row r="98" spans="2:10" x14ac:dyDescent="0.2">
      <c r="F98" s="9"/>
      <c r="G98" s="9"/>
      <c r="H98" s="9"/>
      <c r="I98" s="9"/>
      <c r="J98" s="9"/>
    </row>
    <row r="99" spans="2:10" x14ac:dyDescent="0.2">
      <c r="F99" s="9"/>
      <c r="G99" s="9"/>
      <c r="H99" s="9"/>
      <c r="I99" s="9"/>
      <c r="J99" s="9"/>
    </row>
    <row r="100" spans="2:10" x14ac:dyDescent="0.2">
      <c r="F100" s="9"/>
      <c r="G100" s="9"/>
      <c r="H100" s="9"/>
      <c r="I100" s="9"/>
      <c r="J100" s="9"/>
    </row>
    <row r="101" spans="2:10" x14ac:dyDescent="0.2">
      <c r="B101" s="7" t="s">
        <v>418</v>
      </c>
      <c r="F101" s="9"/>
      <c r="G101" s="9"/>
      <c r="H101" s="9"/>
      <c r="I101" s="9"/>
      <c r="J101" s="9"/>
    </row>
    <row r="102" spans="2:10" x14ac:dyDescent="0.2">
      <c r="F102" s="9"/>
      <c r="G102" s="9"/>
      <c r="H102" s="9"/>
      <c r="I102" s="9"/>
      <c r="J102" s="9"/>
    </row>
    <row r="103" spans="2:10" x14ac:dyDescent="0.2">
      <c r="F103" s="9"/>
      <c r="G103" s="9"/>
      <c r="H103" s="9"/>
      <c r="I103" s="9"/>
      <c r="J103" s="9"/>
    </row>
    <row r="104" spans="2:10" x14ac:dyDescent="0.2">
      <c r="F104" s="9"/>
      <c r="G104" s="9"/>
      <c r="H104" s="9"/>
      <c r="I104" s="9"/>
      <c r="J104" s="9"/>
    </row>
    <row r="105" spans="2:10" x14ac:dyDescent="0.2">
      <c r="F105" s="9"/>
      <c r="G105" s="9"/>
      <c r="H105" s="9"/>
      <c r="I105" s="9"/>
      <c r="J105" s="9"/>
    </row>
    <row r="106" spans="2:10" ht="15.75" x14ac:dyDescent="0.25">
      <c r="F106" s="127"/>
      <c r="G106" s="9"/>
      <c r="H106" s="9"/>
      <c r="I106" s="9"/>
      <c r="J106" s="9"/>
    </row>
    <row r="107" spans="2:10" x14ac:dyDescent="0.2">
      <c r="F107" s="9"/>
      <c r="G107" s="9"/>
      <c r="H107" s="9"/>
      <c r="I107" s="9"/>
      <c r="J107" s="9"/>
    </row>
    <row r="108" spans="2:10" x14ac:dyDescent="0.2">
      <c r="F108" s="9"/>
      <c r="G108" s="9"/>
      <c r="H108" s="9"/>
      <c r="I108" s="9"/>
      <c r="J108" s="9"/>
    </row>
    <row r="109" spans="2:10" x14ac:dyDescent="0.2">
      <c r="F109" s="9"/>
      <c r="G109" s="9"/>
      <c r="H109" s="9"/>
      <c r="I109" s="9"/>
      <c r="J109" s="9"/>
    </row>
    <row r="110" spans="2:10" x14ac:dyDescent="0.2">
      <c r="F110" s="9"/>
      <c r="G110" s="9"/>
      <c r="H110" s="9"/>
      <c r="I110" s="9"/>
      <c r="J110" s="9"/>
    </row>
    <row r="111" spans="2:10" x14ac:dyDescent="0.2">
      <c r="F111" s="9"/>
      <c r="G111" s="9"/>
      <c r="H111" s="9"/>
      <c r="I111" s="9"/>
      <c r="J111" s="9"/>
    </row>
    <row r="112" spans="2:10" x14ac:dyDescent="0.2">
      <c r="F112" s="9"/>
      <c r="G112" s="9"/>
      <c r="H112" s="9"/>
      <c r="I112" s="9"/>
      <c r="J112" s="9"/>
    </row>
    <row r="113" spans="6:10" x14ac:dyDescent="0.2">
      <c r="F113" s="9"/>
      <c r="G113" s="9"/>
      <c r="H113" s="9"/>
      <c r="I113" s="9"/>
      <c r="J113" s="9"/>
    </row>
    <row r="114" spans="6:10" x14ac:dyDescent="0.2">
      <c r="F114" s="9"/>
      <c r="G114" s="9"/>
      <c r="H114" s="9"/>
      <c r="I114" s="9"/>
      <c r="J114" s="9"/>
    </row>
    <row r="115" spans="6:10" x14ac:dyDescent="0.2">
      <c r="F115" s="9"/>
      <c r="G115" s="9"/>
      <c r="H115" s="9"/>
      <c r="I115" s="9"/>
      <c r="J115" s="9"/>
    </row>
    <row r="116" spans="6:10" x14ac:dyDescent="0.2">
      <c r="F116" s="9"/>
      <c r="G116" s="9"/>
      <c r="H116" s="9"/>
      <c r="I116" s="9"/>
      <c r="J116" s="9"/>
    </row>
    <row r="117" spans="6:10" x14ac:dyDescent="0.2">
      <c r="F117" s="9"/>
      <c r="G117" s="9"/>
      <c r="H117" s="9"/>
      <c r="I117" s="9"/>
      <c r="J117" s="9"/>
    </row>
    <row r="118" spans="6:10" x14ac:dyDescent="0.2">
      <c r="F118" s="9"/>
      <c r="G118" s="9"/>
      <c r="H118" s="9"/>
      <c r="I118" s="9"/>
      <c r="J118" s="9"/>
    </row>
    <row r="119" spans="6:10" x14ac:dyDescent="0.2">
      <c r="F119" s="9"/>
      <c r="G119" s="9"/>
      <c r="H119" s="9"/>
      <c r="I119" s="9"/>
      <c r="J119" s="9"/>
    </row>
    <row r="120" spans="6:10" x14ac:dyDescent="0.2">
      <c r="F120" s="9"/>
      <c r="G120" s="9"/>
      <c r="H120" s="9"/>
      <c r="I120" s="9"/>
      <c r="J120" s="9"/>
    </row>
    <row r="121" spans="6:10" x14ac:dyDescent="0.2">
      <c r="F121" s="9"/>
      <c r="G121" s="9"/>
      <c r="H121" s="9"/>
      <c r="I121" s="9"/>
      <c r="J121" s="9"/>
    </row>
    <row r="122" spans="6:10" x14ac:dyDescent="0.2">
      <c r="F122" s="9"/>
      <c r="G122" s="9"/>
      <c r="H122" s="9"/>
      <c r="I122" s="9"/>
      <c r="J122" s="9"/>
    </row>
    <row r="123" spans="6:10" x14ac:dyDescent="0.2">
      <c r="F123" s="9"/>
      <c r="G123" s="9"/>
      <c r="H123" s="9"/>
      <c r="I123" s="9"/>
      <c r="J123" s="9"/>
    </row>
    <row r="124" spans="6:10" x14ac:dyDescent="0.2">
      <c r="F124" s="9"/>
      <c r="G124" s="9"/>
      <c r="H124" s="9"/>
      <c r="I124" s="9"/>
      <c r="J124" s="9"/>
    </row>
    <row r="125" spans="6:10" x14ac:dyDescent="0.2">
      <c r="F125" s="9"/>
      <c r="G125" s="9"/>
      <c r="H125" s="9"/>
      <c r="I125" s="9"/>
      <c r="J125" s="9"/>
    </row>
    <row r="126" spans="6:10" x14ac:dyDescent="0.2">
      <c r="F126" s="9"/>
      <c r="G126" s="9"/>
      <c r="H126" s="9"/>
      <c r="I126" s="9"/>
      <c r="J126" s="9"/>
    </row>
    <row r="127" spans="6:10" x14ac:dyDescent="0.2">
      <c r="F127" s="9"/>
      <c r="G127" s="9"/>
      <c r="H127" s="9"/>
      <c r="I127" s="9"/>
      <c r="J127" s="9"/>
    </row>
    <row r="128" spans="6:10" x14ac:dyDescent="0.2">
      <c r="F128" s="9"/>
      <c r="G128" s="9"/>
      <c r="H128" s="9"/>
      <c r="I128" s="9"/>
      <c r="J128" s="9"/>
    </row>
    <row r="129" spans="6:10" x14ac:dyDescent="0.2">
      <c r="F129" s="9"/>
      <c r="G129" s="9"/>
      <c r="H129" s="9"/>
      <c r="I129" s="9"/>
      <c r="J129" s="9"/>
    </row>
    <row r="130" spans="6:10" x14ac:dyDescent="0.2">
      <c r="F130" s="9"/>
      <c r="G130" s="9"/>
      <c r="H130" s="9"/>
      <c r="I130" s="9"/>
      <c r="J130" s="9"/>
    </row>
    <row r="131" spans="6:10" x14ac:dyDescent="0.2">
      <c r="F131" s="9"/>
      <c r="G131" s="9"/>
      <c r="H131" s="9"/>
      <c r="I131" s="9"/>
      <c r="J131" s="9"/>
    </row>
    <row r="132" spans="6:10" x14ac:dyDescent="0.2">
      <c r="F132" s="9"/>
      <c r="G132" s="9"/>
      <c r="H132" s="9"/>
      <c r="I132" s="9"/>
      <c r="J132" s="9"/>
    </row>
    <row r="133" spans="6:10" x14ac:dyDescent="0.2">
      <c r="F133" s="9"/>
      <c r="G133" s="9"/>
      <c r="H133" s="9"/>
      <c r="I133" s="9"/>
      <c r="J133" s="9"/>
    </row>
    <row r="134" spans="6:10" x14ac:dyDescent="0.2">
      <c r="F134" s="9"/>
      <c r="G134" s="9"/>
      <c r="H134" s="9"/>
      <c r="I134" s="9"/>
      <c r="J134" s="9"/>
    </row>
    <row r="135" spans="6:10" x14ac:dyDescent="0.2">
      <c r="F135" s="9"/>
      <c r="G135" s="9"/>
      <c r="H135" s="9"/>
      <c r="I135" s="9"/>
      <c r="J135" s="9"/>
    </row>
    <row r="136" spans="6:10" x14ac:dyDescent="0.2">
      <c r="F136" s="9"/>
      <c r="G136" s="9"/>
      <c r="H136" s="9"/>
      <c r="I136" s="9"/>
      <c r="J136" s="9"/>
    </row>
    <row r="137" spans="6:10" x14ac:dyDescent="0.2">
      <c r="F137" s="9"/>
      <c r="G137" s="9"/>
      <c r="H137" s="9"/>
      <c r="I137" s="9"/>
      <c r="J137" s="9"/>
    </row>
    <row r="138" spans="6:10" x14ac:dyDescent="0.2">
      <c r="F138" s="9"/>
      <c r="G138" s="9"/>
      <c r="H138" s="9"/>
      <c r="I138" s="9"/>
      <c r="J138" s="9"/>
    </row>
    <row r="139" spans="6:10" x14ac:dyDescent="0.2">
      <c r="F139" s="9"/>
      <c r="G139" s="9"/>
      <c r="H139" s="9"/>
      <c r="I139" s="9"/>
      <c r="J139" s="9"/>
    </row>
    <row r="140" spans="6:10" x14ac:dyDescent="0.2">
      <c r="F140" s="9"/>
      <c r="G140" s="9"/>
      <c r="H140" s="9"/>
      <c r="I140" s="9"/>
      <c r="J140" s="9"/>
    </row>
    <row r="141" spans="6:10" x14ac:dyDescent="0.2">
      <c r="F141" s="9"/>
      <c r="G141" s="9"/>
      <c r="H141" s="9"/>
      <c r="I141" s="9"/>
      <c r="J141" s="9"/>
    </row>
    <row r="142" spans="6:10" x14ac:dyDescent="0.2">
      <c r="F142" s="9"/>
      <c r="G142" s="9"/>
      <c r="H142" s="9"/>
      <c r="I142" s="9"/>
      <c r="J142" s="9"/>
    </row>
    <row r="143" spans="6:10" x14ac:dyDescent="0.2">
      <c r="F143" s="9"/>
      <c r="G143" s="9"/>
      <c r="H143" s="9"/>
      <c r="I143" s="9"/>
      <c r="J143" s="9"/>
    </row>
    <row r="144" spans="6:10" x14ac:dyDescent="0.2">
      <c r="F144" s="9"/>
      <c r="G144" s="9"/>
      <c r="H144" s="9"/>
      <c r="I144" s="9"/>
      <c r="J144" s="9"/>
    </row>
  </sheetData>
  <sheetProtection sheet="1" objects="1" scenarios="1" selectLockedCells="1"/>
  <phoneticPr fontId="1" type="noConversion"/>
  <pageMargins left="0.75" right="0.75" top="1" bottom="1" header="0.5" footer="0.5"/>
  <pageSetup orientation="portrait" horizontalDpi="4294967295"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M152"/>
  <sheetViews>
    <sheetView workbookViewId="0">
      <selection activeCell="J1" sqref="J1"/>
    </sheetView>
  </sheetViews>
  <sheetFormatPr defaultColWidth="8.7109375" defaultRowHeight="15" x14ac:dyDescent="0.2"/>
  <cols>
    <col min="1" max="1" width="5.7109375" style="7" customWidth="1"/>
    <col min="2" max="2" width="49.85546875" style="7" customWidth="1"/>
    <col min="3" max="3" width="14.7109375" style="7" customWidth="1"/>
    <col min="4" max="4" width="10.140625" style="7" customWidth="1"/>
    <col min="5" max="16384" width="8.7109375" style="7"/>
  </cols>
  <sheetData>
    <row r="1" spans="2:13" ht="18" x14ac:dyDescent="0.25">
      <c r="B1" s="6" t="s">
        <v>342</v>
      </c>
      <c r="F1" s="8"/>
      <c r="H1" s="9"/>
      <c r="I1" s="9"/>
      <c r="J1" s="9"/>
      <c r="K1" s="9"/>
      <c r="L1" s="9"/>
      <c r="M1" s="9"/>
    </row>
    <row r="3" spans="2:13" ht="18" x14ac:dyDescent="0.25">
      <c r="B3" s="35" t="s">
        <v>29</v>
      </c>
    </row>
    <row r="4" spans="2:13" ht="15.75" x14ac:dyDescent="0.25">
      <c r="C4" s="8"/>
      <c r="H4" s="9"/>
      <c r="I4" s="9"/>
      <c r="J4" s="9"/>
      <c r="K4" s="9"/>
      <c r="L4" s="9"/>
      <c r="M4" s="9"/>
    </row>
    <row r="5" spans="2:13" x14ac:dyDescent="0.2">
      <c r="H5" s="9"/>
      <c r="I5" s="9"/>
      <c r="J5" s="9"/>
      <c r="K5" s="9"/>
      <c r="L5" s="9"/>
      <c r="M5" s="9"/>
    </row>
    <row r="6" spans="2:13" x14ac:dyDescent="0.2">
      <c r="H6" s="9"/>
      <c r="I6" s="9"/>
      <c r="J6" s="9"/>
      <c r="K6" s="9"/>
      <c r="L6" s="9"/>
      <c r="M6" s="9"/>
    </row>
    <row r="7" spans="2:13" x14ac:dyDescent="0.2">
      <c r="H7" s="9"/>
      <c r="I7" s="9"/>
      <c r="J7" s="9"/>
      <c r="K7" s="9"/>
      <c r="L7" s="9"/>
      <c r="M7" s="9"/>
    </row>
    <row r="8" spans="2:13" x14ac:dyDescent="0.2">
      <c r="H8" s="9"/>
      <c r="I8" s="9"/>
      <c r="J8" s="9"/>
      <c r="K8" s="9"/>
      <c r="L8" s="9"/>
      <c r="M8" s="9"/>
    </row>
    <row r="9" spans="2:13" x14ac:dyDescent="0.2">
      <c r="H9" s="9"/>
      <c r="I9" s="9"/>
      <c r="J9" s="9"/>
      <c r="K9" s="9"/>
      <c r="L9" s="9"/>
      <c r="M9" s="9"/>
    </row>
    <row r="10" spans="2:13" x14ac:dyDescent="0.2">
      <c r="H10" s="9"/>
      <c r="I10" s="9"/>
      <c r="J10" s="9"/>
      <c r="K10" s="9"/>
      <c r="L10" s="9"/>
      <c r="M10" s="9"/>
    </row>
    <row r="11" spans="2:13" ht="18" x14ac:dyDescent="0.25">
      <c r="H11" s="9"/>
      <c r="I11" s="9"/>
      <c r="J11" s="6" t="s">
        <v>366</v>
      </c>
      <c r="K11" s="9"/>
      <c r="L11" s="9"/>
      <c r="M11" s="9"/>
    </row>
    <row r="12" spans="2:13" ht="18" x14ac:dyDescent="0.25">
      <c r="H12" s="9"/>
      <c r="I12" s="9"/>
      <c r="J12" s="6" t="s">
        <v>402</v>
      </c>
      <c r="K12" s="9"/>
      <c r="L12" s="9"/>
      <c r="M12" s="9"/>
    </row>
    <row r="13" spans="2:13" x14ac:dyDescent="0.2">
      <c r="H13" s="9"/>
      <c r="I13" s="9"/>
      <c r="J13" s="9"/>
      <c r="K13" s="9"/>
      <c r="L13" s="9"/>
      <c r="M13" s="9"/>
    </row>
    <row r="14" spans="2:13" x14ac:dyDescent="0.2">
      <c r="H14" s="9"/>
      <c r="I14" s="9"/>
      <c r="J14" s="9"/>
      <c r="K14" s="9"/>
      <c r="L14" s="9"/>
      <c r="M14" s="9"/>
    </row>
    <row r="15" spans="2:13" x14ac:dyDescent="0.2">
      <c r="H15" s="9"/>
      <c r="I15" s="9"/>
      <c r="J15" s="9"/>
      <c r="K15" s="9"/>
      <c r="L15" s="9"/>
      <c r="M15" s="9"/>
    </row>
    <row r="16" spans="2:13" x14ac:dyDescent="0.2">
      <c r="H16" s="9"/>
      <c r="I16" s="9"/>
      <c r="J16" s="9"/>
      <c r="K16" s="9"/>
      <c r="L16" s="9"/>
      <c r="M16" s="9"/>
    </row>
    <row r="17" spans="2:13" x14ac:dyDescent="0.2">
      <c r="H17" s="9"/>
      <c r="I17" s="9"/>
      <c r="J17" s="9"/>
      <c r="K17" s="9"/>
      <c r="L17" s="9"/>
      <c r="M17" s="9"/>
    </row>
    <row r="18" spans="2:13" x14ac:dyDescent="0.2">
      <c r="H18" s="9"/>
      <c r="I18" s="9"/>
      <c r="J18" s="9"/>
      <c r="K18" s="9"/>
      <c r="L18" s="9"/>
      <c r="M18" s="9"/>
    </row>
    <row r="19" spans="2:13" x14ac:dyDescent="0.2">
      <c r="H19" s="9"/>
      <c r="I19" s="9"/>
      <c r="J19" s="9"/>
      <c r="K19" s="9"/>
      <c r="L19" s="9"/>
      <c r="M19" s="9"/>
    </row>
    <row r="20" spans="2:13" x14ac:dyDescent="0.2">
      <c r="H20" s="9"/>
      <c r="I20" s="9"/>
      <c r="J20" s="9"/>
      <c r="K20" s="9"/>
      <c r="L20" s="9"/>
      <c r="M20" s="9"/>
    </row>
    <row r="21" spans="2:13" x14ac:dyDescent="0.2">
      <c r="H21" s="9"/>
      <c r="I21" s="9"/>
      <c r="J21" s="9"/>
      <c r="K21" s="9"/>
      <c r="L21" s="9"/>
      <c r="M21" s="9"/>
    </row>
    <row r="22" spans="2:13" x14ac:dyDescent="0.2">
      <c r="H22" s="9"/>
      <c r="I22" s="9"/>
      <c r="J22" s="9"/>
      <c r="K22" s="9"/>
      <c r="L22" s="9"/>
      <c r="M22" s="9"/>
    </row>
    <row r="23" spans="2:13" x14ac:dyDescent="0.2">
      <c r="H23" s="9"/>
      <c r="I23" s="9"/>
      <c r="J23" s="9"/>
      <c r="K23" s="9"/>
      <c r="L23" s="9"/>
      <c r="M23" s="9"/>
    </row>
    <row r="24" spans="2:13" x14ac:dyDescent="0.2">
      <c r="H24" s="9"/>
      <c r="I24" s="9"/>
      <c r="J24" s="9"/>
      <c r="K24" s="9"/>
      <c r="L24" s="9"/>
      <c r="M24" s="9"/>
    </row>
    <row r="25" spans="2:13" x14ac:dyDescent="0.2">
      <c r="H25" s="9"/>
      <c r="I25" s="9"/>
      <c r="J25" s="9"/>
      <c r="K25" s="9"/>
      <c r="L25" s="9"/>
      <c r="M25" s="9"/>
    </row>
    <row r="26" spans="2:13" x14ac:dyDescent="0.2">
      <c r="H26" s="9"/>
      <c r="I26" s="9"/>
      <c r="J26" s="9"/>
      <c r="K26" s="9"/>
      <c r="L26" s="9"/>
      <c r="M26" s="9"/>
    </row>
    <row r="27" spans="2:13" x14ac:dyDescent="0.2">
      <c r="H27" s="9"/>
      <c r="I27" s="9"/>
      <c r="J27" s="9"/>
      <c r="K27" s="9"/>
      <c r="L27" s="9"/>
      <c r="M27" s="9"/>
    </row>
    <row r="28" spans="2:13" x14ac:dyDescent="0.2">
      <c r="H28" s="9"/>
      <c r="I28" s="9"/>
      <c r="J28" s="9"/>
      <c r="K28" s="9"/>
      <c r="L28" s="9"/>
      <c r="M28" s="9"/>
    </row>
    <row r="29" spans="2:13" x14ac:dyDescent="0.2">
      <c r="H29" s="9"/>
      <c r="I29" s="9"/>
      <c r="J29" s="9"/>
      <c r="K29" s="9"/>
      <c r="L29" s="9"/>
      <c r="M29" s="9"/>
    </row>
    <row r="30" spans="2:13" ht="18" x14ac:dyDescent="0.25">
      <c r="B30" s="6" t="s">
        <v>101</v>
      </c>
      <c r="H30" s="9"/>
      <c r="I30" s="9"/>
      <c r="J30" s="9"/>
      <c r="K30" s="9"/>
      <c r="L30" s="9"/>
      <c r="M30" s="9"/>
    </row>
    <row r="31" spans="2:13" ht="18.75" thickBot="1" x14ac:dyDescent="0.3">
      <c r="B31" s="35" t="s">
        <v>284</v>
      </c>
      <c r="C31" s="16" t="s">
        <v>3</v>
      </c>
      <c r="H31" s="9"/>
      <c r="I31" s="9"/>
      <c r="J31" s="9"/>
      <c r="K31" s="9"/>
      <c r="L31" s="9"/>
      <c r="M31" s="9"/>
    </row>
    <row r="32" spans="2:13" x14ac:dyDescent="0.2">
      <c r="B32" s="13" t="s">
        <v>51</v>
      </c>
      <c r="C32" s="122">
        <v>332.15857622404587</v>
      </c>
      <c r="D32" s="7" t="s">
        <v>20</v>
      </c>
      <c r="H32" s="9"/>
      <c r="I32" s="9"/>
      <c r="J32" s="9"/>
      <c r="K32" s="9"/>
      <c r="L32" s="9"/>
      <c r="M32" s="9"/>
    </row>
    <row r="33" spans="2:13" x14ac:dyDescent="0.2">
      <c r="B33" s="13" t="s">
        <v>50</v>
      </c>
      <c r="C33" s="123">
        <v>400</v>
      </c>
      <c r="D33" s="7" t="s">
        <v>17</v>
      </c>
      <c r="H33" s="9"/>
      <c r="I33" s="9"/>
      <c r="J33" s="9"/>
      <c r="K33" s="9"/>
      <c r="L33" s="9"/>
      <c r="M33" s="9"/>
    </row>
    <row r="34" spans="2:13" x14ac:dyDescent="0.2">
      <c r="B34" s="13" t="s">
        <v>32</v>
      </c>
      <c r="C34" s="123">
        <v>150</v>
      </c>
      <c r="D34" s="7" t="s">
        <v>33</v>
      </c>
      <c r="H34" s="9"/>
      <c r="I34" s="9"/>
      <c r="J34" s="9"/>
      <c r="K34" s="9"/>
      <c r="L34" s="9"/>
      <c r="M34" s="9"/>
    </row>
    <row r="35" spans="2:13" x14ac:dyDescent="0.2">
      <c r="B35" s="13" t="s">
        <v>77</v>
      </c>
      <c r="C35" s="123">
        <v>48</v>
      </c>
      <c r="D35" s="7" t="s">
        <v>16</v>
      </c>
      <c r="H35" s="9"/>
      <c r="I35" s="9"/>
      <c r="J35" s="9"/>
      <c r="K35" s="9"/>
      <c r="L35" s="9"/>
      <c r="M35" s="9"/>
    </row>
    <row r="36" spans="2:13" ht="15.75" thickBot="1" x14ac:dyDescent="0.25">
      <c r="B36" s="13" t="s">
        <v>43</v>
      </c>
      <c r="C36" s="128">
        <v>15</v>
      </c>
      <c r="D36" s="7" t="s">
        <v>15</v>
      </c>
      <c r="H36" s="9"/>
      <c r="I36" s="9"/>
      <c r="J36" s="9"/>
      <c r="K36" s="9"/>
      <c r="L36" s="9"/>
      <c r="M36" s="9"/>
    </row>
    <row r="37" spans="2:13" ht="18" x14ac:dyDescent="0.25">
      <c r="B37" s="6" t="s">
        <v>30</v>
      </c>
      <c r="H37" s="9"/>
      <c r="I37" s="9"/>
      <c r="J37" s="9"/>
      <c r="K37" s="9"/>
      <c r="L37" s="9"/>
      <c r="M37" s="9"/>
    </row>
    <row r="38" spans="2:13" ht="15.75" x14ac:dyDescent="0.25">
      <c r="B38" s="7" t="s">
        <v>48</v>
      </c>
      <c r="C38" s="16" t="s">
        <v>4</v>
      </c>
      <c r="H38" s="9"/>
      <c r="I38" s="9"/>
      <c r="J38" s="9"/>
      <c r="K38" s="9"/>
      <c r="L38" s="9"/>
      <c r="M38" s="9"/>
    </row>
    <row r="39" spans="2:13" x14ac:dyDescent="0.2">
      <c r="B39" s="13" t="s">
        <v>35</v>
      </c>
      <c r="C39" s="14" t="s">
        <v>36</v>
      </c>
      <c r="H39" s="9"/>
      <c r="I39" s="9"/>
      <c r="J39" s="9"/>
      <c r="K39" s="9"/>
      <c r="L39" s="9"/>
      <c r="M39" s="9"/>
    </row>
    <row r="40" spans="2:13" x14ac:dyDescent="0.2">
      <c r="B40" s="13" t="s">
        <v>37</v>
      </c>
      <c r="C40" s="14">
        <f>2 * C34</f>
        <v>300</v>
      </c>
      <c r="D40" s="7" t="s">
        <v>33</v>
      </c>
      <c r="H40" s="9"/>
      <c r="I40" s="9"/>
      <c r="J40" s="9"/>
      <c r="K40" s="9"/>
      <c r="L40" s="9"/>
      <c r="M40" s="9"/>
    </row>
    <row r="41" spans="2:13" ht="15.75" x14ac:dyDescent="0.2">
      <c r="B41" s="13" t="s">
        <v>34</v>
      </c>
      <c r="C41" s="7" t="s">
        <v>79</v>
      </c>
      <c r="G41" s="1"/>
      <c r="H41" s="4"/>
      <c r="I41" s="9"/>
      <c r="J41" s="9"/>
      <c r="K41" s="9"/>
      <c r="L41" s="9"/>
      <c r="M41" s="9"/>
    </row>
    <row r="42" spans="2:13" x14ac:dyDescent="0.2">
      <c r="B42" s="13" t="s">
        <v>78</v>
      </c>
      <c r="C42" s="43">
        <f>1.2167 * C35 - 1.6</f>
        <v>56.801599999999993</v>
      </c>
      <c r="D42" s="7" t="s">
        <v>31</v>
      </c>
      <c r="G42" s="2"/>
      <c r="H42" s="5"/>
      <c r="I42" s="9"/>
      <c r="J42" s="9"/>
      <c r="K42" s="9"/>
      <c r="L42" s="9"/>
      <c r="M42" s="9"/>
    </row>
    <row r="43" spans="2:13" x14ac:dyDescent="0.2">
      <c r="B43" s="13" t="s">
        <v>40</v>
      </c>
      <c r="C43" s="14">
        <v>3.5000000000000003E-2</v>
      </c>
      <c r="G43" s="2"/>
      <c r="H43" s="5"/>
      <c r="I43" s="9"/>
      <c r="J43" s="9"/>
      <c r="K43" s="9"/>
      <c r="L43" s="9"/>
      <c r="M43" s="9"/>
    </row>
    <row r="44" spans="2:13" ht="15.75" thickBot="1" x14ac:dyDescent="0.25">
      <c r="B44" s="13" t="s">
        <v>39</v>
      </c>
      <c r="C44" s="14" t="s">
        <v>45</v>
      </c>
      <c r="G44" s="2"/>
      <c r="H44" s="5"/>
      <c r="I44" s="9"/>
      <c r="J44" s="9"/>
      <c r="K44" s="9"/>
      <c r="L44" s="9"/>
      <c r="M44" s="9"/>
    </row>
    <row r="45" spans="2:13" ht="16.5" thickBot="1" x14ac:dyDescent="0.3">
      <c r="B45" s="15" t="s">
        <v>38</v>
      </c>
      <c r="C45" s="26">
        <f>C42 * C40* C43</f>
        <v>596.41680000000008</v>
      </c>
      <c r="D45" s="8" t="s">
        <v>41</v>
      </c>
      <c r="G45" s="2"/>
      <c r="H45" s="5"/>
      <c r="I45" s="9"/>
      <c r="J45" s="9"/>
      <c r="K45" s="9"/>
      <c r="L45" s="9"/>
      <c r="M45" s="9"/>
    </row>
    <row r="46" spans="2:13" x14ac:dyDescent="0.2">
      <c r="H46" s="9"/>
      <c r="I46" s="9"/>
      <c r="J46" s="9"/>
      <c r="K46" s="9"/>
      <c r="L46" s="9"/>
      <c r="M46" s="9"/>
    </row>
    <row r="47" spans="2:13" ht="15.75" x14ac:dyDescent="0.25">
      <c r="B47" s="8" t="s">
        <v>62</v>
      </c>
      <c r="H47" s="9"/>
      <c r="I47" s="9"/>
      <c r="J47" s="9"/>
      <c r="K47" s="9"/>
      <c r="L47" s="9"/>
      <c r="M47" s="9"/>
    </row>
    <row r="48" spans="2:13" x14ac:dyDescent="0.2">
      <c r="B48" s="13" t="s">
        <v>49</v>
      </c>
      <c r="C48" s="14" t="s">
        <v>52</v>
      </c>
      <c r="H48" s="9"/>
      <c r="I48" s="9"/>
      <c r="J48" s="9"/>
      <c r="K48" s="9"/>
      <c r="L48" s="9"/>
      <c r="M48" s="9"/>
    </row>
    <row r="49" spans="2:13" x14ac:dyDescent="0.2">
      <c r="B49" s="13" t="s">
        <v>53</v>
      </c>
      <c r="C49" s="43">
        <f>2000 * C32 / ( 60 * C33 )</f>
        <v>27.679881352003825</v>
      </c>
      <c r="D49" s="7" t="s">
        <v>54</v>
      </c>
      <c r="H49" s="9"/>
      <c r="I49" s="9"/>
      <c r="J49" s="9"/>
      <c r="K49" s="9"/>
      <c r="L49" s="9"/>
      <c r="M49" s="9"/>
    </row>
    <row r="50" spans="2:13" x14ac:dyDescent="0.2">
      <c r="B50" s="13" t="s">
        <v>63</v>
      </c>
      <c r="C50" s="14">
        <v>0.04</v>
      </c>
      <c r="H50" s="9"/>
      <c r="I50" s="9"/>
      <c r="J50" s="9"/>
      <c r="K50" s="9"/>
      <c r="L50" s="9"/>
      <c r="M50" s="9"/>
    </row>
    <row r="51" spans="2:13" x14ac:dyDescent="0.2">
      <c r="B51" s="13" t="s">
        <v>317</v>
      </c>
      <c r="C51" s="7" t="s">
        <v>64</v>
      </c>
      <c r="H51" s="9"/>
      <c r="I51" s="9"/>
      <c r="J51" s="9"/>
      <c r="K51" s="9"/>
      <c r="L51" s="9"/>
      <c r="M51" s="9"/>
    </row>
    <row r="52" spans="2:13" ht="15.75" x14ac:dyDescent="0.25">
      <c r="B52" s="15" t="s">
        <v>61</v>
      </c>
      <c r="C52" s="90">
        <f>C49 * C34 * C50</f>
        <v>166.07928811202297</v>
      </c>
      <c r="D52" s="8" t="s">
        <v>41</v>
      </c>
      <c r="G52" s="23"/>
      <c r="H52" s="9"/>
      <c r="I52" s="9"/>
      <c r="J52" s="9"/>
      <c r="K52" s="9"/>
      <c r="L52" s="9"/>
      <c r="M52" s="9"/>
    </row>
    <row r="53" spans="2:13" ht="15.75" x14ac:dyDescent="0.2">
      <c r="H53" s="4"/>
      <c r="I53" s="4"/>
      <c r="J53" s="4"/>
      <c r="K53" s="9"/>
      <c r="L53" s="9"/>
      <c r="M53" s="9"/>
    </row>
    <row r="54" spans="2:13" ht="15.75" x14ac:dyDescent="0.25">
      <c r="B54" s="8" t="s">
        <v>42</v>
      </c>
      <c r="C54" s="16" t="s">
        <v>4</v>
      </c>
      <c r="H54" s="68"/>
      <c r="I54" s="5"/>
      <c r="J54" s="129"/>
      <c r="K54" s="9"/>
      <c r="L54" s="9"/>
      <c r="M54" s="9"/>
    </row>
    <row r="55" spans="2:13" x14ac:dyDescent="0.2">
      <c r="B55" s="13" t="s">
        <v>43</v>
      </c>
      <c r="C55" s="14">
        <f>C36</f>
        <v>15</v>
      </c>
      <c r="D55" s="7" t="s">
        <v>15</v>
      </c>
      <c r="H55" s="68"/>
      <c r="I55" s="5"/>
      <c r="J55" s="129"/>
      <c r="K55" s="9"/>
      <c r="L55" s="9"/>
      <c r="M55" s="9"/>
    </row>
    <row r="56" spans="2:13" x14ac:dyDescent="0.2">
      <c r="B56" s="13" t="s">
        <v>44</v>
      </c>
      <c r="C56" s="14" t="s">
        <v>47</v>
      </c>
      <c r="H56" s="68"/>
      <c r="I56" s="5"/>
      <c r="J56" s="129"/>
      <c r="K56" s="9"/>
      <c r="L56" s="9"/>
      <c r="M56" s="9"/>
    </row>
    <row r="57" spans="2:13" x14ac:dyDescent="0.2">
      <c r="B57" s="13" t="s">
        <v>46</v>
      </c>
      <c r="C57" s="43">
        <f>C34 * SIN(C55/57.2957)</f>
        <v>38.822909405901925</v>
      </c>
      <c r="D57" s="7" t="s">
        <v>33</v>
      </c>
      <c r="H57" s="68"/>
      <c r="I57" s="5"/>
      <c r="J57" s="129"/>
      <c r="K57" s="9"/>
      <c r="L57" s="9"/>
      <c r="M57" s="9"/>
    </row>
    <row r="58" spans="2:13" x14ac:dyDescent="0.2">
      <c r="B58" s="13" t="s">
        <v>55</v>
      </c>
      <c r="C58" s="14" t="s">
        <v>57</v>
      </c>
      <c r="H58" s="9"/>
      <c r="I58" s="9"/>
      <c r="J58" s="9"/>
      <c r="K58" s="9"/>
      <c r="L58" s="9"/>
      <c r="M58" s="9"/>
    </row>
    <row r="59" spans="2:13" ht="15.75" x14ac:dyDescent="0.25">
      <c r="B59" s="15" t="s">
        <v>56</v>
      </c>
      <c r="C59" s="90">
        <f>C49 * C57</f>
        <v>1074.6135260949586</v>
      </c>
      <c r="D59" s="8" t="s">
        <v>41</v>
      </c>
      <c r="H59" s="9"/>
      <c r="I59" s="9"/>
      <c r="J59" s="9"/>
      <c r="K59" s="9"/>
      <c r="L59" s="9"/>
      <c r="M59" s="9"/>
    </row>
    <row r="60" spans="2:13" ht="15.75" x14ac:dyDescent="0.25">
      <c r="B60" s="50" t="s">
        <v>58</v>
      </c>
      <c r="C60" s="14"/>
      <c r="H60" s="9"/>
      <c r="I60" s="9"/>
      <c r="J60" s="9"/>
      <c r="K60" s="9"/>
      <c r="L60" s="9"/>
      <c r="M60" s="9"/>
    </row>
    <row r="61" spans="2:13" x14ac:dyDescent="0.2">
      <c r="B61" s="13" t="s">
        <v>59</v>
      </c>
      <c r="C61" s="14" t="s">
        <v>60</v>
      </c>
      <c r="H61" s="9"/>
      <c r="I61" s="9"/>
      <c r="J61" s="9"/>
      <c r="K61" s="9"/>
      <c r="L61" s="9"/>
      <c r="M61" s="9"/>
    </row>
    <row r="62" spans="2:13" ht="15.75" x14ac:dyDescent="0.25">
      <c r="B62" s="15" t="s">
        <v>59</v>
      </c>
      <c r="C62" s="90">
        <f xml:space="preserve"> C45 + C52 + C59</f>
        <v>1837.1096142069816</v>
      </c>
      <c r="D62" s="8" t="s">
        <v>41</v>
      </c>
      <c r="H62" s="9"/>
      <c r="I62" s="9"/>
      <c r="J62" s="9"/>
      <c r="K62" s="9"/>
      <c r="L62" s="9"/>
      <c r="M62" s="9"/>
    </row>
    <row r="63" spans="2:13" ht="15.75" x14ac:dyDescent="0.25">
      <c r="B63" s="8" t="s">
        <v>65</v>
      </c>
      <c r="H63" s="9"/>
      <c r="I63" s="9"/>
      <c r="J63" s="9"/>
      <c r="K63" s="9"/>
      <c r="L63" s="9"/>
      <c r="M63" s="9"/>
    </row>
    <row r="64" spans="2:13" x14ac:dyDescent="0.2">
      <c r="H64" s="9"/>
      <c r="I64" s="9"/>
      <c r="J64" s="9"/>
      <c r="K64" s="9"/>
      <c r="L64" s="9"/>
      <c r="M64" s="9"/>
    </row>
    <row r="65" spans="2:13" x14ac:dyDescent="0.2">
      <c r="H65" s="9"/>
      <c r="I65" s="9"/>
      <c r="J65" s="9"/>
      <c r="K65" s="9"/>
      <c r="L65" s="9"/>
      <c r="M65" s="9"/>
    </row>
    <row r="66" spans="2:13" x14ac:dyDescent="0.2">
      <c r="H66" s="9"/>
      <c r="I66" s="9"/>
      <c r="J66" s="9"/>
      <c r="K66" s="9"/>
      <c r="L66" s="9"/>
      <c r="M66" s="9"/>
    </row>
    <row r="67" spans="2:13" x14ac:dyDescent="0.2">
      <c r="H67" s="9"/>
      <c r="I67" s="9"/>
      <c r="J67" s="9"/>
      <c r="K67" s="9"/>
      <c r="L67" s="9"/>
      <c r="M67" s="9"/>
    </row>
    <row r="68" spans="2:13" ht="15.75" x14ac:dyDescent="0.2">
      <c r="H68" s="4"/>
      <c r="I68" s="4"/>
      <c r="J68" s="9"/>
      <c r="K68" s="9"/>
      <c r="L68" s="9"/>
      <c r="M68" s="9"/>
    </row>
    <row r="69" spans="2:13" x14ac:dyDescent="0.2">
      <c r="H69" s="5"/>
      <c r="I69" s="5"/>
      <c r="J69" s="9"/>
      <c r="K69" s="9"/>
      <c r="L69" s="9"/>
      <c r="M69" s="9"/>
    </row>
    <row r="70" spans="2:13" x14ac:dyDescent="0.2">
      <c r="B70" s="13" t="s">
        <v>102</v>
      </c>
      <c r="C70" s="14">
        <v>0.42</v>
      </c>
      <c r="H70" s="5"/>
      <c r="I70" s="5"/>
      <c r="J70" s="9"/>
      <c r="K70" s="9"/>
      <c r="L70" s="9"/>
      <c r="M70" s="9"/>
    </row>
    <row r="71" spans="2:13" ht="15.75" thickBot="1" x14ac:dyDescent="0.25">
      <c r="B71" s="13" t="s">
        <v>66</v>
      </c>
      <c r="C71" s="14" t="s">
        <v>68</v>
      </c>
      <c r="H71" s="5"/>
      <c r="I71" s="5"/>
      <c r="J71" s="9"/>
      <c r="K71" s="9"/>
      <c r="L71" s="9"/>
      <c r="M71" s="9"/>
    </row>
    <row r="72" spans="2:13" ht="16.5" thickBot="1" x14ac:dyDescent="0.3">
      <c r="B72" s="15" t="s">
        <v>67</v>
      </c>
      <c r="C72" s="133">
        <f>C62*C70</f>
        <v>771.58603796693228</v>
      </c>
      <c r="D72" s="8" t="s">
        <v>41</v>
      </c>
      <c r="H72" s="5"/>
      <c r="I72" s="5"/>
      <c r="J72" s="9"/>
      <c r="K72" s="9"/>
      <c r="L72" s="9"/>
      <c r="M72" s="9"/>
    </row>
    <row r="73" spans="2:13" ht="15.75" x14ac:dyDescent="0.25">
      <c r="B73" s="8" t="s">
        <v>69</v>
      </c>
      <c r="C73" s="14"/>
      <c r="H73" s="9"/>
      <c r="I73" s="9"/>
      <c r="J73" s="9"/>
      <c r="K73" s="9"/>
      <c r="L73" s="9"/>
      <c r="M73" s="9"/>
    </row>
    <row r="74" spans="2:13" x14ac:dyDescent="0.2">
      <c r="B74" s="13"/>
      <c r="C74" s="14"/>
      <c r="H74" s="9"/>
      <c r="I74" s="9"/>
      <c r="J74" s="9"/>
      <c r="K74" s="9"/>
      <c r="L74" s="9"/>
      <c r="M74" s="9"/>
    </row>
    <row r="75" spans="2:13" x14ac:dyDescent="0.2">
      <c r="B75" s="13"/>
      <c r="H75" s="9"/>
      <c r="I75" s="9"/>
      <c r="J75" s="9"/>
      <c r="K75" s="9"/>
      <c r="L75" s="9"/>
      <c r="M75" s="9"/>
    </row>
    <row r="76" spans="2:13" x14ac:dyDescent="0.2">
      <c r="H76" s="9"/>
      <c r="I76" s="9"/>
      <c r="J76" s="9"/>
      <c r="K76" s="9"/>
      <c r="L76" s="9"/>
      <c r="M76" s="9"/>
    </row>
    <row r="77" spans="2:13" x14ac:dyDescent="0.2">
      <c r="H77" s="9"/>
      <c r="I77" s="9"/>
      <c r="J77" s="9"/>
      <c r="K77" s="9"/>
      <c r="L77" s="9"/>
      <c r="M77" s="9"/>
    </row>
    <row r="78" spans="2:13" x14ac:dyDescent="0.2">
      <c r="B78" s="13"/>
      <c r="H78" s="9"/>
      <c r="I78" s="9"/>
      <c r="J78" s="9"/>
      <c r="K78" s="9"/>
      <c r="L78" s="9"/>
      <c r="M78" s="9"/>
    </row>
    <row r="79" spans="2:13" ht="15.75" thickBot="1" x14ac:dyDescent="0.25">
      <c r="B79" s="13" t="s">
        <v>72</v>
      </c>
      <c r="C79" s="7" t="s">
        <v>70</v>
      </c>
      <c r="H79" s="9"/>
      <c r="I79" s="9"/>
      <c r="J79" s="9"/>
      <c r="K79" s="9"/>
    </row>
    <row r="80" spans="2:13" ht="16.5" thickBot="1" x14ac:dyDescent="0.3">
      <c r="B80" s="15" t="s">
        <v>71</v>
      </c>
      <c r="C80" s="133">
        <f>C62 + C72</f>
        <v>2608.6956521739139</v>
      </c>
      <c r="D80" s="8" t="s">
        <v>41</v>
      </c>
      <c r="H80" s="9"/>
      <c r="I80" s="9"/>
      <c r="J80" s="9"/>
      <c r="K80" s="9"/>
    </row>
    <row r="81" spans="2:11" ht="18" x14ac:dyDescent="0.25">
      <c r="B81" s="6" t="s">
        <v>73</v>
      </c>
      <c r="C81" s="14"/>
      <c r="H81" s="9"/>
      <c r="I81" s="9"/>
      <c r="J81" s="9"/>
      <c r="K81" s="9"/>
    </row>
    <row r="82" spans="2:11" x14ac:dyDescent="0.2">
      <c r="H82" s="9"/>
      <c r="I82" s="9"/>
      <c r="J82" s="9"/>
      <c r="K82" s="9"/>
    </row>
    <row r="83" spans="2:11" x14ac:dyDescent="0.2">
      <c r="H83" s="9"/>
      <c r="I83" s="9"/>
      <c r="J83" s="9"/>
      <c r="K83" s="9"/>
    </row>
    <row r="84" spans="2:11" x14ac:dyDescent="0.2">
      <c r="C84" s="14"/>
      <c r="H84" s="9"/>
      <c r="I84" s="9"/>
      <c r="J84" s="9"/>
      <c r="K84" s="9"/>
    </row>
    <row r="85" spans="2:11" x14ac:dyDescent="0.2">
      <c r="H85" s="9"/>
      <c r="I85" s="9"/>
      <c r="J85" s="9"/>
      <c r="K85" s="9"/>
    </row>
    <row r="86" spans="2:11" x14ac:dyDescent="0.2">
      <c r="H86" s="9"/>
      <c r="I86" s="9"/>
      <c r="J86" s="9"/>
      <c r="K86" s="9"/>
    </row>
    <row r="87" spans="2:11" x14ac:dyDescent="0.2">
      <c r="B87" s="13" t="s">
        <v>75</v>
      </c>
      <c r="C87" s="7" t="s">
        <v>74</v>
      </c>
      <c r="H87" s="9"/>
      <c r="I87" s="9"/>
      <c r="J87" s="9"/>
      <c r="K87" s="9"/>
    </row>
    <row r="88" spans="2:11" ht="15.75" x14ac:dyDescent="0.25">
      <c r="B88" s="15" t="s">
        <v>76</v>
      </c>
      <c r="C88" s="90">
        <f>C80 / C35</f>
        <v>54.347826086956537</v>
      </c>
      <c r="D88" s="8" t="s">
        <v>80</v>
      </c>
      <c r="H88" s="9"/>
      <c r="I88" s="9"/>
      <c r="J88" s="9"/>
      <c r="K88" s="9"/>
    </row>
    <row r="89" spans="2:11" x14ac:dyDescent="0.2">
      <c r="H89" s="9"/>
      <c r="I89" s="9"/>
      <c r="J89" s="9"/>
      <c r="K89" s="9"/>
    </row>
    <row r="90" spans="2:11" ht="15.75" x14ac:dyDescent="0.25">
      <c r="B90" s="8" t="s">
        <v>81</v>
      </c>
      <c r="H90" s="9"/>
      <c r="I90" s="9"/>
      <c r="J90" s="9"/>
      <c r="K90" s="9"/>
    </row>
    <row r="91" spans="2:11" x14ac:dyDescent="0.2">
      <c r="H91" s="9"/>
      <c r="I91" s="9"/>
      <c r="J91" s="9"/>
      <c r="K91" s="9"/>
    </row>
    <row r="92" spans="2:11" x14ac:dyDescent="0.2">
      <c r="H92" s="9"/>
      <c r="I92" s="9"/>
      <c r="J92" s="9"/>
      <c r="K92" s="9"/>
    </row>
    <row r="93" spans="2:11" x14ac:dyDescent="0.2">
      <c r="H93" s="9"/>
      <c r="I93" s="9"/>
      <c r="J93" s="9"/>
      <c r="K93" s="9"/>
    </row>
    <row r="94" spans="2:11" x14ac:dyDescent="0.2">
      <c r="J94" s="9"/>
      <c r="K94" s="9"/>
    </row>
    <row r="95" spans="2:11" ht="15.75" x14ac:dyDescent="0.25">
      <c r="E95" s="16" t="s">
        <v>84</v>
      </c>
      <c r="H95" s="9"/>
      <c r="I95" s="9"/>
      <c r="J95" s="9"/>
      <c r="K95" s="9"/>
    </row>
    <row r="96" spans="2:11" ht="16.5" thickBot="1" x14ac:dyDescent="0.3">
      <c r="B96" s="13"/>
      <c r="C96" s="16" t="s">
        <v>3</v>
      </c>
      <c r="E96" s="16" t="s">
        <v>85</v>
      </c>
      <c r="H96" s="9"/>
      <c r="I96" s="9"/>
      <c r="J96" s="9"/>
      <c r="K96" s="9"/>
    </row>
    <row r="97" spans="2:11" ht="15.75" x14ac:dyDescent="0.25">
      <c r="B97" s="13" t="s">
        <v>82</v>
      </c>
      <c r="C97" s="130">
        <v>0.8</v>
      </c>
      <c r="D97" s="13" t="s">
        <v>285</v>
      </c>
      <c r="E97" s="155">
        <v>0.8</v>
      </c>
      <c r="F97" s="58"/>
      <c r="H97" s="9"/>
      <c r="I97" s="9"/>
      <c r="J97" s="9"/>
      <c r="K97" s="9"/>
    </row>
    <row r="98" spans="2:11" ht="15.75" x14ac:dyDescent="0.25">
      <c r="B98" s="13" t="s">
        <v>83</v>
      </c>
      <c r="C98" s="77">
        <v>1.1000000000000001</v>
      </c>
      <c r="D98" s="13" t="s">
        <v>286</v>
      </c>
      <c r="E98" s="156">
        <v>1.1000000000000001</v>
      </c>
      <c r="H98" s="9"/>
      <c r="I98" s="9"/>
      <c r="J98" s="9"/>
      <c r="K98" s="9"/>
    </row>
    <row r="99" spans="2:11" ht="16.5" thickBot="1" x14ac:dyDescent="0.3">
      <c r="B99" s="13" t="s">
        <v>86</v>
      </c>
      <c r="C99" s="80">
        <v>1.1499999999999999</v>
      </c>
      <c r="D99" s="13" t="s">
        <v>287</v>
      </c>
      <c r="E99" s="157">
        <v>1.1499999999999999</v>
      </c>
      <c r="H99" s="9"/>
      <c r="I99" s="9"/>
      <c r="J99" s="9"/>
      <c r="K99" s="9"/>
    </row>
    <row r="100" spans="2:11" ht="15.75" x14ac:dyDescent="0.25">
      <c r="C100" s="16" t="s">
        <v>4</v>
      </c>
      <c r="E100" s="131"/>
      <c r="H100" s="9"/>
      <c r="I100" s="9"/>
      <c r="J100" s="9"/>
      <c r="K100" s="9"/>
    </row>
    <row r="101" spans="2:11" x14ac:dyDescent="0.2">
      <c r="B101" s="13" t="s">
        <v>91</v>
      </c>
      <c r="C101" s="7" t="s">
        <v>88</v>
      </c>
      <c r="E101" s="131"/>
      <c r="H101" s="9"/>
      <c r="I101" s="9"/>
      <c r="J101" s="9"/>
      <c r="K101" s="9"/>
    </row>
    <row r="102" spans="2:11" ht="15.75" thickBot="1" x14ac:dyDescent="0.25">
      <c r="B102" s="13" t="s">
        <v>87</v>
      </c>
      <c r="C102" s="7" t="s">
        <v>89</v>
      </c>
      <c r="E102" s="131"/>
      <c r="H102" s="9"/>
      <c r="I102" s="9"/>
      <c r="J102" s="9"/>
      <c r="K102" s="9"/>
    </row>
    <row r="103" spans="2:11" ht="16.5" thickBot="1" x14ac:dyDescent="0.3">
      <c r="B103" s="15" t="s">
        <v>87</v>
      </c>
      <c r="C103" s="26">
        <f>C98*C99*C80*C33/(C97*33000)</f>
        <v>50.000000000000014</v>
      </c>
      <c r="D103" s="8" t="s">
        <v>90</v>
      </c>
      <c r="E103" s="131"/>
      <c r="H103" s="9"/>
      <c r="I103" s="9"/>
      <c r="J103" s="9"/>
      <c r="K103" s="9"/>
    </row>
    <row r="104" spans="2:11" ht="15.75" thickBot="1" x14ac:dyDescent="0.25">
      <c r="H104" s="9"/>
      <c r="I104" s="9"/>
      <c r="J104" s="9"/>
      <c r="K104" s="9"/>
    </row>
    <row r="105" spans="2:11" ht="16.5" thickBot="1" x14ac:dyDescent="0.3">
      <c r="B105" s="15" t="s">
        <v>283</v>
      </c>
      <c r="C105" s="132"/>
      <c r="D105" s="8" t="s">
        <v>90</v>
      </c>
      <c r="H105" s="9"/>
      <c r="I105" s="9"/>
      <c r="J105" s="9"/>
      <c r="K105" s="9"/>
    </row>
    <row r="106" spans="2:11" ht="15.75" x14ac:dyDescent="0.25">
      <c r="G106" s="23"/>
      <c r="H106" s="9"/>
      <c r="I106" s="9"/>
      <c r="J106" s="9"/>
      <c r="K106" s="9"/>
    </row>
    <row r="107" spans="2:11" x14ac:dyDescent="0.2">
      <c r="H107" s="9"/>
      <c r="I107" s="9"/>
      <c r="J107" s="9"/>
      <c r="K107" s="9"/>
    </row>
    <row r="108" spans="2:11" x14ac:dyDescent="0.2">
      <c r="H108" s="9"/>
      <c r="I108" s="9"/>
      <c r="J108" s="9"/>
      <c r="K108" s="9"/>
    </row>
    <row r="109" spans="2:11" x14ac:dyDescent="0.2">
      <c r="H109" s="9"/>
      <c r="I109" s="9"/>
      <c r="J109" s="9"/>
      <c r="K109" s="9"/>
    </row>
    <row r="110" spans="2:11" x14ac:dyDescent="0.2">
      <c r="H110" s="9"/>
      <c r="I110" s="9"/>
      <c r="J110" s="9"/>
      <c r="K110" s="9"/>
    </row>
    <row r="111" spans="2:11" x14ac:dyDescent="0.2">
      <c r="H111" s="9"/>
      <c r="I111" s="9"/>
      <c r="J111" s="9"/>
      <c r="K111" s="9"/>
    </row>
    <row r="112" spans="2:11" x14ac:dyDescent="0.2">
      <c r="H112" s="9"/>
      <c r="I112" s="9"/>
      <c r="J112" s="9"/>
      <c r="K112" s="9"/>
    </row>
    <row r="113" spans="2:11" x14ac:dyDescent="0.2">
      <c r="H113" s="9"/>
      <c r="I113" s="9"/>
      <c r="J113" s="9"/>
      <c r="K113" s="9"/>
    </row>
    <row r="114" spans="2:11" x14ac:dyDescent="0.2">
      <c r="H114" s="9"/>
      <c r="I114" s="9"/>
      <c r="J114" s="9"/>
      <c r="K114" s="9"/>
    </row>
    <row r="115" spans="2:11" x14ac:dyDescent="0.2">
      <c r="H115" s="9"/>
      <c r="I115" s="9"/>
      <c r="J115" s="9"/>
      <c r="K115" s="9"/>
    </row>
    <row r="116" spans="2:11" x14ac:dyDescent="0.2">
      <c r="H116" s="9"/>
      <c r="I116" s="9"/>
      <c r="J116" s="9"/>
      <c r="K116" s="9"/>
    </row>
    <row r="117" spans="2:11" x14ac:dyDescent="0.2">
      <c r="H117" s="9"/>
      <c r="I117" s="9"/>
      <c r="J117" s="9"/>
      <c r="K117" s="9"/>
    </row>
    <row r="118" spans="2:11" x14ac:dyDescent="0.2">
      <c r="H118" s="9"/>
      <c r="I118" s="9"/>
      <c r="J118" s="9"/>
      <c r="K118" s="9"/>
    </row>
    <row r="119" spans="2:11" x14ac:dyDescent="0.2">
      <c r="H119" s="9"/>
      <c r="I119" s="9"/>
      <c r="J119" s="9"/>
      <c r="K119" s="9"/>
    </row>
    <row r="120" spans="2:11" x14ac:dyDescent="0.2">
      <c r="H120" s="9"/>
      <c r="I120" s="9"/>
      <c r="J120" s="9"/>
      <c r="K120" s="9"/>
    </row>
    <row r="121" spans="2:11" x14ac:dyDescent="0.2">
      <c r="H121" s="9"/>
      <c r="I121" s="9"/>
      <c r="J121" s="9"/>
      <c r="K121" s="9"/>
    </row>
    <row r="122" spans="2:11" x14ac:dyDescent="0.2">
      <c r="H122" s="9"/>
      <c r="I122" s="9"/>
      <c r="J122" s="9"/>
      <c r="K122" s="9"/>
    </row>
    <row r="123" spans="2:11" x14ac:dyDescent="0.2">
      <c r="B123" s="13"/>
      <c r="C123" s="14"/>
      <c r="E123" s="131"/>
      <c r="H123" s="9"/>
      <c r="I123" s="9"/>
      <c r="J123" s="9"/>
      <c r="K123" s="9"/>
    </row>
    <row r="124" spans="2:11" x14ac:dyDescent="0.2">
      <c r="B124" s="13"/>
      <c r="C124" s="14"/>
      <c r="E124" s="131"/>
      <c r="H124" s="9"/>
      <c r="I124" s="9"/>
      <c r="J124" s="9"/>
      <c r="K124" s="9"/>
    </row>
    <row r="125" spans="2:11" x14ac:dyDescent="0.2">
      <c r="B125" s="13"/>
      <c r="E125" s="131"/>
      <c r="H125" s="9"/>
      <c r="I125" s="9"/>
    </row>
    <row r="126" spans="2:11" x14ac:dyDescent="0.2">
      <c r="E126" s="131"/>
    </row>
    <row r="135" spans="3:3" x14ac:dyDescent="0.2">
      <c r="C135" s="7" t="s">
        <v>418</v>
      </c>
    </row>
    <row r="151" spans="6:7" ht="15.75" x14ac:dyDescent="0.25">
      <c r="F151" s="23" t="s">
        <v>19</v>
      </c>
    </row>
    <row r="152" spans="6:7" ht="15.75" x14ac:dyDescent="0.25">
      <c r="G152" s="23" t="s">
        <v>28</v>
      </c>
    </row>
  </sheetData>
  <sheetProtection sheet="1" objects="1" scenarios="1" selectLockedCells="1"/>
  <phoneticPr fontId="1" type="noConversion"/>
  <pageMargins left="0.75" right="0.75" top="1" bottom="1" header="0.5" footer="0.5"/>
  <pageSetup orientation="portrait" horizontalDpi="4294967295"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Y404"/>
  <sheetViews>
    <sheetView workbookViewId="0">
      <selection activeCell="H1" sqref="H1"/>
    </sheetView>
  </sheetViews>
  <sheetFormatPr defaultColWidth="8.7109375" defaultRowHeight="15" x14ac:dyDescent="0.2"/>
  <cols>
    <col min="1" max="1" width="8.7109375" style="7"/>
    <col min="2" max="2" width="41.5703125" style="7" customWidth="1"/>
    <col min="3" max="3" width="18.28515625" style="7" customWidth="1"/>
    <col min="4" max="4" width="12.42578125" style="7" customWidth="1"/>
    <col min="5" max="7" width="8.7109375" style="7"/>
    <col min="8" max="8" width="22" style="7" customWidth="1"/>
    <col min="9" max="16384" width="8.7109375" style="7"/>
  </cols>
  <sheetData>
    <row r="1" spans="2:25" ht="18" x14ac:dyDescent="0.25">
      <c r="B1" s="6" t="s">
        <v>471</v>
      </c>
      <c r="E1" s="8"/>
      <c r="H1" s="9"/>
      <c r="I1" s="9"/>
      <c r="J1" s="9"/>
      <c r="K1" s="9"/>
      <c r="L1" s="9"/>
      <c r="M1" s="9"/>
      <c r="N1" s="9"/>
      <c r="O1" s="9"/>
      <c r="P1" s="9"/>
      <c r="Q1" s="9"/>
      <c r="R1" s="9"/>
      <c r="S1" s="9"/>
      <c r="T1" s="9"/>
      <c r="U1" s="9"/>
      <c r="V1" s="9"/>
      <c r="W1" s="9"/>
      <c r="X1" s="9"/>
      <c r="Y1" s="9"/>
    </row>
    <row r="2" spans="2:25" x14ac:dyDescent="0.2">
      <c r="H2" s="9"/>
      <c r="I2" s="9"/>
      <c r="J2" s="9"/>
      <c r="K2" s="9"/>
      <c r="L2" s="9"/>
      <c r="M2" s="9"/>
      <c r="N2" s="9"/>
      <c r="O2" s="9"/>
      <c r="P2" s="9"/>
      <c r="Q2" s="9"/>
      <c r="R2" s="9"/>
      <c r="S2" s="9"/>
      <c r="T2" s="9"/>
      <c r="U2" s="9"/>
      <c r="V2" s="9"/>
      <c r="W2" s="9"/>
      <c r="X2" s="9"/>
      <c r="Y2" s="9"/>
    </row>
    <row r="3" spans="2:25" x14ac:dyDescent="0.2">
      <c r="H3" s="9"/>
      <c r="I3" s="9"/>
      <c r="J3" s="9"/>
      <c r="K3" s="9"/>
      <c r="L3" s="9"/>
      <c r="M3" s="9"/>
      <c r="N3" s="9"/>
      <c r="O3" s="9"/>
      <c r="P3" s="9"/>
      <c r="Q3" s="9"/>
      <c r="R3" s="9"/>
      <c r="S3" s="9"/>
      <c r="T3" s="9"/>
      <c r="U3" s="9"/>
      <c r="V3" s="9"/>
      <c r="W3" s="9"/>
      <c r="X3" s="9"/>
      <c r="Y3" s="9"/>
    </row>
    <row r="4" spans="2:25" ht="18" x14ac:dyDescent="0.25">
      <c r="B4" s="6" t="s">
        <v>279</v>
      </c>
      <c r="C4" s="8"/>
      <c r="G4" s="9"/>
      <c r="H4" s="9"/>
      <c r="I4" s="9"/>
      <c r="J4" s="9"/>
      <c r="K4" s="9"/>
      <c r="L4" s="9"/>
      <c r="M4" s="9"/>
      <c r="N4" s="9"/>
      <c r="O4" s="9"/>
      <c r="P4" s="9"/>
      <c r="Q4" s="9"/>
      <c r="R4" s="9"/>
      <c r="S4" s="9"/>
      <c r="T4" s="9"/>
      <c r="U4" s="9"/>
      <c r="V4" s="9"/>
      <c r="W4" s="9"/>
      <c r="X4" s="9"/>
      <c r="Y4" s="9"/>
    </row>
    <row r="5" spans="2:25" x14ac:dyDescent="0.2">
      <c r="G5" s="9"/>
      <c r="H5" s="9"/>
      <c r="I5" s="9"/>
      <c r="J5" s="9"/>
      <c r="K5" s="9"/>
      <c r="L5" s="9"/>
      <c r="M5" s="9"/>
      <c r="N5" s="9"/>
      <c r="O5" s="9"/>
      <c r="P5" s="9"/>
      <c r="Q5" s="9"/>
      <c r="R5" s="9"/>
      <c r="S5" s="9"/>
      <c r="T5" s="9"/>
      <c r="U5" s="9"/>
      <c r="V5" s="9"/>
      <c r="W5" s="9"/>
      <c r="X5" s="9"/>
      <c r="Y5" s="9"/>
    </row>
    <row r="6" spans="2:25" x14ac:dyDescent="0.2">
      <c r="G6" s="9"/>
      <c r="H6" s="9"/>
      <c r="I6" s="9"/>
      <c r="J6" s="9"/>
      <c r="K6" s="9"/>
      <c r="L6" s="9"/>
      <c r="M6" s="9"/>
      <c r="N6" s="9"/>
      <c r="O6" s="9"/>
      <c r="P6" s="9"/>
      <c r="Q6" s="9"/>
      <c r="R6" s="9"/>
      <c r="S6" s="9"/>
      <c r="T6" s="9"/>
      <c r="U6" s="9"/>
      <c r="V6" s="9"/>
      <c r="W6" s="9"/>
      <c r="X6" s="9"/>
      <c r="Y6" s="9"/>
    </row>
    <row r="7" spans="2:25" x14ac:dyDescent="0.2">
      <c r="G7" s="9"/>
      <c r="H7" s="9"/>
      <c r="I7" s="9"/>
      <c r="J7" s="9"/>
      <c r="K7" s="9"/>
      <c r="L7" s="9"/>
      <c r="M7" s="9"/>
      <c r="N7" s="9"/>
      <c r="O7" s="9"/>
      <c r="P7" s="9"/>
      <c r="Q7" s="9"/>
      <c r="R7" s="9"/>
      <c r="S7" s="9"/>
      <c r="T7" s="9"/>
      <c r="U7" s="9"/>
      <c r="V7" s="9"/>
      <c r="W7" s="9"/>
      <c r="X7" s="9"/>
      <c r="Y7" s="9"/>
    </row>
    <row r="8" spans="2:25" x14ac:dyDescent="0.2">
      <c r="G8" s="9"/>
      <c r="H8" s="9"/>
      <c r="I8" s="9"/>
      <c r="J8" s="9"/>
      <c r="K8" s="9"/>
      <c r="L8" s="9"/>
      <c r="M8" s="9"/>
      <c r="N8" s="9"/>
      <c r="O8" s="9"/>
      <c r="P8" s="9"/>
      <c r="Q8" s="9"/>
      <c r="R8" s="9"/>
      <c r="S8" s="9"/>
      <c r="T8" s="9"/>
      <c r="U8" s="9"/>
      <c r="V8" s="9"/>
      <c r="W8" s="9"/>
      <c r="X8" s="9"/>
      <c r="Y8" s="9"/>
    </row>
    <row r="9" spans="2:25" x14ac:dyDescent="0.2">
      <c r="G9" s="9"/>
      <c r="H9" s="9"/>
      <c r="I9" s="9"/>
      <c r="J9" s="9"/>
      <c r="K9" s="9"/>
      <c r="L9" s="9"/>
      <c r="M9" s="9"/>
      <c r="N9" s="9"/>
      <c r="O9" s="9"/>
      <c r="P9" s="9"/>
      <c r="Q9" s="9"/>
      <c r="R9" s="9"/>
      <c r="S9" s="9"/>
      <c r="T9" s="9"/>
      <c r="U9" s="9"/>
      <c r="V9" s="9"/>
      <c r="W9" s="9"/>
      <c r="X9" s="9"/>
      <c r="Y9" s="9"/>
    </row>
    <row r="10" spans="2:25" x14ac:dyDescent="0.2">
      <c r="G10" s="9"/>
      <c r="H10" s="9"/>
      <c r="I10" s="9"/>
      <c r="J10" s="9"/>
      <c r="K10" s="9"/>
      <c r="L10" s="9"/>
      <c r="M10" s="9"/>
      <c r="N10" s="9"/>
      <c r="O10" s="9"/>
      <c r="P10" s="9"/>
      <c r="Q10" s="9"/>
      <c r="R10" s="9"/>
      <c r="S10" s="9"/>
      <c r="T10" s="9"/>
      <c r="U10" s="9"/>
      <c r="V10" s="9"/>
      <c r="W10" s="9"/>
      <c r="X10" s="9"/>
      <c r="Y10" s="9"/>
    </row>
    <row r="11" spans="2:25" x14ac:dyDescent="0.2">
      <c r="G11" s="9"/>
      <c r="H11" s="9"/>
      <c r="I11" s="9"/>
      <c r="J11" s="9"/>
      <c r="K11" s="9"/>
      <c r="L11" s="9"/>
      <c r="M11" s="9"/>
      <c r="N11" s="9"/>
      <c r="O11" s="9"/>
      <c r="P11" s="9"/>
      <c r="Q11" s="9"/>
      <c r="R11" s="9"/>
      <c r="S11" s="9"/>
      <c r="T11" s="9"/>
      <c r="U11" s="9"/>
      <c r="V11" s="9"/>
      <c r="W11" s="9"/>
      <c r="X11" s="9"/>
      <c r="Y11" s="9"/>
    </row>
    <row r="12" spans="2:25" x14ac:dyDescent="0.2">
      <c r="G12" s="9"/>
      <c r="H12" s="9"/>
      <c r="I12" s="9"/>
      <c r="J12" s="9"/>
      <c r="K12" s="9"/>
      <c r="L12" s="9"/>
      <c r="M12" s="9"/>
      <c r="N12" s="9"/>
      <c r="O12" s="9"/>
      <c r="P12" s="9"/>
      <c r="Q12" s="9"/>
      <c r="R12" s="9"/>
      <c r="S12" s="9"/>
      <c r="T12" s="9"/>
      <c r="U12" s="9"/>
      <c r="V12" s="9"/>
      <c r="W12" s="9"/>
      <c r="X12" s="9"/>
      <c r="Y12" s="9"/>
    </row>
    <row r="13" spans="2:25" x14ac:dyDescent="0.2">
      <c r="G13" s="9"/>
      <c r="H13" s="9"/>
      <c r="I13" s="9"/>
      <c r="J13" s="9"/>
      <c r="K13" s="9"/>
      <c r="L13" s="9"/>
      <c r="M13" s="9"/>
      <c r="N13" s="9"/>
      <c r="O13" s="9"/>
      <c r="P13" s="9"/>
      <c r="Q13" s="9"/>
      <c r="R13" s="9"/>
      <c r="S13" s="9"/>
      <c r="T13" s="9"/>
      <c r="U13" s="9"/>
      <c r="V13" s="9"/>
      <c r="W13" s="9"/>
      <c r="X13" s="9"/>
      <c r="Y13" s="9"/>
    </row>
    <row r="14" spans="2:25" x14ac:dyDescent="0.2">
      <c r="G14" s="9"/>
      <c r="H14" s="9"/>
      <c r="I14" s="9"/>
      <c r="J14" s="9"/>
      <c r="K14" s="9"/>
      <c r="L14" s="9"/>
      <c r="M14" s="9"/>
      <c r="N14" s="9"/>
      <c r="O14" s="9"/>
      <c r="P14" s="9"/>
      <c r="Q14" s="9"/>
      <c r="R14" s="9"/>
      <c r="S14" s="9"/>
      <c r="T14" s="9"/>
      <c r="U14" s="9"/>
      <c r="V14" s="9"/>
      <c r="W14" s="9"/>
      <c r="X14" s="9"/>
      <c r="Y14" s="9"/>
    </row>
    <row r="15" spans="2:25" x14ac:dyDescent="0.2">
      <c r="G15" s="9"/>
      <c r="H15" s="9"/>
      <c r="I15" s="9"/>
      <c r="J15" s="9"/>
      <c r="K15" s="9"/>
      <c r="L15" s="9"/>
      <c r="M15" s="9"/>
      <c r="N15" s="9"/>
      <c r="O15" s="9"/>
      <c r="P15" s="9"/>
      <c r="Q15" s="9"/>
      <c r="R15" s="9"/>
      <c r="S15" s="9"/>
      <c r="T15" s="9"/>
      <c r="U15" s="9"/>
      <c r="V15" s="9"/>
      <c r="W15" s="9"/>
      <c r="X15" s="9"/>
      <c r="Y15" s="9"/>
    </row>
    <row r="16" spans="2:25" x14ac:dyDescent="0.2">
      <c r="G16" s="9"/>
      <c r="H16" s="9"/>
      <c r="I16" s="9"/>
      <c r="J16" s="9"/>
      <c r="K16" s="9"/>
      <c r="L16" s="9"/>
      <c r="M16" s="9"/>
      <c r="N16" s="9"/>
      <c r="O16" s="9"/>
      <c r="P16" s="9"/>
      <c r="Q16" s="9"/>
      <c r="R16" s="9"/>
      <c r="S16" s="9"/>
      <c r="T16" s="9"/>
      <c r="U16" s="9"/>
      <c r="V16" s="9"/>
      <c r="W16" s="9"/>
      <c r="X16" s="9"/>
      <c r="Y16" s="9"/>
    </row>
    <row r="17" spans="7:25" x14ac:dyDescent="0.2">
      <c r="G17" s="9"/>
      <c r="H17" s="9"/>
      <c r="I17" s="9"/>
      <c r="J17" s="9"/>
      <c r="K17" s="9"/>
      <c r="L17" s="9"/>
      <c r="M17" s="9"/>
      <c r="N17" s="9"/>
      <c r="O17" s="9"/>
      <c r="P17" s="9"/>
      <c r="Q17" s="9"/>
      <c r="R17" s="9"/>
      <c r="S17" s="9"/>
      <c r="T17" s="9"/>
      <c r="U17" s="9"/>
      <c r="V17" s="9"/>
      <c r="W17" s="9"/>
      <c r="X17" s="9"/>
      <c r="Y17" s="9"/>
    </row>
    <row r="18" spans="7:25" x14ac:dyDescent="0.2">
      <c r="G18" s="9"/>
      <c r="H18" s="9"/>
      <c r="I18" s="9"/>
      <c r="J18" s="9"/>
      <c r="K18" s="9"/>
      <c r="L18" s="9"/>
      <c r="M18" s="9"/>
      <c r="N18" s="9"/>
      <c r="O18" s="9"/>
      <c r="P18" s="9"/>
      <c r="Q18" s="9"/>
      <c r="R18" s="9"/>
      <c r="S18" s="9"/>
      <c r="T18" s="9"/>
      <c r="U18" s="9"/>
      <c r="V18" s="9"/>
      <c r="W18" s="9"/>
      <c r="X18" s="9"/>
      <c r="Y18" s="9"/>
    </row>
    <row r="19" spans="7:25" x14ac:dyDescent="0.2">
      <c r="G19" s="9"/>
      <c r="H19" s="9"/>
      <c r="I19" s="9"/>
      <c r="J19" s="9"/>
      <c r="K19" s="9"/>
      <c r="L19" s="9"/>
      <c r="M19" s="9"/>
      <c r="N19" s="9"/>
      <c r="O19" s="9"/>
      <c r="P19" s="9"/>
      <c r="Q19" s="9"/>
      <c r="R19" s="9"/>
      <c r="S19" s="9"/>
      <c r="T19" s="9"/>
      <c r="U19" s="9"/>
      <c r="V19" s="9"/>
      <c r="W19" s="9"/>
      <c r="X19" s="9"/>
      <c r="Y19" s="9"/>
    </row>
    <row r="20" spans="7:25" x14ac:dyDescent="0.2">
      <c r="G20" s="9"/>
      <c r="H20" s="9"/>
      <c r="I20" s="9"/>
      <c r="J20" s="9"/>
      <c r="K20" s="9"/>
      <c r="L20" s="9"/>
      <c r="M20" s="9"/>
      <c r="N20" s="9"/>
      <c r="O20" s="9"/>
      <c r="P20" s="9"/>
      <c r="Q20" s="9"/>
      <c r="R20" s="9"/>
      <c r="S20" s="9"/>
      <c r="T20" s="9"/>
      <c r="U20" s="9"/>
      <c r="V20" s="9"/>
      <c r="W20" s="9"/>
      <c r="X20" s="9"/>
      <c r="Y20" s="9"/>
    </row>
    <row r="21" spans="7:25" x14ac:dyDescent="0.2">
      <c r="G21" s="9"/>
      <c r="H21" s="9"/>
      <c r="I21" s="9"/>
      <c r="J21" s="9"/>
      <c r="K21" s="9"/>
      <c r="L21" s="9"/>
      <c r="M21" s="9"/>
      <c r="N21" s="9"/>
      <c r="O21" s="9"/>
      <c r="P21" s="9"/>
      <c r="Q21" s="9"/>
      <c r="R21" s="9"/>
      <c r="S21" s="9"/>
      <c r="T21" s="9"/>
      <c r="U21" s="9"/>
      <c r="V21" s="9"/>
      <c r="W21" s="9"/>
      <c r="X21" s="9"/>
      <c r="Y21" s="9"/>
    </row>
    <row r="22" spans="7:25" x14ac:dyDescent="0.2">
      <c r="G22" s="9"/>
      <c r="H22" s="9"/>
      <c r="I22" s="9"/>
      <c r="J22" s="9"/>
      <c r="K22" s="9"/>
      <c r="L22" s="9"/>
      <c r="M22" s="9"/>
      <c r="N22" s="9"/>
      <c r="O22" s="9"/>
      <c r="P22" s="9"/>
      <c r="Q22" s="9"/>
      <c r="R22" s="9"/>
      <c r="S22" s="9"/>
      <c r="T22" s="9"/>
      <c r="U22" s="9"/>
      <c r="V22" s="9"/>
      <c r="W22" s="9"/>
      <c r="X22" s="9"/>
      <c r="Y22" s="9"/>
    </row>
    <row r="23" spans="7:25" x14ac:dyDescent="0.2">
      <c r="G23" s="9"/>
      <c r="H23" s="9"/>
      <c r="I23" s="9"/>
      <c r="J23" s="9"/>
      <c r="K23" s="9"/>
      <c r="L23" s="9"/>
      <c r="M23" s="9"/>
      <c r="N23" s="9"/>
      <c r="O23" s="9"/>
      <c r="P23" s="9"/>
      <c r="Q23" s="9"/>
      <c r="R23" s="9"/>
      <c r="S23" s="9"/>
      <c r="T23" s="9"/>
      <c r="U23" s="9"/>
      <c r="V23" s="9"/>
      <c r="W23" s="9"/>
      <c r="X23" s="9"/>
      <c r="Y23" s="9"/>
    </row>
    <row r="24" spans="7:25" x14ac:dyDescent="0.2">
      <c r="G24" s="9"/>
      <c r="H24" s="9"/>
      <c r="I24" s="9"/>
      <c r="J24" s="9"/>
      <c r="K24" s="9"/>
      <c r="L24" s="9"/>
      <c r="M24" s="9"/>
      <c r="N24" s="9"/>
      <c r="O24" s="9"/>
      <c r="P24" s="9"/>
      <c r="Q24" s="9"/>
      <c r="R24" s="9"/>
      <c r="S24" s="9"/>
      <c r="T24" s="9"/>
      <c r="U24" s="9"/>
      <c r="V24" s="9"/>
      <c r="W24" s="9"/>
      <c r="X24" s="9"/>
      <c r="Y24" s="9"/>
    </row>
    <row r="25" spans="7:25" x14ac:dyDescent="0.2">
      <c r="G25" s="9"/>
      <c r="H25" s="9"/>
      <c r="I25" s="9"/>
      <c r="J25" s="9"/>
      <c r="K25" s="9"/>
      <c r="L25" s="9"/>
      <c r="M25" s="9"/>
      <c r="N25" s="9"/>
      <c r="O25" s="9"/>
      <c r="P25" s="9"/>
      <c r="Q25" s="9"/>
      <c r="R25" s="9"/>
      <c r="S25" s="9"/>
      <c r="T25" s="9"/>
      <c r="U25" s="9"/>
      <c r="V25" s="9"/>
      <c r="W25" s="9"/>
      <c r="X25" s="9"/>
      <c r="Y25" s="9"/>
    </row>
    <row r="26" spans="7:25" x14ac:dyDescent="0.2">
      <c r="G26" s="9"/>
      <c r="H26" s="9"/>
      <c r="I26" s="9"/>
      <c r="J26" s="9"/>
      <c r="K26" s="9"/>
      <c r="L26" s="9"/>
      <c r="M26" s="9"/>
      <c r="N26" s="9"/>
      <c r="O26" s="9"/>
      <c r="P26" s="9"/>
      <c r="Q26" s="9"/>
      <c r="R26" s="9"/>
      <c r="S26" s="9"/>
      <c r="T26" s="9"/>
      <c r="U26" s="9"/>
      <c r="V26" s="9"/>
      <c r="W26" s="9"/>
      <c r="X26" s="9"/>
      <c r="Y26" s="9"/>
    </row>
    <row r="27" spans="7:25" x14ac:dyDescent="0.2">
      <c r="G27" s="9"/>
      <c r="H27" s="9"/>
      <c r="I27" s="9"/>
      <c r="J27" s="9"/>
      <c r="K27" s="9"/>
      <c r="L27" s="9"/>
      <c r="M27" s="9"/>
      <c r="N27" s="9"/>
      <c r="O27" s="9"/>
      <c r="P27" s="9"/>
      <c r="Q27" s="9"/>
      <c r="R27" s="9"/>
      <c r="S27" s="9"/>
      <c r="T27" s="9"/>
      <c r="U27" s="9"/>
      <c r="V27" s="9"/>
      <c r="W27" s="9"/>
      <c r="X27" s="9"/>
      <c r="Y27" s="9"/>
    </row>
    <row r="28" spans="7:25" x14ac:dyDescent="0.2">
      <c r="G28" s="9"/>
      <c r="H28" s="9"/>
      <c r="I28" s="9"/>
      <c r="J28" s="9"/>
      <c r="K28" s="9"/>
      <c r="L28" s="9"/>
      <c r="M28" s="9"/>
      <c r="N28" s="9"/>
      <c r="O28" s="9"/>
      <c r="P28" s="9"/>
      <c r="Q28" s="9"/>
      <c r="R28" s="9"/>
      <c r="S28" s="9"/>
      <c r="T28" s="9"/>
      <c r="U28" s="9"/>
      <c r="V28" s="9"/>
      <c r="W28" s="9"/>
      <c r="X28" s="9"/>
      <c r="Y28" s="9"/>
    </row>
    <row r="29" spans="7:25" x14ac:dyDescent="0.2">
      <c r="G29" s="9"/>
      <c r="H29" s="9"/>
      <c r="I29" s="9"/>
      <c r="J29" s="9"/>
      <c r="K29" s="9"/>
      <c r="L29" s="9"/>
      <c r="M29" s="9"/>
      <c r="N29" s="9"/>
      <c r="O29" s="9"/>
      <c r="P29" s="9"/>
      <c r="Q29" s="9"/>
      <c r="R29" s="9"/>
      <c r="S29" s="9"/>
      <c r="T29" s="9"/>
      <c r="U29" s="9"/>
      <c r="V29" s="9"/>
      <c r="W29" s="9"/>
      <c r="X29" s="9"/>
      <c r="Y29" s="9"/>
    </row>
    <row r="30" spans="7:25" x14ac:dyDescent="0.2">
      <c r="G30" s="9"/>
      <c r="H30" s="9"/>
      <c r="I30" s="9"/>
      <c r="J30" s="9"/>
      <c r="K30" s="9"/>
      <c r="L30" s="9"/>
      <c r="M30" s="9"/>
      <c r="N30" s="9"/>
      <c r="O30" s="9"/>
      <c r="P30" s="9"/>
      <c r="Q30" s="9"/>
      <c r="R30" s="9"/>
      <c r="S30" s="9"/>
      <c r="T30" s="9"/>
      <c r="U30" s="9"/>
      <c r="V30" s="9"/>
      <c r="W30" s="9"/>
      <c r="X30" s="9"/>
      <c r="Y30" s="9"/>
    </row>
    <row r="31" spans="7:25" x14ac:dyDescent="0.2">
      <c r="G31" s="9"/>
      <c r="H31" s="9"/>
      <c r="I31" s="9"/>
      <c r="J31" s="9"/>
      <c r="K31" s="9"/>
      <c r="L31" s="9"/>
      <c r="M31" s="9"/>
      <c r="N31" s="9"/>
      <c r="O31" s="9"/>
      <c r="P31" s="9"/>
      <c r="Q31" s="9"/>
      <c r="R31" s="9"/>
      <c r="S31" s="9"/>
      <c r="T31" s="9"/>
      <c r="U31" s="9"/>
      <c r="V31" s="9"/>
      <c r="W31" s="9"/>
      <c r="X31" s="9"/>
      <c r="Y31" s="9"/>
    </row>
    <row r="32" spans="7:25" x14ac:dyDescent="0.2">
      <c r="G32" s="9"/>
      <c r="H32" s="9"/>
      <c r="I32" s="9"/>
      <c r="J32" s="9"/>
      <c r="K32" s="9"/>
      <c r="L32" s="9"/>
      <c r="M32" s="9"/>
      <c r="N32" s="9"/>
      <c r="O32" s="9"/>
      <c r="P32" s="9"/>
      <c r="Q32" s="9"/>
      <c r="R32" s="9"/>
      <c r="S32" s="9"/>
      <c r="T32" s="9"/>
      <c r="U32" s="9"/>
      <c r="V32" s="9"/>
      <c r="W32" s="9"/>
      <c r="X32" s="9"/>
      <c r="Y32" s="9"/>
    </row>
    <row r="33" spans="7:25" x14ac:dyDescent="0.2">
      <c r="G33" s="9"/>
      <c r="H33" s="9"/>
      <c r="I33" s="9"/>
      <c r="J33" s="9"/>
      <c r="K33" s="9"/>
      <c r="L33" s="9"/>
      <c r="M33" s="9"/>
      <c r="N33" s="9"/>
      <c r="O33" s="9"/>
      <c r="P33" s="9"/>
      <c r="Q33" s="9"/>
      <c r="R33" s="9"/>
      <c r="S33" s="9"/>
      <c r="T33" s="9"/>
      <c r="U33" s="9"/>
      <c r="V33" s="9"/>
      <c r="W33" s="9"/>
      <c r="X33" s="9"/>
      <c r="Y33" s="9"/>
    </row>
    <row r="34" spans="7:25" x14ac:dyDescent="0.2">
      <c r="G34" s="9"/>
      <c r="H34" s="9"/>
      <c r="I34" s="9"/>
      <c r="J34" s="9"/>
      <c r="K34" s="9"/>
      <c r="L34" s="9"/>
      <c r="M34" s="9"/>
      <c r="N34" s="9"/>
      <c r="O34" s="9"/>
      <c r="P34" s="9"/>
      <c r="Q34" s="9"/>
      <c r="R34" s="9"/>
      <c r="S34" s="9"/>
      <c r="T34" s="9"/>
      <c r="U34" s="9"/>
      <c r="V34" s="9"/>
      <c r="W34" s="9"/>
      <c r="X34" s="9"/>
      <c r="Y34" s="9"/>
    </row>
    <row r="35" spans="7:25" x14ac:dyDescent="0.2">
      <c r="G35" s="9"/>
      <c r="H35" s="9"/>
      <c r="I35" s="9"/>
      <c r="J35" s="9"/>
      <c r="K35" s="9"/>
      <c r="L35" s="9"/>
      <c r="M35" s="9"/>
      <c r="N35" s="9"/>
      <c r="O35" s="9"/>
      <c r="P35" s="9"/>
      <c r="Q35" s="9"/>
      <c r="R35" s="9"/>
      <c r="S35" s="9"/>
      <c r="T35" s="9"/>
      <c r="U35" s="9"/>
      <c r="V35" s="9"/>
      <c r="W35" s="9"/>
      <c r="X35" s="9"/>
      <c r="Y35" s="9"/>
    </row>
    <row r="36" spans="7:25" x14ac:dyDescent="0.2">
      <c r="G36" s="9"/>
      <c r="H36" s="9"/>
      <c r="I36" s="9"/>
      <c r="J36" s="9"/>
      <c r="K36" s="9"/>
      <c r="L36" s="9"/>
      <c r="M36" s="9"/>
      <c r="N36" s="9"/>
      <c r="O36" s="9"/>
      <c r="P36" s="9"/>
      <c r="Q36" s="9"/>
      <c r="R36" s="9"/>
      <c r="S36" s="9"/>
      <c r="T36" s="9"/>
      <c r="U36" s="9"/>
      <c r="V36" s="9"/>
      <c r="W36" s="9"/>
      <c r="X36" s="9"/>
      <c r="Y36" s="9"/>
    </row>
    <row r="37" spans="7:25" x14ac:dyDescent="0.2">
      <c r="G37" s="9"/>
      <c r="H37" s="9"/>
      <c r="I37" s="9"/>
      <c r="J37" s="9"/>
      <c r="K37" s="9"/>
      <c r="L37" s="9"/>
      <c r="M37" s="9"/>
      <c r="N37" s="9"/>
      <c r="O37" s="9"/>
      <c r="P37" s="9"/>
      <c r="Q37" s="9"/>
      <c r="R37" s="9"/>
      <c r="S37" s="9"/>
      <c r="T37" s="9"/>
      <c r="U37" s="9"/>
      <c r="V37" s="9"/>
      <c r="W37" s="9"/>
      <c r="X37" s="9"/>
      <c r="Y37" s="9"/>
    </row>
    <row r="38" spans="7:25" x14ac:dyDescent="0.2">
      <c r="G38" s="9"/>
      <c r="H38" s="9"/>
      <c r="I38" s="9"/>
      <c r="J38" s="9"/>
      <c r="K38" s="9"/>
      <c r="L38" s="9"/>
      <c r="M38" s="9"/>
      <c r="N38" s="9"/>
      <c r="O38" s="9"/>
      <c r="P38" s="9"/>
      <c r="Q38" s="9"/>
      <c r="R38" s="9"/>
      <c r="S38" s="9"/>
      <c r="T38" s="9"/>
      <c r="U38" s="9"/>
      <c r="V38" s="9"/>
      <c r="W38" s="9"/>
      <c r="X38" s="9"/>
      <c r="Y38" s="9"/>
    </row>
    <row r="39" spans="7:25" x14ac:dyDescent="0.2">
      <c r="G39" s="9"/>
      <c r="H39" s="9"/>
      <c r="I39" s="9"/>
      <c r="J39" s="9"/>
      <c r="K39" s="9"/>
      <c r="L39" s="9"/>
      <c r="M39" s="9"/>
      <c r="N39" s="9"/>
      <c r="O39" s="9"/>
      <c r="P39" s="9"/>
      <c r="Q39" s="9"/>
      <c r="R39" s="9"/>
      <c r="S39" s="9"/>
      <c r="T39" s="9"/>
      <c r="U39" s="9"/>
      <c r="V39" s="9"/>
      <c r="W39" s="9"/>
      <c r="X39" s="9"/>
      <c r="Y39" s="9"/>
    </row>
    <row r="40" spans="7:25" x14ac:dyDescent="0.2">
      <c r="G40" s="9"/>
      <c r="H40" s="9"/>
      <c r="I40" s="9"/>
      <c r="J40" s="9"/>
      <c r="K40" s="9"/>
      <c r="L40" s="9"/>
      <c r="M40" s="9"/>
      <c r="N40" s="9"/>
      <c r="O40" s="9"/>
      <c r="P40" s="9"/>
      <c r="Q40" s="9"/>
      <c r="R40" s="9"/>
      <c r="S40" s="9"/>
      <c r="T40" s="9"/>
      <c r="U40" s="9"/>
      <c r="V40" s="9"/>
      <c r="W40" s="9"/>
      <c r="X40" s="9"/>
      <c r="Y40" s="9"/>
    </row>
    <row r="41" spans="7:25" x14ac:dyDescent="0.2">
      <c r="G41" s="9"/>
      <c r="H41" s="9"/>
      <c r="I41" s="9"/>
      <c r="J41" s="9"/>
      <c r="K41" s="9"/>
      <c r="L41" s="9"/>
      <c r="M41" s="9"/>
      <c r="N41" s="9"/>
      <c r="O41" s="9"/>
      <c r="P41" s="9"/>
      <c r="Q41" s="9"/>
      <c r="R41" s="9"/>
      <c r="S41" s="9"/>
      <c r="T41" s="9"/>
      <c r="U41" s="9"/>
      <c r="V41" s="9"/>
      <c r="W41" s="9"/>
      <c r="X41" s="9"/>
      <c r="Y41" s="9"/>
    </row>
    <row r="42" spans="7:25" x14ac:dyDescent="0.2">
      <c r="G42" s="9"/>
      <c r="H42" s="9"/>
      <c r="I42" s="9"/>
      <c r="J42" s="9"/>
      <c r="K42" s="9"/>
      <c r="L42" s="9"/>
      <c r="M42" s="9"/>
      <c r="N42" s="9"/>
      <c r="O42" s="9"/>
      <c r="P42" s="9"/>
      <c r="Q42" s="9"/>
      <c r="R42" s="9"/>
      <c r="S42" s="9"/>
      <c r="T42" s="9"/>
      <c r="U42" s="9"/>
      <c r="V42" s="9"/>
      <c r="W42" s="9"/>
      <c r="X42" s="9"/>
      <c r="Y42" s="9"/>
    </row>
    <row r="43" spans="7:25" x14ac:dyDescent="0.2">
      <c r="G43" s="9"/>
      <c r="H43" s="9"/>
      <c r="I43" s="9"/>
      <c r="J43" s="9"/>
      <c r="K43" s="9"/>
      <c r="L43" s="9"/>
      <c r="M43" s="9"/>
      <c r="N43" s="9"/>
      <c r="O43" s="9"/>
      <c r="P43" s="9"/>
      <c r="Q43" s="9"/>
      <c r="R43" s="9"/>
      <c r="S43" s="9"/>
      <c r="T43" s="9"/>
      <c r="U43" s="9"/>
      <c r="V43" s="9"/>
      <c r="W43" s="9"/>
      <c r="X43" s="9"/>
      <c r="Y43" s="9"/>
    </row>
    <row r="44" spans="7:25" x14ac:dyDescent="0.2">
      <c r="G44" s="9"/>
      <c r="H44" s="9"/>
      <c r="I44" s="9"/>
      <c r="J44" s="9"/>
      <c r="K44" s="9"/>
      <c r="L44" s="9"/>
      <c r="M44" s="9"/>
      <c r="N44" s="9"/>
      <c r="O44" s="9"/>
      <c r="P44" s="9"/>
      <c r="Q44" s="9"/>
      <c r="R44" s="9"/>
      <c r="S44" s="9"/>
      <c r="T44" s="9"/>
      <c r="U44" s="9"/>
      <c r="V44" s="9"/>
      <c r="W44" s="9"/>
      <c r="X44" s="9"/>
      <c r="Y44" s="9"/>
    </row>
    <row r="45" spans="7:25" x14ac:dyDescent="0.2">
      <c r="G45" s="9"/>
      <c r="H45" s="9"/>
      <c r="I45" s="9"/>
      <c r="J45" s="9"/>
      <c r="K45" s="9"/>
      <c r="L45" s="9"/>
      <c r="M45" s="9"/>
      <c r="N45" s="9"/>
      <c r="O45" s="9"/>
      <c r="P45" s="9"/>
      <c r="Q45" s="9"/>
      <c r="R45" s="9"/>
      <c r="S45" s="9"/>
      <c r="T45" s="9"/>
      <c r="U45" s="9"/>
      <c r="V45" s="9"/>
      <c r="W45" s="9"/>
      <c r="X45" s="9"/>
      <c r="Y45" s="9"/>
    </row>
    <row r="46" spans="7:25" x14ac:dyDescent="0.2">
      <c r="G46" s="9"/>
      <c r="H46" s="9"/>
      <c r="I46" s="9"/>
      <c r="J46" s="9"/>
      <c r="K46" s="9"/>
      <c r="L46" s="9"/>
      <c r="M46" s="9"/>
      <c r="N46" s="9"/>
      <c r="O46" s="9"/>
      <c r="P46" s="9"/>
      <c r="Q46" s="9"/>
      <c r="R46" s="9"/>
      <c r="S46" s="9"/>
      <c r="T46" s="9"/>
      <c r="U46" s="9"/>
      <c r="V46" s="9"/>
      <c r="W46" s="9"/>
      <c r="X46" s="9"/>
      <c r="Y46" s="9"/>
    </row>
    <row r="47" spans="7:25" x14ac:dyDescent="0.2">
      <c r="G47" s="9"/>
      <c r="H47" s="9"/>
      <c r="I47" s="9"/>
      <c r="J47" s="9"/>
      <c r="K47" s="9"/>
      <c r="L47" s="9"/>
      <c r="M47" s="9"/>
      <c r="N47" s="9"/>
      <c r="O47" s="9"/>
      <c r="P47" s="9"/>
      <c r="Q47" s="9"/>
      <c r="R47" s="9"/>
      <c r="S47" s="9"/>
      <c r="T47" s="9"/>
      <c r="U47" s="9"/>
      <c r="V47" s="9"/>
      <c r="W47" s="9"/>
      <c r="X47" s="9"/>
      <c r="Y47" s="9"/>
    </row>
    <row r="48" spans="7:25" x14ac:dyDescent="0.2">
      <c r="G48" s="9"/>
      <c r="H48" s="9"/>
      <c r="I48" s="9"/>
      <c r="J48" s="9"/>
      <c r="K48" s="9"/>
      <c r="L48" s="9"/>
      <c r="M48" s="9"/>
      <c r="N48" s="9"/>
      <c r="O48" s="9"/>
      <c r="P48" s="9"/>
      <c r="Q48" s="9"/>
      <c r="R48" s="9"/>
      <c r="S48" s="9"/>
      <c r="T48" s="9"/>
      <c r="U48" s="9"/>
      <c r="V48" s="9"/>
      <c r="W48" s="9"/>
      <c r="X48" s="9"/>
      <c r="Y48" s="9"/>
    </row>
    <row r="49" spans="2:25" x14ac:dyDescent="0.2">
      <c r="G49" s="9"/>
      <c r="H49" s="9"/>
      <c r="I49" s="9"/>
      <c r="J49" s="9"/>
      <c r="K49" s="9"/>
      <c r="L49" s="9"/>
      <c r="M49" s="9"/>
      <c r="N49" s="9"/>
      <c r="O49" s="9"/>
      <c r="P49" s="9"/>
      <c r="Q49" s="9"/>
      <c r="R49" s="9"/>
      <c r="S49" s="9"/>
      <c r="T49" s="9"/>
      <c r="U49" s="9"/>
      <c r="V49" s="9"/>
      <c r="W49" s="9"/>
      <c r="X49" s="9"/>
      <c r="Y49" s="9"/>
    </row>
    <row r="50" spans="2:25" x14ac:dyDescent="0.2">
      <c r="G50" s="9"/>
      <c r="H50" s="9"/>
      <c r="I50" s="9"/>
      <c r="J50" s="9"/>
      <c r="K50" s="9"/>
      <c r="L50" s="9"/>
      <c r="M50" s="9"/>
      <c r="N50" s="9"/>
      <c r="O50" s="9"/>
      <c r="P50" s="9"/>
      <c r="Q50" s="9"/>
      <c r="R50" s="9"/>
      <c r="S50" s="9"/>
      <c r="T50" s="9"/>
      <c r="U50" s="9"/>
      <c r="V50" s="9"/>
      <c r="W50" s="9"/>
      <c r="X50" s="9"/>
      <c r="Y50" s="9"/>
    </row>
    <row r="51" spans="2:25" x14ac:dyDescent="0.2">
      <c r="G51" s="9"/>
      <c r="H51" s="9"/>
      <c r="I51" s="9"/>
      <c r="J51" s="9"/>
      <c r="K51" s="9"/>
      <c r="L51" s="9"/>
      <c r="M51" s="9"/>
      <c r="N51" s="9"/>
      <c r="O51" s="9"/>
      <c r="P51" s="9"/>
      <c r="Q51" s="9"/>
      <c r="R51" s="9"/>
      <c r="S51" s="9"/>
      <c r="T51" s="9"/>
      <c r="U51" s="9"/>
      <c r="V51" s="9"/>
      <c r="W51" s="9"/>
      <c r="X51" s="9"/>
      <c r="Y51" s="9"/>
    </row>
    <row r="52" spans="2:25" x14ac:dyDescent="0.2">
      <c r="G52" s="9"/>
      <c r="H52" s="9"/>
      <c r="I52" s="9"/>
      <c r="J52" s="9"/>
      <c r="K52" s="9"/>
      <c r="L52" s="9"/>
      <c r="M52" s="9"/>
      <c r="N52" s="9"/>
      <c r="O52" s="9"/>
      <c r="P52" s="9"/>
      <c r="Q52" s="9"/>
      <c r="R52" s="9"/>
      <c r="S52" s="9"/>
      <c r="T52" s="9"/>
      <c r="U52" s="9"/>
      <c r="V52" s="9"/>
      <c r="W52" s="9"/>
      <c r="X52" s="9"/>
      <c r="Y52" s="9"/>
    </row>
    <row r="53" spans="2:25" ht="15.75" x14ac:dyDescent="0.25">
      <c r="F53" s="23"/>
      <c r="G53" s="9"/>
      <c r="H53" s="9"/>
      <c r="I53" s="9"/>
      <c r="J53" s="9"/>
      <c r="K53" s="9"/>
      <c r="L53" s="9"/>
      <c r="M53" s="9"/>
      <c r="N53" s="9"/>
      <c r="O53" s="9"/>
      <c r="P53" s="9"/>
      <c r="Q53" s="9"/>
      <c r="R53" s="9"/>
      <c r="S53" s="9"/>
      <c r="T53" s="9"/>
      <c r="U53" s="9"/>
      <c r="V53" s="9"/>
      <c r="W53" s="9"/>
      <c r="X53" s="9"/>
      <c r="Y53" s="9"/>
    </row>
    <row r="54" spans="2:25" x14ac:dyDescent="0.2">
      <c r="G54" s="9"/>
      <c r="H54" s="9"/>
      <c r="I54" s="9"/>
      <c r="J54" s="9"/>
      <c r="K54" s="9"/>
      <c r="L54" s="9"/>
      <c r="M54" s="9"/>
      <c r="N54" s="9"/>
      <c r="O54" s="9"/>
      <c r="P54" s="9"/>
      <c r="Q54" s="9"/>
      <c r="R54" s="9"/>
      <c r="S54" s="9"/>
      <c r="T54" s="9"/>
      <c r="U54" s="9"/>
      <c r="V54" s="9"/>
      <c r="W54" s="9"/>
      <c r="X54" s="9"/>
      <c r="Y54" s="9"/>
    </row>
    <row r="55" spans="2:25" ht="15.75" x14ac:dyDescent="0.25">
      <c r="B55" s="50" t="s">
        <v>280</v>
      </c>
      <c r="G55" s="9"/>
      <c r="H55" s="9"/>
      <c r="I55" s="9"/>
      <c r="J55" s="9"/>
      <c r="K55" s="9"/>
      <c r="L55" s="9"/>
      <c r="M55" s="9"/>
      <c r="N55" s="9"/>
      <c r="O55" s="9"/>
      <c r="P55" s="9"/>
      <c r="Q55" s="9"/>
      <c r="R55" s="9"/>
      <c r="S55" s="9"/>
      <c r="T55" s="9"/>
      <c r="U55" s="9"/>
      <c r="V55" s="9"/>
      <c r="W55" s="9"/>
      <c r="X55" s="9"/>
      <c r="Y55" s="9"/>
    </row>
    <row r="56" spans="2:25" ht="16.5" thickBot="1" x14ac:dyDescent="0.3">
      <c r="C56" s="16" t="s">
        <v>3</v>
      </c>
      <c r="G56" s="9"/>
      <c r="H56" s="68"/>
      <c r="I56" s="9"/>
      <c r="J56" s="9"/>
      <c r="K56" s="9"/>
      <c r="L56" s="9"/>
      <c r="M56" s="9"/>
      <c r="N56" s="9"/>
      <c r="O56" s="9"/>
      <c r="P56" s="9"/>
      <c r="Q56" s="9"/>
      <c r="R56" s="9"/>
      <c r="S56" s="9"/>
      <c r="T56" s="9"/>
      <c r="U56" s="9"/>
      <c r="V56" s="9"/>
      <c r="W56" s="9"/>
      <c r="X56" s="9"/>
      <c r="Y56" s="9"/>
    </row>
    <row r="57" spans="2:25" x14ac:dyDescent="0.2">
      <c r="B57" s="13" t="s">
        <v>106</v>
      </c>
      <c r="C57" s="76">
        <v>2609</v>
      </c>
      <c r="D57" s="7" t="s">
        <v>41</v>
      </c>
      <c r="G57" s="9"/>
      <c r="H57" s="68"/>
      <c r="I57" s="9"/>
      <c r="J57" s="9"/>
      <c r="K57" s="9"/>
      <c r="L57" s="9"/>
      <c r="M57" s="9"/>
      <c r="N57" s="9"/>
      <c r="O57" s="9"/>
      <c r="P57" s="9"/>
      <c r="Q57" s="9"/>
      <c r="R57" s="9"/>
      <c r="S57" s="9"/>
      <c r="T57" s="9"/>
      <c r="U57" s="9"/>
      <c r="V57" s="9"/>
      <c r="W57" s="9"/>
      <c r="X57" s="9"/>
      <c r="Y57" s="9"/>
    </row>
    <row r="58" spans="2:25" x14ac:dyDescent="0.2">
      <c r="B58" s="13" t="s">
        <v>104</v>
      </c>
      <c r="C58" s="77">
        <v>772</v>
      </c>
      <c r="D58" s="7" t="s">
        <v>41</v>
      </c>
      <c r="G58" s="11"/>
      <c r="H58" s="68"/>
      <c r="I58" s="9"/>
      <c r="J58" s="9"/>
      <c r="K58" s="9"/>
      <c r="L58" s="9"/>
      <c r="M58" s="9"/>
      <c r="N58" s="9"/>
      <c r="O58" s="9"/>
      <c r="P58" s="9"/>
      <c r="Q58" s="9"/>
      <c r="R58" s="9"/>
      <c r="S58" s="9"/>
      <c r="T58" s="9"/>
      <c r="U58" s="9"/>
      <c r="V58" s="9"/>
      <c r="W58" s="9"/>
      <c r="X58" s="9"/>
      <c r="Y58" s="9"/>
    </row>
    <row r="59" spans="2:25" x14ac:dyDescent="0.2">
      <c r="B59" s="13" t="s">
        <v>103</v>
      </c>
      <c r="C59" s="77">
        <v>90</v>
      </c>
      <c r="D59" s="7" t="s">
        <v>15</v>
      </c>
      <c r="G59" s="9"/>
      <c r="H59" s="68"/>
      <c r="I59" s="9"/>
      <c r="J59" s="9"/>
      <c r="K59" s="9"/>
      <c r="L59" s="9"/>
      <c r="M59" s="9"/>
      <c r="N59" s="9"/>
      <c r="O59" s="9"/>
      <c r="P59" s="9"/>
      <c r="Q59" s="9"/>
      <c r="R59" s="9"/>
      <c r="S59" s="9"/>
      <c r="T59" s="9"/>
      <c r="U59" s="9"/>
      <c r="V59" s="9"/>
      <c r="W59" s="9"/>
      <c r="X59" s="9"/>
      <c r="Y59" s="9"/>
    </row>
    <row r="60" spans="2:25" x14ac:dyDescent="0.2">
      <c r="B60" s="13" t="s">
        <v>105</v>
      </c>
      <c r="C60" s="77">
        <v>15</v>
      </c>
      <c r="D60" s="7" t="s">
        <v>15</v>
      </c>
      <c r="G60" s="9"/>
      <c r="H60" s="68"/>
      <c r="I60" s="9"/>
      <c r="J60" s="9"/>
      <c r="K60" s="9"/>
      <c r="L60" s="9"/>
      <c r="M60" s="9"/>
      <c r="N60" s="9"/>
      <c r="O60" s="9"/>
      <c r="P60" s="9"/>
      <c r="Q60" s="9"/>
      <c r="R60" s="9"/>
      <c r="S60" s="9"/>
      <c r="T60" s="9"/>
      <c r="U60" s="9"/>
      <c r="V60" s="9"/>
      <c r="W60" s="9"/>
      <c r="X60" s="9"/>
      <c r="Y60" s="9"/>
    </row>
    <row r="61" spans="2:25" x14ac:dyDescent="0.2">
      <c r="B61" s="13" t="s">
        <v>141</v>
      </c>
      <c r="C61" s="77">
        <v>30</v>
      </c>
      <c r="D61" s="7" t="s">
        <v>16</v>
      </c>
      <c r="G61" s="9"/>
      <c r="H61" s="68"/>
      <c r="I61" s="9"/>
      <c r="J61" s="9"/>
      <c r="K61" s="9"/>
      <c r="L61" s="9"/>
      <c r="M61" s="9"/>
      <c r="N61" s="9"/>
      <c r="O61" s="9"/>
      <c r="P61" s="9"/>
      <c r="Q61" s="9"/>
      <c r="R61" s="9"/>
      <c r="S61" s="9"/>
      <c r="T61" s="9"/>
      <c r="U61" s="9"/>
      <c r="V61" s="9"/>
      <c r="W61" s="9"/>
      <c r="X61" s="9"/>
      <c r="Y61" s="9"/>
    </row>
    <row r="62" spans="2:25" x14ac:dyDescent="0.2">
      <c r="B62" s="13" t="s">
        <v>108</v>
      </c>
      <c r="C62" s="77">
        <v>8</v>
      </c>
      <c r="D62" s="7" t="s">
        <v>16</v>
      </c>
      <c r="G62" s="9"/>
      <c r="H62" s="68"/>
      <c r="I62" s="9"/>
      <c r="J62" s="9"/>
      <c r="K62" s="9"/>
      <c r="L62" s="9"/>
      <c r="M62" s="9"/>
      <c r="N62" s="9"/>
      <c r="O62" s="9"/>
      <c r="P62" s="9"/>
      <c r="Q62" s="9"/>
      <c r="R62" s="9"/>
      <c r="S62" s="9"/>
      <c r="T62" s="9"/>
      <c r="U62" s="9"/>
      <c r="V62" s="9"/>
      <c r="W62" s="9"/>
      <c r="X62" s="9"/>
      <c r="Y62" s="9"/>
    </row>
    <row r="63" spans="2:25" x14ac:dyDescent="0.2">
      <c r="B63" s="13" t="s">
        <v>107</v>
      </c>
      <c r="C63" s="77">
        <v>40</v>
      </c>
      <c r="D63" s="7" t="s">
        <v>16</v>
      </c>
      <c r="G63" s="9"/>
      <c r="H63" s="68"/>
      <c r="I63" s="9"/>
      <c r="J63" s="9"/>
      <c r="K63" s="9"/>
      <c r="L63" s="9"/>
      <c r="M63" s="9"/>
      <c r="N63" s="9"/>
      <c r="O63" s="9"/>
      <c r="P63" s="9"/>
      <c r="Q63" s="9"/>
      <c r="R63" s="9"/>
      <c r="S63" s="9"/>
      <c r="T63" s="9"/>
      <c r="U63" s="9"/>
      <c r="V63" s="9"/>
      <c r="W63" s="9"/>
      <c r="X63" s="9"/>
      <c r="Y63" s="9"/>
    </row>
    <row r="64" spans="2:25" x14ac:dyDescent="0.2">
      <c r="B64" s="13" t="s">
        <v>140</v>
      </c>
      <c r="C64" s="77">
        <v>3.5</v>
      </c>
      <c r="D64" s="7" t="s">
        <v>16</v>
      </c>
      <c r="G64" s="9"/>
      <c r="H64" s="68"/>
      <c r="I64" s="9"/>
      <c r="J64" s="9"/>
      <c r="K64" s="9"/>
      <c r="L64" s="9"/>
      <c r="M64" s="9"/>
      <c r="N64" s="9"/>
      <c r="O64" s="9"/>
      <c r="P64" s="9"/>
      <c r="Q64" s="9"/>
      <c r="R64" s="9"/>
      <c r="S64" s="9"/>
      <c r="T64" s="9"/>
      <c r="U64" s="9"/>
      <c r="V64" s="9"/>
      <c r="W64" s="9"/>
      <c r="X64" s="9"/>
      <c r="Y64" s="9"/>
    </row>
    <row r="65" spans="2:25" ht="15.75" thickBot="1" x14ac:dyDescent="0.25">
      <c r="B65" s="13" t="s">
        <v>77</v>
      </c>
      <c r="C65" s="80">
        <v>36</v>
      </c>
      <c r="D65" s="7" t="s">
        <v>41</v>
      </c>
      <c r="G65" s="9"/>
      <c r="H65" s="68"/>
      <c r="I65" s="9"/>
      <c r="J65" s="9"/>
      <c r="K65" s="9"/>
      <c r="L65" s="9"/>
      <c r="M65" s="9"/>
      <c r="N65" s="9"/>
      <c r="O65" s="9"/>
      <c r="P65" s="9"/>
      <c r="Q65" s="9"/>
      <c r="R65" s="9"/>
      <c r="S65" s="9"/>
      <c r="T65" s="9"/>
      <c r="U65" s="9"/>
      <c r="V65" s="9"/>
      <c r="W65" s="9"/>
      <c r="X65" s="9"/>
      <c r="Y65" s="9"/>
    </row>
    <row r="66" spans="2:25" ht="15.75" x14ac:dyDescent="0.25">
      <c r="B66" s="50" t="s">
        <v>318</v>
      </c>
      <c r="C66" s="16" t="s">
        <v>110</v>
      </c>
      <c r="G66" s="9"/>
      <c r="H66" s="68"/>
      <c r="I66" s="9"/>
      <c r="J66" s="9"/>
      <c r="K66" s="9"/>
      <c r="L66" s="9"/>
      <c r="M66" s="9"/>
      <c r="N66" s="9"/>
      <c r="O66" s="9"/>
      <c r="P66" s="9"/>
      <c r="Q66" s="9"/>
      <c r="R66" s="9"/>
      <c r="S66" s="9"/>
      <c r="T66" s="9"/>
      <c r="U66" s="9"/>
      <c r="V66" s="9"/>
      <c r="W66" s="9"/>
      <c r="X66" s="9"/>
      <c r="Y66" s="9"/>
    </row>
    <row r="67" spans="2:25" x14ac:dyDescent="0.2">
      <c r="B67" s="13" t="s">
        <v>119</v>
      </c>
      <c r="C67" s="14" t="s">
        <v>115</v>
      </c>
      <c r="G67" s="9"/>
      <c r="H67" s="68"/>
      <c r="I67" s="9"/>
      <c r="J67" s="9"/>
      <c r="K67" s="9"/>
      <c r="L67" s="9"/>
      <c r="M67" s="9"/>
      <c r="N67" s="9"/>
      <c r="O67" s="9"/>
      <c r="P67" s="9"/>
      <c r="Q67" s="9"/>
      <c r="R67" s="9"/>
      <c r="S67" s="9"/>
      <c r="T67" s="9"/>
      <c r="U67" s="9"/>
      <c r="V67" s="9"/>
      <c r="W67" s="9"/>
      <c r="X67" s="9"/>
      <c r="Y67" s="9"/>
    </row>
    <row r="68" spans="2:25" x14ac:dyDescent="0.2">
      <c r="B68" s="13" t="s">
        <v>46</v>
      </c>
      <c r="C68" s="44">
        <f>C57*COS(C60/57.2957)+(C58*SIN(C59/57.2957))</f>
        <v>3292.1002354534457</v>
      </c>
      <c r="D68" s="7" t="s">
        <v>41</v>
      </c>
      <c r="G68" s="9"/>
      <c r="H68" s="68"/>
      <c r="I68" s="9"/>
      <c r="J68" s="9"/>
      <c r="K68" s="9"/>
      <c r="L68" s="9"/>
      <c r="M68" s="9"/>
      <c r="N68" s="9"/>
      <c r="O68" s="9"/>
      <c r="P68" s="9"/>
      <c r="Q68" s="9"/>
      <c r="R68" s="9"/>
      <c r="S68" s="9"/>
      <c r="T68" s="9"/>
      <c r="U68" s="9"/>
      <c r="V68" s="9"/>
      <c r="W68" s="9"/>
      <c r="X68" s="9"/>
      <c r="Y68" s="9"/>
    </row>
    <row r="69" spans="2:25" x14ac:dyDescent="0.2">
      <c r="B69" s="13" t="s">
        <v>120</v>
      </c>
      <c r="C69" s="44" t="s">
        <v>121</v>
      </c>
      <c r="G69" s="9"/>
      <c r="H69" s="68"/>
      <c r="I69" s="9"/>
      <c r="J69" s="9"/>
      <c r="K69" s="9"/>
      <c r="L69" s="9"/>
      <c r="M69" s="9"/>
      <c r="N69" s="9"/>
      <c r="O69" s="9"/>
      <c r="P69" s="9"/>
      <c r="Q69" s="9"/>
      <c r="R69" s="9"/>
      <c r="S69" s="9"/>
      <c r="T69" s="9"/>
      <c r="U69" s="9"/>
      <c r="V69" s="9"/>
      <c r="W69" s="9"/>
      <c r="X69" s="9"/>
      <c r="Y69" s="9"/>
    </row>
    <row r="70" spans="2:25" x14ac:dyDescent="0.2">
      <c r="B70" s="13" t="s">
        <v>38</v>
      </c>
      <c r="C70" s="44">
        <f>C68 / 2</f>
        <v>1646.0501177267229</v>
      </c>
      <c r="D70" s="7" t="s">
        <v>41</v>
      </c>
      <c r="G70" s="9"/>
      <c r="H70" s="9"/>
      <c r="I70" s="9"/>
      <c r="J70" s="9"/>
      <c r="K70" s="9"/>
      <c r="L70" s="9"/>
      <c r="M70" s="9"/>
      <c r="N70" s="9"/>
      <c r="O70" s="9"/>
      <c r="P70" s="9"/>
      <c r="Q70" s="9"/>
      <c r="R70" s="9"/>
      <c r="S70" s="9"/>
      <c r="T70" s="9"/>
      <c r="U70" s="9"/>
      <c r="V70" s="9"/>
      <c r="W70" s="9"/>
      <c r="X70" s="9"/>
      <c r="Y70" s="9"/>
    </row>
    <row r="71" spans="2:25" x14ac:dyDescent="0.2">
      <c r="B71" s="13" t="s">
        <v>122</v>
      </c>
      <c r="C71" s="44" t="s">
        <v>121</v>
      </c>
      <c r="G71" s="9"/>
      <c r="H71" s="9"/>
      <c r="I71" s="9"/>
      <c r="J71" s="9"/>
      <c r="K71" s="9"/>
      <c r="L71" s="9"/>
      <c r="M71" s="9"/>
      <c r="N71" s="9"/>
      <c r="O71" s="9"/>
      <c r="P71" s="9"/>
      <c r="Q71" s="9"/>
      <c r="R71" s="9"/>
      <c r="S71" s="9"/>
      <c r="T71" s="9"/>
      <c r="U71" s="9"/>
      <c r="V71" s="9"/>
      <c r="W71" s="9"/>
      <c r="X71" s="9"/>
      <c r="Y71" s="9"/>
    </row>
    <row r="72" spans="2:25" x14ac:dyDescent="0.2">
      <c r="B72" s="13" t="s">
        <v>61</v>
      </c>
      <c r="C72" s="44">
        <f>C68 / 2</f>
        <v>1646.0501177267229</v>
      </c>
      <c r="D72" s="7" t="s">
        <v>41</v>
      </c>
      <c r="G72" s="9"/>
      <c r="H72" s="9"/>
      <c r="I72" s="9"/>
      <c r="J72" s="9"/>
      <c r="K72" s="9"/>
      <c r="L72" s="9"/>
      <c r="M72" s="9"/>
      <c r="N72" s="9"/>
      <c r="O72" s="9"/>
      <c r="P72" s="9"/>
      <c r="Q72" s="9"/>
      <c r="R72" s="9"/>
      <c r="S72" s="9"/>
      <c r="T72" s="9"/>
      <c r="U72" s="9"/>
      <c r="V72" s="9"/>
      <c r="W72" s="9"/>
      <c r="X72" s="9"/>
      <c r="Y72" s="9"/>
    </row>
    <row r="73" spans="2:25" ht="15.75" x14ac:dyDescent="0.25">
      <c r="B73" s="50" t="s">
        <v>123</v>
      </c>
      <c r="C73" s="86"/>
      <c r="G73" s="9"/>
      <c r="H73" s="9"/>
      <c r="I73" s="9"/>
      <c r="J73" s="9"/>
      <c r="K73" s="9"/>
      <c r="L73" s="9"/>
      <c r="M73" s="9"/>
      <c r="N73" s="9"/>
      <c r="O73" s="9"/>
      <c r="P73" s="9"/>
      <c r="Q73" s="9"/>
      <c r="R73" s="9"/>
      <c r="S73" s="9"/>
      <c r="T73" s="9"/>
      <c r="U73" s="9"/>
      <c r="V73" s="9"/>
      <c r="W73" s="9"/>
      <c r="X73" s="9"/>
      <c r="Y73" s="9"/>
    </row>
    <row r="74" spans="2:25" x14ac:dyDescent="0.2">
      <c r="B74" s="13" t="s">
        <v>113</v>
      </c>
      <c r="C74" s="86" t="s">
        <v>124</v>
      </c>
      <c r="G74" s="9"/>
      <c r="H74" s="9"/>
      <c r="I74" s="9"/>
      <c r="J74" s="9"/>
      <c r="K74" s="9"/>
      <c r="L74" s="9"/>
      <c r="M74" s="9"/>
      <c r="N74" s="9"/>
      <c r="O74" s="9"/>
      <c r="P74" s="9"/>
      <c r="Q74" s="9"/>
      <c r="R74" s="9"/>
      <c r="S74" s="9"/>
      <c r="T74" s="9"/>
      <c r="U74" s="9"/>
      <c r="V74" s="9"/>
      <c r="W74" s="9"/>
      <c r="X74" s="9"/>
      <c r="Y74" s="9"/>
    </row>
    <row r="75" spans="2:25" x14ac:dyDescent="0.2">
      <c r="B75" s="13" t="s">
        <v>112</v>
      </c>
      <c r="C75" s="86" t="s">
        <v>125</v>
      </c>
      <c r="G75" s="9"/>
      <c r="H75" s="9"/>
      <c r="I75" s="9"/>
      <c r="J75" s="9"/>
      <c r="K75" s="9"/>
      <c r="L75" s="9"/>
      <c r="M75" s="9"/>
      <c r="N75" s="9"/>
      <c r="O75" s="9"/>
      <c r="P75" s="9"/>
      <c r="Q75" s="9"/>
      <c r="R75" s="9"/>
      <c r="S75" s="9"/>
      <c r="T75" s="9"/>
      <c r="U75" s="9"/>
      <c r="V75" s="9"/>
      <c r="W75" s="9"/>
      <c r="X75" s="9"/>
      <c r="Y75" s="9"/>
    </row>
    <row r="76" spans="2:25" x14ac:dyDescent="0.2">
      <c r="B76" s="13" t="s">
        <v>114</v>
      </c>
      <c r="C76" s="44">
        <f>((C70*(C63-C62)+(C72*C62))/C63)</f>
        <v>1646.0501177267229</v>
      </c>
      <c r="D76" s="7" t="s">
        <v>41</v>
      </c>
      <c r="G76" s="9"/>
      <c r="H76" s="9"/>
      <c r="I76" s="9"/>
      <c r="J76" s="9"/>
      <c r="K76" s="9"/>
      <c r="L76" s="9"/>
      <c r="M76" s="9"/>
      <c r="N76" s="9"/>
      <c r="O76" s="9"/>
      <c r="P76" s="9"/>
      <c r="Q76" s="9"/>
      <c r="R76" s="9"/>
      <c r="S76" s="9"/>
      <c r="T76" s="9"/>
      <c r="U76" s="9"/>
      <c r="V76" s="9"/>
      <c r="W76" s="9"/>
      <c r="X76" s="9"/>
      <c r="Y76" s="9"/>
    </row>
    <row r="77" spans="2:25" x14ac:dyDescent="0.2">
      <c r="B77" s="13" t="s">
        <v>126</v>
      </c>
      <c r="C77" s="44" t="s">
        <v>155</v>
      </c>
      <c r="G77" s="9"/>
      <c r="H77" s="9"/>
      <c r="I77" s="9"/>
      <c r="J77" s="9"/>
      <c r="K77" s="9"/>
      <c r="L77" s="9"/>
      <c r="M77" s="9"/>
      <c r="N77" s="9"/>
      <c r="O77" s="9"/>
      <c r="P77" s="9"/>
      <c r="Q77" s="9"/>
      <c r="R77" s="9"/>
      <c r="S77" s="9"/>
      <c r="T77" s="9"/>
      <c r="U77" s="9"/>
      <c r="V77" s="9"/>
      <c r="W77" s="9"/>
      <c r="X77" s="9"/>
      <c r="Y77" s="9"/>
    </row>
    <row r="78" spans="2:25" x14ac:dyDescent="0.2">
      <c r="B78" s="13" t="s">
        <v>128</v>
      </c>
      <c r="C78" s="44">
        <f>C70 + C72 - C76</f>
        <v>1646.0501177267229</v>
      </c>
      <c r="D78" s="7" t="s">
        <v>41</v>
      </c>
      <c r="G78" s="9"/>
      <c r="H78" s="9"/>
      <c r="I78" s="9"/>
      <c r="J78" s="9"/>
      <c r="K78" s="9"/>
      <c r="L78" s="9"/>
      <c r="M78" s="9"/>
      <c r="N78" s="9"/>
      <c r="O78" s="9"/>
      <c r="P78" s="9"/>
      <c r="Q78" s="9"/>
      <c r="R78" s="9"/>
      <c r="S78" s="9"/>
      <c r="T78" s="9"/>
      <c r="U78" s="9"/>
      <c r="V78" s="9"/>
      <c r="W78" s="9"/>
      <c r="X78" s="9"/>
      <c r="Y78" s="9"/>
    </row>
    <row r="79" spans="2:25" ht="15.75" x14ac:dyDescent="0.25">
      <c r="B79" s="50" t="s">
        <v>132</v>
      </c>
      <c r="G79" s="9"/>
      <c r="H79" s="9"/>
      <c r="I79" s="9"/>
      <c r="J79" s="9"/>
      <c r="K79" s="9"/>
      <c r="L79" s="9"/>
      <c r="M79" s="9"/>
      <c r="N79" s="9"/>
      <c r="O79" s="9"/>
      <c r="P79" s="9"/>
      <c r="Q79" s="9"/>
      <c r="R79" s="9"/>
      <c r="S79" s="9"/>
      <c r="T79" s="9"/>
      <c r="U79" s="9"/>
      <c r="V79" s="9"/>
      <c r="W79" s="9"/>
      <c r="X79" s="9"/>
      <c r="Y79" s="9"/>
    </row>
    <row r="80" spans="2:25" x14ac:dyDescent="0.2">
      <c r="B80" s="13" t="s">
        <v>147</v>
      </c>
      <c r="C80" s="14" t="s">
        <v>129</v>
      </c>
      <c r="G80" s="9"/>
      <c r="H80" s="9"/>
      <c r="I80" s="9"/>
      <c r="J80" s="9"/>
      <c r="K80" s="9"/>
      <c r="L80" s="9"/>
      <c r="M80" s="9"/>
      <c r="N80" s="9"/>
      <c r="O80" s="9"/>
      <c r="P80" s="9"/>
      <c r="Q80" s="9"/>
      <c r="R80" s="9"/>
      <c r="S80" s="9"/>
      <c r="T80" s="9"/>
      <c r="U80" s="9"/>
      <c r="V80" s="9"/>
      <c r="W80" s="9"/>
      <c r="X80" s="9"/>
      <c r="Y80" s="9"/>
    </row>
    <row r="81" spans="2:25" x14ac:dyDescent="0.2">
      <c r="B81" s="13" t="s">
        <v>147</v>
      </c>
      <c r="C81" s="44">
        <f>C76 * C62</f>
        <v>13168.400941813783</v>
      </c>
      <c r="D81" s="7" t="s">
        <v>130</v>
      </c>
      <c r="G81" s="9" t="s">
        <v>19</v>
      </c>
      <c r="H81" s="9"/>
      <c r="I81" s="9"/>
      <c r="J81" s="9"/>
      <c r="K81" s="9"/>
      <c r="L81" s="9"/>
      <c r="M81" s="9"/>
      <c r="N81" s="9"/>
      <c r="O81" s="9"/>
      <c r="P81" s="9"/>
      <c r="Q81" s="9"/>
      <c r="R81" s="9"/>
      <c r="S81" s="9"/>
      <c r="T81" s="9"/>
      <c r="U81" s="9"/>
      <c r="V81" s="9"/>
      <c r="W81" s="9"/>
      <c r="X81" s="9"/>
      <c r="Y81" s="9"/>
    </row>
    <row r="82" spans="2:25" x14ac:dyDescent="0.2">
      <c r="B82" s="13" t="s">
        <v>148</v>
      </c>
      <c r="C82" s="44" t="s">
        <v>131</v>
      </c>
      <c r="G82" s="9"/>
      <c r="H82" s="9"/>
      <c r="I82" s="9"/>
      <c r="J82" s="9"/>
      <c r="K82" s="9"/>
      <c r="L82" s="9"/>
      <c r="M82" s="9"/>
      <c r="N82" s="9"/>
      <c r="O82" s="9"/>
      <c r="P82" s="9"/>
      <c r="Q82" s="9"/>
      <c r="R82" s="9"/>
      <c r="S82" s="9"/>
      <c r="T82" s="9"/>
      <c r="U82" s="9"/>
      <c r="V82" s="9"/>
      <c r="W82" s="9"/>
      <c r="X82" s="9"/>
      <c r="Y82" s="9"/>
    </row>
    <row r="83" spans="2:25" x14ac:dyDescent="0.2">
      <c r="B83" s="13" t="s">
        <v>148</v>
      </c>
      <c r="C83" s="44">
        <f>(C76*(C63-C62)-(C70*(C63-2*C62)))</f>
        <v>13168.400941813787</v>
      </c>
      <c r="D83" s="7" t="s">
        <v>130</v>
      </c>
      <c r="G83" s="9"/>
      <c r="H83" s="9"/>
      <c r="I83" s="9"/>
      <c r="J83" s="9"/>
      <c r="K83" s="9"/>
      <c r="L83" s="9"/>
      <c r="M83" s="9"/>
      <c r="N83" s="9"/>
      <c r="O83" s="9"/>
      <c r="P83" s="9"/>
      <c r="Q83" s="9"/>
      <c r="R83" s="9"/>
      <c r="S83" s="9"/>
      <c r="T83" s="9"/>
      <c r="U83" s="9"/>
      <c r="V83" s="9"/>
      <c r="W83" s="9"/>
      <c r="X83" s="9"/>
      <c r="Y83" s="9"/>
    </row>
    <row r="84" spans="2:25" ht="15.75" x14ac:dyDescent="0.25">
      <c r="B84" s="50" t="s">
        <v>319</v>
      </c>
      <c r="C84" s="16" t="s">
        <v>110</v>
      </c>
      <c r="G84" s="9"/>
      <c r="H84" s="9"/>
      <c r="I84" s="9"/>
      <c r="J84" s="9"/>
      <c r="K84" s="9"/>
      <c r="L84" s="9"/>
      <c r="M84" s="9"/>
      <c r="N84" s="9"/>
      <c r="O84" s="9"/>
      <c r="P84" s="9"/>
      <c r="Q84" s="9"/>
      <c r="R84" s="9"/>
      <c r="S84" s="9"/>
      <c r="T84" s="9"/>
      <c r="U84" s="9"/>
      <c r="V84" s="9"/>
      <c r="W84" s="9"/>
      <c r="X84" s="9"/>
      <c r="Y84" s="9"/>
    </row>
    <row r="85" spans="2:25" x14ac:dyDescent="0.2">
      <c r="B85" s="13" t="s">
        <v>244</v>
      </c>
      <c r="C85" s="44" t="s">
        <v>326</v>
      </c>
      <c r="G85" s="9"/>
      <c r="H85" s="9"/>
      <c r="I85" s="9"/>
      <c r="J85" s="9"/>
      <c r="K85" s="9"/>
      <c r="L85" s="9"/>
      <c r="M85" s="9"/>
      <c r="N85" s="9"/>
      <c r="O85" s="9"/>
      <c r="P85" s="9"/>
      <c r="Q85" s="9"/>
      <c r="R85" s="9"/>
      <c r="S85" s="9"/>
      <c r="T85" s="9"/>
      <c r="U85" s="9"/>
      <c r="V85" s="9"/>
      <c r="W85" s="9"/>
      <c r="X85" s="9"/>
      <c r="Y85" s="9"/>
    </row>
    <row r="86" spans="2:25" x14ac:dyDescent="0.2">
      <c r="B86" s="13" t="s">
        <v>242</v>
      </c>
      <c r="C86" s="44">
        <f>0.283*3.1416*(C61-0.25)*0.5*(C65+2)</f>
        <v>502.54840019999995</v>
      </c>
      <c r="D86" s="7" t="s">
        <v>41</v>
      </c>
      <c r="G86" s="9"/>
      <c r="H86" s="9"/>
      <c r="I86" s="9"/>
      <c r="J86" s="9"/>
      <c r="K86" s="9"/>
      <c r="L86" s="9"/>
      <c r="M86" s="9"/>
      <c r="N86" s="9"/>
      <c r="O86" s="9"/>
      <c r="P86" s="9"/>
      <c r="Q86" s="9"/>
      <c r="R86" s="9"/>
      <c r="S86" s="9"/>
      <c r="T86" s="9"/>
      <c r="U86" s="9"/>
      <c r="V86" s="9"/>
      <c r="W86" s="9"/>
      <c r="X86" s="9"/>
      <c r="Y86" s="9"/>
    </row>
    <row r="87" spans="2:25" x14ac:dyDescent="0.2">
      <c r="B87" s="13" t="s">
        <v>245</v>
      </c>
      <c r="C87" s="44" t="s">
        <v>327</v>
      </c>
      <c r="G87" s="9"/>
      <c r="H87" s="9"/>
      <c r="I87" s="9"/>
      <c r="J87" s="9"/>
      <c r="K87" s="9"/>
      <c r="L87" s="9"/>
      <c r="M87" s="9"/>
      <c r="N87" s="9"/>
      <c r="O87" s="9"/>
      <c r="P87" s="9"/>
      <c r="Q87" s="9"/>
      <c r="R87" s="9"/>
      <c r="S87" s="9"/>
      <c r="T87" s="9"/>
      <c r="U87" s="9"/>
      <c r="V87" s="9"/>
      <c r="W87" s="9"/>
      <c r="X87" s="9"/>
      <c r="Y87" s="9"/>
    </row>
    <row r="88" spans="2:25" x14ac:dyDescent="0.2">
      <c r="B88" s="13" t="s">
        <v>233</v>
      </c>
      <c r="C88" s="44">
        <f>0.283*( ( (3.1416*2*C64*((C64+4)^2 - C64^2) )/4) + (3.1416*0.75*(C61^2 - (C64 + 4)^2)/4) )</f>
        <v>209.11270091249995</v>
      </c>
      <c r="D88" s="7" t="s">
        <v>41</v>
      </c>
      <c r="G88" s="9"/>
      <c r="H88" s="9"/>
      <c r="I88" s="9"/>
      <c r="J88" s="9"/>
      <c r="K88" s="9"/>
      <c r="L88" s="9"/>
      <c r="M88" s="9"/>
      <c r="N88" s="9"/>
      <c r="O88" s="9"/>
      <c r="P88" s="9"/>
      <c r="Q88" s="9"/>
      <c r="R88" s="9"/>
      <c r="S88" s="9"/>
      <c r="T88" s="9"/>
      <c r="U88" s="9"/>
      <c r="V88" s="9"/>
      <c r="W88" s="9"/>
      <c r="X88" s="9"/>
      <c r="Y88" s="9"/>
    </row>
    <row r="89" spans="2:25" x14ac:dyDescent="0.2">
      <c r="B89" s="13" t="s">
        <v>246</v>
      </c>
      <c r="C89" s="44" t="s">
        <v>239</v>
      </c>
      <c r="G89" s="9"/>
      <c r="H89" s="9"/>
      <c r="I89" s="9"/>
      <c r="J89" s="9"/>
      <c r="K89" s="9"/>
      <c r="L89" s="9"/>
      <c r="M89" s="9"/>
      <c r="N89" s="9"/>
      <c r="O89" s="9"/>
      <c r="P89" s="9"/>
      <c r="Q89" s="9"/>
      <c r="R89" s="9"/>
      <c r="S89" s="9"/>
      <c r="T89" s="9"/>
      <c r="U89" s="9"/>
      <c r="V89" s="9"/>
      <c r="W89" s="9"/>
      <c r="X89" s="9"/>
      <c r="Y89" s="9"/>
    </row>
    <row r="90" spans="2:25" x14ac:dyDescent="0.2">
      <c r="B90" s="13" t="s">
        <v>234</v>
      </c>
      <c r="C90" s="44">
        <f>0.291*(3.1416*(C63+12)*(C64^2)/4)</f>
        <v>145.58724179999999</v>
      </c>
      <c r="D90" s="7" t="s">
        <v>41</v>
      </c>
      <c r="G90" s="9"/>
      <c r="H90" s="9"/>
      <c r="I90" s="9"/>
      <c r="J90" s="9"/>
      <c r="K90" s="9"/>
      <c r="L90" s="9"/>
      <c r="M90" s="9"/>
      <c r="N90" s="9"/>
      <c r="O90" s="9"/>
      <c r="P90" s="9"/>
      <c r="Q90" s="9"/>
      <c r="R90" s="9"/>
      <c r="S90" s="9"/>
      <c r="T90" s="9"/>
      <c r="U90" s="9"/>
      <c r="V90" s="9"/>
      <c r="W90" s="9"/>
      <c r="X90" s="9"/>
      <c r="Y90" s="9"/>
    </row>
    <row r="91" spans="2:25" x14ac:dyDescent="0.2">
      <c r="B91" s="13" t="s">
        <v>241</v>
      </c>
      <c r="C91" s="7" t="s">
        <v>243</v>
      </c>
      <c r="G91" s="9"/>
      <c r="H91" s="9"/>
      <c r="I91" s="9"/>
      <c r="J91" s="9"/>
      <c r="K91" s="9"/>
      <c r="L91" s="9"/>
      <c r="M91" s="9"/>
      <c r="N91" s="9"/>
      <c r="O91" s="9"/>
      <c r="P91" s="9"/>
      <c r="Q91" s="9"/>
      <c r="R91" s="9"/>
      <c r="S91" s="9"/>
      <c r="T91" s="9"/>
      <c r="U91" s="9"/>
      <c r="V91" s="9"/>
      <c r="W91" s="9"/>
      <c r="X91" s="9"/>
      <c r="Y91" s="9"/>
    </row>
    <row r="92" spans="2:25" x14ac:dyDescent="0.2">
      <c r="B92" s="13" t="s">
        <v>231</v>
      </c>
      <c r="C92" s="44">
        <f>C86 + C88 + C90</f>
        <v>857.24834291249988</v>
      </c>
      <c r="D92" s="7" t="s">
        <v>41</v>
      </c>
      <c r="G92" s="9"/>
      <c r="H92" s="9"/>
      <c r="I92" s="9"/>
      <c r="J92" s="9"/>
      <c r="K92" s="9"/>
      <c r="L92" s="9"/>
      <c r="M92" s="9"/>
      <c r="N92" s="9"/>
      <c r="O92" s="9"/>
      <c r="P92" s="9"/>
      <c r="Q92" s="9"/>
      <c r="R92" s="9"/>
      <c r="S92" s="9"/>
      <c r="T92" s="9"/>
      <c r="U92" s="9"/>
      <c r="V92" s="9"/>
      <c r="W92" s="9"/>
      <c r="X92" s="9"/>
      <c r="Y92" s="9"/>
    </row>
    <row r="93" spans="2:25" x14ac:dyDescent="0.2">
      <c r="B93" s="13" t="s">
        <v>227</v>
      </c>
      <c r="C93" s="14" t="s">
        <v>226</v>
      </c>
      <c r="G93" s="9"/>
      <c r="H93" s="9"/>
      <c r="I93" s="9"/>
      <c r="J93" s="9"/>
      <c r="K93" s="9"/>
      <c r="L93" s="9"/>
      <c r="M93" s="9"/>
      <c r="N93" s="9"/>
      <c r="O93" s="9"/>
      <c r="P93" s="9"/>
      <c r="Q93" s="9"/>
      <c r="R93" s="9"/>
      <c r="S93" s="9"/>
      <c r="T93" s="9"/>
      <c r="U93" s="9"/>
      <c r="V93" s="9"/>
      <c r="W93" s="9"/>
      <c r="X93" s="9"/>
      <c r="Y93" s="9"/>
    </row>
    <row r="94" spans="2:25" x14ac:dyDescent="0.2">
      <c r="B94" s="13" t="s">
        <v>134</v>
      </c>
      <c r="C94" s="44">
        <f>C57 * SIN(C60/57.2957) +( C58 * COS(C59/57.2957))+(C92/2)</f>
        <v>1103.8822928406266</v>
      </c>
      <c r="D94" s="7" t="s">
        <v>41</v>
      </c>
      <c r="G94" s="9"/>
      <c r="H94" s="9"/>
      <c r="I94" s="9"/>
      <c r="J94" s="9"/>
      <c r="K94" s="9"/>
      <c r="L94" s="9"/>
      <c r="M94" s="9"/>
      <c r="N94" s="9"/>
      <c r="O94" s="9"/>
      <c r="P94" s="9"/>
      <c r="Q94" s="9"/>
      <c r="R94" s="9"/>
      <c r="S94" s="9"/>
      <c r="T94" s="9"/>
      <c r="U94" s="9"/>
      <c r="V94" s="9"/>
      <c r="W94" s="9"/>
      <c r="X94" s="9"/>
      <c r="Y94" s="9"/>
    </row>
    <row r="95" spans="2:25" x14ac:dyDescent="0.2">
      <c r="B95" s="13" t="s">
        <v>120</v>
      </c>
      <c r="C95" s="44" t="s">
        <v>135</v>
      </c>
      <c r="G95" s="9"/>
      <c r="H95" s="9"/>
      <c r="I95" s="9"/>
      <c r="J95" s="9"/>
      <c r="K95" s="9"/>
      <c r="L95" s="9"/>
      <c r="M95" s="9"/>
      <c r="N95" s="9"/>
      <c r="O95" s="9"/>
      <c r="P95" s="9"/>
      <c r="Q95" s="9"/>
      <c r="R95" s="9"/>
      <c r="S95" s="9"/>
      <c r="T95" s="9"/>
      <c r="U95" s="9"/>
      <c r="V95" s="9"/>
      <c r="W95" s="9"/>
      <c r="X95" s="9"/>
      <c r="Y95" s="9"/>
    </row>
    <row r="96" spans="2:25" x14ac:dyDescent="0.2">
      <c r="B96" s="13" t="s">
        <v>38</v>
      </c>
      <c r="C96" s="44">
        <f>C94 / 2</f>
        <v>551.94114642031332</v>
      </c>
      <c r="D96" s="7" t="s">
        <v>41</v>
      </c>
      <c r="G96" s="9"/>
      <c r="H96" s="9"/>
      <c r="I96" s="9"/>
      <c r="J96" s="9"/>
      <c r="K96" s="9"/>
      <c r="L96" s="9"/>
      <c r="M96" s="9"/>
      <c r="N96" s="9"/>
      <c r="O96" s="9"/>
      <c r="P96" s="9"/>
      <c r="Q96" s="9"/>
      <c r="R96" s="9"/>
      <c r="S96" s="9"/>
      <c r="T96" s="9"/>
      <c r="U96" s="9"/>
      <c r="V96" s="9"/>
      <c r="W96" s="9"/>
      <c r="X96" s="9"/>
      <c r="Y96" s="9"/>
    </row>
    <row r="97" spans="2:25" x14ac:dyDescent="0.2">
      <c r="B97" s="13" t="s">
        <v>122</v>
      </c>
      <c r="C97" s="44" t="s">
        <v>135</v>
      </c>
      <c r="G97" s="9"/>
      <c r="H97" s="9"/>
      <c r="I97" s="9"/>
      <c r="J97" s="9"/>
      <c r="K97" s="9"/>
      <c r="L97" s="9"/>
      <c r="M97" s="9"/>
      <c r="N97" s="9"/>
      <c r="O97" s="9"/>
      <c r="P97" s="9"/>
      <c r="Q97" s="9"/>
      <c r="R97" s="9"/>
      <c r="S97" s="9"/>
      <c r="T97" s="9"/>
      <c r="U97" s="9"/>
      <c r="V97" s="9"/>
      <c r="W97" s="9"/>
      <c r="X97" s="9"/>
      <c r="Y97" s="9"/>
    </row>
    <row r="98" spans="2:25" x14ac:dyDescent="0.2">
      <c r="B98" s="13" t="s">
        <v>61</v>
      </c>
      <c r="C98" s="44">
        <f>C94 / 2</f>
        <v>551.94114642031332</v>
      </c>
      <c r="D98" s="7" t="s">
        <v>41</v>
      </c>
      <c r="G98" s="9"/>
      <c r="H98" s="9"/>
      <c r="I98" s="9"/>
      <c r="J98" s="9"/>
      <c r="K98" s="9"/>
      <c r="L98" s="9"/>
      <c r="M98" s="9"/>
      <c r="N98" s="9"/>
      <c r="O98" s="9"/>
      <c r="P98" s="9"/>
      <c r="Q98" s="9"/>
      <c r="R98" s="9"/>
      <c r="S98" s="9"/>
      <c r="T98" s="9"/>
      <c r="U98" s="9"/>
      <c r="V98" s="9"/>
      <c r="W98" s="9"/>
      <c r="X98" s="9"/>
      <c r="Y98" s="9"/>
    </row>
    <row r="99" spans="2:25" ht="15.75" x14ac:dyDescent="0.25">
      <c r="B99" s="50" t="s">
        <v>123</v>
      </c>
      <c r="C99" s="86"/>
      <c r="F99" s="7" t="s">
        <v>19</v>
      </c>
      <c r="G99" s="9"/>
      <c r="H99" s="9"/>
      <c r="I99" s="9"/>
      <c r="J99" s="9"/>
      <c r="K99" s="9"/>
      <c r="L99" s="9"/>
      <c r="M99" s="9"/>
      <c r="N99" s="9"/>
      <c r="O99" s="9"/>
      <c r="P99" s="9"/>
      <c r="Q99" s="9"/>
      <c r="R99" s="9"/>
      <c r="S99" s="9"/>
      <c r="T99" s="9"/>
      <c r="U99" s="9"/>
      <c r="V99" s="9"/>
      <c r="W99" s="9"/>
      <c r="X99" s="9"/>
      <c r="Y99" s="9"/>
    </row>
    <row r="100" spans="2:25" x14ac:dyDescent="0.2">
      <c r="B100" s="13" t="s">
        <v>113</v>
      </c>
      <c r="C100" s="86" t="s">
        <v>156</v>
      </c>
      <c r="G100" s="9"/>
      <c r="H100" s="9"/>
      <c r="I100" s="9"/>
      <c r="J100" s="9"/>
      <c r="K100" s="9"/>
      <c r="L100" s="9"/>
      <c r="M100" s="9"/>
      <c r="N100" s="9"/>
      <c r="O100" s="9"/>
      <c r="P100" s="9"/>
      <c r="Q100" s="9"/>
      <c r="R100" s="9"/>
      <c r="S100" s="9"/>
      <c r="T100" s="9"/>
      <c r="U100" s="9"/>
      <c r="V100" s="9"/>
      <c r="W100" s="9"/>
      <c r="X100" s="9"/>
      <c r="Y100" s="9"/>
    </row>
    <row r="101" spans="2:25" x14ac:dyDescent="0.2">
      <c r="B101" s="13" t="s">
        <v>112</v>
      </c>
      <c r="C101" s="86" t="s">
        <v>157</v>
      </c>
      <c r="G101" s="9"/>
      <c r="H101" s="9"/>
      <c r="I101" s="9"/>
      <c r="J101" s="9"/>
      <c r="K101" s="9"/>
      <c r="L101" s="9"/>
      <c r="M101" s="9"/>
      <c r="N101" s="9"/>
      <c r="O101" s="9"/>
      <c r="P101" s="9"/>
      <c r="Q101" s="9"/>
      <c r="R101" s="9"/>
      <c r="S101" s="9"/>
      <c r="T101" s="9"/>
      <c r="U101" s="9"/>
      <c r="V101" s="9"/>
      <c r="W101" s="9"/>
      <c r="X101" s="9"/>
      <c r="Y101" s="9"/>
    </row>
    <row r="102" spans="2:25" x14ac:dyDescent="0.2">
      <c r="B102" s="13" t="s">
        <v>114</v>
      </c>
      <c r="C102" s="44">
        <f>( C96*(C63 - C62) + (C98 * C62) ) / C63</f>
        <v>551.94114642031332</v>
      </c>
      <c r="D102" s="7" t="s">
        <v>41</v>
      </c>
      <c r="G102" s="9"/>
      <c r="H102" s="9"/>
      <c r="I102" s="9"/>
      <c r="J102" s="9"/>
      <c r="K102" s="9"/>
      <c r="L102" s="9"/>
      <c r="M102" s="9"/>
      <c r="N102" s="9"/>
      <c r="O102" s="9"/>
      <c r="P102" s="9"/>
      <c r="Q102" s="9"/>
      <c r="R102" s="9"/>
      <c r="S102" s="9"/>
      <c r="T102" s="9"/>
      <c r="U102" s="9"/>
      <c r="V102" s="9"/>
      <c r="W102" s="9"/>
      <c r="X102" s="9"/>
      <c r="Y102" s="9"/>
    </row>
    <row r="103" spans="2:25" x14ac:dyDescent="0.2">
      <c r="B103" s="13" t="s">
        <v>126</v>
      </c>
      <c r="C103" s="44" t="s">
        <v>138</v>
      </c>
      <c r="G103" s="9"/>
      <c r="H103" s="9"/>
      <c r="I103" s="9"/>
      <c r="J103" s="9"/>
      <c r="K103" s="9"/>
      <c r="L103" s="9"/>
      <c r="M103" s="9"/>
      <c r="N103" s="9"/>
      <c r="O103" s="9"/>
      <c r="P103" s="9"/>
      <c r="Q103" s="9"/>
      <c r="R103" s="9"/>
      <c r="S103" s="9"/>
      <c r="T103" s="9"/>
      <c r="U103" s="9"/>
      <c r="V103" s="9"/>
      <c r="W103" s="9"/>
      <c r="X103" s="9"/>
      <c r="Y103" s="9"/>
    </row>
    <row r="104" spans="2:25" ht="15.75" x14ac:dyDescent="0.25">
      <c r="B104" s="13" t="s">
        <v>128</v>
      </c>
      <c r="C104" s="44">
        <f>C96 + C98 - C102</f>
        <v>551.94114642031332</v>
      </c>
      <c r="D104" s="7" t="s">
        <v>41</v>
      </c>
      <c r="F104" s="23"/>
      <c r="G104" s="9"/>
      <c r="H104" s="9"/>
      <c r="I104" s="9"/>
      <c r="J104" s="9"/>
      <c r="K104" s="9"/>
      <c r="L104" s="9"/>
      <c r="M104" s="9"/>
      <c r="N104" s="9"/>
      <c r="O104" s="9"/>
      <c r="P104" s="9"/>
      <c r="Q104" s="9"/>
      <c r="R104" s="9"/>
      <c r="S104" s="9"/>
      <c r="T104" s="9"/>
      <c r="U104" s="9"/>
      <c r="V104" s="9"/>
      <c r="W104" s="9"/>
      <c r="X104" s="9"/>
      <c r="Y104" s="9"/>
    </row>
    <row r="105" spans="2:25" ht="15.75" x14ac:dyDescent="0.25">
      <c r="B105" s="15" t="s">
        <v>470</v>
      </c>
      <c r="C105" s="44" t="s">
        <v>129</v>
      </c>
      <c r="G105" s="9"/>
      <c r="H105" s="9"/>
      <c r="I105" s="9"/>
      <c r="J105" s="9"/>
      <c r="K105" s="9"/>
      <c r="L105" s="9"/>
      <c r="M105" s="9"/>
      <c r="N105" s="9"/>
      <c r="O105" s="9"/>
      <c r="P105" s="9"/>
      <c r="Q105" s="9"/>
      <c r="R105" s="9"/>
      <c r="S105" s="9"/>
      <c r="T105" s="9"/>
      <c r="U105" s="9"/>
      <c r="V105" s="9"/>
      <c r="W105" s="9"/>
      <c r="X105" s="9"/>
      <c r="Y105" s="9"/>
    </row>
    <row r="106" spans="2:25" x14ac:dyDescent="0.2">
      <c r="B106" s="13" t="s">
        <v>150</v>
      </c>
      <c r="C106" s="44">
        <f>C102 * C62</f>
        <v>4415.5291713625065</v>
      </c>
      <c r="D106" s="7" t="s">
        <v>130</v>
      </c>
      <c r="G106" s="9"/>
      <c r="H106" s="9"/>
      <c r="I106" s="9"/>
      <c r="J106" s="9"/>
      <c r="K106" s="9"/>
      <c r="L106" s="9"/>
      <c r="M106" s="9"/>
      <c r="N106" s="9"/>
      <c r="O106" s="9"/>
      <c r="P106" s="9"/>
      <c r="Q106" s="9"/>
      <c r="R106" s="9"/>
      <c r="S106" s="9"/>
      <c r="T106" s="9"/>
      <c r="U106" s="9"/>
      <c r="V106" s="9"/>
      <c r="W106" s="9"/>
      <c r="X106" s="9"/>
      <c r="Y106" s="9"/>
    </row>
    <row r="107" spans="2:25" x14ac:dyDescent="0.2">
      <c r="B107" s="13" t="s">
        <v>151</v>
      </c>
      <c r="C107" s="44" t="s">
        <v>139</v>
      </c>
      <c r="G107" s="9"/>
      <c r="H107" s="9"/>
      <c r="I107" s="9"/>
      <c r="J107" s="9"/>
      <c r="K107" s="9"/>
      <c r="L107" s="9"/>
      <c r="M107" s="9"/>
      <c r="N107" s="9"/>
      <c r="O107" s="9"/>
      <c r="P107" s="9"/>
      <c r="Q107" s="9"/>
      <c r="R107" s="9"/>
      <c r="S107" s="9"/>
      <c r="T107" s="9"/>
      <c r="U107" s="9"/>
      <c r="V107" s="9"/>
      <c r="W107" s="9"/>
      <c r="X107" s="9"/>
      <c r="Y107" s="9"/>
    </row>
    <row r="108" spans="2:25" x14ac:dyDescent="0.2">
      <c r="B108" s="13" t="s">
        <v>151</v>
      </c>
      <c r="C108" s="44">
        <f>(C102*(C63-C62))-(C96*(C63-2*C62))</f>
        <v>4415.5291713625065</v>
      </c>
      <c r="D108" s="7" t="s">
        <v>130</v>
      </c>
      <c r="G108" s="9"/>
      <c r="H108" s="9"/>
      <c r="I108" s="9"/>
      <c r="J108" s="9"/>
      <c r="K108" s="9"/>
      <c r="L108" s="9"/>
      <c r="M108" s="9"/>
      <c r="N108" s="9"/>
      <c r="O108" s="9"/>
      <c r="P108" s="9"/>
      <c r="Q108" s="9"/>
      <c r="R108" s="9"/>
      <c r="S108" s="9"/>
      <c r="T108" s="9"/>
      <c r="U108" s="9"/>
      <c r="V108" s="9"/>
      <c r="W108" s="9"/>
      <c r="X108" s="9"/>
      <c r="Y108" s="9"/>
    </row>
    <row r="109" spans="2:25" x14ac:dyDescent="0.2">
      <c r="G109" s="9"/>
      <c r="H109" s="9"/>
      <c r="I109" s="9"/>
      <c r="J109" s="9"/>
      <c r="K109" s="9"/>
      <c r="L109" s="9"/>
      <c r="M109" s="9"/>
      <c r="N109" s="9"/>
      <c r="O109" s="9"/>
      <c r="P109" s="9"/>
      <c r="Q109" s="9"/>
      <c r="R109" s="9"/>
      <c r="S109" s="9"/>
      <c r="T109" s="9"/>
      <c r="U109" s="9"/>
      <c r="V109" s="9"/>
      <c r="W109" s="9"/>
      <c r="X109" s="9"/>
      <c r="Y109" s="9"/>
    </row>
    <row r="110" spans="2:25" x14ac:dyDescent="0.2">
      <c r="G110" s="9"/>
      <c r="H110" s="9"/>
      <c r="I110" s="9"/>
      <c r="J110" s="9"/>
      <c r="K110" s="9"/>
      <c r="L110" s="9"/>
      <c r="M110" s="9"/>
      <c r="N110" s="9"/>
      <c r="O110" s="9"/>
      <c r="P110" s="9"/>
      <c r="Q110" s="9"/>
      <c r="R110" s="9"/>
      <c r="S110" s="9"/>
      <c r="T110" s="9"/>
      <c r="U110" s="9"/>
      <c r="V110" s="9"/>
      <c r="W110" s="9"/>
      <c r="X110" s="9"/>
      <c r="Y110" s="9"/>
    </row>
    <row r="111" spans="2:25" x14ac:dyDescent="0.2">
      <c r="G111" s="9"/>
      <c r="H111" s="9"/>
      <c r="I111" s="9"/>
      <c r="J111" s="9"/>
      <c r="K111" s="9"/>
      <c r="L111" s="9"/>
      <c r="M111" s="9"/>
      <c r="N111" s="9"/>
      <c r="O111" s="9"/>
      <c r="P111" s="9"/>
      <c r="Q111" s="9"/>
      <c r="R111" s="9"/>
      <c r="S111" s="9"/>
      <c r="T111" s="9"/>
      <c r="U111" s="9"/>
      <c r="V111" s="9"/>
      <c r="W111" s="9"/>
      <c r="X111" s="9"/>
      <c r="Y111" s="9"/>
    </row>
    <row r="112" spans="2:25" x14ac:dyDescent="0.2">
      <c r="G112" s="9"/>
      <c r="H112" s="9"/>
      <c r="I112" s="9"/>
      <c r="J112" s="9"/>
      <c r="K112" s="9"/>
      <c r="L112" s="9"/>
      <c r="M112" s="9"/>
      <c r="N112" s="9"/>
      <c r="O112" s="9"/>
      <c r="P112" s="9"/>
      <c r="Q112" s="9"/>
      <c r="R112" s="9"/>
      <c r="S112" s="9"/>
      <c r="T112" s="9"/>
      <c r="U112" s="9"/>
      <c r="V112" s="9"/>
      <c r="W112" s="9"/>
      <c r="X112" s="9"/>
      <c r="Y112" s="9"/>
    </row>
    <row r="113" spans="3:25" x14ac:dyDescent="0.2">
      <c r="G113" s="9"/>
      <c r="H113" s="9"/>
      <c r="I113" s="9"/>
      <c r="J113" s="9"/>
      <c r="K113" s="9"/>
      <c r="L113" s="9"/>
      <c r="M113" s="9"/>
      <c r="N113" s="9"/>
      <c r="O113" s="9"/>
      <c r="P113" s="9"/>
      <c r="Q113" s="9"/>
      <c r="R113" s="9"/>
      <c r="S113" s="9"/>
      <c r="T113" s="9"/>
      <c r="U113" s="9"/>
      <c r="V113" s="9"/>
      <c r="W113" s="9"/>
      <c r="X113" s="9"/>
      <c r="Y113" s="9"/>
    </row>
    <row r="114" spans="3:25" x14ac:dyDescent="0.2">
      <c r="G114" s="9"/>
      <c r="H114" s="9"/>
      <c r="I114" s="9"/>
      <c r="J114" s="9"/>
      <c r="K114" s="9"/>
      <c r="L114" s="9"/>
      <c r="M114" s="9"/>
      <c r="N114" s="9"/>
      <c r="O114" s="9"/>
      <c r="P114" s="9"/>
      <c r="Q114" s="9"/>
      <c r="R114" s="9"/>
      <c r="S114" s="9"/>
      <c r="T114" s="9"/>
      <c r="U114" s="9"/>
      <c r="V114" s="9"/>
      <c r="W114" s="9"/>
      <c r="X114" s="9"/>
      <c r="Y114" s="9"/>
    </row>
    <row r="115" spans="3:25" x14ac:dyDescent="0.2">
      <c r="G115" s="9"/>
      <c r="H115" s="9"/>
      <c r="I115" s="9"/>
      <c r="J115" s="9"/>
      <c r="K115" s="9"/>
      <c r="L115" s="9"/>
      <c r="M115" s="9"/>
      <c r="N115" s="9"/>
      <c r="O115" s="9"/>
      <c r="P115" s="9"/>
      <c r="Q115" s="9"/>
      <c r="R115" s="9"/>
      <c r="S115" s="9"/>
      <c r="T115" s="9"/>
      <c r="U115" s="9"/>
      <c r="V115" s="9"/>
      <c r="W115" s="9"/>
      <c r="X115" s="9"/>
      <c r="Y115" s="9"/>
    </row>
    <row r="116" spans="3:25" x14ac:dyDescent="0.2">
      <c r="G116" s="9"/>
      <c r="H116" s="9"/>
      <c r="I116" s="9"/>
      <c r="J116" s="9"/>
      <c r="K116" s="9"/>
      <c r="L116" s="9"/>
      <c r="M116" s="9"/>
      <c r="N116" s="9"/>
      <c r="O116" s="9"/>
      <c r="P116" s="9"/>
      <c r="Q116" s="9"/>
      <c r="R116" s="9"/>
      <c r="S116" s="9"/>
      <c r="T116" s="9"/>
      <c r="U116" s="9"/>
      <c r="V116" s="9"/>
      <c r="W116" s="9"/>
      <c r="X116" s="9"/>
      <c r="Y116" s="9"/>
    </row>
    <row r="117" spans="3:25" x14ac:dyDescent="0.2">
      <c r="G117" s="9"/>
      <c r="H117" s="9"/>
      <c r="I117" s="9"/>
      <c r="J117" s="9"/>
      <c r="K117" s="9"/>
      <c r="L117" s="9"/>
      <c r="M117" s="9"/>
      <c r="N117" s="9"/>
      <c r="O117" s="9"/>
      <c r="P117" s="9"/>
      <c r="Q117" s="9"/>
      <c r="R117" s="9"/>
      <c r="S117" s="9"/>
      <c r="T117" s="9"/>
      <c r="U117" s="9"/>
      <c r="V117" s="9"/>
      <c r="W117" s="9"/>
      <c r="X117" s="9"/>
      <c r="Y117" s="9"/>
    </row>
    <row r="118" spans="3:25" x14ac:dyDescent="0.2">
      <c r="G118" s="9"/>
      <c r="H118" s="9"/>
      <c r="I118" s="9"/>
      <c r="J118" s="9"/>
      <c r="K118" s="9"/>
      <c r="L118" s="9"/>
      <c r="M118" s="9"/>
      <c r="N118" s="9"/>
      <c r="O118" s="9"/>
      <c r="P118" s="9"/>
      <c r="Q118" s="9"/>
      <c r="R118" s="9"/>
      <c r="S118" s="9"/>
      <c r="T118" s="9"/>
      <c r="U118" s="9"/>
      <c r="V118" s="9"/>
      <c r="W118" s="9"/>
      <c r="X118" s="9"/>
      <c r="Y118" s="9"/>
    </row>
    <row r="119" spans="3:25" x14ac:dyDescent="0.2">
      <c r="G119" s="9"/>
      <c r="H119" s="9"/>
      <c r="I119" s="9"/>
      <c r="J119" s="9"/>
      <c r="K119" s="9"/>
      <c r="L119" s="9"/>
      <c r="M119" s="9"/>
      <c r="N119" s="9"/>
      <c r="O119" s="9"/>
      <c r="P119" s="9"/>
      <c r="Q119" s="9"/>
      <c r="R119" s="9"/>
      <c r="S119" s="9"/>
      <c r="T119" s="9"/>
      <c r="U119" s="9"/>
      <c r="V119" s="9"/>
      <c r="W119" s="9"/>
      <c r="X119" s="9"/>
      <c r="Y119" s="9"/>
    </row>
    <row r="120" spans="3:25" x14ac:dyDescent="0.2">
      <c r="G120" s="9"/>
      <c r="H120" s="9"/>
      <c r="I120" s="9"/>
      <c r="J120" s="9"/>
      <c r="K120" s="9"/>
      <c r="L120" s="9"/>
      <c r="M120" s="9"/>
      <c r="N120" s="9"/>
      <c r="O120" s="9"/>
      <c r="P120" s="9"/>
      <c r="Q120" s="9"/>
      <c r="R120" s="9"/>
      <c r="S120" s="9"/>
      <c r="T120" s="9"/>
      <c r="U120" s="9"/>
      <c r="V120" s="9"/>
      <c r="W120" s="9"/>
      <c r="X120" s="9"/>
      <c r="Y120" s="9"/>
    </row>
    <row r="121" spans="3:25" x14ac:dyDescent="0.2">
      <c r="G121" s="9"/>
      <c r="H121" s="9"/>
      <c r="I121" s="9"/>
      <c r="J121" s="9"/>
      <c r="K121" s="9"/>
      <c r="L121" s="9"/>
      <c r="M121" s="9"/>
      <c r="N121" s="9"/>
      <c r="O121" s="9"/>
      <c r="P121" s="9"/>
      <c r="Q121" s="9"/>
      <c r="R121" s="9"/>
      <c r="S121" s="9"/>
      <c r="T121" s="9"/>
      <c r="U121" s="9"/>
      <c r="V121" s="9"/>
      <c r="W121" s="9"/>
      <c r="X121" s="9"/>
      <c r="Y121" s="9"/>
    </row>
    <row r="122" spans="3:25" x14ac:dyDescent="0.2">
      <c r="C122" s="44"/>
      <c r="G122" s="9"/>
      <c r="H122" s="9"/>
      <c r="I122" s="9"/>
      <c r="J122" s="9"/>
      <c r="K122" s="9"/>
      <c r="L122" s="9"/>
      <c r="M122" s="9"/>
      <c r="N122" s="9"/>
      <c r="O122" s="9"/>
      <c r="P122" s="9"/>
      <c r="Q122" s="9"/>
      <c r="R122" s="9"/>
      <c r="S122" s="9"/>
      <c r="T122" s="9"/>
      <c r="U122" s="9"/>
      <c r="V122" s="9"/>
      <c r="W122" s="9"/>
      <c r="X122" s="9"/>
      <c r="Y122" s="9"/>
    </row>
    <row r="123" spans="3:25" x14ac:dyDescent="0.2">
      <c r="C123" s="44"/>
      <c r="G123" s="9"/>
      <c r="H123" s="9"/>
      <c r="I123" s="9"/>
      <c r="J123" s="9"/>
      <c r="K123" s="9"/>
      <c r="L123" s="9"/>
      <c r="M123" s="9"/>
      <c r="N123" s="9"/>
      <c r="O123" s="9"/>
      <c r="P123" s="9"/>
      <c r="Q123" s="9"/>
      <c r="R123" s="9"/>
      <c r="S123" s="9"/>
      <c r="T123" s="9"/>
      <c r="U123" s="9"/>
      <c r="V123" s="9"/>
      <c r="W123" s="9"/>
      <c r="X123" s="9"/>
      <c r="Y123" s="9"/>
    </row>
    <row r="124" spans="3:25" x14ac:dyDescent="0.2">
      <c r="C124" s="44"/>
      <c r="G124" s="9"/>
      <c r="H124" s="9"/>
      <c r="I124" s="9"/>
      <c r="J124" s="9"/>
      <c r="K124" s="9"/>
      <c r="L124" s="9"/>
      <c r="M124" s="9"/>
      <c r="N124" s="9"/>
      <c r="O124" s="9"/>
      <c r="P124" s="9"/>
      <c r="Q124" s="9"/>
      <c r="R124" s="9"/>
      <c r="S124" s="9"/>
      <c r="T124" s="9"/>
      <c r="U124" s="9"/>
      <c r="V124" s="9"/>
      <c r="W124" s="9"/>
      <c r="X124" s="9"/>
      <c r="Y124" s="9"/>
    </row>
    <row r="125" spans="3:25" x14ac:dyDescent="0.2">
      <c r="C125" s="44"/>
      <c r="G125" s="9"/>
      <c r="H125" s="9"/>
      <c r="I125" s="9"/>
      <c r="J125" s="9"/>
      <c r="K125" s="9"/>
      <c r="L125" s="9"/>
      <c r="M125" s="9"/>
      <c r="N125" s="9"/>
      <c r="O125" s="9"/>
      <c r="P125" s="9"/>
      <c r="Q125" s="9"/>
      <c r="R125" s="9"/>
      <c r="S125" s="9"/>
      <c r="T125" s="9"/>
      <c r="U125" s="9"/>
      <c r="V125" s="9"/>
      <c r="W125" s="9"/>
      <c r="X125" s="9"/>
      <c r="Y125" s="9"/>
    </row>
    <row r="126" spans="3:25" x14ac:dyDescent="0.2">
      <c r="G126" s="9"/>
      <c r="H126" s="9"/>
      <c r="I126" s="9"/>
      <c r="J126" s="9"/>
      <c r="K126" s="9"/>
      <c r="L126" s="9"/>
      <c r="M126" s="9"/>
      <c r="N126" s="9"/>
      <c r="O126" s="9"/>
      <c r="P126" s="9"/>
      <c r="Q126" s="9"/>
      <c r="R126" s="9"/>
      <c r="S126" s="9"/>
      <c r="T126" s="9"/>
      <c r="U126" s="9"/>
      <c r="V126" s="9"/>
      <c r="W126" s="9"/>
      <c r="X126" s="9"/>
      <c r="Y126" s="9"/>
    </row>
    <row r="127" spans="3:25" x14ac:dyDescent="0.2">
      <c r="G127" s="9"/>
      <c r="H127" s="9"/>
      <c r="I127" s="9"/>
      <c r="J127" s="9"/>
      <c r="K127" s="9"/>
      <c r="L127" s="9"/>
      <c r="M127" s="9"/>
      <c r="N127" s="9"/>
      <c r="O127" s="9"/>
      <c r="P127" s="9"/>
      <c r="Q127" s="9"/>
      <c r="R127" s="9"/>
      <c r="S127" s="9"/>
      <c r="T127" s="9"/>
      <c r="U127" s="9"/>
      <c r="V127" s="9"/>
      <c r="W127" s="9"/>
      <c r="X127" s="9"/>
      <c r="Y127" s="9"/>
    </row>
    <row r="128" spans="3:25" x14ac:dyDescent="0.2">
      <c r="G128" s="9"/>
      <c r="H128" s="9"/>
      <c r="I128" s="9"/>
      <c r="J128" s="9"/>
      <c r="K128" s="9"/>
      <c r="L128" s="9"/>
      <c r="M128" s="9"/>
      <c r="N128" s="9"/>
      <c r="O128" s="9"/>
      <c r="P128" s="9"/>
      <c r="Q128" s="9"/>
      <c r="R128" s="9"/>
      <c r="S128" s="9"/>
      <c r="T128" s="9"/>
      <c r="U128" s="9"/>
      <c r="V128" s="9"/>
      <c r="W128" s="9"/>
      <c r="X128" s="9"/>
      <c r="Y128" s="9"/>
    </row>
    <row r="129" spans="2:25" x14ac:dyDescent="0.2">
      <c r="B129" s="13" t="s">
        <v>330</v>
      </c>
      <c r="C129" s="86" t="s">
        <v>144</v>
      </c>
      <c r="G129" s="9"/>
      <c r="H129" s="9"/>
      <c r="I129" s="9"/>
      <c r="J129" s="9"/>
      <c r="K129" s="9"/>
      <c r="L129" s="9"/>
      <c r="M129" s="9"/>
      <c r="N129" s="9"/>
      <c r="O129" s="9"/>
      <c r="P129" s="9"/>
      <c r="Q129" s="9"/>
      <c r="R129" s="9"/>
      <c r="S129" s="9"/>
      <c r="T129" s="9"/>
      <c r="U129" s="9"/>
      <c r="V129" s="9"/>
      <c r="W129" s="9"/>
      <c r="X129" s="9"/>
      <c r="Y129" s="9"/>
    </row>
    <row r="130" spans="2:25" x14ac:dyDescent="0.2">
      <c r="B130" s="13" t="s">
        <v>143</v>
      </c>
      <c r="C130" s="44">
        <f>(C81^2 + C106^2)^0.5</f>
        <v>13888.976968355712</v>
      </c>
      <c r="D130" s="7" t="s">
        <v>130</v>
      </c>
      <c r="G130" s="9"/>
      <c r="H130" s="9"/>
      <c r="I130" s="9"/>
      <c r="J130" s="9"/>
      <c r="K130" s="9"/>
      <c r="L130" s="9"/>
      <c r="M130" s="9"/>
      <c r="N130" s="9"/>
      <c r="O130" s="9"/>
      <c r="P130" s="9"/>
      <c r="Q130" s="9"/>
      <c r="R130" s="9"/>
      <c r="S130" s="9"/>
      <c r="T130" s="9"/>
      <c r="U130" s="9"/>
      <c r="V130" s="9"/>
      <c r="W130" s="9"/>
      <c r="X130" s="9"/>
      <c r="Y130" s="9"/>
    </row>
    <row r="131" spans="2:25" x14ac:dyDescent="0.2">
      <c r="B131" s="13" t="s">
        <v>145</v>
      </c>
      <c r="C131" s="86" t="s">
        <v>153</v>
      </c>
      <c r="G131" s="9"/>
      <c r="H131" s="9"/>
      <c r="I131" s="9"/>
      <c r="J131" s="9"/>
      <c r="K131" s="9"/>
      <c r="L131" s="9"/>
      <c r="M131" s="9"/>
      <c r="N131" s="9"/>
      <c r="O131" s="9"/>
      <c r="P131" s="9"/>
      <c r="Q131" s="9"/>
      <c r="R131" s="9"/>
      <c r="S131" s="9"/>
      <c r="T131" s="9"/>
      <c r="U131" s="9"/>
      <c r="V131" s="9"/>
      <c r="W131" s="9"/>
      <c r="X131" s="9"/>
      <c r="Y131" s="9"/>
    </row>
    <row r="132" spans="2:25" x14ac:dyDescent="0.2">
      <c r="B132" s="13" t="s">
        <v>145</v>
      </c>
      <c r="C132" s="44">
        <f>(C83^2 + C108^2)^0.5</f>
        <v>13888.976968355713</v>
      </c>
      <c r="D132" s="7" t="s">
        <v>130</v>
      </c>
      <c r="G132" s="9"/>
      <c r="H132" s="9"/>
      <c r="I132" s="9"/>
      <c r="J132" s="9"/>
      <c r="K132" s="9"/>
      <c r="L132" s="9"/>
      <c r="M132" s="9"/>
      <c r="N132" s="9"/>
      <c r="O132" s="9"/>
      <c r="P132" s="9"/>
      <c r="Q132" s="9"/>
      <c r="R132" s="9"/>
      <c r="S132" s="9"/>
      <c r="T132" s="9"/>
      <c r="U132" s="9"/>
      <c r="V132" s="9"/>
      <c r="W132" s="9"/>
      <c r="X132" s="9"/>
      <c r="Y132" s="9"/>
    </row>
    <row r="133" spans="2:25" x14ac:dyDescent="0.2">
      <c r="B133" s="13" t="s">
        <v>332</v>
      </c>
      <c r="C133" s="7" t="s">
        <v>331</v>
      </c>
      <c r="G133" s="9"/>
      <c r="H133" s="9"/>
      <c r="I133" s="9"/>
      <c r="J133" s="9"/>
      <c r="K133" s="9"/>
      <c r="L133" s="9"/>
      <c r="M133" s="9"/>
      <c r="N133" s="9"/>
      <c r="O133" s="9"/>
      <c r="P133" s="9"/>
      <c r="Q133" s="9"/>
      <c r="R133" s="9"/>
      <c r="S133" s="9"/>
      <c r="T133" s="9"/>
      <c r="U133" s="9"/>
      <c r="V133" s="9"/>
      <c r="W133" s="9"/>
      <c r="X133" s="9"/>
      <c r="Y133" s="9"/>
    </row>
    <row r="134" spans="2:25" x14ac:dyDescent="0.2">
      <c r="B134" s="13" t="s">
        <v>333</v>
      </c>
      <c r="C134" s="43">
        <f>57.5057*ATAN(C106 / C81)</f>
        <v>18.604860935319202</v>
      </c>
      <c r="D134" s="7" t="s">
        <v>334</v>
      </c>
      <c r="G134" s="9"/>
      <c r="H134" s="9"/>
      <c r="I134" s="9"/>
      <c r="J134" s="9"/>
      <c r="K134" s="9"/>
      <c r="L134" s="9"/>
      <c r="M134" s="9"/>
      <c r="N134" s="9"/>
      <c r="O134" s="9"/>
      <c r="P134" s="9"/>
      <c r="Q134" s="9"/>
      <c r="R134" s="9"/>
      <c r="S134" s="9"/>
      <c r="T134" s="9"/>
      <c r="U134" s="9"/>
      <c r="V134" s="9"/>
      <c r="W134" s="9"/>
      <c r="X134" s="9"/>
      <c r="Y134" s="9"/>
    </row>
    <row r="135" spans="2:25" x14ac:dyDescent="0.2">
      <c r="G135" s="9"/>
      <c r="H135" s="9"/>
      <c r="I135" s="9"/>
      <c r="J135" s="9"/>
      <c r="K135" s="9"/>
      <c r="L135" s="9"/>
      <c r="M135" s="9"/>
      <c r="N135" s="9"/>
      <c r="O135" s="9"/>
      <c r="P135" s="9"/>
      <c r="Q135" s="9"/>
      <c r="R135" s="9"/>
      <c r="S135" s="9"/>
      <c r="T135" s="9"/>
      <c r="U135" s="9"/>
      <c r="V135" s="9"/>
      <c r="W135" s="9"/>
      <c r="X135" s="9"/>
      <c r="Y135" s="9"/>
    </row>
    <row r="136" spans="2:25" x14ac:dyDescent="0.2">
      <c r="B136" s="13"/>
      <c r="C136" s="86"/>
      <c r="G136" s="9"/>
      <c r="H136" s="9"/>
      <c r="I136" s="9"/>
      <c r="J136" s="9"/>
      <c r="K136" s="9"/>
      <c r="L136" s="9"/>
      <c r="M136" s="9"/>
      <c r="N136" s="9"/>
      <c r="O136" s="9"/>
      <c r="P136" s="9"/>
      <c r="Q136" s="9"/>
      <c r="R136" s="9"/>
      <c r="S136" s="9"/>
      <c r="T136" s="9"/>
      <c r="U136" s="9"/>
      <c r="V136" s="9"/>
      <c r="W136" s="9"/>
      <c r="X136" s="9"/>
      <c r="Y136" s="9"/>
    </row>
    <row r="137" spans="2:25" x14ac:dyDescent="0.2">
      <c r="B137" s="13"/>
      <c r="C137" s="44"/>
      <c r="G137" s="9"/>
      <c r="H137" s="9"/>
      <c r="I137" s="9"/>
      <c r="J137" s="9"/>
      <c r="K137" s="9"/>
      <c r="L137" s="9"/>
      <c r="M137" s="9"/>
      <c r="N137" s="9"/>
      <c r="O137" s="9"/>
      <c r="P137" s="9"/>
      <c r="Q137" s="9"/>
      <c r="R137" s="9"/>
      <c r="S137" s="9"/>
      <c r="T137" s="9"/>
      <c r="U137" s="9"/>
      <c r="V137" s="9"/>
      <c r="W137" s="9"/>
      <c r="X137" s="9"/>
      <c r="Y137" s="9"/>
    </row>
    <row r="138" spans="2:25" x14ac:dyDescent="0.2">
      <c r="C138" s="86"/>
      <c r="G138" s="9"/>
      <c r="H138" s="9"/>
      <c r="I138" s="9"/>
      <c r="J138" s="9"/>
      <c r="K138" s="9"/>
      <c r="L138" s="9"/>
      <c r="M138" s="9"/>
      <c r="N138" s="9"/>
      <c r="O138" s="9"/>
      <c r="P138" s="9"/>
      <c r="Q138" s="9"/>
      <c r="R138" s="9"/>
      <c r="S138" s="9"/>
      <c r="T138" s="9"/>
      <c r="U138" s="9"/>
      <c r="V138" s="9"/>
      <c r="W138" s="9"/>
      <c r="X138" s="9"/>
      <c r="Y138" s="9"/>
    </row>
    <row r="139" spans="2:25" x14ac:dyDescent="0.2">
      <c r="G139" s="9"/>
      <c r="H139" s="9"/>
      <c r="I139" s="9"/>
      <c r="J139" s="9"/>
      <c r="K139" s="9"/>
      <c r="L139" s="9"/>
      <c r="M139" s="9"/>
      <c r="N139" s="9"/>
      <c r="O139" s="9"/>
      <c r="P139" s="9"/>
      <c r="Q139" s="9"/>
      <c r="R139" s="9"/>
      <c r="S139" s="9"/>
      <c r="T139" s="9"/>
      <c r="U139" s="9"/>
      <c r="V139" s="9"/>
      <c r="W139" s="9"/>
      <c r="X139" s="9"/>
      <c r="Y139" s="9"/>
    </row>
    <row r="140" spans="2:25" x14ac:dyDescent="0.2">
      <c r="G140" s="9"/>
      <c r="H140" s="9"/>
      <c r="I140" s="9"/>
      <c r="J140" s="9"/>
      <c r="K140" s="9"/>
      <c r="L140" s="9"/>
      <c r="M140" s="9"/>
      <c r="N140" s="9"/>
      <c r="O140" s="9"/>
      <c r="P140" s="9"/>
      <c r="Q140" s="9"/>
      <c r="R140" s="9"/>
      <c r="S140" s="9"/>
      <c r="T140" s="9"/>
      <c r="U140" s="9"/>
      <c r="V140" s="9"/>
      <c r="W140" s="9"/>
      <c r="X140" s="9"/>
      <c r="Y140" s="9"/>
    </row>
    <row r="141" spans="2:25" x14ac:dyDescent="0.2">
      <c r="G141" s="9"/>
      <c r="H141" s="9"/>
      <c r="I141" s="9"/>
      <c r="J141" s="9"/>
      <c r="K141" s="9"/>
      <c r="L141" s="9"/>
      <c r="M141" s="9"/>
      <c r="N141" s="9"/>
      <c r="O141" s="9"/>
      <c r="P141" s="9"/>
      <c r="Q141" s="9"/>
      <c r="R141" s="9"/>
      <c r="S141" s="9"/>
      <c r="T141" s="9"/>
      <c r="U141" s="9"/>
      <c r="V141" s="9"/>
      <c r="W141" s="9"/>
      <c r="X141" s="9"/>
      <c r="Y141" s="9"/>
    </row>
    <row r="142" spans="2:25" x14ac:dyDescent="0.2">
      <c r="G142" s="9"/>
      <c r="H142" s="9"/>
      <c r="I142" s="9"/>
      <c r="J142" s="9"/>
      <c r="K142" s="9"/>
      <c r="L142" s="9"/>
      <c r="M142" s="9"/>
      <c r="N142" s="9"/>
      <c r="O142" s="9"/>
      <c r="P142" s="9"/>
      <c r="Q142" s="9"/>
      <c r="R142" s="9"/>
      <c r="S142" s="9"/>
      <c r="T142" s="9"/>
      <c r="U142" s="9"/>
      <c r="V142" s="9"/>
      <c r="W142" s="9"/>
      <c r="X142" s="9"/>
      <c r="Y142" s="9"/>
    </row>
    <row r="143" spans="2:25" x14ac:dyDescent="0.2">
      <c r="G143" s="9"/>
      <c r="H143" s="9"/>
      <c r="I143" s="9"/>
      <c r="J143" s="9"/>
      <c r="K143" s="9"/>
      <c r="L143" s="9"/>
      <c r="M143" s="9"/>
      <c r="N143" s="9"/>
      <c r="O143" s="9"/>
      <c r="P143" s="9"/>
      <c r="Q143" s="9"/>
      <c r="R143" s="9"/>
      <c r="S143" s="9"/>
      <c r="T143" s="9"/>
      <c r="U143" s="9"/>
      <c r="V143" s="9"/>
      <c r="W143" s="9"/>
      <c r="X143" s="9"/>
      <c r="Y143" s="9"/>
    </row>
    <row r="144" spans="2:25" x14ac:dyDescent="0.2">
      <c r="G144" s="9"/>
      <c r="H144" s="9"/>
      <c r="I144" s="9"/>
      <c r="J144" s="9"/>
      <c r="K144" s="9"/>
      <c r="L144" s="9"/>
      <c r="M144" s="9"/>
      <c r="N144" s="9"/>
      <c r="O144" s="9"/>
      <c r="P144" s="9"/>
      <c r="Q144" s="9"/>
      <c r="R144" s="9"/>
      <c r="S144" s="9"/>
      <c r="T144" s="9"/>
      <c r="U144" s="9"/>
      <c r="V144" s="9"/>
      <c r="W144" s="9"/>
      <c r="X144" s="9"/>
      <c r="Y144" s="9"/>
    </row>
    <row r="145" spans="6:25" x14ac:dyDescent="0.2">
      <c r="G145" s="9"/>
      <c r="H145" s="9"/>
      <c r="I145" s="9"/>
      <c r="J145" s="9"/>
      <c r="K145" s="9"/>
      <c r="L145" s="9"/>
      <c r="M145" s="9"/>
      <c r="N145" s="9"/>
      <c r="O145" s="9"/>
      <c r="P145" s="9"/>
      <c r="Q145" s="9"/>
      <c r="R145" s="9"/>
      <c r="S145" s="9"/>
      <c r="T145" s="9"/>
      <c r="U145" s="9"/>
      <c r="V145" s="9"/>
      <c r="W145" s="9"/>
      <c r="X145" s="9"/>
      <c r="Y145" s="9"/>
    </row>
    <row r="146" spans="6:25" x14ac:dyDescent="0.2">
      <c r="G146" s="9"/>
      <c r="H146" s="9"/>
      <c r="I146" s="9"/>
      <c r="J146" s="9"/>
      <c r="K146" s="9"/>
      <c r="L146" s="9"/>
      <c r="M146" s="9"/>
      <c r="N146" s="9"/>
      <c r="O146" s="9"/>
      <c r="P146" s="9"/>
      <c r="Q146" s="9"/>
      <c r="R146" s="9"/>
      <c r="S146" s="9"/>
      <c r="T146" s="9"/>
      <c r="U146" s="9"/>
      <c r="V146" s="9"/>
      <c r="W146" s="9"/>
      <c r="X146" s="9"/>
      <c r="Y146" s="9"/>
    </row>
    <row r="147" spans="6:25" x14ac:dyDescent="0.2">
      <c r="G147" s="9"/>
      <c r="H147" s="9"/>
      <c r="I147" s="9"/>
      <c r="J147" s="9"/>
      <c r="K147" s="9"/>
      <c r="L147" s="9"/>
      <c r="M147" s="9"/>
      <c r="N147" s="9"/>
      <c r="O147" s="9"/>
      <c r="P147" s="9"/>
      <c r="Q147" s="9"/>
      <c r="R147" s="9"/>
      <c r="S147" s="9"/>
      <c r="T147" s="9"/>
      <c r="U147" s="9"/>
      <c r="V147" s="9"/>
      <c r="W147" s="9"/>
      <c r="X147" s="9"/>
      <c r="Y147" s="9"/>
    </row>
    <row r="148" spans="6:25" x14ac:dyDescent="0.2">
      <c r="G148" s="9"/>
      <c r="H148" s="9"/>
      <c r="I148" s="9"/>
      <c r="J148" s="9"/>
      <c r="K148" s="9"/>
      <c r="L148" s="9"/>
      <c r="M148" s="9"/>
      <c r="N148" s="9"/>
      <c r="O148" s="9"/>
      <c r="P148" s="9"/>
      <c r="Q148" s="9"/>
      <c r="R148" s="9"/>
      <c r="S148" s="9"/>
      <c r="T148" s="9"/>
      <c r="U148" s="9"/>
      <c r="V148" s="9"/>
      <c r="W148" s="9"/>
      <c r="X148" s="9"/>
      <c r="Y148" s="9"/>
    </row>
    <row r="149" spans="6:25" x14ac:dyDescent="0.2">
      <c r="H149" s="9"/>
      <c r="I149" s="9"/>
      <c r="J149" s="9"/>
      <c r="K149" s="9"/>
      <c r="L149" s="9"/>
      <c r="M149" s="9"/>
      <c r="N149" s="9"/>
      <c r="O149" s="9"/>
      <c r="P149" s="9"/>
      <c r="Q149" s="9"/>
      <c r="R149" s="9"/>
      <c r="S149" s="9"/>
      <c r="T149" s="9"/>
      <c r="U149" s="9"/>
      <c r="V149" s="9"/>
      <c r="W149" s="9"/>
      <c r="X149" s="9"/>
      <c r="Y149" s="9"/>
    </row>
    <row r="150" spans="6:25" x14ac:dyDescent="0.2">
      <c r="H150" s="9"/>
      <c r="I150" s="9"/>
      <c r="J150" s="9"/>
      <c r="K150" s="9"/>
      <c r="L150" s="9"/>
      <c r="M150" s="9"/>
      <c r="N150" s="9"/>
      <c r="O150" s="9"/>
      <c r="P150" s="9"/>
      <c r="Q150" s="9"/>
      <c r="R150" s="9"/>
      <c r="S150" s="9"/>
      <c r="T150" s="9"/>
      <c r="U150" s="9"/>
      <c r="V150" s="9"/>
      <c r="W150" s="9"/>
      <c r="X150" s="9"/>
      <c r="Y150" s="9"/>
    </row>
    <row r="151" spans="6:25" x14ac:dyDescent="0.2">
      <c r="H151" s="9"/>
      <c r="I151" s="9"/>
      <c r="J151" s="9"/>
      <c r="K151" s="9"/>
      <c r="L151" s="9"/>
      <c r="M151" s="9"/>
      <c r="N151" s="9"/>
      <c r="O151" s="9"/>
      <c r="P151" s="9"/>
      <c r="Q151" s="9"/>
      <c r="R151" s="9"/>
      <c r="S151" s="9"/>
      <c r="T151" s="9"/>
      <c r="U151" s="9"/>
      <c r="V151" s="9"/>
      <c r="W151" s="9"/>
      <c r="X151" s="9"/>
      <c r="Y151" s="9"/>
    </row>
    <row r="152" spans="6:25" x14ac:dyDescent="0.2">
      <c r="H152" s="9"/>
      <c r="I152" s="9"/>
      <c r="J152" s="9"/>
      <c r="K152" s="9"/>
      <c r="L152" s="9"/>
      <c r="M152" s="9"/>
      <c r="N152" s="9"/>
      <c r="O152" s="9"/>
      <c r="P152" s="9"/>
      <c r="Q152" s="9"/>
      <c r="R152" s="9"/>
      <c r="S152" s="9"/>
      <c r="T152" s="9"/>
      <c r="U152" s="9"/>
      <c r="V152" s="9"/>
      <c r="W152" s="9"/>
      <c r="X152" s="9"/>
      <c r="Y152" s="9"/>
    </row>
    <row r="153" spans="6:25" x14ac:dyDescent="0.2">
      <c r="G153" s="9"/>
      <c r="H153" s="9"/>
      <c r="I153" s="9"/>
      <c r="J153" s="9"/>
      <c r="K153" s="9"/>
      <c r="L153" s="9"/>
      <c r="M153" s="9"/>
      <c r="N153" s="9"/>
      <c r="O153" s="9"/>
      <c r="P153" s="9"/>
      <c r="Q153" s="9"/>
      <c r="R153" s="9"/>
      <c r="S153" s="9"/>
      <c r="T153" s="9"/>
      <c r="U153" s="9"/>
      <c r="V153" s="9"/>
      <c r="W153" s="9"/>
      <c r="X153" s="9"/>
      <c r="Y153" s="9"/>
    </row>
    <row r="154" spans="6:25" x14ac:dyDescent="0.2">
      <c r="G154" s="9"/>
      <c r="H154" s="9"/>
      <c r="I154" s="9"/>
      <c r="J154" s="9"/>
      <c r="K154" s="9"/>
      <c r="L154" s="9"/>
      <c r="M154" s="9"/>
      <c r="N154" s="9"/>
      <c r="O154" s="9"/>
      <c r="P154" s="9"/>
      <c r="Q154" s="9"/>
      <c r="R154" s="9"/>
      <c r="S154" s="9"/>
      <c r="T154" s="9"/>
      <c r="U154" s="9"/>
      <c r="V154" s="9"/>
      <c r="W154" s="9"/>
      <c r="X154" s="9"/>
      <c r="Y154" s="9"/>
    </row>
    <row r="155" spans="6:25" x14ac:dyDescent="0.2">
      <c r="G155" s="9"/>
      <c r="H155" s="9"/>
      <c r="I155" s="9"/>
      <c r="J155" s="9"/>
      <c r="K155" s="9"/>
      <c r="L155" s="9"/>
      <c r="M155" s="9"/>
      <c r="N155" s="9"/>
      <c r="O155" s="9"/>
      <c r="P155" s="9"/>
      <c r="Q155" s="9"/>
      <c r="R155" s="9"/>
      <c r="S155" s="9"/>
      <c r="T155" s="9"/>
      <c r="U155" s="9"/>
      <c r="V155" s="9"/>
      <c r="W155" s="9"/>
      <c r="X155" s="9"/>
      <c r="Y155" s="9"/>
    </row>
    <row r="156" spans="6:25" x14ac:dyDescent="0.2">
      <c r="G156" s="9"/>
      <c r="H156" s="9"/>
      <c r="I156" s="9"/>
      <c r="J156" s="9"/>
      <c r="K156" s="9"/>
      <c r="L156" s="9"/>
      <c r="M156" s="9"/>
      <c r="N156" s="9"/>
      <c r="O156" s="9"/>
      <c r="P156" s="9"/>
      <c r="Q156" s="9"/>
      <c r="R156" s="9"/>
      <c r="S156" s="9"/>
      <c r="T156" s="9"/>
      <c r="U156" s="9"/>
      <c r="V156" s="9"/>
      <c r="W156" s="9"/>
      <c r="X156" s="9"/>
      <c r="Y156" s="9"/>
    </row>
    <row r="157" spans="6:25" x14ac:dyDescent="0.2">
      <c r="G157" s="9"/>
      <c r="H157" s="9"/>
      <c r="I157" s="9"/>
      <c r="J157" s="9"/>
      <c r="K157" s="9"/>
      <c r="L157" s="9"/>
      <c r="M157" s="9"/>
      <c r="N157" s="9"/>
      <c r="O157" s="9"/>
      <c r="P157" s="9"/>
      <c r="Q157" s="9"/>
      <c r="R157" s="9"/>
      <c r="S157" s="9"/>
      <c r="T157" s="9"/>
      <c r="U157" s="9"/>
      <c r="V157" s="9"/>
      <c r="W157" s="9"/>
      <c r="X157" s="9"/>
      <c r="Y157" s="9"/>
    </row>
    <row r="158" spans="6:25" x14ac:dyDescent="0.2">
      <c r="G158" s="9"/>
      <c r="H158" s="9"/>
      <c r="I158" s="9"/>
      <c r="J158" s="9"/>
      <c r="K158" s="9"/>
      <c r="L158" s="9"/>
      <c r="M158" s="9"/>
      <c r="N158" s="9"/>
      <c r="O158" s="9"/>
      <c r="P158" s="9"/>
      <c r="Q158" s="9"/>
      <c r="R158" s="9"/>
      <c r="S158" s="9"/>
      <c r="T158" s="9"/>
      <c r="U158" s="9"/>
      <c r="V158" s="9"/>
      <c r="W158" s="9"/>
      <c r="X158" s="9"/>
      <c r="Y158" s="9"/>
    </row>
    <row r="159" spans="6:25" ht="15.75" x14ac:dyDescent="0.25">
      <c r="F159" s="23"/>
      <c r="G159" s="9"/>
      <c r="H159" s="9"/>
      <c r="I159" s="9"/>
      <c r="J159" s="9"/>
      <c r="K159" s="9"/>
      <c r="L159" s="9"/>
      <c r="M159" s="9"/>
      <c r="N159" s="9"/>
      <c r="O159" s="9"/>
      <c r="P159" s="9"/>
      <c r="Q159" s="9"/>
      <c r="R159" s="9"/>
      <c r="S159" s="9"/>
      <c r="T159" s="9"/>
      <c r="U159" s="9"/>
      <c r="V159" s="9"/>
      <c r="W159" s="9"/>
      <c r="X159" s="9"/>
      <c r="Y159" s="9"/>
    </row>
    <row r="160" spans="6:25" x14ac:dyDescent="0.2">
      <c r="H160" s="9"/>
      <c r="I160" s="9"/>
      <c r="J160" s="9"/>
      <c r="K160" s="9"/>
      <c r="L160" s="9"/>
      <c r="M160" s="9"/>
      <c r="N160" s="9"/>
      <c r="O160" s="9"/>
      <c r="P160" s="9"/>
      <c r="Q160" s="9"/>
      <c r="R160" s="9"/>
      <c r="S160" s="9"/>
      <c r="T160" s="9"/>
      <c r="U160" s="9"/>
      <c r="V160" s="9"/>
      <c r="W160" s="9"/>
      <c r="X160" s="9"/>
      <c r="Y160" s="9"/>
    </row>
    <row r="161" spans="2:25" x14ac:dyDescent="0.2">
      <c r="H161" s="9"/>
      <c r="I161" s="9"/>
      <c r="J161" s="9"/>
      <c r="K161" s="9"/>
      <c r="L161" s="9"/>
      <c r="M161" s="9"/>
      <c r="N161" s="9"/>
      <c r="O161" s="9"/>
      <c r="P161" s="9"/>
      <c r="Q161" s="9"/>
      <c r="R161" s="9"/>
      <c r="S161" s="9"/>
      <c r="T161" s="9"/>
      <c r="U161" s="9"/>
      <c r="V161" s="9"/>
      <c r="W161" s="9"/>
      <c r="X161" s="9"/>
      <c r="Y161" s="9"/>
    </row>
    <row r="162" spans="2:25" x14ac:dyDescent="0.2">
      <c r="H162" s="9"/>
      <c r="I162" s="9"/>
      <c r="J162" s="9"/>
      <c r="K162" s="9"/>
      <c r="L162" s="9"/>
      <c r="M162" s="9"/>
      <c r="N162" s="9"/>
      <c r="O162" s="9"/>
      <c r="P162" s="9"/>
      <c r="Q162" s="9"/>
      <c r="R162" s="9"/>
      <c r="S162" s="9"/>
      <c r="T162" s="9"/>
      <c r="U162" s="9"/>
      <c r="V162" s="9"/>
      <c r="W162" s="9"/>
      <c r="X162" s="9"/>
      <c r="Y162" s="9"/>
    </row>
    <row r="163" spans="2:25" ht="18" x14ac:dyDescent="0.25">
      <c r="B163" s="6" t="s">
        <v>320</v>
      </c>
      <c r="G163" s="9"/>
      <c r="H163" s="9"/>
      <c r="I163" s="9"/>
      <c r="J163" s="9"/>
      <c r="K163" s="9"/>
      <c r="L163" s="9"/>
      <c r="M163" s="9"/>
      <c r="N163" s="9"/>
      <c r="O163" s="9"/>
      <c r="P163" s="9"/>
      <c r="Q163" s="9"/>
      <c r="R163" s="9"/>
      <c r="S163" s="9"/>
      <c r="T163" s="9"/>
      <c r="U163" s="9"/>
      <c r="V163" s="9"/>
      <c r="W163" s="9"/>
      <c r="X163" s="9"/>
      <c r="Y163" s="9"/>
    </row>
    <row r="164" spans="2:25" x14ac:dyDescent="0.2">
      <c r="G164" s="9"/>
      <c r="H164" s="9"/>
      <c r="I164" s="9"/>
      <c r="J164" s="9"/>
      <c r="K164" s="9"/>
      <c r="L164" s="9"/>
      <c r="M164" s="9"/>
      <c r="N164" s="9"/>
      <c r="O164" s="9"/>
      <c r="P164" s="9"/>
      <c r="Q164" s="9"/>
      <c r="R164" s="9"/>
      <c r="S164" s="9"/>
      <c r="T164" s="9"/>
      <c r="U164" s="9"/>
      <c r="V164" s="9"/>
      <c r="W164" s="9"/>
      <c r="X164" s="9"/>
      <c r="Y164" s="9"/>
    </row>
    <row r="165" spans="2:25" x14ac:dyDescent="0.2">
      <c r="B165" s="14"/>
      <c r="G165" s="9"/>
      <c r="H165" s="9"/>
      <c r="I165" s="9"/>
      <c r="J165" s="9"/>
      <c r="K165" s="9"/>
      <c r="L165" s="9"/>
      <c r="M165" s="9"/>
      <c r="N165" s="9"/>
      <c r="O165" s="9"/>
      <c r="P165" s="9"/>
      <c r="Q165" s="9"/>
      <c r="R165" s="9"/>
      <c r="S165" s="9"/>
      <c r="T165" s="9"/>
      <c r="U165" s="9"/>
      <c r="V165" s="9"/>
      <c r="W165" s="9"/>
      <c r="X165" s="9"/>
      <c r="Y165" s="9"/>
    </row>
    <row r="166" spans="2:25" x14ac:dyDescent="0.2">
      <c r="B166" s="14"/>
      <c r="G166" s="9"/>
      <c r="H166" s="9"/>
      <c r="I166" s="9"/>
      <c r="J166" s="9"/>
      <c r="K166" s="9"/>
      <c r="L166" s="9"/>
      <c r="M166" s="9"/>
      <c r="N166" s="9"/>
      <c r="O166" s="9"/>
      <c r="P166" s="9"/>
      <c r="Q166" s="9"/>
      <c r="R166" s="9"/>
      <c r="S166" s="9"/>
      <c r="T166" s="9"/>
      <c r="U166" s="9"/>
      <c r="V166" s="9"/>
      <c r="W166" s="9"/>
      <c r="X166" s="9"/>
      <c r="Y166" s="9"/>
    </row>
    <row r="167" spans="2:25" x14ac:dyDescent="0.2">
      <c r="B167" s="14"/>
      <c r="G167" s="9"/>
      <c r="H167" s="9"/>
      <c r="I167" s="9"/>
      <c r="J167" s="9"/>
      <c r="K167" s="9"/>
      <c r="L167" s="9"/>
      <c r="M167" s="9"/>
      <c r="N167" s="9"/>
      <c r="O167" s="9"/>
      <c r="P167" s="9"/>
      <c r="Q167" s="9"/>
      <c r="R167" s="9"/>
      <c r="S167" s="9"/>
      <c r="T167" s="9"/>
      <c r="U167" s="9"/>
      <c r="V167" s="9"/>
      <c r="W167" s="9"/>
      <c r="X167" s="9"/>
      <c r="Y167" s="9"/>
    </row>
    <row r="168" spans="2:25" x14ac:dyDescent="0.2">
      <c r="H168" s="9"/>
      <c r="I168" s="9"/>
      <c r="J168" s="9"/>
      <c r="K168" s="9"/>
      <c r="L168" s="9"/>
      <c r="M168" s="9"/>
      <c r="N168" s="9"/>
      <c r="O168" s="9"/>
      <c r="P168" s="9"/>
      <c r="Q168" s="9"/>
      <c r="R168" s="9"/>
      <c r="S168" s="9"/>
      <c r="T168" s="9"/>
      <c r="U168" s="9"/>
      <c r="V168" s="9"/>
      <c r="W168" s="9"/>
      <c r="X168" s="9"/>
      <c r="Y168" s="9"/>
    </row>
    <row r="169" spans="2:25" x14ac:dyDescent="0.2">
      <c r="B169" s="13"/>
      <c r="C169" s="44"/>
      <c r="H169" s="9"/>
      <c r="I169" s="9"/>
      <c r="J169" s="9"/>
      <c r="K169" s="9"/>
      <c r="L169" s="9"/>
      <c r="M169" s="9"/>
      <c r="N169" s="9"/>
      <c r="O169" s="9"/>
      <c r="P169" s="9"/>
      <c r="Q169" s="9"/>
      <c r="R169" s="9"/>
      <c r="S169" s="9"/>
      <c r="T169" s="9"/>
      <c r="U169" s="9"/>
      <c r="V169" s="9"/>
      <c r="W169" s="9"/>
      <c r="X169" s="9"/>
      <c r="Y169" s="9"/>
    </row>
    <row r="170" spans="2:25" x14ac:dyDescent="0.2">
      <c r="B170" s="13"/>
      <c r="C170" s="44"/>
      <c r="H170" s="9"/>
      <c r="I170" s="9"/>
      <c r="J170" s="9"/>
      <c r="K170" s="9"/>
      <c r="L170" s="9"/>
      <c r="M170" s="9"/>
      <c r="N170" s="9"/>
      <c r="O170" s="9"/>
      <c r="P170" s="9"/>
      <c r="Q170" s="9"/>
      <c r="R170" s="9"/>
      <c r="S170" s="9"/>
      <c r="T170" s="9"/>
      <c r="U170" s="9"/>
      <c r="V170" s="9"/>
      <c r="W170" s="9"/>
      <c r="X170" s="9"/>
      <c r="Y170" s="9"/>
    </row>
    <row r="171" spans="2:25" x14ac:dyDescent="0.2">
      <c r="B171" s="13"/>
      <c r="C171" s="44"/>
      <c r="H171" s="9"/>
      <c r="I171" s="9"/>
      <c r="J171" s="9"/>
      <c r="K171" s="9"/>
      <c r="L171" s="9"/>
      <c r="M171" s="9"/>
      <c r="N171" s="9"/>
      <c r="O171" s="9"/>
      <c r="P171" s="9"/>
      <c r="Q171" s="9"/>
      <c r="R171" s="9"/>
      <c r="S171" s="9"/>
      <c r="T171" s="9"/>
      <c r="U171" s="9"/>
      <c r="V171" s="9"/>
      <c r="W171" s="9"/>
      <c r="X171" s="9"/>
      <c r="Y171" s="9"/>
    </row>
    <row r="172" spans="2:25" x14ac:dyDescent="0.2">
      <c r="B172" s="13"/>
      <c r="C172" s="44"/>
      <c r="H172" s="9"/>
      <c r="I172" s="9"/>
      <c r="J172" s="9"/>
      <c r="K172" s="9"/>
      <c r="L172" s="9"/>
      <c r="M172" s="9"/>
      <c r="N172" s="9"/>
      <c r="O172" s="9"/>
      <c r="P172" s="9"/>
      <c r="Q172" s="9"/>
      <c r="R172" s="9"/>
      <c r="S172" s="9"/>
      <c r="T172" s="9"/>
      <c r="U172" s="9"/>
      <c r="V172" s="9"/>
      <c r="W172" s="9"/>
      <c r="X172" s="9"/>
      <c r="Y172" s="9"/>
    </row>
    <row r="173" spans="2:25" x14ac:dyDescent="0.2">
      <c r="H173" s="9"/>
      <c r="I173" s="9"/>
      <c r="J173" s="9"/>
      <c r="K173" s="9"/>
      <c r="L173" s="9"/>
      <c r="M173" s="9"/>
      <c r="N173" s="9"/>
      <c r="O173" s="9"/>
      <c r="P173" s="9"/>
      <c r="Q173" s="9"/>
      <c r="R173" s="9"/>
      <c r="S173" s="9"/>
      <c r="T173" s="9"/>
      <c r="U173" s="9"/>
      <c r="V173" s="9"/>
      <c r="W173" s="9"/>
      <c r="X173" s="9"/>
      <c r="Y173" s="9"/>
    </row>
    <row r="174" spans="2:25" x14ac:dyDescent="0.2">
      <c r="H174" s="9"/>
      <c r="I174" s="9"/>
      <c r="J174" s="9"/>
      <c r="K174" s="9"/>
      <c r="L174" s="9"/>
      <c r="M174" s="9"/>
      <c r="N174" s="9"/>
      <c r="O174" s="9"/>
      <c r="P174" s="9"/>
      <c r="Q174" s="9"/>
      <c r="R174" s="9"/>
      <c r="S174" s="9"/>
      <c r="T174" s="9"/>
      <c r="U174" s="9"/>
      <c r="V174" s="9"/>
      <c r="W174" s="9"/>
      <c r="X174" s="9"/>
      <c r="Y174" s="9"/>
    </row>
    <row r="175" spans="2:25" x14ac:dyDescent="0.2">
      <c r="H175" s="9"/>
      <c r="I175" s="9"/>
      <c r="J175" s="9"/>
      <c r="K175" s="9"/>
      <c r="L175" s="9"/>
      <c r="M175" s="9"/>
      <c r="N175" s="9"/>
      <c r="O175" s="9"/>
      <c r="P175" s="9"/>
      <c r="Q175" s="9"/>
      <c r="R175" s="9"/>
      <c r="S175" s="9"/>
      <c r="T175" s="9"/>
      <c r="U175" s="9"/>
      <c r="V175" s="9"/>
      <c r="W175" s="9"/>
      <c r="X175" s="9"/>
      <c r="Y175" s="9"/>
    </row>
    <row r="176" spans="2:25" x14ac:dyDescent="0.2">
      <c r="H176" s="9" t="s">
        <v>19</v>
      </c>
      <c r="I176" s="9"/>
      <c r="J176" s="9"/>
      <c r="K176" s="9"/>
      <c r="L176" s="9"/>
      <c r="M176" s="9"/>
      <c r="N176" s="9"/>
      <c r="O176" s="9"/>
      <c r="P176" s="9"/>
      <c r="Q176" s="9"/>
      <c r="R176" s="9"/>
      <c r="S176" s="9"/>
      <c r="T176" s="9"/>
      <c r="U176" s="9"/>
      <c r="V176" s="9"/>
      <c r="W176" s="9"/>
      <c r="X176" s="9"/>
      <c r="Y176" s="9"/>
    </row>
    <row r="177" spans="2:25" x14ac:dyDescent="0.2">
      <c r="H177" s="9"/>
      <c r="I177" s="9"/>
      <c r="J177" s="9"/>
      <c r="K177" s="9"/>
      <c r="L177" s="9"/>
      <c r="M177" s="9"/>
      <c r="N177" s="9"/>
      <c r="O177" s="9"/>
      <c r="P177" s="9"/>
      <c r="Q177" s="9"/>
      <c r="R177" s="9"/>
      <c r="S177" s="9"/>
      <c r="T177" s="9"/>
      <c r="U177" s="9"/>
      <c r="V177" s="9"/>
      <c r="W177" s="9"/>
      <c r="X177" s="9"/>
      <c r="Y177" s="9"/>
    </row>
    <row r="178" spans="2:25" x14ac:dyDescent="0.2">
      <c r="H178" s="9"/>
      <c r="I178" s="9"/>
      <c r="J178" s="9"/>
      <c r="K178" s="9"/>
      <c r="L178" s="9"/>
      <c r="M178" s="9"/>
      <c r="N178" s="9"/>
      <c r="O178" s="9"/>
      <c r="P178" s="9"/>
      <c r="Q178" s="9"/>
      <c r="R178" s="9"/>
      <c r="S178" s="9"/>
      <c r="T178" s="9"/>
      <c r="U178" s="9"/>
      <c r="V178" s="9"/>
      <c r="W178" s="9"/>
      <c r="X178" s="9"/>
      <c r="Y178" s="9"/>
    </row>
    <row r="179" spans="2:25" x14ac:dyDescent="0.2">
      <c r="H179" s="9"/>
      <c r="I179" s="9"/>
      <c r="J179" s="9"/>
      <c r="K179" s="9"/>
      <c r="L179" s="9"/>
      <c r="M179" s="9"/>
      <c r="N179" s="9"/>
      <c r="O179" s="9"/>
      <c r="P179" s="9"/>
      <c r="Q179" s="9"/>
      <c r="R179" s="9"/>
      <c r="S179" s="9"/>
      <c r="T179" s="9"/>
      <c r="U179" s="9"/>
      <c r="V179" s="9"/>
      <c r="W179" s="9"/>
      <c r="X179" s="9"/>
      <c r="Y179" s="9"/>
    </row>
    <row r="180" spans="2:25" x14ac:dyDescent="0.2">
      <c r="H180" s="9"/>
      <c r="I180" s="9"/>
      <c r="J180" s="9"/>
      <c r="K180" s="9"/>
      <c r="L180" s="9"/>
      <c r="M180" s="9"/>
      <c r="N180" s="9"/>
      <c r="O180" s="9"/>
      <c r="P180" s="9"/>
      <c r="Q180" s="9"/>
      <c r="R180" s="9"/>
      <c r="S180" s="9"/>
      <c r="T180" s="9"/>
      <c r="U180" s="9"/>
      <c r="V180" s="9"/>
      <c r="W180" s="9"/>
      <c r="X180" s="9"/>
      <c r="Y180" s="9"/>
    </row>
    <row r="181" spans="2:25" x14ac:dyDescent="0.2">
      <c r="H181" s="9"/>
      <c r="I181" s="9"/>
      <c r="J181" s="9"/>
      <c r="K181" s="9"/>
      <c r="L181" s="9"/>
      <c r="M181" s="9"/>
      <c r="N181" s="9"/>
      <c r="O181" s="9"/>
      <c r="P181" s="9"/>
      <c r="Q181" s="9"/>
      <c r="R181" s="9"/>
      <c r="S181" s="9"/>
      <c r="T181" s="9"/>
      <c r="U181" s="9"/>
      <c r="V181" s="9"/>
      <c r="W181" s="9"/>
      <c r="X181" s="9"/>
      <c r="Y181" s="9"/>
    </row>
    <row r="182" spans="2:25" x14ac:dyDescent="0.2">
      <c r="H182" s="9"/>
      <c r="I182" s="9"/>
      <c r="J182" s="9"/>
      <c r="K182" s="9"/>
      <c r="L182" s="9"/>
      <c r="M182" s="9"/>
      <c r="N182" s="9"/>
      <c r="O182" s="9"/>
      <c r="P182" s="9"/>
      <c r="Q182" s="9"/>
      <c r="R182" s="9"/>
      <c r="S182" s="9"/>
      <c r="T182" s="9"/>
      <c r="U182" s="9"/>
      <c r="V182" s="9"/>
      <c r="W182" s="9"/>
      <c r="X182" s="9"/>
      <c r="Y182" s="9"/>
    </row>
    <row r="183" spans="2:25" x14ac:dyDescent="0.2">
      <c r="H183" s="9"/>
      <c r="I183" s="9"/>
      <c r="J183" s="9"/>
      <c r="K183" s="9"/>
      <c r="L183" s="9"/>
      <c r="M183" s="9"/>
      <c r="N183" s="9"/>
      <c r="O183" s="9"/>
      <c r="P183" s="9"/>
      <c r="Q183" s="9"/>
      <c r="R183" s="9"/>
      <c r="S183" s="9"/>
      <c r="T183" s="9"/>
      <c r="U183" s="9"/>
      <c r="V183" s="9"/>
      <c r="W183" s="9"/>
      <c r="X183" s="9"/>
      <c r="Y183" s="9"/>
    </row>
    <row r="184" spans="2:25" x14ac:dyDescent="0.2">
      <c r="H184" s="9"/>
      <c r="I184" s="9"/>
      <c r="J184" s="9"/>
      <c r="K184" s="9"/>
      <c r="L184" s="9"/>
      <c r="M184" s="9"/>
      <c r="N184" s="9"/>
      <c r="O184" s="9"/>
      <c r="P184" s="9"/>
      <c r="Q184" s="9"/>
      <c r="R184" s="9"/>
      <c r="S184" s="9"/>
      <c r="T184" s="9"/>
      <c r="U184" s="9"/>
      <c r="V184" s="9"/>
      <c r="W184" s="9"/>
      <c r="X184" s="9"/>
      <c r="Y184" s="9"/>
    </row>
    <row r="185" spans="2:25" ht="16.5" thickBot="1" x14ac:dyDescent="0.3">
      <c r="B185" s="50" t="s">
        <v>162</v>
      </c>
      <c r="C185" s="16" t="s">
        <v>3</v>
      </c>
      <c r="H185" s="9"/>
      <c r="I185" s="9"/>
      <c r="J185" s="9"/>
      <c r="K185" s="9"/>
      <c r="L185" s="9"/>
      <c r="M185" s="9"/>
      <c r="N185" s="9"/>
      <c r="O185" s="9"/>
      <c r="P185" s="9"/>
      <c r="Q185" s="9"/>
      <c r="R185" s="9"/>
      <c r="S185" s="9"/>
      <c r="T185" s="9"/>
      <c r="U185" s="9"/>
      <c r="V185" s="9"/>
      <c r="W185" s="9"/>
      <c r="X185" s="9"/>
      <c r="Y185" s="9"/>
    </row>
    <row r="186" spans="2:25" x14ac:dyDescent="0.2">
      <c r="B186" s="13" t="s">
        <v>158</v>
      </c>
      <c r="C186" s="122">
        <v>10</v>
      </c>
      <c r="D186" s="7" t="s">
        <v>90</v>
      </c>
      <c r="H186" s="9"/>
      <c r="I186" s="9"/>
      <c r="J186" s="9"/>
      <c r="K186" s="9"/>
      <c r="L186" s="9"/>
      <c r="M186" s="9"/>
      <c r="N186" s="9"/>
      <c r="O186" s="9"/>
      <c r="P186" s="9"/>
      <c r="Q186" s="9"/>
      <c r="R186" s="9"/>
      <c r="S186" s="9"/>
      <c r="T186" s="9"/>
      <c r="U186" s="9"/>
      <c r="V186" s="9"/>
      <c r="W186" s="9"/>
      <c r="X186" s="9"/>
      <c r="Y186" s="9"/>
    </row>
    <row r="187" spans="2:25" x14ac:dyDescent="0.2">
      <c r="B187" s="13" t="s">
        <v>159</v>
      </c>
      <c r="C187" s="123">
        <v>400</v>
      </c>
      <c r="D187" s="7" t="s">
        <v>17</v>
      </c>
      <c r="H187" s="9"/>
      <c r="I187" s="9"/>
      <c r="J187" s="9"/>
      <c r="K187" s="9"/>
      <c r="L187" s="9"/>
      <c r="M187" s="9"/>
      <c r="N187" s="9"/>
      <c r="O187" s="9"/>
      <c r="P187" s="9"/>
      <c r="Q187" s="9"/>
      <c r="R187" s="9"/>
      <c r="S187" s="9"/>
      <c r="T187" s="9"/>
      <c r="U187" s="9"/>
      <c r="V187" s="9"/>
      <c r="W187" s="9"/>
      <c r="X187" s="9"/>
      <c r="Y187" s="9"/>
    </row>
    <row r="188" spans="2:25" x14ac:dyDescent="0.2">
      <c r="B188" s="13" t="s">
        <v>140</v>
      </c>
      <c r="C188" s="79">
        <v>3.5</v>
      </c>
      <c r="D188" s="7" t="s">
        <v>16</v>
      </c>
      <c r="H188" s="9"/>
      <c r="I188" s="9"/>
      <c r="J188" s="9"/>
      <c r="K188" s="9"/>
      <c r="L188" s="9"/>
      <c r="M188" s="9"/>
      <c r="N188" s="9"/>
      <c r="O188" s="9"/>
      <c r="P188" s="9"/>
      <c r="Q188" s="9"/>
      <c r="R188" s="9"/>
      <c r="S188" s="9"/>
      <c r="T188" s="9"/>
      <c r="U188" s="9"/>
      <c r="V188" s="9"/>
      <c r="W188" s="9"/>
      <c r="X188" s="9"/>
      <c r="Y188" s="9"/>
    </row>
    <row r="189" spans="2:25" x14ac:dyDescent="0.2">
      <c r="B189" s="13" t="s">
        <v>141</v>
      </c>
      <c r="C189" s="78">
        <v>18</v>
      </c>
      <c r="D189" s="7" t="s">
        <v>16</v>
      </c>
      <c r="H189" s="9"/>
      <c r="I189" s="9"/>
      <c r="J189" s="9"/>
      <c r="K189" s="9"/>
      <c r="L189" s="9"/>
      <c r="M189" s="9"/>
      <c r="N189" s="9"/>
      <c r="O189" s="9"/>
      <c r="P189" s="9"/>
      <c r="Q189" s="9"/>
      <c r="R189" s="9"/>
      <c r="S189" s="9"/>
      <c r="T189" s="9"/>
      <c r="U189" s="9"/>
      <c r="V189" s="9"/>
      <c r="W189" s="9"/>
      <c r="X189" s="9"/>
      <c r="Y189" s="9"/>
    </row>
    <row r="190" spans="2:25" x14ac:dyDescent="0.2">
      <c r="B190" s="13" t="s">
        <v>108</v>
      </c>
      <c r="C190" s="77">
        <v>8</v>
      </c>
      <c r="D190" s="7" t="s">
        <v>16</v>
      </c>
      <c r="H190" s="9"/>
      <c r="I190" s="9"/>
      <c r="J190" s="9"/>
      <c r="K190" s="9"/>
      <c r="L190" s="9"/>
      <c r="M190" s="9"/>
      <c r="N190" s="9"/>
      <c r="O190" s="9"/>
      <c r="P190" s="9"/>
      <c r="Q190" s="9"/>
      <c r="R190" s="9"/>
      <c r="S190" s="9"/>
      <c r="T190" s="9"/>
      <c r="U190" s="9"/>
      <c r="V190" s="9"/>
      <c r="W190" s="9"/>
      <c r="X190" s="9"/>
      <c r="Y190" s="9"/>
    </row>
    <row r="191" spans="2:25" x14ac:dyDescent="0.2">
      <c r="B191" s="13" t="s">
        <v>107</v>
      </c>
      <c r="C191" s="77">
        <v>40</v>
      </c>
      <c r="D191" s="7" t="s">
        <v>16</v>
      </c>
      <c r="H191" s="9"/>
      <c r="I191" s="9"/>
      <c r="J191" s="9"/>
      <c r="K191" s="9"/>
      <c r="L191" s="9"/>
      <c r="M191" s="9"/>
      <c r="N191" s="9"/>
      <c r="O191" s="9"/>
      <c r="P191" s="9"/>
      <c r="Q191" s="9"/>
      <c r="R191" s="9"/>
      <c r="S191" s="9"/>
      <c r="T191" s="9"/>
      <c r="U191" s="9"/>
      <c r="V191" s="9"/>
      <c r="W191" s="9"/>
      <c r="X191" s="9"/>
      <c r="Y191" s="9"/>
    </row>
    <row r="192" spans="2:25" ht="15.75" thickBot="1" x14ac:dyDescent="0.25">
      <c r="B192" s="13" t="s">
        <v>225</v>
      </c>
      <c r="C192" s="80">
        <v>13889</v>
      </c>
      <c r="D192" s="7" t="s">
        <v>130</v>
      </c>
      <c r="H192" s="9"/>
      <c r="I192" s="9"/>
      <c r="J192" s="9"/>
      <c r="K192" s="9"/>
      <c r="L192" s="9"/>
      <c r="M192" s="9"/>
      <c r="N192" s="9"/>
      <c r="O192" s="9"/>
      <c r="P192" s="9"/>
      <c r="Q192" s="9"/>
      <c r="R192" s="9"/>
      <c r="S192" s="9"/>
      <c r="T192" s="9"/>
      <c r="U192" s="9"/>
      <c r="V192" s="9"/>
      <c r="W192" s="9"/>
      <c r="X192" s="9"/>
      <c r="Y192" s="9"/>
    </row>
    <row r="193" spans="2:25" ht="15.75" x14ac:dyDescent="0.25">
      <c r="C193" s="16" t="s">
        <v>4</v>
      </c>
      <c r="H193" s="9"/>
      <c r="I193" s="9"/>
      <c r="J193" s="9"/>
      <c r="K193" s="9"/>
      <c r="L193" s="9"/>
      <c r="M193" s="9"/>
      <c r="N193" s="9"/>
      <c r="O193" s="9"/>
      <c r="P193" s="9"/>
      <c r="Q193" s="9"/>
      <c r="R193" s="9"/>
      <c r="S193" s="9"/>
      <c r="T193" s="9"/>
      <c r="U193" s="9"/>
      <c r="V193" s="9"/>
      <c r="W193" s="9"/>
      <c r="X193" s="9"/>
      <c r="Y193" s="9"/>
    </row>
    <row r="194" spans="2:25" x14ac:dyDescent="0.2">
      <c r="B194" s="13" t="s">
        <v>175</v>
      </c>
      <c r="C194" s="7" t="s">
        <v>335</v>
      </c>
      <c r="H194" s="9"/>
      <c r="I194" s="9"/>
      <c r="J194" s="9"/>
      <c r="K194" s="9"/>
      <c r="L194" s="9"/>
      <c r="M194" s="9"/>
      <c r="N194" s="9"/>
      <c r="O194" s="9"/>
      <c r="P194" s="9"/>
      <c r="Q194" s="9"/>
      <c r="R194" s="9"/>
      <c r="S194" s="9"/>
      <c r="T194" s="9"/>
      <c r="U194" s="9"/>
      <c r="V194" s="9"/>
      <c r="W194" s="9"/>
      <c r="X194" s="9"/>
      <c r="Y194" s="9"/>
    </row>
    <row r="195" spans="2:25" x14ac:dyDescent="0.2">
      <c r="B195" s="13" t="s">
        <v>177</v>
      </c>
      <c r="C195" s="44">
        <f>C187 / (3.1417 * C189/12)</f>
        <v>84.879736024020957</v>
      </c>
      <c r="D195" s="7" t="s">
        <v>178</v>
      </c>
      <c r="H195" s="9"/>
      <c r="I195" s="9"/>
      <c r="J195" s="9"/>
      <c r="K195" s="9"/>
      <c r="L195" s="9"/>
      <c r="M195" s="9"/>
      <c r="N195" s="9"/>
      <c r="O195" s="9"/>
      <c r="P195" s="9"/>
      <c r="Q195" s="9"/>
      <c r="R195" s="9"/>
      <c r="S195" s="9"/>
      <c r="T195" s="9"/>
      <c r="U195" s="9"/>
      <c r="V195" s="9"/>
      <c r="W195" s="9"/>
      <c r="X195" s="9"/>
      <c r="Y195" s="9"/>
    </row>
    <row r="196" spans="2:25" x14ac:dyDescent="0.2">
      <c r="B196" s="13" t="s">
        <v>229</v>
      </c>
      <c r="C196" s="7" t="s">
        <v>228</v>
      </c>
      <c r="H196" s="9"/>
      <c r="I196" s="9"/>
      <c r="J196" s="9"/>
      <c r="K196" s="9"/>
      <c r="L196" s="9"/>
      <c r="M196" s="9"/>
      <c r="N196" s="9"/>
      <c r="O196" s="9"/>
      <c r="P196" s="9"/>
      <c r="Q196" s="9"/>
      <c r="R196" s="9"/>
      <c r="S196" s="9"/>
      <c r="T196" s="9"/>
      <c r="U196" s="9"/>
      <c r="V196" s="9"/>
      <c r="W196" s="9"/>
      <c r="X196" s="9"/>
      <c r="Y196" s="9"/>
    </row>
    <row r="197" spans="2:25" x14ac:dyDescent="0.2">
      <c r="B197" s="13" t="s">
        <v>230</v>
      </c>
      <c r="C197" s="44">
        <f>5252 * (C186 / C195)/2</f>
        <v>309.37890750000003</v>
      </c>
      <c r="D197" s="7" t="s">
        <v>179</v>
      </c>
      <c r="H197" s="9"/>
      <c r="I197" s="9"/>
      <c r="J197" s="9"/>
      <c r="K197" s="9"/>
      <c r="L197" s="9"/>
      <c r="M197" s="9"/>
      <c r="N197" s="9"/>
      <c r="O197" s="9"/>
      <c r="P197" s="9"/>
      <c r="Q197" s="9"/>
      <c r="R197" s="9"/>
      <c r="S197" s="9"/>
      <c r="T197" s="9"/>
      <c r="U197" s="9"/>
      <c r="V197" s="9"/>
      <c r="W197" s="9"/>
      <c r="X197" s="9"/>
      <c r="Y197" s="9"/>
    </row>
    <row r="198" spans="2:25" x14ac:dyDescent="0.2">
      <c r="B198" s="13" t="s">
        <v>230</v>
      </c>
      <c r="C198" s="44">
        <f>12*C197</f>
        <v>3712.5468900000005</v>
      </c>
      <c r="D198" s="7" t="s">
        <v>130</v>
      </c>
      <c r="H198" s="9"/>
      <c r="I198" s="9"/>
      <c r="J198" s="9"/>
      <c r="K198" s="9"/>
      <c r="L198" s="9"/>
      <c r="M198" s="9"/>
      <c r="N198" s="9"/>
      <c r="O198" s="9"/>
      <c r="P198" s="9"/>
      <c r="Q198" s="9"/>
      <c r="R198" s="9"/>
      <c r="S198" s="9"/>
      <c r="T198" s="9"/>
      <c r="U198" s="9"/>
      <c r="V198" s="9"/>
      <c r="W198" s="9"/>
      <c r="X198" s="9"/>
      <c r="Y198" s="9"/>
    </row>
    <row r="199" spans="2:25" x14ac:dyDescent="0.2">
      <c r="B199" s="13" t="s">
        <v>163</v>
      </c>
      <c r="C199" s="14" t="s">
        <v>167</v>
      </c>
      <c r="H199" s="9"/>
      <c r="I199" s="9"/>
      <c r="J199" s="9"/>
      <c r="K199" s="9"/>
      <c r="L199" s="9"/>
      <c r="M199" s="9"/>
      <c r="N199" s="9"/>
      <c r="O199" s="9"/>
      <c r="P199" s="9"/>
      <c r="Q199" s="9"/>
      <c r="R199" s="9"/>
      <c r="S199" s="9"/>
      <c r="T199" s="9"/>
      <c r="U199" s="9"/>
      <c r="V199" s="9"/>
      <c r="W199" s="9"/>
      <c r="X199" s="9"/>
      <c r="Y199" s="9"/>
    </row>
    <row r="200" spans="2:25" x14ac:dyDescent="0.2">
      <c r="B200" s="13" t="s">
        <v>169</v>
      </c>
      <c r="C200" s="89">
        <f>3.1417 * C188^4 /64</f>
        <v>7.3664274414062501</v>
      </c>
      <c r="D200" s="7" t="s">
        <v>164</v>
      </c>
      <c r="H200" s="9"/>
      <c r="I200" s="9"/>
      <c r="J200" s="9"/>
      <c r="K200" s="9"/>
      <c r="L200" s="9"/>
      <c r="M200" s="9"/>
      <c r="N200" s="9"/>
      <c r="O200" s="9"/>
      <c r="P200" s="9"/>
      <c r="Q200" s="9"/>
      <c r="R200" s="9"/>
      <c r="S200" s="9"/>
      <c r="T200" s="9"/>
      <c r="U200" s="9"/>
      <c r="V200" s="9"/>
      <c r="W200" s="9"/>
      <c r="X200" s="9"/>
      <c r="Y200" s="9"/>
    </row>
    <row r="201" spans="2:25" x14ac:dyDescent="0.2">
      <c r="B201" s="13" t="s">
        <v>165</v>
      </c>
      <c r="C201" s="14" t="s">
        <v>166</v>
      </c>
      <c r="H201" s="9"/>
      <c r="I201" s="9"/>
      <c r="J201" s="9"/>
      <c r="K201" s="9"/>
      <c r="L201" s="9"/>
      <c r="M201" s="9"/>
      <c r="N201" s="9"/>
      <c r="O201" s="9"/>
      <c r="P201" s="9"/>
      <c r="Q201" s="9"/>
      <c r="R201" s="9"/>
      <c r="S201" s="9"/>
      <c r="T201" s="9"/>
      <c r="U201" s="9"/>
      <c r="V201" s="9"/>
      <c r="W201" s="9"/>
      <c r="X201" s="9"/>
      <c r="Y201" s="9"/>
    </row>
    <row r="202" spans="2:25" x14ac:dyDescent="0.2">
      <c r="B202" s="13" t="s">
        <v>168</v>
      </c>
      <c r="C202" s="89">
        <f>3.1417 * C188^4 / 32</f>
        <v>14.7328548828125</v>
      </c>
      <c r="D202" s="7" t="s">
        <v>164</v>
      </c>
      <c r="H202" s="9"/>
      <c r="I202" s="9"/>
      <c r="J202" s="9"/>
      <c r="K202" s="9"/>
      <c r="L202" s="9"/>
      <c r="M202" s="9"/>
      <c r="N202" s="9"/>
      <c r="O202" s="9"/>
      <c r="P202" s="9"/>
      <c r="Q202" s="9"/>
      <c r="R202" s="9"/>
      <c r="S202" s="9"/>
      <c r="T202" s="9"/>
      <c r="U202" s="9"/>
      <c r="V202" s="9"/>
      <c r="W202" s="9"/>
      <c r="X202" s="9"/>
      <c r="Y202" s="9"/>
    </row>
    <row r="203" spans="2:25" x14ac:dyDescent="0.2">
      <c r="B203" s="13" t="s">
        <v>170</v>
      </c>
      <c r="C203" s="14" t="s">
        <v>171</v>
      </c>
      <c r="H203" s="9"/>
      <c r="I203" s="9"/>
      <c r="J203" s="9"/>
      <c r="K203" s="9"/>
      <c r="L203" s="9"/>
      <c r="M203" s="9"/>
      <c r="N203" s="9"/>
      <c r="O203" s="9"/>
      <c r="P203" s="9"/>
      <c r="Q203" s="9"/>
      <c r="R203" s="9"/>
      <c r="S203" s="9"/>
      <c r="T203" s="9"/>
      <c r="U203" s="9"/>
      <c r="V203" s="9"/>
      <c r="W203" s="9"/>
      <c r="X203" s="9"/>
      <c r="Y203" s="9"/>
    </row>
    <row r="204" spans="2:25" x14ac:dyDescent="0.2">
      <c r="B204" s="13" t="s">
        <v>172</v>
      </c>
      <c r="C204" s="44">
        <f>C192 * (C188/2) / C200</f>
        <v>3299.5302259245541</v>
      </c>
      <c r="D204" s="7" t="s">
        <v>173</v>
      </c>
      <c r="H204" s="9"/>
      <c r="I204" s="9"/>
      <c r="J204" s="9"/>
      <c r="K204" s="9"/>
      <c r="L204" s="9"/>
      <c r="M204" s="9"/>
      <c r="N204" s="9"/>
      <c r="O204" s="9"/>
      <c r="P204" s="9"/>
      <c r="Q204" s="9"/>
      <c r="R204" s="9"/>
      <c r="S204" s="9"/>
      <c r="T204" s="9"/>
      <c r="U204" s="9"/>
      <c r="V204" s="9"/>
      <c r="W204" s="9"/>
      <c r="X204" s="9"/>
      <c r="Y204" s="9"/>
    </row>
    <row r="205" spans="2:25" x14ac:dyDescent="0.2">
      <c r="B205" s="13" t="s">
        <v>180</v>
      </c>
      <c r="C205" s="14">
        <v>19900</v>
      </c>
      <c r="D205" s="7" t="s">
        <v>130</v>
      </c>
      <c r="H205" s="9"/>
      <c r="I205" s="9"/>
      <c r="J205" s="9"/>
      <c r="K205" s="9"/>
      <c r="L205" s="9"/>
      <c r="M205" s="9"/>
      <c r="N205" s="9"/>
      <c r="O205" s="9"/>
      <c r="P205" s="9"/>
      <c r="Q205" s="9"/>
      <c r="R205" s="9"/>
      <c r="S205" s="9"/>
      <c r="T205" s="9"/>
      <c r="U205" s="9"/>
      <c r="V205" s="9"/>
      <c r="W205" s="9"/>
      <c r="X205" s="9"/>
      <c r="Y205" s="9"/>
    </row>
    <row r="206" spans="2:25" x14ac:dyDescent="0.2">
      <c r="B206" s="13" t="s">
        <v>184</v>
      </c>
      <c r="C206" s="14" t="s">
        <v>181</v>
      </c>
      <c r="H206" s="9"/>
      <c r="I206" s="9"/>
      <c r="J206" s="9"/>
      <c r="K206" s="9"/>
      <c r="L206" s="9"/>
      <c r="M206" s="9"/>
      <c r="N206" s="9"/>
      <c r="O206" s="9"/>
      <c r="P206" s="9"/>
      <c r="Q206" s="9"/>
      <c r="R206" s="9"/>
      <c r="S206" s="9"/>
      <c r="T206" s="9"/>
      <c r="U206" s="9"/>
      <c r="V206" s="9"/>
      <c r="W206" s="9"/>
      <c r="X206" s="9"/>
      <c r="Y206" s="9"/>
    </row>
    <row r="207" spans="2:25" x14ac:dyDescent="0.2">
      <c r="B207" s="13" t="s">
        <v>174</v>
      </c>
      <c r="C207" s="44">
        <f>C198 * (C188/2) / C202</f>
        <v>440.98425655976683</v>
      </c>
      <c r="D207" s="7" t="s">
        <v>173</v>
      </c>
      <c r="H207" s="9"/>
      <c r="I207" s="9"/>
      <c r="J207" s="9"/>
      <c r="K207" s="9"/>
      <c r="L207" s="9"/>
      <c r="M207" s="9"/>
      <c r="N207" s="9"/>
      <c r="O207" s="9"/>
      <c r="P207" s="9"/>
      <c r="Q207" s="9"/>
      <c r="R207" s="9"/>
      <c r="S207" s="9"/>
      <c r="T207" s="9"/>
      <c r="U207" s="9"/>
      <c r="V207" s="9"/>
      <c r="W207" s="9"/>
      <c r="X207" s="9"/>
      <c r="Y207" s="9"/>
    </row>
    <row r="208" spans="2:25" ht="15.75" x14ac:dyDescent="0.25">
      <c r="B208" s="50" t="s">
        <v>188</v>
      </c>
      <c r="H208" s="9"/>
      <c r="I208" s="9"/>
      <c r="J208" s="9"/>
      <c r="K208" s="9"/>
      <c r="L208" s="9"/>
      <c r="M208" s="9"/>
      <c r="N208" s="9"/>
      <c r="O208" s="9"/>
      <c r="P208" s="9"/>
      <c r="Q208" s="9"/>
      <c r="R208" s="9"/>
      <c r="S208" s="9"/>
      <c r="T208" s="9"/>
      <c r="U208" s="9"/>
      <c r="V208" s="9"/>
      <c r="W208" s="9"/>
      <c r="X208" s="9"/>
      <c r="Y208" s="9"/>
    </row>
    <row r="209" spans="2:25" x14ac:dyDescent="0.2">
      <c r="B209" s="14" t="s">
        <v>187</v>
      </c>
      <c r="H209" s="9"/>
      <c r="I209" s="9"/>
      <c r="J209" s="9"/>
      <c r="K209" s="9"/>
      <c r="L209" s="9"/>
      <c r="M209" s="9"/>
      <c r="N209" s="9"/>
      <c r="O209" s="9"/>
      <c r="P209" s="9"/>
      <c r="Q209" s="9"/>
      <c r="R209" s="9"/>
      <c r="S209" s="9"/>
      <c r="T209" s="9"/>
      <c r="U209" s="9"/>
      <c r="V209" s="9"/>
      <c r="W209" s="9"/>
      <c r="X209" s="9"/>
      <c r="Y209" s="9"/>
    </row>
    <row r="210" spans="2:25" x14ac:dyDescent="0.2">
      <c r="B210" s="14" t="s">
        <v>183</v>
      </c>
      <c r="H210" s="9"/>
      <c r="I210" s="9"/>
      <c r="J210" s="9"/>
      <c r="K210" s="9"/>
      <c r="L210" s="9"/>
      <c r="M210" s="9"/>
      <c r="N210" s="9"/>
      <c r="O210" s="9"/>
      <c r="P210" s="9"/>
      <c r="Q210" s="9"/>
      <c r="R210" s="9"/>
      <c r="S210" s="9"/>
      <c r="T210" s="9"/>
      <c r="U210" s="9"/>
      <c r="V210" s="9"/>
      <c r="W210" s="9"/>
      <c r="X210" s="9"/>
      <c r="Y210" s="9"/>
    </row>
    <row r="211" spans="2:25" ht="15.75" thickBot="1" x14ac:dyDescent="0.25">
      <c r="B211" s="13" t="s">
        <v>186</v>
      </c>
      <c r="C211" s="7" t="s">
        <v>182</v>
      </c>
      <c r="H211" s="9"/>
      <c r="I211" s="9"/>
      <c r="J211" s="9"/>
      <c r="K211" s="9"/>
      <c r="L211" s="9"/>
      <c r="M211" s="9"/>
      <c r="N211" s="9"/>
      <c r="O211" s="9"/>
      <c r="P211" s="9"/>
      <c r="Q211" s="9"/>
      <c r="R211" s="9"/>
      <c r="S211" s="9"/>
      <c r="T211" s="9"/>
      <c r="U211" s="9"/>
      <c r="V211" s="9"/>
      <c r="W211" s="9"/>
      <c r="X211" s="9"/>
      <c r="Y211" s="9"/>
    </row>
    <row r="212" spans="2:25" ht="16.5" thickBot="1" x14ac:dyDescent="0.3">
      <c r="B212" s="15" t="s">
        <v>185</v>
      </c>
      <c r="C212" s="26">
        <f>( C204 / 2 ) + ( C204^2 + 4 * C207^2 )^0.5</f>
        <v>5065.1374455087625</v>
      </c>
      <c r="D212" s="8" t="s">
        <v>173</v>
      </c>
      <c r="H212" s="9"/>
      <c r="I212" s="9"/>
      <c r="J212" s="9"/>
      <c r="K212" s="9"/>
      <c r="L212" s="9"/>
      <c r="M212" s="9"/>
      <c r="N212" s="9"/>
      <c r="O212" s="9"/>
      <c r="P212" s="9"/>
      <c r="Q212" s="9"/>
      <c r="R212" s="9"/>
      <c r="S212" s="9"/>
      <c r="T212" s="9"/>
      <c r="U212" s="9"/>
      <c r="V212" s="9"/>
      <c r="W212" s="9"/>
      <c r="X212" s="9"/>
      <c r="Y212" s="9"/>
    </row>
    <row r="213" spans="2:25" ht="15.75" x14ac:dyDescent="0.25">
      <c r="F213" s="23"/>
      <c r="H213" s="9"/>
      <c r="I213" s="9"/>
      <c r="J213" s="9"/>
      <c r="K213" s="9"/>
      <c r="L213" s="9"/>
      <c r="M213" s="9"/>
      <c r="N213" s="9"/>
      <c r="O213" s="9"/>
      <c r="P213" s="9"/>
      <c r="Q213" s="9"/>
      <c r="R213" s="9"/>
      <c r="S213" s="9"/>
      <c r="T213" s="9"/>
      <c r="U213" s="9"/>
      <c r="V213" s="9"/>
      <c r="W213" s="9"/>
      <c r="X213" s="9"/>
      <c r="Y213" s="9"/>
    </row>
    <row r="214" spans="2:25" x14ac:dyDescent="0.2">
      <c r="H214" s="9"/>
      <c r="I214" s="9"/>
      <c r="J214" s="9"/>
      <c r="K214" s="9"/>
      <c r="L214" s="9"/>
      <c r="M214" s="9"/>
      <c r="N214" s="9"/>
      <c r="O214" s="9"/>
      <c r="P214" s="9"/>
      <c r="Q214" s="9"/>
      <c r="R214" s="9"/>
      <c r="S214" s="9"/>
      <c r="T214" s="9"/>
      <c r="U214" s="9"/>
      <c r="V214" s="9"/>
      <c r="W214" s="9"/>
      <c r="X214" s="9"/>
      <c r="Y214" s="9"/>
    </row>
    <row r="215" spans="2:25" x14ac:dyDescent="0.2">
      <c r="H215" s="9"/>
      <c r="I215" s="9"/>
      <c r="J215" s="9"/>
      <c r="K215" s="9"/>
      <c r="L215" s="9"/>
      <c r="M215" s="9"/>
      <c r="N215" s="9"/>
      <c r="O215" s="9"/>
      <c r="P215" s="9"/>
      <c r="Q215" s="9"/>
      <c r="R215" s="9"/>
      <c r="S215" s="9"/>
      <c r="T215" s="9"/>
      <c r="U215" s="9"/>
      <c r="V215" s="9"/>
      <c r="W215" s="9"/>
      <c r="X215" s="9"/>
      <c r="Y215" s="9"/>
    </row>
    <row r="216" spans="2:25" x14ac:dyDescent="0.2">
      <c r="H216" s="9"/>
      <c r="I216" s="9"/>
      <c r="J216" s="9"/>
      <c r="K216" s="9"/>
      <c r="L216" s="9"/>
      <c r="M216" s="9"/>
      <c r="N216" s="9"/>
      <c r="O216" s="9"/>
      <c r="P216" s="9"/>
      <c r="Q216" s="9"/>
      <c r="R216" s="9"/>
      <c r="S216" s="9"/>
      <c r="T216" s="9"/>
      <c r="U216" s="9"/>
      <c r="V216" s="9"/>
      <c r="W216" s="9"/>
      <c r="X216" s="9"/>
      <c r="Y216" s="9"/>
    </row>
    <row r="217" spans="2:25" x14ac:dyDescent="0.2">
      <c r="H217" s="9"/>
      <c r="I217" s="9"/>
      <c r="J217" s="9"/>
      <c r="K217" s="9"/>
      <c r="L217" s="9"/>
      <c r="M217" s="9"/>
      <c r="N217" s="9"/>
      <c r="O217" s="9"/>
      <c r="P217" s="9"/>
      <c r="Q217" s="9"/>
      <c r="R217" s="9"/>
      <c r="S217" s="9"/>
      <c r="T217" s="9"/>
      <c r="U217" s="9"/>
      <c r="V217" s="9"/>
      <c r="W217" s="9"/>
      <c r="X217" s="9"/>
      <c r="Y217" s="9"/>
    </row>
    <row r="218" spans="2:25" x14ac:dyDescent="0.2">
      <c r="H218" s="9"/>
      <c r="I218" s="9"/>
      <c r="J218" s="9"/>
      <c r="K218" s="9"/>
      <c r="L218" s="9"/>
      <c r="M218" s="9"/>
      <c r="N218" s="9"/>
      <c r="O218" s="9"/>
      <c r="P218" s="9"/>
      <c r="Q218" s="9"/>
      <c r="R218" s="9"/>
      <c r="S218" s="9"/>
      <c r="T218" s="9"/>
      <c r="U218" s="9"/>
      <c r="V218" s="9"/>
      <c r="W218" s="9"/>
      <c r="X218" s="9"/>
      <c r="Y218" s="9"/>
    </row>
    <row r="219" spans="2:25" x14ac:dyDescent="0.2">
      <c r="H219" s="9"/>
      <c r="I219" s="9"/>
      <c r="J219" s="9"/>
      <c r="K219" s="9"/>
      <c r="L219" s="9"/>
      <c r="M219" s="9"/>
      <c r="N219" s="9"/>
      <c r="O219" s="9"/>
      <c r="P219" s="9"/>
      <c r="Q219" s="9"/>
      <c r="R219" s="9"/>
      <c r="S219" s="9"/>
      <c r="T219" s="9"/>
      <c r="U219" s="9"/>
      <c r="V219" s="9"/>
      <c r="W219" s="9"/>
      <c r="X219" s="9"/>
      <c r="Y219" s="9"/>
    </row>
    <row r="220" spans="2:25" x14ac:dyDescent="0.2">
      <c r="H220" s="9"/>
      <c r="I220" s="9"/>
      <c r="J220" s="9"/>
      <c r="K220" s="9"/>
      <c r="L220" s="9"/>
      <c r="M220" s="9"/>
      <c r="N220" s="9"/>
      <c r="O220" s="9"/>
      <c r="P220" s="9"/>
      <c r="Q220" s="9"/>
      <c r="R220" s="9"/>
      <c r="S220" s="9"/>
      <c r="T220" s="9"/>
      <c r="U220" s="9"/>
      <c r="V220" s="9"/>
      <c r="W220" s="9"/>
      <c r="X220" s="9"/>
      <c r="Y220" s="9"/>
    </row>
    <row r="221" spans="2:25" x14ac:dyDescent="0.2">
      <c r="H221" s="9"/>
      <c r="I221" s="9"/>
      <c r="J221" s="9"/>
      <c r="K221" s="9"/>
      <c r="L221" s="9"/>
      <c r="M221" s="9"/>
      <c r="N221" s="9"/>
      <c r="O221" s="9"/>
      <c r="P221" s="9"/>
      <c r="Q221" s="9"/>
      <c r="R221" s="9"/>
      <c r="S221" s="9"/>
      <c r="T221" s="9"/>
      <c r="U221" s="9"/>
      <c r="V221" s="9"/>
      <c r="W221" s="9"/>
      <c r="X221" s="9"/>
      <c r="Y221" s="9"/>
    </row>
    <row r="222" spans="2:25" x14ac:dyDescent="0.2">
      <c r="H222" s="9"/>
      <c r="I222" s="9"/>
      <c r="J222" s="9"/>
      <c r="K222" s="9"/>
      <c r="L222" s="9"/>
      <c r="M222" s="9"/>
      <c r="N222" s="9"/>
      <c r="O222" s="9"/>
      <c r="P222" s="9"/>
      <c r="Q222" s="9"/>
      <c r="R222" s="9"/>
      <c r="S222" s="9"/>
      <c r="T222" s="9"/>
      <c r="U222" s="9"/>
      <c r="V222" s="9"/>
      <c r="W222" s="9"/>
      <c r="X222" s="9"/>
      <c r="Y222" s="9"/>
    </row>
    <row r="223" spans="2:25" x14ac:dyDescent="0.2">
      <c r="H223" s="9"/>
      <c r="I223" s="9"/>
      <c r="J223" s="9"/>
      <c r="K223" s="9"/>
      <c r="L223" s="9"/>
      <c r="M223" s="9"/>
      <c r="N223" s="9"/>
      <c r="O223" s="9"/>
      <c r="P223" s="9"/>
      <c r="Q223" s="9"/>
      <c r="R223" s="9"/>
      <c r="S223" s="9"/>
      <c r="T223" s="9"/>
      <c r="U223" s="9"/>
      <c r="V223" s="9"/>
      <c r="W223" s="9"/>
      <c r="X223" s="9"/>
      <c r="Y223" s="9"/>
    </row>
    <row r="224" spans="2:25" x14ac:dyDescent="0.2">
      <c r="H224" s="9"/>
      <c r="I224" s="9"/>
      <c r="J224" s="9"/>
      <c r="K224" s="9"/>
      <c r="L224" s="9"/>
      <c r="M224" s="9"/>
      <c r="N224" s="9"/>
      <c r="O224" s="9"/>
      <c r="P224" s="9"/>
      <c r="Q224" s="9"/>
      <c r="R224" s="9"/>
      <c r="S224" s="9"/>
      <c r="T224" s="9"/>
      <c r="U224" s="9"/>
      <c r="V224" s="9"/>
      <c r="W224" s="9"/>
      <c r="X224" s="9"/>
      <c r="Y224" s="9"/>
    </row>
    <row r="225" spans="8:25" x14ac:dyDescent="0.2">
      <c r="H225" s="9" t="s">
        <v>19</v>
      </c>
      <c r="I225" s="9"/>
      <c r="J225" s="9"/>
      <c r="K225" s="9"/>
      <c r="L225" s="9"/>
      <c r="M225" s="9"/>
      <c r="N225" s="9"/>
      <c r="O225" s="9"/>
      <c r="P225" s="9"/>
      <c r="Q225" s="9"/>
      <c r="R225" s="9"/>
      <c r="S225" s="9"/>
      <c r="T225" s="9"/>
      <c r="U225" s="9"/>
      <c r="V225" s="9"/>
      <c r="W225" s="9"/>
      <c r="X225" s="9"/>
      <c r="Y225" s="9"/>
    </row>
    <row r="226" spans="8:25" x14ac:dyDescent="0.2">
      <c r="H226" s="9"/>
      <c r="I226" s="9"/>
      <c r="J226" s="9"/>
      <c r="K226" s="9"/>
      <c r="L226" s="9"/>
      <c r="M226" s="9"/>
      <c r="N226" s="9"/>
      <c r="O226" s="9"/>
      <c r="P226" s="9"/>
      <c r="Q226" s="9"/>
      <c r="R226" s="9"/>
      <c r="S226" s="9"/>
      <c r="T226" s="9"/>
      <c r="U226" s="9"/>
      <c r="V226" s="9"/>
      <c r="W226" s="9"/>
      <c r="X226" s="9"/>
      <c r="Y226" s="9"/>
    </row>
    <row r="227" spans="8:25" x14ac:dyDescent="0.2">
      <c r="H227" s="9"/>
      <c r="I227" s="9"/>
      <c r="J227" s="9"/>
      <c r="K227" s="9"/>
      <c r="L227" s="9"/>
      <c r="M227" s="9"/>
      <c r="N227" s="9"/>
      <c r="O227" s="9"/>
      <c r="P227" s="9"/>
      <c r="Q227" s="9"/>
      <c r="R227" s="9"/>
      <c r="S227" s="9"/>
      <c r="T227" s="9"/>
      <c r="U227" s="9"/>
      <c r="V227" s="9"/>
      <c r="W227" s="9"/>
      <c r="X227" s="9"/>
      <c r="Y227" s="9"/>
    </row>
    <row r="228" spans="8:25" x14ac:dyDescent="0.2">
      <c r="H228" s="9"/>
      <c r="I228" s="9"/>
      <c r="J228" s="9"/>
      <c r="K228" s="9"/>
      <c r="L228" s="9"/>
      <c r="M228" s="9"/>
      <c r="N228" s="9"/>
      <c r="O228" s="9"/>
      <c r="P228" s="9"/>
      <c r="Q228" s="9"/>
      <c r="R228" s="9"/>
      <c r="S228" s="9"/>
      <c r="T228" s="9"/>
      <c r="U228" s="9"/>
      <c r="V228" s="9"/>
      <c r="W228" s="9"/>
      <c r="X228" s="9"/>
      <c r="Y228" s="9"/>
    </row>
    <row r="229" spans="8:25" x14ac:dyDescent="0.2">
      <c r="H229" s="9"/>
      <c r="I229" s="9"/>
      <c r="J229" s="9"/>
      <c r="K229" s="9"/>
      <c r="L229" s="9"/>
      <c r="M229" s="9"/>
      <c r="N229" s="9"/>
      <c r="O229" s="9"/>
      <c r="P229" s="9"/>
      <c r="Q229" s="9"/>
      <c r="R229" s="9"/>
      <c r="S229" s="9"/>
      <c r="T229" s="9"/>
      <c r="U229" s="9"/>
      <c r="V229" s="9"/>
      <c r="W229" s="9"/>
      <c r="X229" s="9"/>
      <c r="Y229" s="9"/>
    </row>
    <row r="230" spans="8:25" x14ac:dyDescent="0.2">
      <c r="H230" s="9"/>
      <c r="I230" s="9"/>
      <c r="J230" s="9"/>
      <c r="K230" s="9"/>
      <c r="L230" s="9"/>
      <c r="M230" s="9"/>
      <c r="N230" s="9"/>
      <c r="O230" s="9"/>
      <c r="P230" s="9"/>
      <c r="Q230" s="9"/>
      <c r="R230" s="9"/>
      <c r="S230" s="9"/>
      <c r="T230" s="9"/>
      <c r="U230" s="9"/>
      <c r="V230" s="9"/>
      <c r="W230" s="9"/>
      <c r="X230" s="9"/>
      <c r="Y230" s="9"/>
    </row>
    <row r="231" spans="8:25" x14ac:dyDescent="0.2">
      <c r="H231" s="9"/>
      <c r="I231" s="9"/>
      <c r="J231" s="9"/>
      <c r="K231" s="9"/>
      <c r="L231" s="9"/>
      <c r="M231" s="9"/>
      <c r="N231" s="9"/>
      <c r="O231" s="9"/>
      <c r="P231" s="9"/>
      <c r="Q231" s="9"/>
      <c r="R231" s="9"/>
      <c r="S231" s="9"/>
      <c r="T231" s="9"/>
      <c r="U231" s="9"/>
      <c r="V231" s="9"/>
      <c r="W231" s="9"/>
      <c r="X231" s="9"/>
      <c r="Y231" s="9"/>
    </row>
    <row r="232" spans="8:25" x14ac:dyDescent="0.2">
      <c r="H232" s="9"/>
      <c r="I232" s="9"/>
      <c r="J232" s="9"/>
      <c r="K232" s="9"/>
      <c r="L232" s="9"/>
      <c r="M232" s="9"/>
      <c r="N232" s="9"/>
      <c r="O232" s="9"/>
      <c r="P232" s="9"/>
      <c r="Q232" s="9"/>
      <c r="R232" s="9"/>
      <c r="S232" s="9"/>
      <c r="T232" s="9"/>
      <c r="U232" s="9"/>
      <c r="V232" s="9"/>
      <c r="W232" s="9"/>
      <c r="X232" s="9"/>
      <c r="Y232" s="9"/>
    </row>
    <row r="233" spans="8:25" x14ac:dyDescent="0.2">
      <c r="H233" s="9"/>
      <c r="I233" s="9"/>
      <c r="J233" s="9"/>
      <c r="K233" s="9"/>
      <c r="L233" s="9"/>
      <c r="M233" s="9"/>
      <c r="N233" s="9"/>
      <c r="O233" s="9"/>
      <c r="P233" s="9"/>
      <c r="Q233" s="9"/>
      <c r="R233" s="9"/>
      <c r="S233" s="9"/>
      <c r="T233" s="9"/>
      <c r="U233" s="9"/>
      <c r="V233" s="9"/>
      <c r="W233" s="9"/>
      <c r="X233" s="9"/>
      <c r="Y233" s="9"/>
    </row>
    <row r="234" spans="8:25" x14ac:dyDescent="0.2">
      <c r="H234" s="9"/>
      <c r="I234" s="9"/>
      <c r="J234" s="9"/>
      <c r="K234" s="9"/>
      <c r="L234" s="9"/>
      <c r="M234" s="9"/>
      <c r="N234" s="9"/>
      <c r="O234" s="9"/>
      <c r="P234" s="9"/>
      <c r="Q234" s="9"/>
      <c r="R234" s="9"/>
      <c r="S234" s="9"/>
      <c r="T234" s="9"/>
      <c r="U234" s="9"/>
      <c r="V234" s="9"/>
      <c r="W234" s="9"/>
      <c r="X234" s="9"/>
      <c r="Y234" s="9"/>
    </row>
    <row r="235" spans="8:25" x14ac:dyDescent="0.2">
      <c r="H235" s="9"/>
      <c r="I235" s="9"/>
      <c r="J235" s="9"/>
      <c r="K235" s="9"/>
      <c r="L235" s="9"/>
      <c r="M235" s="9"/>
      <c r="N235" s="9"/>
      <c r="O235" s="9"/>
      <c r="P235" s="9"/>
      <c r="Q235" s="9"/>
      <c r="R235" s="9"/>
      <c r="S235" s="9"/>
      <c r="T235" s="9"/>
      <c r="U235" s="9"/>
      <c r="V235" s="9"/>
      <c r="W235" s="9"/>
      <c r="X235" s="9"/>
      <c r="Y235" s="9"/>
    </row>
    <row r="236" spans="8:25" x14ac:dyDescent="0.2">
      <c r="H236" s="9"/>
      <c r="I236" s="9"/>
      <c r="J236" s="9"/>
      <c r="K236" s="9"/>
      <c r="L236" s="9"/>
      <c r="M236" s="9"/>
      <c r="N236" s="9"/>
      <c r="O236" s="9"/>
      <c r="P236" s="9"/>
      <c r="Q236" s="9"/>
      <c r="R236" s="9"/>
      <c r="S236" s="9"/>
      <c r="T236" s="9"/>
      <c r="U236" s="9"/>
      <c r="V236" s="9"/>
      <c r="W236" s="9"/>
      <c r="X236" s="9"/>
      <c r="Y236" s="9"/>
    </row>
    <row r="237" spans="8:25" x14ac:dyDescent="0.2">
      <c r="H237" s="9"/>
      <c r="I237" s="9"/>
      <c r="J237" s="9"/>
      <c r="K237" s="9"/>
      <c r="L237" s="9"/>
      <c r="M237" s="9"/>
      <c r="N237" s="9"/>
      <c r="O237" s="9"/>
      <c r="P237" s="9"/>
      <c r="Q237" s="9"/>
      <c r="R237" s="9"/>
      <c r="S237" s="9"/>
      <c r="T237" s="9"/>
      <c r="U237" s="9"/>
      <c r="V237" s="9"/>
      <c r="W237" s="9"/>
      <c r="X237" s="9"/>
      <c r="Y237" s="9"/>
    </row>
    <row r="238" spans="8:25" x14ac:dyDescent="0.2">
      <c r="H238" s="9"/>
      <c r="I238" s="9"/>
      <c r="J238" s="9"/>
      <c r="K238" s="9"/>
      <c r="L238" s="9"/>
      <c r="M238" s="9"/>
      <c r="N238" s="9"/>
      <c r="O238" s="9"/>
      <c r="P238" s="9"/>
      <c r="Q238" s="9"/>
      <c r="R238" s="9"/>
      <c r="S238" s="9"/>
      <c r="T238" s="9"/>
      <c r="U238" s="9"/>
      <c r="V238" s="9"/>
      <c r="W238" s="9"/>
      <c r="X238" s="9"/>
      <c r="Y238" s="9"/>
    </row>
    <row r="239" spans="8:25" x14ac:dyDescent="0.2">
      <c r="H239" s="9"/>
      <c r="I239" s="9"/>
      <c r="J239" s="9"/>
      <c r="K239" s="9"/>
      <c r="L239" s="9"/>
      <c r="M239" s="9"/>
      <c r="N239" s="9"/>
      <c r="O239" s="9"/>
      <c r="P239" s="9"/>
      <c r="Q239" s="9"/>
      <c r="R239" s="9"/>
      <c r="S239" s="9"/>
      <c r="T239" s="9"/>
      <c r="U239" s="9"/>
      <c r="V239" s="9"/>
      <c r="W239" s="9"/>
      <c r="X239" s="9"/>
      <c r="Y239" s="9"/>
    </row>
    <row r="240" spans="8:25" x14ac:dyDescent="0.2">
      <c r="H240" s="9"/>
      <c r="I240" s="9"/>
      <c r="J240" s="9"/>
      <c r="K240" s="9"/>
      <c r="L240" s="9"/>
      <c r="M240" s="9"/>
      <c r="N240" s="9"/>
      <c r="O240" s="9"/>
      <c r="P240" s="9"/>
      <c r="Q240" s="9"/>
      <c r="R240" s="9"/>
      <c r="S240" s="9"/>
      <c r="T240" s="9"/>
      <c r="U240" s="9"/>
      <c r="V240" s="9"/>
      <c r="W240" s="9"/>
      <c r="X240" s="9"/>
      <c r="Y240" s="9"/>
    </row>
    <row r="241" spans="2:25" x14ac:dyDescent="0.2">
      <c r="H241" s="9"/>
      <c r="I241" s="9"/>
      <c r="J241" s="9"/>
      <c r="K241" s="9"/>
      <c r="L241" s="9"/>
      <c r="M241" s="9"/>
      <c r="N241" s="9"/>
      <c r="O241" s="9"/>
      <c r="P241" s="9"/>
      <c r="Q241" s="9"/>
      <c r="R241" s="9"/>
      <c r="S241" s="9"/>
      <c r="T241" s="9"/>
      <c r="U241" s="9"/>
      <c r="V241" s="9"/>
      <c r="W241" s="9"/>
      <c r="X241" s="9"/>
      <c r="Y241" s="9"/>
    </row>
    <row r="242" spans="2:25" x14ac:dyDescent="0.2">
      <c r="H242" s="9"/>
      <c r="I242" s="9"/>
      <c r="J242" s="9"/>
      <c r="K242" s="9"/>
      <c r="L242" s="9"/>
      <c r="M242" s="9"/>
      <c r="N242" s="9"/>
      <c r="O242" s="9"/>
      <c r="P242" s="9"/>
      <c r="Q242" s="9"/>
      <c r="R242" s="9"/>
      <c r="S242" s="9"/>
      <c r="T242" s="9"/>
      <c r="U242" s="9"/>
      <c r="V242" s="9"/>
      <c r="W242" s="9"/>
      <c r="X242" s="9"/>
      <c r="Y242" s="9"/>
    </row>
    <row r="243" spans="2:25" x14ac:dyDescent="0.2">
      <c r="H243" s="9"/>
      <c r="I243" s="9"/>
      <c r="J243" s="9"/>
      <c r="K243" s="9"/>
      <c r="L243" s="9"/>
      <c r="M243" s="9"/>
      <c r="N243" s="9"/>
      <c r="O243" s="9"/>
      <c r="P243" s="9"/>
      <c r="Q243" s="9"/>
      <c r="R243" s="9"/>
      <c r="S243" s="9"/>
      <c r="T243" s="9"/>
      <c r="U243" s="9"/>
      <c r="V243" s="9"/>
      <c r="W243" s="9"/>
      <c r="X243" s="9"/>
      <c r="Y243" s="9"/>
    </row>
    <row r="244" spans="2:25" x14ac:dyDescent="0.2">
      <c r="H244" s="9"/>
      <c r="I244" s="9"/>
      <c r="J244" s="9"/>
      <c r="K244" s="9"/>
      <c r="L244" s="9"/>
      <c r="M244" s="9"/>
      <c r="N244" s="9"/>
      <c r="O244" s="9"/>
      <c r="P244" s="9"/>
      <c r="Q244" s="9"/>
      <c r="R244" s="9"/>
      <c r="S244" s="9"/>
      <c r="T244" s="9"/>
      <c r="U244" s="9"/>
      <c r="V244" s="9"/>
      <c r="W244" s="9"/>
      <c r="X244" s="9"/>
      <c r="Y244" s="9"/>
    </row>
    <row r="245" spans="2:25" x14ac:dyDescent="0.2">
      <c r="H245" s="9"/>
      <c r="I245" s="9"/>
      <c r="J245" s="9"/>
      <c r="K245" s="9"/>
      <c r="L245" s="9"/>
      <c r="M245" s="9"/>
      <c r="N245" s="9"/>
      <c r="O245" s="9"/>
      <c r="P245" s="9"/>
      <c r="Q245" s="9"/>
      <c r="R245" s="9"/>
      <c r="S245" s="9"/>
      <c r="T245" s="9"/>
      <c r="U245" s="9"/>
      <c r="V245" s="9"/>
      <c r="W245" s="9"/>
      <c r="X245" s="9"/>
      <c r="Y245" s="9"/>
    </row>
    <row r="246" spans="2:25" x14ac:dyDescent="0.2">
      <c r="H246" s="9"/>
      <c r="I246" s="9"/>
      <c r="J246" s="9"/>
      <c r="K246" s="9"/>
      <c r="L246" s="9"/>
      <c r="M246" s="9"/>
      <c r="N246" s="9"/>
      <c r="O246" s="9"/>
      <c r="P246" s="9"/>
      <c r="Q246" s="9"/>
      <c r="R246" s="9"/>
      <c r="S246" s="9"/>
      <c r="T246" s="9"/>
      <c r="U246" s="9"/>
      <c r="V246" s="9"/>
      <c r="W246" s="9"/>
      <c r="X246" s="9"/>
      <c r="Y246" s="9"/>
    </row>
    <row r="247" spans="2:25" x14ac:dyDescent="0.2">
      <c r="H247" s="9"/>
      <c r="I247" s="9"/>
      <c r="J247" s="9"/>
      <c r="K247" s="9"/>
      <c r="L247" s="9"/>
      <c r="M247" s="9"/>
      <c r="N247" s="9"/>
      <c r="O247" s="9"/>
      <c r="P247" s="9"/>
      <c r="Q247" s="9"/>
      <c r="R247" s="9"/>
      <c r="S247" s="9"/>
      <c r="T247" s="9"/>
      <c r="U247" s="9"/>
      <c r="V247" s="9"/>
      <c r="W247" s="9"/>
      <c r="X247" s="9"/>
      <c r="Y247" s="9"/>
    </row>
    <row r="248" spans="2:25" x14ac:dyDescent="0.2">
      <c r="H248" s="9"/>
      <c r="I248" s="9"/>
      <c r="J248" s="9"/>
      <c r="K248" s="9"/>
      <c r="L248" s="9"/>
      <c r="M248" s="9"/>
      <c r="N248" s="9"/>
      <c r="O248" s="9"/>
      <c r="P248" s="9"/>
      <c r="Q248" s="9"/>
      <c r="R248" s="9"/>
      <c r="S248" s="9"/>
      <c r="T248" s="9"/>
      <c r="U248" s="9"/>
      <c r="V248" s="9"/>
      <c r="W248" s="9"/>
      <c r="X248" s="9"/>
      <c r="Y248" s="9"/>
    </row>
    <row r="249" spans="2:25" x14ac:dyDescent="0.2">
      <c r="G249" s="13"/>
      <c r="H249" s="9"/>
      <c r="I249" s="9"/>
      <c r="J249" s="9"/>
      <c r="K249" s="9"/>
      <c r="L249" s="9"/>
      <c r="M249" s="9"/>
      <c r="N249" s="9"/>
      <c r="O249" s="9"/>
      <c r="P249" s="9"/>
      <c r="Q249" s="9"/>
      <c r="R249" s="9"/>
      <c r="S249" s="9"/>
      <c r="T249" s="9"/>
      <c r="U249" s="9"/>
      <c r="V249" s="9"/>
      <c r="W249" s="9"/>
      <c r="X249" s="9"/>
      <c r="Y249" s="9"/>
    </row>
    <row r="250" spans="2:25" x14ac:dyDescent="0.2">
      <c r="G250" s="13"/>
      <c r="H250" s="9"/>
      <c r="I250" s="9"/>
      <c r="J250" s="9"/>
      <c r="K250" s="9"/>
      <c r="L250" s="9"/>
      <c r="M250" s="9"/>
      <c r="N250" s="9"/>
      <c r="O250" s="9"/>
      <c r="P250" s="9"/>
      <c r="Q250" s="9"/>
      <c r="R250" s="9"/>
      <c r="S250" s="9"/>
      <c r="T250" s="9"/>
      <c r="U250" s="9"/>
      <c r="V250" s="9"/>
      <c r="W250" s="9"/>
      <c r="X250" s="9"/>
      <c r="Y250" s="9"/>
    </row>
    <row r="251" spans="2:25" x14ac:dyDescent="0.2">
      <c r="H251" s="9"/>
      <c r="I251" s="9"/>
      <c r="J251" s="9"/>
      <c r="K251" s="9"/>
      <c r="L251" s="9"/>
      <c r="M251" s="9"/>
      <c r="N251" s="9"/>
      <c r="O251" s="9"/>
      <c r="P251" s="9"/>
      <c r="Q251" s="9"/>
      <c r="R251" s="9"/>
      <c r="S251" s="9"/>
      <c r="T251" s="9"/>
      <c r="U251" s="9"/>
      <c r="V251" s="9"/>
      <c r="W251" s="9"/>
      <c r="X251" s="9"/>
      <c r="Y251" s="9"/>
    </row>
    <row r="252" spans="2:25" x14ac:dyDescent="0.2">
      <c r="H252" s="9"/>
      <c r="I252" s="9"/>
      <c r="J252" s="9"/>
      <c r="K252" s="9"/>
      <c r="L252" s="9"/>
      <c r="M252" s="9"/>
      <c r="N252" s="9"/>
      <c r="O252" s="9"/>
      <c r="P252" s="9"/>
      <c r="Q252" s="9"/>
      <c r="R252" s="9"/>
      <c r="S252" s="9"/>
      <c r="T252" s="9"/>
      <c r="U252" s="9"/>
      <c r="V252" s="9"/>
      <c r="W252" s="9"/>
      <c r="X252" s="9"/>
      <c r="Y252" s="9"/>
    </row>
    <row r="253" spans="2:25" x14ac:dyDescent="0.2">
      <c r="G253" s="13"/>
      <c r="H253" s="9"/>
      <c r="I253" s="9"/>
      <c r="J253" s="9"/>
      <c r="K253" s="9"/>
      <c r="L253" s="9"/>
      <c r="M253" s="9"/>
      <c r="N253" s="9"/>
      <c r="O253" s="9"/>
      <c r="P253" s="9"/>
      <c r="Q253" s="9"/>
      <c r="R253" s="9"/>
      <c r="S253" s="9"/>
      <c r="T253" s="9"/>
      <c r="U253" s="9"/>
      <c r="V253" s="9"/>
      <c r="W253" s="9"/>
      <c r="X253" s="9"/>
      <c r="Y253" s="9"/>
    </row>
    <row r="254" spans="2:25" x14ac:dyDescent="0.2">
      <c r="H254" s="9"/>
      <c r="I254" s="9"/>
      <c r="J254" s="9"/>
      <c r="K254" s="9"/>
      <c r="L254" s="9"/>
      <c r="M254" s="9"/>
      <c r="N254" s="9"/>
      <c r="O254" s="9"/>
      <c r="P254" s="9"/>
      <c r="Q254" s="9"/>
      <c r="R254" s="9"/>
      <c r="S254" s="9"/>
      <c r="T254" s="9"/>
      <c r="U254" s="9"/>
      <c r="V254" s="9"/>
      <c r="W254" s="9"/>
      <c r="X254" s="9"/>
      <c r="Y254" s="9"/>
    </row>
    <row r="255" spans="2:25" x14ac:dyDescent="0.2">
      <c r="G255" s="13"/>
      <c r="H255" s="9"/>
      <c r="I255" s="9"/>
      <c r="J255" s="9"/>
      <c r="K255" s="9"/>
      <c r="L255" s="9"/>
      <c r="M255" s="9"/>
      <c r="N255" s="9"/>
      <c r="O255" s="9"/>
      <c r="P255" s="9"/>
      <c r="Q255" s="9"/>
      <c r="R255" s="9"/>
      <c r="S255" s="9"/>
      <c r="T255" s="9"/>
      <c r="U255" s="9"/>
      <c r="V255" s="9"/>
      <c r="W255" s="9"/>
      <c r="X255" s="9"/>
      <c r="Y255" s="9"/>
    </row>
    <row r="256" spans="2:25" ht="15.75" x14ac:dyDescent="0.25">
      <c r="B256" s="50"/>
      <c r="G256" s="13"/>
      <c r="H256" s="9"/>
      <c r="I256" s="9"/>
      <c r="J256" s="9"/>
      <c r="K256" s="9"/>
      <c r="L256" s="9"/>
      <c r="M256" s="9"/>
      <c r="N256" s="9"/>
      <c r="O256" s="9"/>
      <c r="P256" s="9"/>
      <c r="Q256" s="9"/>
      <c r="R256" s="9"/>
      <c r="S256" s="9"/>
      <c r="T256" s="9"/>
      <c r="U256" s="9"/>
      <c r="V256" s="9"/>
      <c r="W256" s="9"/>
      <c r="X256" s="9"/>
      <c r="Y256" s="9"/>
    </row>
    <row r="257" spans="2:25" x14ac:dyDescent="0.2">
      <c r="G257" s="13"/>
      <c r="H257" s="9"/>
      <c r="I257" s="9"/>
      <c r="J257" s="9"/>
      <c r="K257" s="9"/>
      <c r="L257" s="9"/>
      <c r="M257" s="9"/>
      <c r="N257" s="9"/>
      <c r="O257" s="9"/>
      <c r="P257" s="9"/>
      <c r="Q257" s="9"/>
      <c r="R257" s="9"/>
      <c r="S257" s="9"/>
      <c r="T257" s="9"/>
      <c r="U257" s="9"/>
      <c r="V257" s="9"/>
      <c r="W257" s="9"/>
      <c r="X257" s="9"/>
      <c r="Y257" s="9"/>
    </row>
    <row r="258" spans="2:25" x14ac:dyDescent="0.2">
      <c r="G258" s="13"/>
      <c r="H258" s="9"/>
      <c r="I258" s="9"/>
      <c r="J258" s="9"/>
      <c r="K258" s="9"/>
      <c r="L258" s="9"/>
      <c r="M258" s="9"/>
      <c r="N258" s="9"/>
      <c r="O258" s="9"/>
      <c r="P258" s="9"/>
      <c r="Q258" s="9"/>
      <c r="R258" s="9"/>
      <c r="S258" s="9"/>
      <c r="T258" s="9"/>
      <c r="U258" s="9"/>
      <c r="V258" s="9"/>
      <c r="W258" s="9"/>
      <c r="X258" s="9"/>
      <c r="Y258" s="9"/>
    </row>
    <row r="259" spans="2:25" x14ac:dyDescent="0.2">
      <c r="G259" s="13"/>
      <c r="H259" s="9"/>
      <c r="I259" s="9"/>
      <c r="J259" s="9"/>
      <c r="K259" s="9"/>
      <c r="L259" s="9"/>
      <c r="M259" s="9"/>
      <c r="N259" s="9"/>
      <c r="O259" s="9"/>
      <c r="P259" s="9"/>
      <c r="Q259" s="9"/>
      <c r="R259" s="9"/>
      <c r="S259" s="9"/>
      <c r="T259" s="9"/>
      <c r="U259" s="9"/>
      <c r="V259" s="9"/>
      <c r="W259" s="9"/>
      <c r="X259" s="9"/>
      <c r="Y259" s="9"/>
    </row>
    <row r="260" spans="2:25" x14ac:dyDescent="0.2">
      <c r="G260" s="13"/>
      <c r="H260" s="9"/>
      <c r="I260" s="9"/>
      <c r="J260" s="9"/>
      <c r="K260" s="9"/>
      <c r="L260" s="9"/>
      <c r="M260" s="9"/>
      <c r="N260" s="9"/>
      <c r="O260" s="9"/>
      <c r="P260" s="9"/>
      <c r="Q260" s="9"/>
      <c r="R260" s="9"/>
      <c r="S260" s="9"/>
      <c r="T260" s="9"/>
      <c r="U260" s="9"/>
      <c r="V260" s="9"/>
      <c r="W260" s="9"/>
      <c r="X260" s="9"/>
      <c r="Y260" s="9"/>
    </row>
    <row r="261" spans="2:25" x14ac:dyDescent="0.2">
      <c r="G261" s="13"/>
      <c r="H261" s="9"/>
      <c r="I261" s="9"/>
      <c r="J261" s="9"/>
      <c r="K261" s="9"/>
      <c r="L261" s="9"/>
      <c r="M261" s="9"/>
      <c r="N261" s="9"/>
      <c r="O261" s="9"/>
      <c r="P261" s="9"/>
      <c r="Q261" s="9"/>
      <c r="R261" s="9"/>
      <c r="S261" s="9"/>
      <c r="T261" s="9"/>
      <c r="U261" s="9"/>
      <c r="V261" s="9"/>
      <c r="W261" s="9"/>
      <c r="X261" s="9"/>
      <c r="Y261" s="9"/>
    </row>
    <row r="262" spans="2:25" x14ac:dyDescent="0.2">
      <c r="G262" s="13"/>
      <c r="H262" s="9"/>
      <c r="I262" s="9"/>
      <c r="J262" s="9"/>
      <c r="K262" s="9"/>
      <c r="L262" s="9"/>
      <c r="M262" s="9"/>
      <c r="N262" s="9"/>
      <c r="O262" s="9"/>
      <c r="P262" s="9"/>
      <c r="Q262" s="9"/>
      <c r="R262" s="9"/>
      <c r="S262" s="9"/>
      <c r="T262" s="9"/>
      <c r="U262" s="9"/>
      <c r="V262" s="9"/>
      <c r="W262" s="9"/>
      <c r="X262" s="9"/>
      <c r="Y262" s="9"/>
    </row>
    <row r="263" spans="2:25" x14ac:dyDescent="0.2">
      <c r="H263" s="9"/>
      <c r="I263" s="9"/>
      <c r="J263" s="9"/>
      <c r="K263" s="9"/>
      <c r="L263" s="9"/>
      <c r="M263" s="9"/>
      <c r="N263" s="9"/>
      <c r="O263" s="9"/>
      <c r="P263" s="9"/>
      <c r="Q263" s="9"/>
      <c r="R263" s="9"/>
      <c r="S263" s="9"/>
      <c r="T263" s="9"/>
      <c r="U263" s="9"/>
      <c r="V263" s="9"/>
      <c r="W263" s="9"/>
      <c r="X263" s="9"/>
      <c r="Y263" s="9"/>
    </row>
    <row r="264" spans="2:25" x14ac:dyDescent="0.2">
      <c r="H264" s="9"/>
      <c r="I264" s="9"/>
      <c r="J264" s="9"/>
      <c r="K264" s="9"/>
      <c r="L264" s="9"/>
      <c r="M264" s="9"/>
      <c r="N264" s="9"/>
      <c r="O264" s="9"/>
      <c r="P264" s="9"/>
      <c r="Q264" s="9"/>
      <c r="R264" s="9"/>
      <c r="S264" s="9"/>
      <c r="T264" s="9"/>
      <c r="U264" s="9"/>
      <c r="V264" s="9"/>
      <c r="W264" s="9"/>
      <c r="X264" s="9"/>
      <c r="Y264" s="9"/>
    </row>
    <row r="265" spans="2:25" x14ac:dyDescent="0.2">
      <c r="E265" s="7" t="s">
        <v>19</v>
      </c>
      <c r="H265" s="9"/>
      <c r="I265" s="9"/>
      <c r="J265" s="9"/>
      <c r="K265" s="9"/>
      <c r="L265" s="9"/>
      <c r="M265" s="9"/>
      <c r="N265" s="9"/>
      <c r="O265" s="9"/>
      <c r="P265" s="9"/>
      <c r="Q265" s="9"/>
      <c r="R265" s="9"/>
      <c r="S265" s="9"/>
      <c r="T265" s="9"/>
      <c r="U265" s="9"/>
      <c r="V265" s="9"/>
      <c r="W265" s="9"/>
      <c r="X265" s="9"/>
      <c r="Y265" s="9"/>
    </row>
    <row r="266" spans="2:25" ht="18" x14ac:dyDescent="0.25">
      <c r="B266" s="6" t="s">
        <v>204</v>
      </c>
      <c r="H266" s="9"/>
      <c r="I266" s="9"/>
      <c r="J266" s="9"/>
      <c r="K266" s="9"/>
      <c r="L266" s="9"/>
      <c r="M266" s="9"/>
      <c r="N266" s="9"/>
      <c r="O266" s="9"/>
      <c r="P266" s="9"/>
      <c r="Q266" s="9"/>
      <c r="R266" s="9"/>
      <c r="S266" s="9"/>
      <c r="T266" s="9"/>
      <c r="U266" s="9"/>
      <c r="V266" s="9"/>
      <c r="W266" s="9"/>
      <c r="X266" s="9"/>
      <c r="Y266" s="9"/>
    </row>
    <row r="267" spans="2:25" x14ac:dyDescent="0.2">
      <c r="B267" s="13" t="s">
        <v>251</v>
      </c>
      <c r="C267" s="7" t="s">
        <v>292</v>
      </c>
      <c r="H267" s="9"/>
      <c r="I267" s="9"/>
      <c r="J267" s="9"/>
      <c r="K267" s="9"/>
      <c r="L267" s="9"/>
      <c r="M267" s="9"/>
      <c r="N267" s="9"/>
      <c r="O267" s="9"/>
      <c r="P267" s="9"/>
      <c r="Q267" s="9"/>
      <c r="R267" s="9"/>
      <c r="S267" s="9"/>
      <c r="T267" s="9"/>
      <c r="U267" s="9"/>
      <c r="V267" s="9"/>
      <c r="W267" s="9"/>
      <c r="X267" s="9"/>
      <c r="Y267" s="9"/>
    </row>
    <row r="268" spans="2:25" x14ac:dyDescent="0.2">
      <c r="B268" s="24" t="s">
        <v>290</v>
      </c>
      <c r="H268" s="9"/>
      <c r="I268" s="9"/>
      <c r="J268" s="9"/>
      <c r="K268" s="9"/>
      <c r="L268" s="9"/>
      <c r="M268" s="9"/>
      <c r="N268" s="9"/>
      <c r="O268" s="9"/>
      <c r="P268" s="9"/>
      <c r="Q268" s="9"/>
      <c r="R268" s="9"/>
      <c r="S268" s="9"/>
      <c r="T268" s="9"/>
      <c r="U268" s="9"/>
      <c r="V268" s="9"/>
      <c r="W268" s="9"/>
      <c r="X268" s="9"/>
      <c r="Y268" s="9"/>
    </row>
    <row r="269" spans="2:25" x14ac:dyDescent="0.2">
      <c r="B269" s="13" t="s">
        <v>289</v>
      </c>
      <c r="C269" s="7" t="s">
        <v>293</v>
      </c>
      <c r="H269" s="9"/>
      <c r="I269" s="9"/>
      <c r="J269" s="9"/>
      <c r="K269" s="9"/>
      <c r="L269" s="9"/>
      <c r="M269" s="9"/>
      <c r="N269" s="9"/>
      <c r="O269" s="9"/>
      <c r="P269" s="9"/>
      <c r="Q269" s="9"/>
      <c r="R269" s="9"/>
      <c r="S269" s="9"/>
      <c r="T269" s="9"/>
      <c r="U269" s="9"/>
      <c r="V269" s="9"/>
      <c r="W269" s="9"/>
      <c r="X269" s="9"/>
      <c r="Y269" s="9"/>
    </row>
    <row r="270" spans="2:25" x14ac:dyDescent="0.2">
      <c r="B270" s="13" t="s">
        <v>295</v>
      </c>
      <c r="C270" s="7" t="s">
        <v>296</v>
      </c>
      <c r="D270" s="7" t="s">
        <v>202</v>
      </c>
      <c r="H270" s="9"/>
      <c r="I270" s="9"/>
      <c r="J270" s="9"/>
      <c r="K270" s="9"/>
      <c r="L270" s="9"/>
      <c r="M270" s="9"/>
      <c r="N270" s="9"/>
      <c r="O270" s="9"/>
      <c r="P270" s="9"/>
      <c r="Q270" s="9"/>
      <c r="R270" s="9"/>
      <c r="S270" s="9"/>
      <c r="T270" s="9"/>
      <c r="U270" s="9"/>
      <c r="V270" s="9"/>
      <c r="W270" s="9"/>
      <c r="X270" s="9"/>
      <c r="Y270" s="9"/>
    </row>
    <row r="271" spans="2:25" ht="15.75" x14ac:dyDescent="0.25">
      <c r="B271" s="50"/>
      <c r="F271" s="23"/>
      <c r="H271" s="9"/>
      <c r="I271" s="9"/>
      <c r="J271" s="9"/>
      <c r="K271" s="9"/>
      <c r="L271" s="9"/>
      <c r="M271" s="9"/>
      <c r="N271" s="9"/>
      <c r="O271" s="9"/>
      <c r="P271" s="9"/>
      <c r="Q271" s="9"/>
      <c r="R271" s="9"/>
      <c r="S271" s="9"/>
      <c r="T271" s="9"/>
      <c r="U271" s="9"/>
      <c r="V271" s="9"/>
      <c r="W271" s="9"/>
      <c r="X271" s="9"/>
      <c r="Y271" s="9"/>
    </row>
    <row r="272" spans="2:25" ht="16.5" thickBot="1" x14ac:dyDescent="0.3">
      <c r="B272" s="8" t="s">
        <v>291</v>
      </c>
      <c r="C272" s="16" t="s">
        <v>3</v>
      </c>
      <c r="H272" s="9"/>
      <c r="I272" s="9"/>
      <c r="J272" s="9"/>
      <c r="K272" s="9"/>
      <c r="L272" s="9"/>
      <c r="M272" s="9"/>
      <c r="N272" s="9"/>
      <c r="O272" s="9"/>
      <c r="P272" s="9"/>
      <c r="Q272" s="9"/>
      <c r="R272" s="9"/>
      <c r="S272" s="9"/>
      <c r="T272" s="9"/>
      <c r="U272" s="9"/>
      <c r="V272" s="9"/>
      <c r="W272" s="9"/>
      <c r="X272" s="9"/>
      <c r="Y272" s="9"/>
    </row>
    <row r="273" spans="2:25" x14ac:dyDescent="0.2">
      <c r="B273" s="13" t="s">
        <v>337</v>
      </c>
      <c r="C273" s="122">
        <v>518</v>
      </c>
      <c r="D273" s="7" t="s">
        <v>41</v>
      </c>
      <c r="E273" s="7" t="s">
        <v>19</v>
      </c>
      <c r="H273" s="9"/>
      <c r="I273" s="9"/>
      <c r="J273" s="9"/>
      <c r="K273" s="9"/>
      <c r="L273" s="9"/>
      <c r="M273" s="9"/>
      <c r="N273" s="9"/>
      <c r="O273" s="9"/>
      <c r="P273" s="9"/>
      <c r="Q273" s="9"/>
      <c r="R273" s="9"/>
      <c r="S273" s="9"/>
      <c r="T273" s="9"/>
      <c r="U273" s="9"/>
      <c r="V273" s="9"/>
      <c r="W273" s="9"/>
      <c r="X273" s="9"/>
      <c r="Y273" s="9"/>
    </row>
    <row r="274" spans="2:25" x14ac:dyDescent="0.2">
      <c r="B274" s="13" t="s">
        <v>206</v>
      </c>
      <c r="C274" s="123">
        <v>518</v>
      </c>
      <c r="D274" s="7" t="s">
        <v>41</v>
      </c>
      <c r="H274" s="9"/>
      <c r="I274" s="9"/>
      <c r="J274" s="9"/>
      <c r="K274" s="9"/>
      <c r="L274" s="9"/>
      <c r="M274" s="9"/>
      <c r="N274" s="9"/>
      <c r="O274" s="9"/>
      <c r="P274" s="9"/>
      <c r="Q274" s="9"/>
      <c r="R274" s="9"/>
      <c r="S274" s="9"/>
      <c r="T274" s="9"/>
      <c r="U274" s="9"/>
      <c r="V274" s="9"/>
      <c r="W274" s="9"/>
      <c r="X274" s="9"/>
      <c r="Y274" s="9"/>
    </row>
    <row r="275" spans="2:25" x14ac:dyDescent="0.2">
      <c r="B275" s="13" t="s">
        <v>336</v>
      </c>
      <c r="C275" s="79">
        <v>8</v>
      </c>
      <c r="D275" s="7" t="s">
        <v>16</v>
      </c>
      <c r="H275" s="9"/>
      <c r="I275" s="9"/>
      <c r="J275" s="9"/>
      <c r="K275" s="9"/>
      <c r="L275" s="9"/>
      <c r="M275" s="9"/>
      <c r="N275" s="9"/>
      <c r="O275" s="9"/>
      <c r="P275" s="9"/>
      <c r="Q275" s="9"/>
      <c r="R275" s="9"/>
      <c r="S275" s="9"/>
      <c r="T275" s="9"/>
      <c r="U275" s="9"/>
      <c r="V275" s="9"/>
      <c r="W275" s="9"/>
      <c r="X275" s="9"/>
      <c r="Y275" s="9"/>
    </row>
    <row r="276" spans="2:25" x14ac:dyDescent="0.2">
      <c r="B276" s="13" t="s">
        <v>207</v>
      </c>
      <c r="C276" s="79">
        <v>40</v>
      </c>
      <c r="D276" s="7" t="s">
        <v>16</v>
      </c>
      <c r="H276" s="9"/>
      <c r="I276" s="9"/>
      <c r="J276" s="9"/>
      <c r="K276" s="9"/>
      <c r="L276" s="9"/>
      <c r="M276" s="9"/>
      <c r="N276" s="9"/>
      <c r="O276" s="9"/>
      <c r="P276" s="9"/>
      <c r="Q276" s="9"/>
      <c r="R276" s="9"/>
      <c r="S276" s="9"/>
      <c r="T276" s="9"/>
      <c r="U276" s="9"/>
      <c r="V276" s="9"/>
      <c r="W276" s="9"/>
      <c r="X276" s="9"/>
      <c r="Y276" s="9"/>
    </row>
    <row r="277" spans="2:25" ht="15.75" x14ac:dyDescent="0.25">
      <c r="B277" s="15" t="s">
        <v>140</v>
      </c>
      <c r="C277" s="134">
        <v>3.5</v>
      </c>
      <c r="D277" s="8" t="s">
        <v>16</v>
      </c>
      <c r="H277" s="9"/>
      <c r="I277" s="9"/>
      <c r="J277" s="9"/>
      <c r="K277" s="9"/>
      <c r="L277" s="9"/>
      <c r="M277" s="9"/>
      <c r="N277" s="9"/>
      <c r="O277" s="9"/>
      <c r="P277" s="9"/>
      <c r="Q277" s="9"/>
      <c r="R277" s="9"/>
      <c r="S277" s="9"/>
      <c r="T277" s="9"/>
      <c r="U277" s="9"/>
      <c r="V277" s="9"/>
      <c r="W277" s="9"/>
      <c r="X277" s="9"/>
      <c r="Y277" s="9"/>
    </row>
    <row r="278" spans="2:25" ht="15.75" thickBot="1" x14ac:dyDescent="0.25">
      <c r="B278" s="13" t="s">
        <v>200</v>
      </c>
      <c r="C278" s="167">
        <v>29000000</v>
      </c>
      <c r="D278" s="7" t="s">
        <v>173</v>
      </c>
      <c r="H278" s="9"/>
      <c r="I278" s="9"/>
      <c r="J278" s="9"/>
      <c r="K278" s="9"/>
      <c r="L278" s="9"/>
      <c r="M278" s="9"/>
      <c r="N278" s="9"/>
      <c r="O278" s="9"/>
      <c r="P278" s="9"/>
      <c r="Q278" s="9"/>
      <c r="R278" s="9"/>
      <c r="S278" s="9"/>
      <c r="T278" s="9"/>
      <c r="U278" s="9"/>
      <c r="V278" s="9"/>
      <c r="W278" s="9"/>
      <c r="X278" s="9"/>
      <c r="Y278" s="9"/>
    </row>
    <row r="279" spans="2:25" ht="15.75" x14ac:dyDescent="0.25">
      <c r="B279" s="15" t="s">
        <v>196</v>
      </c>
      <c r="C279" s="50">
        <v>8</v>
      </c>
      <c r="D279" s="8" t="s">
        <v>16</v>
      </c>
      <c r="H279" s="9"/>
      <c r="I279" s="9"/>
      <c r="J279" s="9"/>
      <c r="K279" s="9"/>
      <c r="L279" s="9"/>
      <c r="M279" s="9"/>
      <c r="N279" s="9"/>
      <c r="O279" s="9"/>
      <c r="P279" s="9"/>
      <c r="Q279" s="9"/>
      <c r="R279" s="9"/>
      <c r="S279" s="9"/>
      <c r="T279" s="9"/>
      <c r="U279" s="9"/>
      <c r="V279" s="9"/>
      <c r="W279" s="9"/>
      <c r="X279" s="9"/>
      <c r="Y279" s="9"/>
    </row>
    <row r="280" spans="2:25" ht="15.75" x14ac:dyDescent="0.25">
      <c r="B280" s="13"/>
      <c r="C280" s="16" t="s">
        <v>4</v>
      </c>
      <c r="H280" s="9"/>
      <c r="I280" s="9"/>
      <c r="J280" s="9"/>
      <c r="K280" s="9"/>
      <c r="L280" s="9"/>
      <c r="M280" s="9"/>
      <c r="N280" s="9"/>
      <c r="O280" s="9"/>
      <c r="P280" s="9"/>
      <c r="Q280" s="9"/>
      <c r="R280" s="9"/>
      <c r="S280" s="9"/>
      <c r="T280" s="9"/>
      <c r="U280" s="9"/>
      <c r="V280" s="9"/>
      <c r="W280" s="9"/>
      <c r="X280" s="9"/>
      <c r="Y280" s="9"/>
    </row>
    <row r="281" spans="2:25" x14ac:dyDescent="0.2">
      <c r="B281" s="13" t="s">
        <v>163</v>
      </c>
      <c r="C281" s="14" t="s">
        <v>167</v>
      </c>
      <c r="H281" s="9"/>
      <c r="I281" s="9"/>
      <c r="J281" s="9"/>
      <c r="K281" s="9"/>
      <c r="L281" s="9"/>
      <c r="M281" s="9"/>
      <c r="N281" s="9"/>
      <c r="O281" s="9"/>
      <c r="P281" s="9"/>
      <c r="Q281" s="9"/>
      <c r="R281" s="9"/>
      <c r="S281" s="9"/>
      <c r="T281" s="9"/>
      <c r="U281" s="9"/>
      <c r="V281" s="9"/>
      <c r="W281" s="9"/>
      <c r="X281" s="9"/>
      <c r="Y281" s="9"/>
    </row>
    <row r="282" spans="2:25" x14ac:dyDescent="0.2">
      <c r="B282" s="13" t="s">
        <v>169</v>
      </c>
      <c r="C282" s="89">
        <f>3.1417 * C277^4 /64</f>
        <v>7.3664274414062501</v>
      </c>
      <c r="D282" s="7" t="s">
        <v>164</v>
      </c>
      <c r="H282" s="9"/>
      <c r="I282" s="9"/>
      <c r="J282" s="9"/>
      <c r="K282" s="9"/>
      <c r="L282" s="9"/>
      <c r="M282" s="9"/>
      <c r="N282" s="9"/>
      <c r="O282" s="9"/>
      <c r="P282" s="9"/>
      <c r="Q282" s="9"/>
      <c r="R282" s="9"/>
      <c r="S282" s="9"/>
      <c r="T282" s="9"/>
      <c r="U282" s="9"/>
      <c r="V282" s="9"/>
      <c r="W282" s="9"/>
      <c r="X282" s="9"/>
      <c r="Y282" s="9"/>
    </row>
    <row r="283" spans="2:25" x14ac:dyDescent="0.2">
      <c r="B283" s="13" t="s">
        <v>6</v>
      </c>
      <c r="C283" s="44" t="s">
        <v>195</v>
      </c>
      <c r="D283" s="7" t="s">
        <v>19</v>
      </c>
      <c r="H283" s="9"/>
      <c r="I283" s="9"/>
      <c r="J283" s="9"/>
      <c r="K283" s="9"/>
      <c r="L283" s="9"/>
      <c r="M283" s="9"/>
      <c r="N283" s="9"/>
      <c r="O283" s="9"/>
      <c r="P283" s="9"/>
      <c r="Q283" s="9"/>
      <c r="R283" s="9"/>
      <c r="S283" s="9"/>
      <c r="T283" s="9"/>
      <c r="U283" s="9"/>
      <c r="V283" s="9"/>
      <c r="W283" s="9"/>
      <c r="X283" s="9"/>
      <c r="Y283" s="9"/>
    </row>
    <row r="284" spans="2:25" x14ac:dyDescent="0.2">
      <c r="B284" s="13" t="s">
        <v>6</v>
      </c>
      <c r="C284" s="44">
        <f>C276 - C275</f>
        <v>32</v>
      </c>
      <c r="D284" s="7" t="s">
        <v>16</v>
      </c>
      <c r="H284" s="9"/>
      <c r="I284" s="9"/>
      <c r="J284" s="9"/>
      <c r="K284" s="9"/>
      <c r="L284" s="9"/>
      <c r="M284" s="9"/>
      <c r="N284" s="9"/>
      <c r="O284" s="9"/>
      <c r="P284" s="9"/>
      <c r="Q284" s="9"/>
      <c r="R284" s="9"/>
      <c r="S284" s="9"/>
      <c r="T284" s="9"/>
      <c r="U284" s="9"/>
      <c r="V284" s="9"/>
      <c r="W284" s="9"/>
      <c r="X284" s="9"/>
      <c r="Y284" s="9"/>
    </row>
    <row r="285" spans="2:25" x14ac:dyDescent="0.2">
      <c r="B285" s="13" t="s">
        <v>194</v>
      </c>
      <c r="C285" s="87">
        <f>( -(C274 * C276^3 / 6) + ((C273 / 6)*C284^3 )) / C276</f>
        <v>-67409.066666666666</v>
      </c>
      <c r="H285" s="9"/>
      <c r="I285" s="9"/>
      <c r="J285" s="9"/>
      <c r="K285" s="9"/>
      <c r="L285" s="9"/>
      <c r="M285" s="9"/>
      <c r="N285" s="9"/>
      <c r="O285" s="9"/>
      <c r="P285" s="9"/>
      <c r="Q285" s="9"/>
      <c r="R285" s="9"/>
      <c r="S285" s="9"/>
      <c r="T285" s="9"/>
      <c r="U285" s="9"/>
      <c r="V285" s="9"/>
      <c r="W285" s="9"/>
      <c r="X285" s="9"/>
      <c r="Y285" s="9"/>
    </row>
    <row r="286" spans="2:25" x14ac:dyDescent="0.2">
      <c r="B286" s="13" t="s">
        <v>193</v>
      </c>
      <c r="C286" s="7" t="s">
        <v>201</v>
      </c>
      <c r="H286" s="9"/>
      <c r="I286" s="9"/>
      <c r="J286" s="9"/>
      <c r="K286" s="9"/>
      <c r="L286" s="9"/>
      <c r="M286" s="9"/>
      <c r="N286" s="9"/>
      <c r="O286" s="9"/>
      <c r="P286" s="9"/>
      <c r="Q286" s="9"/>
      <c r="R286" s="9"/>
      <c r="S286" s="9"/>
      <c r="T286" s="9"/>
      <c r="U286" s="9"/>
      <c r="V286" s="9"/>
      <c r="W286" s="9"/>
      <c r="X286" s="9"/>
      <c r="Y286" s="9"/>
    </row>
    <row r="287" spans="2:25" ht="15.75" x14ac:dyDescent="0.25">
      <c r="B287" s="50" t="s">
        <v>198</v>
      </c>
      <c r="C287" s="86"/>
      <c r="H287" s="9"/>
      <c r="I287" s="9"/>
      <c r="J287" s="9"/>
      <c r="K287" s="9"/>
      <c r="L287" s="9"/>
      <c r="M287" s="9"/>
      <c r="N287" s="9"/>
      <c r="O287" s="9"/>
      <c r="P287" s="9"/>
      <c r="Q287" s="9"/>
      <c r="R287" s="9"/>
      <c r="S287" s="9"/>
      <c r="T287" s="9"/>
      <c r="U287" s="9"/>
      <c r="V287" s="9"/>
      <c r="W287" s="9"/>
      <c r="X287" s="9"/>
      <c r="Y287" s="9"/>
    </row>
    <row r="288" spans="2:25" x14ac:dyDescent="0.2">
      <c r="B288" s="13" t="s">
        <v>197</v>
      </c>
      <c r="C288" s="7" t="s">
        <v>201</v>
      </c>
      <c r="H288" s="9"/>
      <c r="I288" s="9"/>
      <c r="J288" s="9"/>
      <c r="K288" s="9"/>
      <c r="L288" s="9"/>
      <c r="M288" s="9"/>
      <c r="N288" s="9"/>
      <c r="O288" s="9"/>
      <c r="P288" s="9"/>
      <c r="Q288" s="9"/>
      <c r="R288" s="9"/>
      <c r="S288" s="9"/>
      <c r="T288" s="9"/>
      <c r="U288" s="9"/>
      <c r="V288" s="9"/>
      <c r="W288" s="9"/>
      <c r="X288" s="9"/>
      <c r="Y288" s="9"/>
    </row>
    <row r="289" spans="2:25" x14ac:dyDescent="0.2">
      <c r="B289" s="13" t="s">
        <v>288</v>
      </c>
      <c r="C289" s="7" t="s">
        <v>294</v>
      </c>
      <c r="H289" s="9"/>
      <c r="I289" s="9"/>
      <c r="J289" s="9"/>
      <c r="K289" s="9"/>
      <c r="L289" s="9"/>
      <c r="M289" s="9"/>
      <c r="N289" s="9"/>
      <c r="O289" s="9"/>
      <c r="P289" s="9"/>
      <c r="Q289" s="9"/>
      <c r="R289" s="9"/>
      <c r="S289" s="9"/>
      <c r="T289" s="9"/>
      <c r="U289" s="9"/>
      <c r="V289" s="9"/>
      <c r="W289" s="9"/>
      <c r="X289" s="9"/>
      <c r="Y289" s="9"/>
    </row>
    <row r="290" spans="2:25" x14ac:dyDescent="0.2">
      <c r="B290" s="13" t="s">
        <v>288</v>
      </c>
      <c r="C290" s="135">
        <f>(C273*C275 / (6*C278*C282*C276) ) * (C276^2 - 3*C276*2*C279^2 + 8*C279^3)</f>
        <v>-7.8110696967559118E-4</v>
      </c>
      <c r="D290" s="7" t="s">
        <v>202</v>
      </c>
      <c r="H290" s="9"/>
      <c r="I290" s="9"/>
      <c r="J290" s="9"/>
      <c r="K290" s="9"/>
      <c r="L290" s="9"/>
      <c r="M290" s="9"/>
      <c r="N290" s="9"/>
      <c r="O290" s="9"/>
      <c r="P290" s="9"/>
      <c r="Q290" s="9"/>
      <c r="R290" s="9"/>
      <c r="S290" s="9"/>
      <c r="T290" s="9"/>
      <c r="U290" s="9"/>
      <c r="V290" s="9"/>
      <c r="W290" s="9"/>
      <c r="X290" s="9"/>
      <c r="Y290" s="9"/>
    </row>
    <row r="291" spans="2:25" ht="15.75" x14ac:dyDescent="0.25">
      <c r="B291" s="15" t="s">
        <v>199</v>
      </c>
      <c r="C291" s="94">
        <f>C290*57.1957</f>
        <v>-4.4675959905474211E-2</v>
      </c>
      <c r="D291" s="8" t="s">
        <v>203</v>
      </c>
      <c r="H291" s="9"/>
      <c r="I291" s="9"/>
      <c r="J291" s="9"/>
      <c r="K291" s="9"/>
      <c r="L291" s="9"/>
      <c r="M291" s="9"/>
      <c r="N291" s="9"/>
      <c r="O291" s="9"/>
      <c r="P291" s="9"/>
      <c r="Q291" s="9"/>
      <c r="R291" s="9"/>
      <c r="S291" s="9"/>
      <c r="T291" s="9"/>
      <c r="U291" s="9"/>
      <c r="V291" s="9"/>
      <c r="W291" s="9"/>
      <c r="X291" s="9"/>
      <c r="Y291" s="9"/>
    </row>
    <row r="292" spans="2:25" ht="15.75" x14ac:dyDescent="0.25">
      <c r="B292" s="50" t="s">
        <v>247</v>
      </c>
      <c r="H292" s="9"/>
      <c r="I292" s="9"/>
      <c r="J292" s="9"/>
      <c r="K292" s="9"/>
      <c r="L292" s="9"/>
      <c r="M292" s="9"/>
      <c r="N292" s="9"/>
      <c r="O292" s="9"/>
      <c r="P292" s="9"/>
      <c r="Q292" s="9"/>
      <c r="R292" s="9"/>
      <c r="S292" s="9"/>
      <c r="T292" s="9"/>
      <c r="U292" s="9"/>
      <c r="V292" s="9"/>
      <c r="W292" s="9"/>
      <c r="X292" s="9"/>
      <c r="Y292" s="9"/>
    </row>
    <row r="293" spans="2:25" ht="15.75" x14ac:dyDescent="0.25">
      <c r="B293" s="15" t="s">
        <v>211</v>
      </c>
      <c r="C293" s="94">
        <v>7.4000000000000003E-3</v>
      </c>
      <c r="D293" s="8" t="s">
        <v>203</v>
      </c>
      <c r="H293" s="9"/>
      <c r="I293" s="9"/>
      <c r="J293" s="9"/>
      <c r="K293" s="9"/>
      <c r="L293" s="9"/>
      <c r="M293" s="9"/>
      <c r="N293" s="9"/>
      <c r="O293" s="9"/>
      <c r="P293" s="9"/>
      <c r="Q293" s="9"/>
      <c r="R293" s="9"/>
      <c r="S293" s="9"/>
      <c r="T293" s="9"/>
      <c r="U293" s="9"/>
      <c r="V293" s="9"/>
      <c r="W293" s="9"/>
      <c r="X293" s="9"/>
      <c r="Y293" s="9"/>
    </row>
    <row r="294" spans="2:25" ht="15.75" x14ac:dyDescent="0.25">
      <c r="B294" s="15" t="s">
        <v>212</v>
      </c>
      <c r="C294" s="94">
        <v>4.4699999999999997E-2</v>
      </c>
      <c r="D294" s="8" t="s">
        <v>203</v>
      </c>
      <c r="H294" s="9"/>
      <c r="I294" s="9"/>
      <c r="J294" s="9"/>
      <c r="K294" s="9"/>
      <c r="L294" s="9"/>
      <c r="M294" s="9"/>
      <c r="N294" s="9"/>
      <c r="O294" s="9"/>
      <c r="P294" s="9"/>
      <c r="Q294" s="9"/>
      <c r="R294" s="9"/>
      <c r="S294" s="9"/>
      <c r="T294" s="9"/>
      <c r="U294" s="9"/>
      <c r="V294" s="9"/>
      <c r="W294" s="9"/>
      <c r="X294" s="9"/>
      <c r="Y294" s="9"/>
    </row>
    <row r="295" spans="2:25" ht="15.75" x14ac:dyDescent="0.25">
      <c r="B295" s="15" t="s">
        <v>213</v>
      </c>
      <c r="C295" s="94">
        <v>0.59909999999999997</v>
      </c>
      <c r="D295" s="8" t="s">
        <v>203</v>
      </c>
      <c r="H295" s="9"/>
      <c r="I295" s="9"/>
      <c r="J295" s="9"/>
      <c r="K295" s="9"/>
      <c r="L295" s="9"/>
      <c r="M295" s="9"/>
      <c r="N295" s="9"/>
      <c r="O295" s="9"/>
      <c r="P295" s="9"/>
      <c r="Q295" s="9"/>
      <c r="R295" s="9"/>
      <c r="S295" s="9"/>
      <c r="T295" s="9"/>
      <c r="U295" s="9"/>
      <c r="V295" s="9"/>
      <c r="W295" s="9"/>
      <c r="X295" s="9"/>
      <c r="Y295" s="9"/>
    </row>
    <row r="296" spans="2:25" ht="15.75" x14ac:dyDescent="0.25">
      <c r="B296" s="15" t="s">
        <v>214</v>
      </c>
      <c r="C296" s="94">
        <v>8.3099999999999993E-2</v>
      </c>
      <c r="D296" s="8" t="s">
        <v>203</v>
      </c>
      <c r="G296" s="13"/>
      <c r="H296" s="9"/>
      <c r="I296" s="9"/>
      <c r="J296" s="9"/>
      <c r="K296" s="9"/>
      <c r="L296" s="9"/>
      <c r="M296" s="9"/>
      <c r="N296" s="9"/>
      <c r="O296" s="9"/>
      <c r="P296" s="9"/>
      <c r="Q296" s="9"/>
      <c r="R296" s="9"/>
      <c r="S296" s="9"/>
      <c r="T296" s="9"/>
      <c r="U296" s="9"/>
      <c r="V296" s="9"/>
      <c r="W296" s="9"/>
      <c r="X296" s="9"/>
      <c r="Y296" s="9"/>
    </row>
    <row r="297" spans="2:25" x14ac:dyDescent="0.2">
      <c r="G297" s="13"/>
      <c r="H297" s="9"/>
      <c r="I297" s="9"/>
      <c r="J297" s="9"/>
      <c r="K297" s="9"/>
      <c r="L297" s="9"/>
      <c r="M297" s="9"/>
      <c r="N297" s="9"/>
      <c r="O297" s="9"/>
      <c r="P297" s="9"/>
      <c r="Q297" s="9"/>
      <c r="R297" s="9"/>
      <c r="S297" s="9"/>
      <c r="T297" s="9"/>
      <c r="U297" s="9"/>
      <c r="V297" s="9"/>
      <c r="W297" s="9"/>
      <c r="X297" s="9"/>
      <c r="Y297" s="9"/>
    </row>
    <row r="298" spans="2:25" x14ac:dyDescent="0.2">
      <c r="H298" s="9"/>
      <c r="I298" s="9"/>
      <c r="J298" s="9"/>
      <c r="K298" s="9"/>
      <c r="L298" s="9"/>
      <c r="M298" s="9"/>
      <c r="N298" s="9"/>
      <c r="O298" s="9"/>
      <c r="P298" s="9"/>
      <c r="Q298" s="9"/>
      <c r="R298" s="9"/>
      <c r="S298" s="9"/>
      <c r="T298" s="9"/>
      <c r="U298" s="9"/>
      <c r="V298" s="9"/>
      <c r="W298" s="9"/>
      <c r="X298" s="9"/>
      <c r="Y298" s="9"/>
    </row>
    <row r="299" spans="2:25" x14ac:dyDescent="0.2">
      <c r="H299" s="9"/>
      <c r="I299" s="9"/>
      <c r="J299" s="9"/>
      <c r="K299" s="9"/>
      <c r="L299" s="9"/>
      <c r="M299" s="9"/>
      <c r="N299" s="9"/>
      <c r="O299" s="9"/>
      <c r="P299" s="9"/>
      <c r="Q299" s="9"/>
      <c r="R299" s="9"/>
      <c r="S299" s="9"/>
      <c r="T299" s="9"/>
      <c r="U299" s="9"/>
      <c r="V299" s="9"/>
      <c r="W299" s="9"/>
      <c r="X299" s="9"/>
      <c r="Y299" s="9"/>
    </row>
    <row r="300" spans="2:25" x14ac:dyDescent="0.2">
      <c r="H300" s="9"/>
      <c r="I300" s="9"/>
      <c r="J300" s="9"/>
      <c r="K300" s="9"/>
      <c r="L300" s="9"/>
      <c r="M300" s="9"/>
      <c r="N300" s="9"/>
      <c r="O300" s="9"/>
      <c r="P300" s="9"/>
      <c r="Q300" s="9"/>
      <c r="R300" s="9"/>
      <c r="S300" s="9"/>
      <c r="T300" s="9"/>
      <c r="U300" s="9"/>
      <c r="V300" s="9"/>
      <c r="W300" s="9"/>
      <c r="X300" s="9"/>
      <c r="Y300" s="9"/>
    </row>
    <row r="301" spans="2:25" x14ac:dyDescent="0.2">
      <c r="H301" s="9"/>
      <c r="I301" s="9"/>
      <c r="J301" s="9"/>
      <c r="K301" s="9"/>
      <c r="L301" s="9"/>
      <c r="M301" s="9"/>
      <c r="N301" s="9"/>
      <c r="O301" s="9"/>
      <c r="P301" s="9"/>
      <c r="Q301" s="9"/>
      <c r="R301" s="9"/>
      <c r="S301" s="9"/>
      <c r="T301" s="9"/>
      <c r="U301" s="9"/>
      <c r="V301" s="9"/>
      <c r="W301" s="9"/>
      <c r="X301" s="9"/>
      <c r="Y301" s="9"/>
    </row>
    <row r="302" spans="2:25" x14ac:dyDescent="0.2">
      <c r="H302" s="9"/>
      <c r="I302" s="9"/>
      <c r="J302" s="9"/>
      <c r="K302" s="9"/>
      <c r="L302" s="9"/>
      <c r="M302" s="9"/>
      <c r="N302" s="9"/>
      <c r="O302" s="9"/>
      <c r="P302" s="9"/>
      <c r="Q302" s="9"/>
      <c r="R302" s="9"/>
      <c r="S302" s="9"/>
      <c r="T302" s="9"/>
      <c r="U302" s="9"/>
      <c r="V302" s="9"/>
      <c r="W302" s="9"/>
      <c r="X302" s="9"/>
      <c r="Y302" s="9"/>
    </row>
    <row r="303" spans="2:25" x14ac:dyDescent="0.2">
      <c r="H303" s="9"/>
      <c r="I303" s="9"/>
      <c r="J303" s="9"/>
      <c r="K303" s="9"/>
      <c r="L303" s="9"/>
      <c r="M303" s="9"/>
      <c r="N303" s="9"/>
      <c r="O303" s="9"/>
      <c r="P303" s="9"/>
      <c r="Q303" s="9"/>
      <c r="R303" s="9"/>
      <c r="S303" s="9"/>
      <c r="T303" s="9"/>
      <c r="U303" s="9"/>
      <c r="V303" s="9"/>
      <c r="W303" s="9"/>
      <c r="X303" s="9"/>
      <c r="Y303" s="9"/>
    </row>
    <row r="304" spans="2:25" x14ac:dyDescent="0.2">
      <c r="H304" s="9"/>
      <c r="I304" s="9"/>
      <c r="J304" s="9"/>
      <c r="K304" s="9"/>
      <c r="L304" s="9"/>
      <c r="M304" s="9"/>
      <c r="N304" s="9"/>
      <c r="O304" s="9"/>
      <c r="P304" s="9"/>
      <c r="Q304" s="9"/>
      <c r="R304" s="9"/>
      <c r="S304" s="9"/>
      <c r="T304" s="9"/>
      <c r="U304" s="9"/>
      <c r="V304" s="9"/>
      <c r="W304" s="9"/>
      <c r="X304" s="9"/>
      <c r="Y304" s="9"/>
    </row>
    <row r="305" spans="2:25" x14ac:dyDescent="0.2">
      <c r="H305" s="9"/>
      <c r="I305" s="9"/>
      <c r="J305" s="9"/>
      <c r="K305" s="9"/>
      <c r="L305" s="9"/>
      <c r="M305" s="9"/>
      <c r="N305" s="9"/>
      <c r="O305" s="9"/>
      <c r="P305" s="9"/>
      <c r="Q305" s="9"/>
      <c r="R305" s="9"/>
      <c r="S305" s="9"/>
      <c r="T305" s="9"/>
      <c r="U305" s="9"/>
      <c r="V305" s="9"/>
      <c r="W305" s="9"/>
      <c r="X305" s="9"/>
      <c r="Y305" s="9"/>
    </row>
    <row r="306" spans="2:25" x14ac:dyDescent="0.2">
      <c r="H306" s="9"/>
      <c r="I306" s="9"/>
      <c r="J306" s="9"/>
      <c r="K306" s="9"/>
      <c r="L306" s="9"/>
      <c r="M306" s="9"/>
      <c r="N306" s="9"/>
      <c r="O306" s="9"/>
      <c r="P306" s="9"/>
      <c r="Q306" s="9"/>
      <c r="R306" s="9"/>
      <c r="S306" s="9"/>
      <c r="T306" s="9"/>
      <c r="U306" s="9"/>
      <c r="V306" s="9"/>
      <c r="W306" s="9"/>
      <c r="X306" s="9"/>
      <c r="Y306" s="9"/>
    </row>
    <row r="307" spans="2:25" x14ac:dyDescent="0.2">
      <c r="H307" s="9"/>
      <c r="I307" s="9"/>
      <c r="J307" s="9"/>
      <c r="K307" s="9"/>
      <c r="L307" s="9"/>
      <c r="M307" s="9"/>
      <c r="N307" s="9"/>
      <c r="O307" s="9"/>
      <c r="P307" s="9"/>
      <c r="Q307" s="9"/>
      <c r="R307" s="9"/>
      <c r="S307" s="9"/>
      <c r="T307" s="9"/>
      <c r="U307" s="9"/>
      <c r="V307" s="9"/>
      <c r="W307" s="9"/>
      <c r="X307" s="9"/>
      <c r="Y307" s="9"/>
    </row>
    <row r="308" spans="2:25" x14ac:dyDescent="0.2">
      <c r="H308" s="9"/>
      <c r="I308" s="9"/>
      <c r="J308" s="9"/>
      <c r="K308" s="9"/>
      <c r="L308" s="9"/>
      <c r="M308" s="9"/>
      <c r="N308" s="9"/>
      <c r="O308" s="9"/>
      <c r="P308" s="9"/>
      <c r="Q308" s="9"/>
      <c r="R308" s="9"/>
      <c r="S308" s="9"/>
      <c r="T308" s="9"/>
      <c r="U308" s="9"/>
      <c r="V308" s="9"/>
      <c r="W308" s="9"/>
      <c r="X308" s="9"/>
      <c r="Y308" s="9"/>
    </row>
    <row r="309" spans="2:25" x14ac:dyDescent="0.2">
      <c r="H309" s="9"/>
      <c r="I309" s="9"/>
      <c r="J309" s="9"/>
      <c r="K309" s="9"/>
      <c r="L309" s="9"/>
      <c r="M309" s="9"/>
      <c r="N309" s="9"/>
      <c r="O309" s="9"/>
      <c r="P309" s="9"/>
      <c r="Q309" s="9"/>
      <c r="R309" s="9"/>
      <c r="S309" s="9"/>
      <c r="T309" s="9"/>
      <c r="U309" s="9"/>
      <c r="V309" s="9"/>
      <c r="W309" s="9"/>
      <c r="X309" s="9"/>
      <c r="Y309" s="9"/>
    </row>
    <row r="310" spans="2:25" x14ac:dyDescent="0.2">
      <c r="H310" s="9"/>
      <c r="I310" s="9"/>
      <c r="J310" s="9"/>
      <c r="K310" s="9"/>
      <c r="L310" s="9"/>
      <c r="M310" s="9"/>
      <c r="N310" s="9"/>
      <c r="O310" s="9"/>
      <c r="P310" s="9"/>
      <c r="Q310" s="9"/>
      <c r="R310" s="9"/>
      <c r="S310" s="9"/>
      <c r="T310" s="9"/>
      <c r="U310" s="9"/>
      <c r="V310" s="9"/>
      <c r="W310" s="9"/>
      <c r="X310" s="9"/>
      <c r="Y310" s="9"/>
    </row>
    <row r="311" spans="2:25" ht="18" x14ac:dyDescent="0.25">
      <c r="B311" s="6" t="s">
        <v>218</v>
      </c>
      <c r="H311" s="9"/>
      <c r="I311" s="9"/>
      <c r="J311" s="9"/>
      <c r="K311" s="9"/>
      <c r="L311" s="9"/>
      <c r="M311" s="9"/>
      <c r="N311" s="9"/>
      <c r="O311" s="9"/>
      <c r="P311" s="9"/>
      <c r="Q311" s="9"/>
      <c r="R311" s="9"/>
      <c r="S311" s="9"/>
      <c r="T311" s="9"/>
      <c r="U311" s="9"/>
      <c r="V311" s="9"/>
      <c r="W311" s="9"/>
      <c r="X311" s="9"/>
      <c r="Y311" s="9"/>
    </row>
    <row r="312" spans="2:25" x14ac:dyDescent="0.2">
      <c r="H312" s="9"/>
      <c r="I312" s="9"/>
      <c r="J312" s="9"/>
      <c r="K312" s="9"/>
      <c r="L312" s="9"/>
      <c r="M312" s="9"/>
      <c r="N312" s="9"/>
      <c r="O312" s="9"/>
      <c r="P312" s="9"/>
      <c r="Q312" s="9"/>
      <c r="R312" s="9"/>
      <c r="S312" s="9"/>
      <c r="T312" s="9"/>
      <c r="U312" s="9"/>
      <c r="V312" s="9"/>
      <c r="W312" s="9"/>
      <c r="X312" s="9"/>
      <c r="Y312" s="9"/>
    </row>
    <row r="313" spans="2:25" ht="15.75" x14ac:dyDescent="0.25">
      <c r="B313" s="15" t="s">
        <v>338</v>
      </c>
      <c r="C313" s="7" t="s">
        <v>215</v>
      </c>
      <c r="H313" s="9"/>
      <c r="I313" s="9"/>
      <c r="J313" s="9"/>
      <c r="K313" s="9"/>
      <c r="L313" s="9"/>
      <c r="M313" s="9"/>
      <c r="N313" s="9"/>
      <c r="O313" s="9"/>
      <c r="P313" s="9"/>
      <c r="Q313" s="9"/>
      <c r="R313" s="9"/>
      <c r="S313" s="9"/>
      <c r="T313" s="9"/>
      <c r="U313" s="9"/>
      <c r="V313" s="9"/>
      <c r="W313" s="9"/>
      <c r="X313" s="9"/>
      <c r="Y313" s="9"/>
    </row>
    <row r="314" spans="2:25" ht="15.75" x14ac:dyDescent="0.25">
      <c r="B314" s="15" t="s">
        <v>219</v>
      </c>
      <c r="C314" s="29">
        <f>C293 + C296</f>
        <v>9.0499999999999997E-2</v>
      </c>
      <c r="D314" s="8" t="s">
        <v>203</v>
      </c>
      <c r="H314" s="9"/>
      <c r="I314" s="9"/>
      <c r="J314" s="9"/>
      <c r="K314" s="9"/>
      <c r="L314" s="9"/>
      <c r="M314" s="9"/>
      <c r="N314" s="9"/>
      <c r="O314" s="9"/>
      <c r="P314" s="9"/>
      <c r="Q314" s="9"/>
      <c r="R314" s="9"/>
      <c r="S314" s="9"/>
      <c r="T314" s="9"/>
      <c r="U314" s="9"/>
      <c r="V314" s="9"/>
      <c r="W314" s="9"/>
      <c r="X314" s="9"/>
      <c r="Y314" s="9"/>
    </row>
    <row r="315" spans="2:25" x14ac:dyDescent="0.2">
      <c r="C315" s="14"/>
      <c r="H315" s="9"/>
      <c r="I315" s="9"/>
      <c r="J315" s="9"/>
      <c r="K315" s="9"/>
      <c r="L315" s="9"/>
      <c r="M315" s="9"/>
      <c r="N315" s="9"/>
      <c r="O315" s="9"/>
      <c r="P315" s="9"/>
      <c r="Q315" s="9"/>
      <c r="R315" s="9"/>
      <c r="S315" s="9"/>
      <c r="T315" s="9"/>
      <c r="U315" s="9"/>
      <c r="V315" s="9"/>
      <c r="W315" s="9"/>
      <c r="X315" s="9"/>
      <c r="Y315" s="9"/>
    </row>
    <row r="316" spans="2:25" ht="15.75" x14ac:dyDescent="0.25">
      <c r="B316" s="15" t="s">
        <v>339</v>
      </c>
      <c r="C316" s="14" t="s">
        <v>216</v>
      </c>
      <c r="H316" s="9"/>
      <c r="I316" s="9"/>
      <c r="J316" s="9"/>
      <c r="K316" s="9"/>
      <c r="L316" s="9"/>
      <c r="M316" s="9"/>
      <c r="N316" s="9"/>
      <c r="O316" s="9"/>
      <c r="P316" s="9"/>
      <c r="Q316" s="9"/>
      <c r="R316" s="9"/>
      <c r="S316" s="9"/>
      <c r="T316" s="9"/>
      <c r="U316" s="9"/>
      <c r="V316" s="9"/>
      <c r="W316" s="9"/>
      <c r="X316" s="9"/>
      <c r="Y316" s="9"/>
    </row>
    <row r="317" spans="2:25" ht="15.75" x14ac:dyDescent="0.25">
      <c r="B317" s="15" t="s">
        <v>220</v>
      </c>
      <c r="C317" s="29">
        <f>C294 + C295</f>
        <v>0.64379999999999993</v>
      </c>
      <c r="D317" s="8" t="s">
        <v>203</v>
      </c>
      <c r="H317" s="9"/>
      <c r="I317" s="9"/>
      <c r="J317" s="9"/>
      <c r="K317" s="9"/>
      <c r="L317" s="9"/>
      <c r="M317" s="9"/>
      <c r="N317" s="9"/>
      <c r="O317" s="9"/>
      <c r="P317" s="9"/>
      <c r="Q317" s="9"/>
      <c r="R317" s="9"/>
      <c r="S317" s="9"/>
      <c r="T317" s="9"/>
      <c r="U317" s="9"/>
      <c r="V317" s="9"/>
      <c r="W317" s="9"/>
      <c r="X317" s="9"/>
      <c r="Y317" s="9"/>
    </row>
    <row r="318" spans="2:25" x14ac:dyDescent="0.2">
      <c r="C318" s="14"/>
      <c r="H318" s="9"/>
      <c r="I318" s="9"/>
      <c r="J318" s="9"/>
      <c r="K318" s="9"/>
      <c r="L318" s="9"/>
      <c r="M318" s="9"/>
      <c r="N318" s="9"/>
      <c r="O318" s="9"/>
      <c r="P318" s="9"/>
      <c r="Q318" s="9"/>
      <c r="R318" s="9"/>
      <c r="S318" s="9"/>
      <c r="T318" s="9"/>
      <c r="U318" s="9"/>
      <c r="V318" s="9"/>
      <c r="W318" s="9"/>
      <c r="X318" s="9"/>
      <c r="Y318" s="9"/>
    </row>
    <row r="319" spans="2:25" ht="15.75" x14ac:dyDescent="0.25">
      <c r="B319" s="15" t="s">
        <v>340</v>
      </c>
      <c r="C319" s="14" t="s">
        <v>217</v>
      </c>
      <c r="H319" s="9"/>
      <c r="I319" s="9"/>
      <c r="J319" s="9"/>
      <c r="K319" s="9"/>
      <c r="L319" s="9"/>
      <c r="M319" s="9"/>
      <c r="N319" s="9"/>
      <c r="O319" s="9"/>
      <c r="P319" s="9"/>
      <c r="Q319" s="9"/>
      <c r="R319" s="9"/>
      <c r="S319" s="9"/>
      <c r="T319" s="9"/>
      <c r="U319" s="9"/>
      <c r="V319" s="9"/>
      <c r="W319" s="9"/>
      <c r="X319" s="9"/>
      <c r="Y319" s="9"/>
    </row>
    <row r="320" spans="2:25" ht="15.75" x14ac:dyDescent="0.25">
      <c r="B320" s="15" t="s">
        <v>221</v>
      </c>
      <c r="C320" s="29">
        <f>C295 + C294</f>
        <v>0.64379999999999993</v>
      </c>
      <c r="D320" s="8" t="s">
        <v>203</v>
      </c>
      <c r="H320" s="9"/>
      <c r="I320" s="9"/>
      <c r="J320" s="9"/>
      <c r="K320" s="9"/>
      <c r="L320" s="9"/>
      <c r="M320" s="9"/>
      <c r="N320" s="9"/>
      <c r="O320" s="9"/>
      <c r="P320" s="9"/>
      <c r="Q320" s="9"/>
      <c r="R320" s="9"/>
      <c r="S320" s="9"/>
      <c r="T320" s="9"/>
      <c r="U320" s="9"/>
      <c r="V320" s="9"/>
      <c r="W320" s="9"/>
      <c r="X320" s="9"/>
      <c r="Y320" s="9"/>
    </row>
    <row r="321" spans="2:25" x14ac:dyDescent="0.2">
      <c r="H321" s="9"/>
      <c r="I321" s="9"/>
      <c r="J321" s="9"/>
      <c r="K321" s="9"/>
      <c r="L321" s="9"/>
      <c r="M321" s="9"/>
      <c r="N321" s="9"/>
      <c r="O321" s="9"/>
      <c r="P321" s="9"/>
      <c r="Q321" s="9"/>
      <c r="R321" s="9"/>
      <c r="S321" s="9"/>
      <c r="T321" s="9"/>
      <c r="U321" s="9"/>
      <c r="V321" s="9"/>
      <c r="W321" s="9"/>
      <c r="X321" s="9"/>
      <c r="Y321" s="9"/>
    </row>
    <row r="322" spans="2:25" ht="15.75" x14ac:dyDescent="0.25">
      <c r="B322" s="15" t="s">
        <v>222</v>
      </c>
      <c r="C322" s="14" t="s">
        <v>223</v>
      </c>
      <c r="H322" s="9"/>
      <c r="I322" s="9"/>
      <c r="J322" s="9"/>
      <c r="K322" s="9"/>
      <c r="L322" s="9"/>
      <c r="M322" s="9"/>
      <c r="N322" s="9"/>
      <c r="O322" s="9"/>
      <c r="P322" s="9"/>
      <c r="Q322" s="9"/>
      <c r="R322" s="9"/>
      <c r="S322" s="9"/>
      <c r="T322" s="9"/>
      <c r="U322" s="9"/>
      <c r="V322" s="9"/>
      <c r="W322" s="9"/>
      <c r="X322" s="9"/>
      <c r="Y322" s="9"/>
    </row>
    <row r="323" spans="2:25" ht="15.75" x14ac:dyDescent="0.25">
      <c r="B323" s="15" t="s">
        <v>221</v>
      </c>
      <c r="C323" s="29">
        <f>C296 + C293</f>
        <v>9.0499999999999997E-2</v>
      </c>
      <c r="D323" s="8" t="s">
        <v>203</v>
      </c>
      <c r="F323" s="23"/>
      <c r="H323" s="9"/>
      <c r="I323" s="9"/>
      <c r="J323" s="9"/>
      <c r="K323" s="9"/>
      <c r="L323" s="9"/>
      <c r="M323" s="9"/>
      <c r="N323" s="9"/>
      <c r="O323" s="9"/>
      <c r="P323" s="9"/>
      <c r="Q323" s="9"/>
      <c r="R323" s="9"/>
      <c r="S323" s="9"/>
      <c r="T323" s="9"/>
      <c r="U323" s="9"/>
      <c r="V323" s="9"/>
      <c r="W323" s="9"/>
      <c r="X323" s="9"/>
      <c r="Y323" s="9"/>
    </row>
    <row r="324" spans="2:25" x14ac:dyDescent="0.2">
      <c r="H324" s="9"/>
      <c r="I324" s="9"/>
      <c r="J324" s="9"/>
      <c r="K324" s="9"/>
      <c r="L324" s="9"/>
      <c r="M324" s="9"/>
      <c r="N324" s="9"/>
      <c r="O324" s="9"/>
      <c r="P324" s="9"/>
      <c r="Q324" s="9"/>
      <c r="R324" s="9"/>
      <c r="S324" s="9"/>
      <c r="T324" s="9"/>
      <c r="U324" s="9"/>
      <c r="V324" s="9"/>
      <c r="W324" s="9"/>
      <c r="X324" s="9"/>
      <c r="Y324" s="9"/>
    </row>
    <row r="325" spans="2:25" ht="18" x14ac:dyDescent="0.25">
      <c r="B325" s="35" t="s">
        <v>302</v>
      </c>
      <c r="H325" s="9"/>
      <c r="I325" s="9"/>
      <c r="J325" s="9"/>
      <c r="K325" s="9"/>
      <c r="L325" s="9"/>
      <c r="M325" s="9"/>
      <c r="N325" s="9"/>
      <c r="O325" s="9"/>
      <c r="P325" s="9"/>
      <c r="Q325" s="9"/>
      <c r="R325" s="9"/>
      <c r="S325" s="9"/>
      <c r="T325" s="9"/>
      <c r="U325" s="9"/>
      <c r="V325" s="9"/>
      <c r="W325" s="9"/>
      <c r="X325" s="9"/>
      <c r="Y325" s="9"/>
    </row>
    <row r="326" spans="2:25" x14ac:dyDescent="0.2">
      <c r="H326" s="9"/>
      <c r="I326" s="9"/>
      <c r="J326" s="9"/>
      <c r="K326" s="9"/>
      <c r="L326" s="9"/>
      <c r="M326" s="9"/>
      <c r="N326" s="9"/>
      <c r="O326" s="9"/>
      <c r="P326" s="9"/>
      <c r="Q326" s="9"/>
      <c r="R326" s="9"/>
      <c r="S326" s="9"/>
      <c r="T326" s="9"/>
      <c r="U326" s="9"/>
      <c r="V326" s="9"/>
      <c r="W326" s="9"/>
      <c r="X326" s="9"/>
      <c r="Y326" s="9"/>
    </row>
    <row r="327" spans="2:25" x14ac:dyDescent="0.2">
      <c r="H327" s="9"/>
      <c r="I327" s="9"/>
      <c r="J327" s="9"/>
      <c r="K327" s="9"/>
      <c r="L327" s="9"/>
      <c r="M327" s="9"/>
      <c r="N327" s="9"/>
      <c r="O327" s="9"/>
      <c r="P327" s="9"/>
      <c r="Q327" s="9"/>
      <c r="R327" s="9"/>
      <c r="S327" s="9"/>
      <c r="T327" s="9"/>
      <c r="U327" s="9"/>
      <c r="V327" s="9"/>
      <c r="W327" s="9"/>
      <c r="X327" s="9"/>
      <c r="Y327" s="9"/>
    </row>
    <row r="328" spans="2:25" x14ac:dyDescent="0.2">
      <c r="H328" s="9"/>
      <c r="I328" s="9"/>
      <c r="J328" s="9"/>
      <c r="K328" s="9"/>
      <c r="L328" s="9"/>
      <c r="M328" s="9"/>
      <c r="N328" s="9"/>
      <c r="O328" s="9"/>
      <c r="P328" s="9"/>
      <c r="Q328" s="9"/>
      <c r="R328" s="9"/>
      <c r="S328" s="9"/>
      <c r="T328" s="9"/>
      <c r="U328" s="9"/>
      <c r="V328" s="9"/>
      <c r="W328" s="9"/>
      <c r="X328" s="9"/>
      <c r="Y328" s="9"/>
    </row>
    <row r="329" spans="2:25" x14ac:dyDescent="0.2">
      <c r="H329" s="9"/>
      <c r="I329" s="9"/>
      <c r="J329" s="9"/>
      <c r="K329" s="9"/>
      <c r="L329" s="9"/>
      <c r="M329" s="9"/>
      <c r="N329" s="9"/>
      <c r="O329" s="9"/>
      <c r="P329" s="9"/>
      <c r="Q329" s="9"/>
      <c r="R329" s="9"/>
      <c r="S329" s="9"/>
      <c r="T329" s="9"/>
      <c r="U329" s="9"/>
      <c r="V329" s="9"/>
      <c r="W329" s="9"/>
      <c r="X329" s="9"/>
      <c r="Y329" s="9"/>
    </row>
    <row r="330" spans="2:25" x14ac:dyDescent="0.2">
      <c r="H330" s="9"/>
      <c r="I330" s="9"/>
      <c r="J330" s="9"/>
      <c r="K330" s="9"/>
      <c r="L330" s="9"/>
      <c r="M330" s="9"/>
      <c r="N330" s="9"/>
      <c r="O330" s="9"/>
      <c r="P330" s="9"/>
      <c r="Q330" s="9"/>
      <c r="R330" s="9"/>
      <c r="S330" s="9"/>
      <c r="T330" s="9"/>
      <c r="U330" s="9"/>
      <c r="V330" s="9"/>
      <c r="W330" s="9"/>
      <c r="X330" s="9"/>
      <c r="Y330" s="9"/>
    </row>
    <row r="331" spans="2:25" x14ac:dyDescent="0.2">
      <c r="H331" s="9"/>
      <c r="I331" s="9"/>
      <c r="J331" s="9"/>
      <c r="K331" s="9"/>
      <c r="L331" s="9"/>
      <c r="M331" s="9"/>
      <c r="N331" s="9"/>
      <c r="O331" s="9"/>
      <c r="P331" s="9"/>
      <c r="Q331" s="9"/>
      <c r="R331" s="9"/>
      <c r="S331" s="9"/>
      <c r="T331" s="9"/>
      <c r="U331" s="9"/>
      <c r="V331" s="9"/>
      <c r="W331" s="9"/>
      <c r="X331" s="9"/>
      <c r="Y331" s="9"/>
    </row>
    <row r="332" spans="2:25" x14ac:dyDescent="0.2">
      <c r="H332" s="9"/>
      <c r="I332" s="9"/>
      <c r="J332" s="9"/>
      <c r="K332" s="9"/>
      <c r="L332" s="9"/>
      <c r="M332" s="9"/>
      <c r="N332" s="9"/>
      <c r="O332" s="9"/>
      <c r="P332" s="9"/>
      <c r="Q332" s="9"/>
      <c r="R332" s="9"/>
      <c r="S332" s="9"/>
      <c r="T332" s="9"/>
      <c r="U332" s="9"/>
      <c r="V332" s="9"/>
      <c r="W332" s="9"/>
      <c r="X332" s="9"/>
      <c r="Y332" s="9"/>
    </row>
    <row r="333" spans="2:25" x14ac:dyDescent="0.2">
      <c r="H333" s="9"/>
      <c r="I333" s="9"/>
      <c r="J333" s="9"/>
      <c r="K333" s="9"/>
      <c r="L333" s="9"/>
      <c r="M333" s="9"/>
      <c r="N333" s="9"/>
      <c r="O333" s="9"/>
      <c r="P333" s="9"/>
      <c r="Q333" s="9"/>
      <c r="R333" s="9"/>
      <c r="S333" s="9"/>
      <c r="T333" s="9"/>
      <c r="U333" s="9"/>
      <c r="V333" s="9"/>
      <c r="W333" s="9"/>
      <c r="X333" s="9"/>
      <c r="Y333" s="9"/>
    </row>
    <row r="334" spans="2:25" x14ac:dyDescent="0.2">
      <c r="B334" s="13"/>
      <c r="H334" s="9"/>
      <c r="I334" s="9"/>
      <c r="J334" s="9"/>
      <c r="K334" s="9"/>
      <c r="L334" s="9"/>
      <c r="M334" s="9"/>
      <c r="N334" s="9"/>
      <c r="O334" s="9"/>
      <c r="P334" s="9"/>
      <c r="Q334" s="9"/>
      <c r="R334" s="9"/>
      <c r="S334" s="9"/>
      <c r="T334" s="9"/>
      <c r="U334" s="9"/>
      <c r="V334" s="9"/>
      <c r="W334" s="9"/>
      <c r="X334" s="9"/>
      <c r="Y334" s="9"/>
    </row>
    <row r="335" spans="2:25" x14ac:dyDescent="0.2">
      <c r="H335" s="9"/>
      <c r="I335" s="9"/>
      <c r="J335" s="9"/>
      <c r="K335" s="9"/>
      <c r="L335" s="9"/>
      <c r="M335" s="9"/>
      <c r="N335" s="9"/>
      <c r="O335" s="9"/>
      <c r="P335" s="9"/>
      <c r="Q335" s="9"/>
      <c r="R335" s="9"/>
      <c r="S335" s="9"/>
      <c r="T335" s="9"/>
      <c r="U335" s="9"/>
      <c r="V335" s="9"/>
      <c r="W335" s="9"/>
      <c r="X335" s="9"/>
      <c r="Y335" s="9"/>
    </row>
    <row r="336" spans="2:25" x14ac:dyDescent="0.2">
      <c r="H336" s="9"/>
      <c r="I336" s="9"/>
      <c r="J336" s="9"/>
      <c r="K336" s="9"/>
      <c r="L336" s="9"/>
      <c r="M336" s="9"/>
      <c r="N336" s="9"/>
      <c r="O336" s="9"/>
      <c r="P336" s="9"/>
      <c r="Q336" s="9"/>
      <c r="R336" s="9"/>
      <c r="S336" s="9"/>
      <c r="T336" s="9"/>
      <c r="U336" s="9"/>
      <c r="V336" s="9"/>
      <c r="W336" s="9"/>
      <c r="X336" s="9"/>
      <c r="Y336" s="9"/>
    </row>
    <row r="337" spans="2:25" x14ac:dyDescent="0.2">
      <c r="B337" s="13"/>
      <c r="H337" s="9"/>
      <c r="I337" s="9"/>
      <c r="J337" s="9"/>
      <c r="K337" s="9"/>
      <c r="L337" s="9"/>
      <c r="M337" s="9"/>
      <c r="N337" s="9"/>
      <c r="O337" s="9"/>
      <c r="P337" s="9"/>
      <c r="Q337" s="9"/>
      <c r="R337" s="9"/>
      <c r="S337" s="9"/>
      <c r="T337" s="9"/>
      <c r="U337" s="9"/>
      <c r="V337" s="9"/>
      <c r="W337" s="9"/>
      <c r="X337" s="9"/>
      <c r="Y337" s="9"/>
    </row>
    <row r="338" spans="2:25" x14ac:dyDescent="0.2">
      <c r="B338" s="13"/>
      <c r="H338" s="9"/>
      <c r="I338" s="9"/>
      <c r="J338" s="9"/>
      <c r="K338" s="9"/>
      <c r="L338" s="9"/>
      <c r="M338" s="9"/>
      <c r="N338" s="9"/>
      <c r="O338" s="9"/>
      <c r="P338" s="9"/>
      <c r="Q338" s="9"/>
      <c r="R338" s="9"/>
      <c r="S338" s="9"/>
      <c r="T338" s="9"/>
      <c r="U338" s="9"/>
      <c r="V338" s="9"/>
      <c r="W338" s="9"/>
      <c r="X338" s="9"/>
      <c r="Y338" s="9"/>
    </row>
    <row r="339" spans="2:25" x14ac:dyDescent="0.2">
      <c r="H339" s="9"/>
      <c r="I339" s="9"/>
      <c r="J339" s="9"/>
      <c r="K339" s="9"/>
      <c r="L339" s="9"/>
      <c r="M339" s="9"/>
      <c r="N339" s="9"/>
      <c r="O339" s="9"/>
      <c r="P339" s="9"/>
      <c r="Q339" s="9"/>
      <c r="R339" s="9"/>
      <c r="S339" s="9"/>
      <c r="T339" s="9"/>
      <c r="U339" s="9"/>
      <c r="V339" s="9"/>
      <c r="W339" s="9"/>
      <c r="X339" s="9"/>
      <c r="Y339" s="9"/>
    </row>
    <row r="340" spans="2:25" x14ac:dyDescent="0.2">
      <c r="B340" s="13"/>
      <c r="H340" s="9"/>
      <c r="I340" s="9"/>
      <c r="J340" s="9"/>
      <c r="K340" s="9"/>
      <c r="L340" s="9"/>
      <c r="M340" s="9"/>
      <c r="N340" s="9"/>
      <c r="O340" s="9"/>
      <c r="P340" s="9"/>
      <c r="Q340" s="9"/>
      <c r="R340" s="9"/>
      <c r="S340" s="9"/>
      <c r="T340" s="9"/>
      <c r="U340" s="9"/>
      <c r="V340" s="9"/>
      <c r="W340" s="9"/>
      <c r="X340" s="9"/>
      <c r="Y340" s="9"/>
    </row>
    <row r="341" spans="2:25" x14ac:dyDescent="0.2">
      <c r="H341" s="9"/>
      <c r="I341" s="9"/>
      <c r="J341" s="9"/>
      <c r="K341" s="9"/>
      <c r="L341" s="9"/>
      <c r="M341" s="9"/>
      <c r="N341" s="9"/>
      <c r="O341" s="9"/>
      <c r="P341" s="9"/>
      <c r="Q341" s="9"/>
      <c r="R341" s="9"/>
      <c r="S341" s="9"/>
      <c r="T341" s="9"/>
      <c r="U341" s="9"/>
      <c r="V341" s="9"/>
      <c r="W341" s="9"/>
      <c r="X341" s="9"/>
      <c r="Y341" s="9"/>
    </row>
    <row r="342" spans="2:25" x14ac:dyDescent="0.2">
      <c r="B342" s="13"/>
      <c r="H342" s="9"/>
      <c r="I342" s="9"/>
      <c r="J342" s="9"/>
      <c r="K342" s="9"/>
      <c r="L342" s="9"/>
      <c r="M342" s="9"/>
      <c r="N342" s="9"/>
      <c r="O342" s="9"/>
      <c r="P342" s="9"/>
      <c r="Q342" s="9"/>
      <c r="R342" s="9"/>
      <c r="S342" s="9"/>
      <c r="T342" s="9"/>
      <c r="U342" s="9"/>
      <c r="V342" s="9"/>
      <c r="W342" s="9"/>
      <c r="X342" s="9"/>
      <c r="Y342" s="9"/>
    </row>
    <row r="343" spans="2:25" x14ac:dyDescent="0.2">
      <c r="B343" s="13"/>
      <c r="H343" s="9"/>
      <c r="I343" s="9"/>
      <c r="J343" s="9"/>
      <c r="K343" s="9"/>
      <c r="L343" s="9"/>
      <c r="M343" s="9"/>
      <c r="N343" s="9"/>
      <c r="O343" s="9"/>
      <c r="P343" s="9"/>
      <c r="Q343" s="9"/>
      <c r="R343" s="9"/>
      <c r="S343" s="9"/>
      <c r="T343" s="9"/>
      <c r="U343" s="9"/>
      <c r="V343" s="9"/>
      <c r="W343" s="9"/>
      <c r="X343" s="9"/>
      <c r="Y343" s="9"/>
    </row>
    <row r="344" spans="2:25" x14ac:dyDescent="0.2">
      <c r="H344" s="9"/>
      <c r="I344" s="9"/>
      <c r="J344" s="9"/>
      <c r="K344" s="9"/>
      <c r="L344" s="9"/>
      <c r="M344" s="9"/>
      <c r="N344" s="9"/>
      <c r="O344" s="9"/>
      <c r="P344" s="9"/>
      <c r="Q344" s="9"/>
      <c r="R344" s="9"/>
      <c r="S344" s="9"/>
      <c r="T344" s="9"/>
      <c r="U344" s="9"/>
      <c r="V344" s="9"/>
      <c r="W344" s="9"/>
      <c r="X344" s="9"/>
      <c r="Y344" s="9"/>
    </row>
    <row r="345" spans="2:25" ht="15.75" thickBot="1" x14ac:dyDescent="0.25">
      <c r="H345" s="9"/>
      <c r="I345" s="9"/>
      <c r="J345" s="9"/>
      <c r="K345" s="9"/>
      <c r="L345" s="9"/>
      <c r="M345" s="9"/>
      <c r="N345" s="9"/>
      <c r="O345" s="9"/>
      <c r="P345" s="9"/>
      <c r="Q345" s="9"/>
      <c r="R345" s="9"/>
      <c r="S345" s="9"/>
      <c r="T345" s="9"/>
      <c r="U345" s="9"/>
      <c r="V345" s="9"/>
      <c r="W345" s="9"/>
      <c r="X345" s="9"/>
      <c r="Y345" s="9"/>
    </row>
    <row r="346" spans="2:25" ht="16.5" thickBot="1" x14ac:dyDescent="0.3">
      <c r="B346" s="8" t="s">
        <v>310</v>
      </c>
      <c r="C346" s="136" t="s">
        <v>307</v>
      </c>
      <c r="D346" s="136" t="s">
        <v>308</v>
      </c>
      <c r="H346" s="9"/>
      <c r="I346" s="9"/>
      <c r="J346" s="9"/>
      <c r="K346" s="9"/>
      <c r="L346" s="9"/>
      <c r="M346" s="9"/>
      <c r="N346" s="9"/>
      <c r="O346" s="9"/>
      <c r="P346" s="9"/>
      <c r="Q346" s="9"/>
      <c r="R346" s="9"/>
      <c r="S346" s="9"/>
      <c r="T346" s="9"/>
      <c r="U346" s="9"/>
      <c r="V346" s="9"/>
      <c r="W346" s="9"/>
      <c r="X346" s="9"/>
      <c r="Y346" s="9"/>
    </row>
    <row r="347" spans="2:25" x14ac:dyDescent="0.2">
      <c r="B347" s="7" t="s">
        <v>304</v>
      </c>
      <c r="C347" s="137">
        <v>1.5</v>
      </c>
      <c r="D347" s="137">
        <v>1</v>
      </c>
      <c r="H347" s="9"/>
      <c r="I347" s="9"/>
      <c r="J347" s="9"/>
      <c r="K347" s="9"/>
      <c r="L347" s="9"/>
      <c r="M347" s="9"/>
      <c r="N347" s="9"/>
      <c r="O347" s="9"/>
      <c r="P347" s="9"/>
      <c r="Q347" s="9"/>
      <c r="R347" s="9"/>
      <c r="S347" s="9"/>
      <c r="T347" s="9"/>
      <c r="U347" s="9"/>
      <c r="V347" s="9"/>
      <c r="W347" s="9"/>
      <c r="X347" s="9"/>
      <c r="Y347" s="9"/>
    </row>
    <row r="348" spans="2:25" x14ac:dyDescent="0.2">
      <c r="B348" s="7" t="s">
        <v>321</v>
      </c>
      <c r="C348" s="138" t="s">
        <v>305</v>
      </c>
      <c r="D348" s="139" t="s">
        <v>309</v>
      </c>
      <c r="H348" s="9"/>
      <c r="I348" s="9"/>
      <c r="J348" s="9"/>
      <c r="K348" s="9"/>
      <c r="L348" s="9"/>
      <c r="M348" s="9"/>
      <c r="N348" s="9"/>
      <c r="O348" s="9"/>
      <c r="P348" s="9"/>
      <c r="Q348" s="9"/>
      <c r="R348" s="9"/>
      <c r="S348" s="9"/>
      <c r="T348" s="9"/>
      <c r="U348" s="9"/>
      <c r="V348" s="9"/>
      <c r="W348" s="9"/>
      <c r="X348" s="9"/>
      <c r="Y348" s="9"/>
    </row>
    <row r="349" spans="2:25" ht="15.75" thickBot="1" x14ac:dyDescent="0.25">
      <c r="B349" s="7" t="s">
        <v>322</v>
      </c>
      <c r="C349" s="140" t="s">
        <v>306</v>
      </c>
      <c r="D349" s="141" t="s">
        <v>305</v>
      </c>
      <c r="H349" s="9"/>
      <c r="I349" s="9"/>
      <c r="J349" s="9"/>
      <c r="K349" s="9"/>
      <c r="L349" s="9"/>
      <c r="M349" s="9"/>
      <c r="N349" s="9"/>
      <c r="O349" s="9"/>
      <c r="P349" s="9"/>
      <c r="Q349" s="9"/>
      <c r="R349" s="9"/>
      <c r="S349" s="9"/>
      <c r="T349" s="9"/>
      <c r="U349" s="9"/>
      <c r="V349" s="9"/>
      <c r="W349" s="9"/>
      <c r="X349" s="9"/>
      <c r="Y349" s="9"/>
    </row>
    <row r="350" spans="2:25" x14ac:dyDescent="0.2">
      <c r="B350" s="13"/>
      <c r="C350" s="14"/>
      <c r="H350" s="9"/>
      <c r="I350" s="9"/>
      <c r="J350" s="9"/>
      <c r="K350" s="9"/>
      <c r="L350" s="9"/>
      <c r="M350" s="9"/>
      <c r="N350" s="9"/>
      <c r="O350" s="9"/>
      <c r="P350" s="9"/>
      <c r="Q350" s="9"/>
      <c r="R350" s="9"/>
      <c r="S350" s="9"/>
      <c r="T350" s="9"/>
      <c r="U350" s="9"/>
      <c r="V350" s="9"/>
      <c r="W350" s="9"/>
      <c r="X350" s="9"/>
      <c r="Y350" s="9"/>
    </row>
    <row r="351" spans="2:25" x14ac:dyDescent="0.2">
      <c r="H351" s="9"/>
      <c r="I351" s="9"/>
      <c r="J351" s="9"/>
      <c r="K351" s="9"/>
      <c r="L351" s="9"/>
      <c r="M351" s="9"/>
      <c r="N351" s="9"/>
      <c r="O351" s="9"/>
      <c r="P351" s="9"/>
      <c r="Q351" s="9"/>
      <c r="R351" s="9"/>
      <c r="S351" s="9"/>
      <c r="T351" s="9"/>
      <c r="U351" s="9"/>
      <c r="V351" s="9"/>
      <c r="W351" s="9"/>
      <c r="X351" s="9"/>
      <c r="Y351" s="9"/>
    </row>
    <row r="352" spans="2:25" x14ac:dyDescent="0.2">
      <c r="B352" s="13"/>
      <c r="H352" s="9"/>
      <c r="I352" s="9"/>
      <c r="J352" s="9"/>
      <c r="K352" s="9"/>
      <c r="L352" s="9"/>
      <c r="M352" s="9"/>
      <c r="N352" s="9"/>
      <c r="O352" s="9"/>
      <c r="P352" s="9"/>
      <c r="Q352" s="9"/>
      <c r="R352" s="9"/>
      <c r="S352" s="9"/>
      <c r="T352" s="9"/>
      <c r="U352" s="9"/>
      <c r="V352" s="9"/>
      <c r="W352" s="9"/>
      <c r="X352" s="9"/>
      <c r="Y352" s="9"/>
    </row>
    <row r="353" spans="2:25" ht="16.5" thickBot="1" x14ac:dyDescent="0.3">
      <c r="C353" s="16" t="s">
        <v>3</v>
      </c>
      <c r="H353" s="9"/>
      <c r="I353" s="9"/>
      <c r="J353" s="9"/>
      <c r="K353" s="9"/>
      <c r="L353" s="9"/>
      <c r="M353" s="9"/>
      <c r="N353" s="9"/>
      <c r="O353" s="9"/>
      <c r="P353" s="9"/>
      <c r="Q353" s="9"/>
      <c r="R353" s="9"/>
      <c r="S353" s="9"/>
      <c r="T353" s="9"/>
      <c r="U353" s="9"/>
      <c r="V353" s="9"/>
      <c r="W353" s="9"/>
      <c r="X353" s="9"/>
      <c r="Y353" s="9"/>
    </row>
    <row r="354" spans="2:25" x14ac:dyDescent="0.2">
      <c r="B354" s="13" t="s">
        <v>303</v>
      </c>
      <c r="C354" s="122">
        <v>6000</v>
      </c>
      <c r="D354" s="7" t="s">
        <v>173</v>
      </c>
      <c r="H354" s="9"/>
      <c r="I354" s="9"/>
      <c r="J354" s="9"/>
      <c r="K354" s="9"/>
      <c r="L354" s="9"/>
      <c r="M354" s="9"/>
      <c r="N354" s="9"/>
      <c r="O354" s="9"/>
      <c r="P354" s="9"/>
      <c r="Q354" s="9"/>
      <c r="R354" s="9"/>
      <c r="S354" s="9"/>
      <c r="T354" s="9"/>
      <c r="U354" s="9"/>
      <c r="V354" s="9"/>
      <c r="W354" s="9"/>
      <c r="X354" s="9"/>
      <c r="Y354" s="9"/>
    </row>
    <row r="355" spans="2:25" x14ac:dyDescent="0.2">
      <c r="B355" s="13" t="s">
        <v>312</v>
      </c>
      <c r="C355" s="77">
        <v>20300</v>
      </c>
      <c r="D355" s="7" t="s">
        <v>130</v>
      </c>
      <c r="H355" s="9"/>
      <c r="I355" s="9"/>
      <c r="J355" s="9"/>
      <c r="K355" s="9"/>
      <c r="L355" s="9"/>
      <c r="M355" s="9"/>
      <c r="N355" s="9"/>
      <c r="O355" s="9"/>
      <c r="P355" s="9"/>
      <c r="Q355" s="9"/>
      <c r="R355" s="9"/>
      <c r="S355" s="9"/>
      <c r="T355" s="9"/>
      <c r="U355" s="9"/>
      <c r="V355" s="9"/>
      <c r="W355" s="9"/>
      <c r="X355" s="9"/>
      <c r="Y355" s="9"/>
    </row>
    <row r="356" spans="2:25" x14ac:dyDescent="0.2">
      <c r="B356" s="13" t="s">
        <v>311</v>
      </c>
      <c r="C356" s="142">
        <v>2</v>
      </c>
      <c r="H356" s="9"/>
      <c r="I356" s="9"/>
      <c r="J356" s="9"/>
      <c r="K356" s="9"/>
      <c r="L356" s="9"/>
      <c r="M356" s="9"/>
      <c r="N356" s="9"/>
      <c r="O356" s="9"/>
      <c r="P356" s="9"/>
      <c r="Q356" s="9"/>
      <c r="R356" s="9"/>
      <c r="S356" s="9"/>
      <c r="T356" s="9"/>
      <c r="U356" s="9"/>
      <c r="V356" s="9"/>
      <c r="W356" s="9"/>
      <c r="X356" s="9"/>
      <c r="Y356" s="9"/>
    </row>
    <row r="357" spans="2:25" x14ac:dyDescent="0.2">
      <c r="B357" s="13" t="s">
        <v>323</v>
      </c>
      <c r="C357" s="77">
        <v>722</v>
      </c>
      <c r="D357" s="7" t="s">
        <v>130</v>
      </c>
      <c r="H357" s="9"/>
      <c r="I357" s="9"/>
      <c r="J357" s="9"/>
      <c r="K357" s="9"/>
      <c r="L357" s="9"/>
      <c r="M357" s="9"/>
      <c r="N357" s="9"/>
      <c r="O357" s="9"/>
      <c r="P357" s="9"/>
      <c r="Q357" s="9"/>
      <c r="R357" s="9"/>
      <c r="S357" s="9"/>
      <c r="T357" s="9"/>
      <c r="U357" s="9"/>
      <c r="V357" s="9"/>
      <c r="W357" s="9"/>
      <c r="X357" s="9"/>
      <c r="Y357" s="9"/>
    </row>
    <row r="358" spans="2:25" ht="15.75" thickBot="1" x14ac:dyDescent="0.25">
      <c r="B358" s="13" t="s">
        <v>313</v>
      </c>
      <c r="C358" s="143">
        <v>1.5</v>
      </c>
      <c r="H358" s="9"/>
      <c r="I358" s="9"/>
      <c r="J358" s="9"/>
      <c r="K358" s="9"/>
      <c r="L358" s="9"/>
      <c r="M358" s="9"/>
      <c r="N358" s="9"/>
      <c r="O358" s="9"/>
      <c r="P358" s="9"/>
      <c r="Q358" s="9"/>
      <c r="R358" s="9"/>
      <c r="S358" s="9"/>
      <c r="T358" s="9"/>
      <c r="U358" s="9"/>
      <c r="V358" s="9"/>
      <c r="W358" s="9"/>
      <c r="X358" s="9"/>
      <c r="Y358" s="9"/>
    </row>
    <row r="359" spans="2:25" ht="15.75" x14ac:dyDescent="0.25">
      <c r="C359" s="16" t="s">
        <v>4</v>
      </c>
      <c r="H359" s="9"/>
      <c r="I359" s="9"/>
      <c r="J359" s="9"/>
      <c r="K359" s="9"/>
      <c r="L359" s="9"/>
      <c r="M359" s="9"/>
      <c r="N359" s="9"/>
      <c r="O359" s="9"/>
      <c r="P359" s="9"/>
      <c r="Q359" s="9"/>
      <c r="R359" s="9"/>
      <c r="S359" s="9"/>
      <c r="T359" s="9"/>
      <c r="U359" s="9"/>
      <c r="V359" s="9"/>
      <c r="W359" s="9"/>
      <c r="X359" s="9"/>
      <c r="Y359" s="9"/>
    </row>
    <row r="360" spans="2:25" x14ac:dyDescent="0.2">
      <c r="B360" s="13" t="s">
        <v>314</v>
      </c>
      <c r="C360" s="7" t="s">
        <v>301</v>
      </c>
      <c r="H360" s="9"/>
      <c r="I360" s="9"/>
      <c r="J360" s="9"/>
      <c r="K360" s="9"/>
      <c r="L360" s="9"/>
      <c r="M360" s="9"/>
      <c r="N360" s="9"/>
      <c r="O360" s="9"/>
      <c r="P360" s="9"/>
      <c r="Q360" s="9"/>
      <c r="R360" s="9"/>
      <c r="S360" s="9"/>
      <c r="T360" s="9"/>
      <c r="U360" s="9"/>
      <c r="V360" s="9"/>
      <c r="W360" s="9"/>
      <c r="X360" s="9"/>
      <c r="Y360" s="9"/>
    </row>
    <row r="361" spans="2:25" x14ac:dyDescent="0.2">
      <c r="B361" s="13" t="s">
        <v>314</v>
      </c>
      <c r="C361" s="89">
        <f>((16/(3.1416*C354)*((C356*C355)^2+(C358*C357)^2)^0.5))</f>
        <v>34.474528373859286</v>
      </c>
      <c r="H361" s="9"/>
      <c r="I361" s="9"/>
      <c r="J361" s="9"/>
      <c r="K361" s="9"/>
      <c r="L361" s="9"/>
      <c r="M361" s="9"/>
      <c r="N361" s="9"/>
      <c r="O361" s="9"/>
      <c r="P361" s="9"/>
      <c r="Q361" s="9"/>
      <c r="R361" s="9"/>
      <c r="S361" s="9"/>
      <c r="T361" s="9"/>
      <c r="U361" s="9"/>
      <c r="V361" s="9"/>
      <c r="W361" s="9"/>
      <c r="X361" s="9"/>
      <c r="Y361" s="9"/>
    </row>
    <row r="362" spans="2:25" ht="15.75" x14ac:dyDescent="0.25">
      <c r="B362" s="15" t="s">
        <v>315</v>
      </c>
      <c r="C362" s="92">
        <f>C361^0.333</f>
        <v>3.2507752538294992</v>
      </c>
      <c r="D362" s="8" t="s">
        <v>18</v>
      </c>
      <c r="H362" s="9"/>
      <c r="I362" s="9"/>
      <c r="J362" s="9"/>
      <c r="K362" s="9"/>
      <c r="L362" s="9"/>
      <c r="M362" s="9"/>
      <c r="N362" s="9"/>
      <c r="O362" s="9"/>
      <c r="P362" s="9"/>
      <c r="Q362" s="9"/>
      <c r="R362" s="9"/>
      <c r="S362" s="9"/>
      <c r="T362" s="9"/>
      <c r="U362" s="9"/>
      <c r="V362" s="9"/>
      <c r="W362" s="9"/>
      <c r="X362" s="9"/>
      <c r="Y362" s="9"/>
    </row>
    <row r="363" spans="2:25" ht="15.75" thickBot="1" x14ac:dyDescent="0.25">
      <c r="H363" s="9"/>
      <c r="I363" s="9"/>
      <c r="J363" s="9"/>
      <c r="K363" s="9"/>
      <c r="L363" s="9"/>
      <c r="M363" s="9"/>
      <c r="N363" s="9"/>
      <c r="O363" s="9"/>
      <c r="P363" s="9"/>
      <c r="Q363" s="9"/>
      <c r="R363" s="9"/>
      <c r="S363" s="9"/>
      <c r="T363" s="9"/>
      <c r="U363" s="9"/>
      <c r="V363" s="9"/>
      <c r="W363" s="9"/>
      <c r="X363" s="9"/>
      <c r="Y363" s="9"/>
    </row>
    <row r="364" spans="2:25" ht="16.5" thickBot="1" x14ac:dyDescent="0.3">
      <c r="B364" s="15" t="s">
        <v>316</v>
      </c>
      <c r="C364" s="132"/>
      <c r="D364" s="7" t="s">
        <v>16</v>
      </c>
      <c r="H364" s="9"/>
      <c r="I364" s="9"/>
      <c r="J364" s="9"/>
      <c r="K364" s="9"/>
      <c r="L364" s="9"/>
      <c r="M364" s="9"/>
      <c r="N364" s="9"/>
      <c r="O364" s="9"/>
      <c r="P364" s="9"/>
      <c r="Q364" s="9"/>
      <c r="R364" s="9"/>
      <c r="S364" s="9"/>
      <c r="T364" s="9"/>
      <c r="U364" s="9"/>
      <c r="V364" s="9"/>
      <c r="W364" s="9"/>
      <c r="X364" s="9"/>
      <c r="Y364" s="9"/>
    </row>
    <row r="365" spans="2:25" x14ac:dyDescent="0.2">
      <c r="H365" s="9"/>
      <c r="I365" s="9"/>
      <c r="J365" s="9"/>
      <c r="K365" s="9"/>
      <c r="L365" s="9"/>
      <c r="M365" s="9"/>
      <c r="N365" s="9"/>
      <c r="O365" s="9"/>
      <c r="P365" s="9"/>
      <c r="Q365" s="9"/>
      <c r="R365" s="9"/>
      <c r="S365" s="9"/>
      <c r="T365" s="9"/>
      <c r="U365" s="9"/>
      <c r="V365" s="9"/>
      <c r="W365" s="9"/>
      <c r="X365" s="9"/>
      <c r="Y365" s="9"/>
    </row>
    <row r="366" spans="2:25" x14ac:dyDescent="0.2">
      <c r="H366" s="9"/>
      <c r="I366" s="9"/>
      <c r="J366" s="9"/>
      <c r="K366" s="9"/>
      <c r="L366" s="9"/>
      <c r="M366" s="9"/>
      <c r="N366" s="9"/>
      <c r="O366" s="9"/>
      <c r="P366" s="9"/>
      <c r="Q366" s="9"/>
      <c r="R366" s="9"/>
      <c r="S366" s="9"/>
      <c r="T366" s="9"/>
      <c r="U366" s="9"/>
      <c r="V366" s="9"/>
      <c r="W366" s="9"/>
      <c r="X366" s="9"/>
      <c r="Y366" s="9"/>
    </row>
    <row r="367" spans="2:25" x14ac:dyDescent="0.2">
      <c r="H367" s="9"/>
      <c r="I367" s="9"/>
      <c r="J367" s="9"/>
      <c r="K367" s="9"/>
      <c r="L367" s="9"/>
      <c r="M367" s="9"/>
      <c r="N367" s="9"/>
      <c r="O367" s="9"/>
      <c r="P367" s="9"/>
      <c r="Q367" s="9"/>
      <c r="R367" s="9"/>
      <c r="S367" s="9"/>
      <c r="T367" s="9"/>
      <c r="U367" s="9"/>
      <c r="V367" s="9"/>
      <c r="W367" s="9"/>
      <c r="X367" s="9"/>
      <c r="Y367" s="9"/>
    </row>
    <row r="368" spans="2:25" x14ac:dyDescent="0.2">
      <c r="C368" s="7" t="s">
        <v>418</v>
      </c>
      <c r="H368" s="9"/>
      <c r="I368" s="9"/>
      <c r="J368" s="9"/>
      <c r="K368" s="9"/>
      <c r="L368" s="9"/>
      <c r="M368" s="9"/>
      <c r="N368" s="9"/>
      <c r="O368" s="9"/>
      <c r="P368" s="9"/>
      <c r="Q368" s="9"/>
      <c r="R368" s="9"/>
      <c r="S368" s="9"/>
      <c r="T368" s="9"/>
      <c r="U368" s="9"/>
      <c r="V368" s="9"/>
      <c r="W368" s="9"/>
      <c r="X368" s="9"/>
      <c r="Y368" s="9"/>
    </row>
    <row r="369" spans="8:25" x14ac:dyDescent="0.2">
      <c r="H369" s="9"/>
      <c r="I369" s="9"/>
      <c r="J369" s="9"/>
      <c r="K369" s="9"/>
      <c r="L369" s="9"/>
      <c r="M369" s="9"/>
      <c r="N369" s="9"/>
      <c r="O369" s="9"/>
      <c r="P369" s="9"/>
      <c r="Q369" s="9"/>
      <c r="R369" s="9"/>
      <c r="S369" s="9"/>
      <c r="T369" s="9"/>
      <c r="U369" s="9"/>
      <c r="V369" s="9"/>
      <c r="W369" s="9"/>
      <c r="X369" s="9"/>
      <c r="Y369" s="9"/>
    </row>
    <row r="370" spans="8:25" x14ac:dyDescent="0.2">
      <c r="H370" s="9"/>
      <c r="I370" s="9"/>
      <c r="J370" s="9"/>
      <c r="K370" s="9"/>
      <c r="L370" s="9"/>
      <c r="M370" s="9"/>
      <c r="N370" s="9"/>
      <c r="O370" s="9"/>
      <c r="P370" s="9"/>
      <c r="Q370" s="9"/>
      <c r="R370" s="9"/>
      <c r="S370" s="9"/>
      <c r="T370" s="9"/>
      <c r="U370" s="9"/>
      <c r="V370" s="9"/>
      <c r="W370" s="9"/>
      <c r="X370" s="9"/>
      <c r="Y370" s="9"/>
    </row>
    <row r="371" spans="8:25" x14ac:dyDescent="0.2">
      <c r="H371" s="9"/>
      <c r="I371" s="9"/>
      <c r="J371" s="9"/>
      <c r="K371" s="9"/>
      <c r="L371" s="9"/>
      <c r="M371" s="9"/>
      <c r="N371" s="9"/>
      <c r="O371" s="9"/>
      <c r="P371" s="9"/>
      <c r="Q371" s="9"/>
      <c r="R371" s="9"/>
      <c r="S371" s="9"/>
      <c r="T371" s="9"/>
      <c r="U371" s="9"/>
      <c r="V371" s="9"/>
      <c r="W371" s="9"/>
      <c r="X371" s="9"/>
      <c r="Y371" s="9"/>
    </row>
    <row r="372" spans="8:25" x14ac:dyDescent="0.2">
      <c r="H372" s="9"/>
      <c r="I372" s="9"/>
      <c r="J372" s="9"/>
      <c r="K372" s="9"/>
      <c r="L372" s="9"/>
      <c r="M372" s="9"/>
      <c r="N372" s="9"/>
      <c r="O372" s="9"/>
      <c r="P372" s="9"/>
      <c r="Q372" s="9"/>
      <c r="R372" s="9"/>
      <c r="S372" s="9"/>
      <c r="T372" s="9"/>
      <c r="U372" s="9"/>
      <c r="V372" s="9"/>
      <c r="W372" s="9"/>
      <c r="X372" s="9"/>
      <c r="Y372" s="9"/>
    </row>
    <row r="373" spans="8:25" x14ac:dyDescent="0.2">
      <c r="H373" s="9"/>
      <c r="I373" s="9"/>
      <c r="J373" s="9"/>
      <c r="K373" s="9"/>
      <c r="L373" s="9"/>
      <c r="M373" s="9"/>
      <c r="N373" s="9"/>
      <c r="O373" s="9"/>
      <c r="P373" s="9"/>
      <c r="Q373" s="9"/>
      <c r="R373" s="9"/>
      <c r="S373" s="9"/>
      <c r="T373" s="9"/>
      <c r="U373" s="9"/>
      <c r="V373" s="9"/>
      <c r="W373" s="9"/>
      <c r="X373" s="9"/>
      <c r="Y373" s="9"/>
    </row>
    <row r="374" spans="8:25" x14ac:dyDescent="0.2">
      <c r="H374" s="9"/>
      <c r="I374" s="9"/>
      <c r="J374" s="9"/>
      <c r="K374" s="9"/>
      <c r="L374" s="9"/>
      <c r="M374" s="9"/>
      <c r="N374" s="9"/>
      <c r="O374" s="9"/>
      <c r="P374" s="9"/>
      <c r="Q374" s="9"/>
      <c r="R374" s="9"/>
      <c r="S374" s="9"/>
      <c r="T374" s="9"/>
      <c r="U374" s="9"/>
      <c r="V374" s="9"/>
      <c r="W374" s="9"/>
      <c r="X374" s="9"/>
      <c r="Y374" s="9"/>
    </row>
    <row r="375" spans="8:25" x14ac:dyDescent="0.2">
      <c r="H375" s="9"/>
      <c r="I375" s="9"/>
      <c r="J375" s="9"/>
      <c r="K375" s="9"/>
      <c r="L375" s="9"/>
      <c r="M375" s="9"/>
      <c r="N375" s="9"/>
      <c r="O375" s="9"/>
      <c r="P375" s="9"/>
      <c r="Q375" s="9"/>
      <c r="R375" s="9"/>
      <c r="S375" s="9"/>
      <c r="T375" s="9"/>
      <c r="U375" s="9"/>
      <c r="V375" s="9"/>
      <c r="W375" s="9"/>
      <c r="X375" s="9"/>
      <c r="Y375" s="9"/>
    </row>
    <row r="376" spans="8:25" x14ac:dyDescent="0.2">
      <c r="H376" s="9"/>
      <c r="I376" s="9"/>
      <c r="J376" s="9"/>
      <c r="K376" s="9"/>
      <c r="L376" s="9"/>
      <c r="M376" s="9"/>
      <c r="N376" s="9"/>
      <c r="O376" s="9"/>
      <c r="P376" s="9"/>
      <c r="Q376" s="9"/>
      <c r="R376" s="9"/>
      <c r="S376" s="9"/>
      <c r="T376" s="9"/>
      <c r="U376" s="9"/>
      <c r="V376" s="9"/>
      <c r="W376" s="9"/>
      <c r="X376" s="9"/>
      <c r="Y376" s="9"/>
    </row>
    <row r="377" spans="8:25" x14ac:dyDescent="0.2">
      <c r="H377" s="9"/>
      <c r="I377" s="9"/>
      <c r="J377" s="9"/>
      <c r="K377" s="9"/>
      <c r="L377" s="9"/>
      <c r="M377" s="9"/>
      <c r="N377" s="9"/>
      <c r="O377" s="9"/>
      <c r="P377" s="9"/>
      <c r="Q377" s="9"/>
      <c r="R377" s="9"/>
      <c r="S377" s="9"/>
      <c r="T377" s="9"/>
      <c r="U377" s="9"/>
      <c r="V377" s="9"/>
      <c r="W377" s="9"/>
      <c r="X377" s="9"/>
      <c r="Y377" s="9"/>
    </row>
    <row r="378" spans="8:25" x14ac:dyDescent="0.2">
      <c r="H378" s="9"/>
      <c r="I378" s="9"/>
      <c r="J378" s="9"/>
      <c r="K378" s="9"/>
      <c r="L378" s="9"/>
      <c r="M378" s="9"/>
      <c r="N378" s="9"/>
      <c r="O378" s="9"/>
      <c r="P378" s="9"/>
      <c r="Q378" s="9"/>
      <c r="R378" s="9"/>
      <c r="S378" s="9"/>
      <c r="T378" s="9"/>
      <c r="U378" s="9"/>
      <c r="V378" s="9"/>
      <c r="W378" s="9"/>
      <c r="X378" s="9"/>
      <c r="Y378" s="9"/>
    </row>
    <row r="379" spans="8:25" x14ac:dyDescent="0.2">
      <c r="H379" s="9"/>
      <c r="I379" s="9"/>
      <c r="J379" s="9"/>
      <c r="K379" s="9"/>
      <c r="L379" s="9"/>
      <c r="M379" s="9"/>
      <c r="N379" s="9"/>
      <c r="O379" s="9"/>
      <c r="P379" s="9"/>
      <c r="Q379" s="9"/>
      <c r="R379" s="9"/>
      <c r="S379" s="9"/>
      <c r="T379" s="9"/>
      <c r="U379" s="9"/>
      <c r="V379" s="9"/>
      <c r="W379" s="9"/>
      <c r="X379" s="9"/>
      <c r="Y379" s="9"/>
    </row>
    <row r="380" spans="8:25" x14ac:dyDescent="0.2">
      <c r="H380" s="9"/>
      <c r="I380" s="9"/>
      <c r="J380" s="9"/>
      <c r="K380" s="9"/>
      <c r="L380" s="9"/>
      <c r="M380" s="9"/>
      <c r="N380" s="9"/>
      <c r="O380" s="9"/>
      <c r="P380" s="9"/>
      <c r="Q380" s="9"/>
      <c r="R380" s="9"/>
      <c r="S380" s="9"/>
      <c r="T380" s="9"/>
      <c r="U380" s="9"/>
      <c r="V380" s="9"/>
      <c r="W380" s="9"/>
      <c r="X380" s="9"/>
      <c r="Y380" s="9"/>
    </row>
    <row r="381" spans="8:25" x14ac:dyDescent="0.2">
      <c r="H381" s="9"/>
      <c r="I381" s="9"/>
      <c r="J381" s="9"/>
      <c r="K381" s="9"/>
      <c r="L381" s="9"/>
      <c r="M381" s="9"/>
      <c r="N381" s="9"/>
      <c r="O381" s="9"/>
      <c r="P381" s="9"/>
      <c r="Q381" s="9"/>
      <c r="R381" s="9"/>
      <c r="S381" s="9"/>
      <c r="T381" s="9"/>
      <c r="U381" s="9"/>
      <c r="V381" s="9"/>
      <c r="W381" s="9"/>
      <c r="X381" s="9"/>
      <c r="Y381" s="9"/>
    </row>
    <row r="382" spans="8:25" x14ac:dyDescent="0.2">
      <c r="H382" s="9"/>
      <c r="I382" s="9"/>
      <c r="J382" s="9"/>
      <c r="K382" s="9"/>
      <c r="L382" s="9"/>
      <c r="M382" s="9"/>
      <c r="N382" s="9"/>
      <c r="O382" s="9"/>
      <c r="P382" s="9"/>
      <c r="Q382" s="9"/>
      <c r="R382" s="9"/>
      <c r="S382" s="9"/>
      <c r="T382" s="9"/>
      <c r="U382" s="9"/>
      <c r="V382" s="9"/>
      <c r="W382" s="9"/>
      <c r="X382" s="9"/>
      <c r="Y382" s="9"/>
    </row>
    <row r="383" spans="8:25" x14ac:dyDescent="0.2">
      <c r="H383" s="9"/>
      <c r="I383" s="9"/>
      <c r="J383" s="9"/>
      <c r="K383" s="9"/>
      <c r="L383" s="9"/>
      <c r="M383" s="9"/>
      <c r="N383" s="9"/>
      <c r="O383" s="9"/>
      <c r="P383" s="9"/>
      <c r="Q383" s="9"/>
      <c r="R383" s="9"/>
      <c r="S383" s="9"/>
      <c r="T383" s="9"/>
      <c r="U383" s="9"/>
      <c r="V383" s="9"/>
      <c r="W383" s="9"/>
      <c r="X383" s="9"/>
      <c r="Y383" s="9"/>
    </row>
    <row r="384" spans="8:25" x14ac:dyDescent="0.2">
      <c r="H384" s="9"/>
      <c r="I384" s="9"/>
      <c r="J384" s="9"/>
      <c r="K384" s="9"/>
      <c r="L384" s="9"/>
      <c r="M384" s="9"/>
      <c r="N384" s="9"/>
      <c r="O384" s="9"/>
      <c r="P384" s="9"/>
      <c r="Q384" s="9"/>
      <c r="R384" s="9"/>
      <c r="S384" s="9"/>
      <c r="T384" s="9"/>
      <c r="U384" s="9"/>
      <c r="V384" s="9"/>
      <c r="W384" s="9"/>
      <c r="X384" s="9"/>
      <c r="Y384" s="9"/>
    </row>
    <row r="385" spans="8:25" x14ac:dyDescent="0.2">
      <c r="H385" s="9"/>
      <c r="I385" s="9"/>
      <c r="J385" s="9"/>
      <c r="K385" s="9"/>
      <c r="L385" s="9"/>
      <c r="M385" s="9"/>
      <c r="N385" s="9"/>
      <c r="O385" s="9"/>
      <c r="P385" s="9"/>
      <c r="Q385" s="9"/>
      <c r="R385" s="9"/>
      <c r="S385" s="9"/>
      <c r="T385" s="9"/>
      <c r="U385" s="9"/>
      <c r="V385" s="9"/>
      <c r="W385" s="9"/>
      <c r="X385" s="9"/>
      <c r="Y385" s="9"/>
    </row>
    <row r="386" spans="8:25" x14ac:dyDescent="0.2">
      <c r="H386" s="9"/>
      <c r="I386" s="9"/>
      <c r="J386" s="9"/>
      <c r="K386" s="9"/>
      <c r="L386" s="9"/>
      <c r="M386" s="9"/>
      <c r="N386" s="9"/>
      <c r="O386" s="9"/>
      <c r="P386" s="9"/>
      <c r="Q386" s="9"/>
      <c r="R386" s="9"/>
      <c r="S386" s="9"/>
      <c r="T386" s="9"/>
      <c r="U386" s="9"/>
      <c r="V386" s="9"/>
      <c r="W386" s="9"/>
      <c r="X386" s="9"/>
      <c r="Y386" s="9"/>
    </row>
    <row r="387" spans="8:25" x14ac:dyDescent="0.2">
      <c r="H387" s="9"/>
      <c r="I387" s="9"/>
      <c r="J387" s="9"/>
      <c r="K387" s="9"/>
      <c r="L387" s="9"/>
      <c r="M387" s="9"/>
      <c r="N387" s="9"/>
      <c r="O387" s="9"/>
      <c r="P387" s="9"/>
      <c r="Q387" s="9"/>
      <c r="R387" s="9"/>
      <c r="S387" s="9"/>
      <c r="T387" s="9"/>
      <c r="U387" s="9"/>
      <c r="V387" s="9"/>
      <c r="W387" s="9"/>
      <c r="X387" s="9"/>
      <c r="Y387" s="9"/>
    </row>
    <row r="388" spans="8:25" x14ac:dyDescent="0.2">
      <c r="H388" s="9"/>
      <c r="I388" s="9"/>
      <c r="J388" s="9"/>
      <c r="K388" s="9"/>
      <c r="L388" s="9"/>
      <c r="M388" s="9"/>
      <c r="N388" s="9"/>
      <c r="O388" s="9"/>
      <c r="P388" s="9"/>
      <c r="Q388" s="9"/>
      <c r="R388" s="9"/>
      <c r="S388" s="9"/>
      <c r="T388" s="9"/>
      <c r="U388" s="9"/>
      <c r="V388" s="9"/>
      <c r="W388" s="9"/>
      <c r="X388" s="9"/>
      <c r="Y388" s="9"/>
    </row>
    <row r="389" spans="8:25" x14ac:dyDescent="0.2">
      <c r="H389" s="9"/>
      <c r="I389" s="9"/>
      <c r="J389" s="9"/>
      <c r="K389" s="9"/>
      <c r="L389" s="9"/>
      <c r="M389" s="9"/>
      <c r="N389" s="9"/>
      <c r="O389" s="9"/>
      <c r="P389" s="9"/>
      <c r="Q389" s="9"/>
      <c r="R389" s="9"/>
      <c r="S389" s="9"/>
      <c r="T389" s="9"/>
      <c r="U389" s="9"/>
      <c r="V389" s="9"/>
      <c r="W389" s="9"/>
      <c r="X389" s="9"/>
      <c r="Y389" s="9"/>
    </row>
    <row r="390" spans="8:25" x14ac:dyDescent="0.2">
      <c r="H390" s="9"/>
      <c r="I390" s="9"/>
      <c r="J390" s="9"/>
      <c r="K390" s="9"/>
      <c r="L390" s="9"/>
      <c r="M390" s="9"/>
      <c r="N390" s="9"/>
      <c r="O390" s="9"/>
      <c r="P390" s="9"/>
      <c r="Q390" s="9"/>
      <c r="R390" s="9"/>
      <c r="S390" s="9"/>
      <c r="T390" s="9"/>
      <c r="U390" s="9"/>
      <c r="V390" s="9"/>
      <c r="W390" s="9"/>
      <c r="X390" s="9"/>
      <c r="Y390" s="9"/>
    </row>
    <row r="391" spans="8:25" x14ac:dyDescent="0.2">
      <c r="H391" s="9"/>
      <c r="I391" s="9"/>
      <c r="J391" s="9"/>
      <c r="K391" s="9"/>
      <c r="L391" s="9"/>
      <c r="M391" s="9"/>
      <c r="N391" s="9"/>
      <c r="O391" s="9"/>
      <c r="P391" s="9"/>
      <c r="Q391" s="9"/>
      <c r="R391" s="9"/>
      <c r="S391" s="9"/>
      <c r="T391" s="9"/>
      <c r="U391" s="9"/>
      <c r="V391" s="9"/>
      <c r="W391" s="9"/>
      <c r="X391" s="9"/>
      <c r="Y391" s="9"/>
    </row>
    <row r="392" spans="8:25" x14ac:dyDescent="0.2">
      <c r="H392" s="9"/>
      <c r="I392" s="9"/>
      <c r="J392" s="9"/>
      <c r="K392" s="9"/>
      <c r="L392" s="9"/>
      <c r="M392" s="9"/>
      <c r="N392" s="9"/>
      <c r="O392" s="9"/>
      <c r="P392" s="9"/>
      <c r="Q392" s="9"/>
      <c r="R392" s="9"/>
      <c r="S392" s="9"/>
      <c r="T392" s="9"/>
      <c r="U392" s="9"/>
      <c r="V392" s="9"/>
      <c r="W392" s="9"/>
      <c r="X392" s="9"/>
      <c r="Y392" s="9"/>
    </row>
    <row r="393" spans="8:25" x14ac:dyDescent="0.2">
      <c r="H393" s="9"/>
      <c r="I393" s="9"/>
      <c r="J393" s="9"/>
      <c r="K393" s="9"/>
      <c r="L393" s="9"/>
      <c r="M393" s="9"/>
      <c r="N393" s="9"/>
      <c r="O393" s="9"/>
      <c r="P393" s="9"/>
      <c r="Q393" s="9"/>
      <c r="R393" s="9"/>
      <c r="S393" s="9"/>
      <c r="T393" s="9"/>
      <c r="U393" s="9"/>
      <c r="V393" s="9"/>
      <c r="W393" s="9"/>
      <c r="X393" s="9"/>
      <c r="Y393" s="9"/>
    </row>
    <row r="394" spans="8:25" x14ac:dyDescent="0.2">
      <c r="H394" s="9"/>
      <c r="I394" s="9"/>
      <c r="J394" s="9"/>
      <c r="K394" s="9"/>
      <c r="L394" s="9"/>
      <c r="M394" s="9"/>
      <c r="N394" s="9"/>
      <c r="O394" s="9"/>
      <c r="P394" s="9"/>
      <c r="Q394" s="9"/>
      <c r="R394" s="9"/>
      <c r="S394" s="9"/>
      <c r="T394" s="9"/>
      <c r="U394" s="9"/>
      <c r="V394" s="9"/>
      <c r="W394" s="9"/>
      <c r="X394" s="9"/>
      <c r="Y394" s="9"/>
    </row>
    <row r="395" spans="8:25" x14ac:dyDescent="0.2">
      <c r="H395" s="9"/>
      <c r="I395" s="9"/>
      <c r="J395" s="9"/>
      <c r="K395" s="9"/>
      <c r="L395" s="9"/>
      <c r="M395" s="9"/>
      <c r="N395" s="9"/>
      <c r="O395" s="9"/>
      <c r="P395" s="9"/>
      <c r="Q395" s="9"/>
      <c r="R395" s="9"/>
      <c r="S395" s="9"/>
      <c r="T395" s="9"/>
      <c r="U395" s="9"/>
      <c r="V395" s="9"/>
      <c r="W395" s="9"/>
      <c r="X395" s="9"/>
      <c r="Y395" s="9"/>
    </row>
    <row r="396" spans="8:25" x14ac:dyDescent="0.2">
      <c r="H396" s="9"/>
      <c r="I396" s="9"/>
      <c r="J396" s="9"/>
      <c r="K396" s="9"/>
      <c r="L396" s="9"/>
      <c r="M396" s="9"/>
      <c r="N396" s="9"/>
      <c r="O396" s="9"/>
      <c r="P396" s="9"/>
      <c r="Q396" s="9"/>
      <c r="R396" s="9"/>
      <c r="S396" s="9"/>
      <c r="T396" s="9"/>
      <c r="U396" s="9"/>
      <c r="V396" s="9"/>
      <c r="W396" s="9"/>
      <c r="X396" s="9"/>
      <c r="Y396" s="9"/>
    </row>
    <row r="397" spans="8:25" x14ac:dyDescent="0.2">
      <c r="H397" s="9"/>
      <c r="I397" s="9"/>
      <c r="J397" s="9"/>
      <c r="K397" s="9"/>
      <c r="L397" s="9"/>
      <c r="M397" s="9"/>
      <c r="N397" s="9"/>
      <c r="O397" s="9"/>
      <c r="P397" s="9"/>
      <c r="Q397" s="9"/>
      <c r="R397" s="9"/>
      <c r="S397" s="9"/>
      <c r="T397" s="9"/>
      <c r="U397" s="9"/>
      <c r="V397" s="9"/>
      <c r="W397" s="9"/>
      <c r="X397" s="9"/>
      <c r="Y397" s="9"/>
    </row>
    <row r="398" spans="8:25" x14ac:dyDescent="0.2">
      <c r="H398" s="9"/>
      <c r="I398" s="9"/>
      <c r="J398" s="9"/>
      <c r="K398" s="9"/>
      <c r="L398" s="9"/>
      <c r="M398" s="9"/>
      <c r="N398" s="9"/>
      <c r="O398" s="9"/>
      <c r="P398" s="9"/>
      <c r="Q398" s="9"/>
      <c r="R398" s="9"/>
      <c r="S398" s="9"/>
      <c r="T398" s="9"/>
      <c r="U398" s="9"/>
      <c r="V398" s="9"/>
      <c r="W398" s="9"/>
      <c r="X398" s="9"/>
      <c r="Y398" s="9"/>
    </row>
    <row r="399" spans="8:25" x14ac:dyDescent="0.2">
      <c r="H399" s="9"/>
      <c r="I399" s="9"/>
      <c r="J399" s="9"/>
      <c r="K399" s="9"/>
      <c r="L399" s="9"/>
      <c r="M399" s="9"/>
      <c r="N399" s="9"/>
      <c r="O399" s="9"/>
      <c r="P399" s="9"/>
      <c r="Q399" s="9"/>
      <c r="R399" s="9"/>
      <c r="S399" s="9"/>
      <c r="T399" s="9"/>
      <c r="U399" s="9"/>
      <c r="V399" s="9"/>
      <c r="W399" s="9"/>
      <c r="X399" s="9"/>
      <c r="Y399" s="9"/>
    </row>
    <row r="400" spans="8:25" x14ac:dyDescent="0.2">
      <c r="H400" s="9"/>
      <c r="I400" s="9"/>
      <c r="J400" s="9"/>
      <c r="K400" s="9"/>
      <c r="L400" s="9"/>
      <c r="M400" s="9"/>
      <c r="N400" s="9"/>
      <c r="O400" s="9"/>
      <c r="P400" s="9"/>
      <c r="Q400" s="9"/>
      <c r="R400" s="9"/>
      <c r="S400" s="9"/>
      <c r="T400" s="9"/>
      <c r="U400" s="9"/>
      <c r="V400" s="9"/>
      <c r="W400" s="9"/>
      <c r="X400" s="9"/>
      <c r="Y400" s="9"/>
    </row>
    <row r="401" spans="8:25" x14ac:dyDescent="0.2">
      <c r="H401" s="9"/>
      <c r="I401" s="9"/>
      <c r="J401" s="9"/>
      <c r="K401" s="9"/>
      <c r="L401" s="9"/>
      <c r="M401" s="9"/>
      <c r="N401" s="9"/>
      <c r="O401" s="9"/>
      <c r="P401" s="9"/>
      <c r="Q401" s="9"/>
      <c r="R401" s="9"/>
      <c r="S401" s="9"/>
      <c r="T401" s="9"/>
      <c r="U401" s="9"/>
      <c r="V401" s="9"/>
      <c r="W401" s="9"/>
      <c r="X401" s="9"/>
      <c r="Y401" s="9"/>
    </row>
    <row r="402" spans="8:25" x14ac:dyDescent="0.2">
      <c r="H402" s="9"/>
      <c r="I402" s="9"/>
      <c r="J402" s="9"/>
      <c r="K402" s="9"/>
      <c r="L402" s="9"/>
      <c r="M402" s="9"/>
      <c r="N402" s="9"/>
      <c r="O402" s="9"/>
      <c r="P402" s="9"/>
      <c r="Q402" s="9"/>
      <c r="R402" s="9"/>
      <c r="S402" s="9"/>
      <c r="T402" s="9"/>
      <c r="U402" s="9"/>
      <c r="V402" s="9"/>
      <c r="W402" s="9"/>
      <c r="X402" s="9"/>
      <c r="Y402" s="9"/>
    </row>
    <row r="403" spans="8:25" x14ac:dyDescent="0.2">
      <c r="H403" s="9"/>
      <c r="I403" s="9"/>
      <c r="J403" s="9"/>
      <c r="K403" s="9"/>
      <c r="L403" s="9"/>
      <c r="M403" s="9"/>
      <c r="N403" s="9"/>
      <c r="O403" s="9"/>
      <c r="P403" s="9"/>
      <c r="Q403" s="9"/>
      <c r="R403" s="9"/>
      <c r="S403" s="9"/>
      <c r="T403" s="9"/>
      <c r="U403" s="9"/>
      <c r="V403" s="9"/>
      <c r="W403" s="9"/>
      <c r="X403" s="9"/>
      <c r="Y403" s="9"/>
    </row>
    <row r="404" spans="8:25" x14ac:dyDescent="0.2">
      <c r="H404" s="9"/>
      <c r="I404" s="9"/>
      <c r="J404" s="9"/>
      <c r="K404" s="9"/>
      <c r="L404" s="9"/>
      <c r="M404" s="9"/>
      <c r="N404" s="9"/>
      <c r="O404" s="9"/>
      <c r="P404" s="9"/>
      <c r="Q404" s="9"/>
      <c r="R404" s="9"/>
      <c r="S404" s="9"/>
      <c r="T404" s="9"/>
      <c r="U404" s="9"/>
      <c r="V404" s="9"/>
      <c r="W404" s="9"/>
      <c r="X404" s="9"/>
      <c r="Y404" s="9"/>
    </row>
  </sheetData>
  <sheetProtection sheet="1" objects="1" scenarios="1" selectLockedCells="1"/>
  <phoneticPr fontId="1" type="noConversion"/>
  <pageMargins left="0.75" right="0.75" top="1" bottom="1" header="0.5" footer="0.5"/>
  <pageSetup orientation="portrait" horizontalDpi="4294967295" verticalDpi="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D465"/>
  <sheetViews>
    <sheetView workbookViewId="0">
      <selection activeCell="I1" sqref="I1"/>
    </sheetView>
  </sheetViews>
  <sheetFormatPr defaultColWidth="8.7109375" defaultRowHeight="15" x14ac:dyDescent="0.2"/>
  <cols>
    <col min="1" max="1" width="8.7109375" style="7"/>
    <col min="2" max="2" width="47.140625" style="7" customWidth="1"/>
    <col min="3" max="3" width="18.140625" style="7" customWidth="1"/>
    <col min="4" max="4" width="8.7109375" style="7"/>
    <col min="5" max="5" width="11.85546875" style="7" customWidth="1"/>
    <col min="6" max="6" width="8.7109375" style="7"/>
    <col min="7" max="7" width="15.42578125" style="7" customWidth="1"/>
    <col min="8" max="16384" width="8.7109375" style="7"/>
  </cols>
  <sheetData>
    <row r="1" spans="2:30" ht="18" x14ac:dyDescent="0.25">
      <c r="B1" s="6" t="s">
        <v>472</v>
      </c>
      <c r="E1" s="8"/>
      <c r="G1" s="9"/>
      <c r="H1" s="9"/>
      <c r="I1" s="9"/>
      <c r="J1" s="9"/>
      <c r="K1" s="9"/>
      <c r="L1" s="9"/>
      <c r="M1" s="9"/>
      <c r="N1" s="9"/>
      <c r="O1" s="9"/>
      <c r="P1" s="9"/>
      <c r="Q1" s="9"/>
      <c r="R1" s="9"/>
      <c r="S1" s="9"/>
      <c r="T1" s="9"/>
      <c r="U1" s="9"/>
      <c r="V1" s="9"/>
      <c r="W1" s="9"/>
      <c r="X1" s="9"/>
      <c r="Y1" s="9"/>
      <c r="Z1" s="9"/>
      <c r="AA1" s="9"/>
      <c r="AB1" s="9"/>
      <c r="AC1" s="9"/>
      <c r="AD1" s="9"/>
    </row>
    <row r="2" spans="2:30" ht="15.75" x14ac:dyDescent="0.25">
      <c r="C2" s="8"/>
      <c r="G2" s="9"/>
      <c r="H2" s="9"/>
      <c r="I2" s="9"/>
      <c r="J2" s="9"/>
      <c r="K2" s="9"/>
      <c r="L2" s="9"/>
      <c r="M2" s="9"/>
      <c r="N2" s="9"/>
      <c r="O2" s="9"/>
      <c r="P2" s="9"/>
      <c r="Q2" s="9"/>
      <c r="R2" s="9"/>
      <c r="S2" s="9"/>
      <c r="T2" s="9"/>
      <c r="U2" s="9"/>
      <c r="V2" s="9"/>
      <c r="W2" s="9"/>
      <c r="X2" s="9"/>
      <c r="Y2" s="9"/>
      <c r="Z2" s="9"/>
      <c r="AA2" s="9"/>
      <c r="AB2" s="9"/>
      <c r="AC2" s="9"/>
      <c r="AD2" s="9"/>
    </row>
    <row r="3" spans="2:30" ht="18" x14ac:dyDescent="0.25">
      <c r="B3" s="6" t="s">
        <v>278</v>
      </c>
      <c r="G3" s="9"/>
      <c r="H3" s="9"/>
      <c r="I3" s="9"/>
      <c r="J3" s="9"/>
      <c r="K3" s="9"/>
      <c r="L3" s="9"/>
      <c r="M3" s="9"/>
      <c r="N3" s="9"/>
      <c r="O3" s="9"/>
      <c r="P3" s="9"/>
      <c r="Q3" s="9"/>
      <c r="R3" s="9"/>
      <c r="S3" s="9"/>
      <c r="T3" s="9"/>
      <c r="U3" s="9"/>
      <c r="V3" s="9"/>
      <c r="W3" s="9"/>
      <c r="X3" s="9"/>
      <c r="Y3" s="9"/>
      <c r="Z3" s="9"/>
      <c r="AA3" s="9"/>
      <c r="AB3" s="9"/>
      <c r="AC3" s="9"/>
      <c r="AD3" s="9"/>
    </row>
    <row r="4" spans="2:30" x14ac:dyDescent="0.2">
      <c r="G4" s="9"/>
      <c r="H4" s="9"/>
      <c r="I4" s="9"/>
      <c r="J4" s="9"/>
      <c r="K4" s="9"/>
      <c r="L4" s="9"/>
      <c r="M4" s="9"/>
      <c r="N4" s="9"/>
      <c r="O4" s="9"/>
      <c r="P4" s="9"/>
      <c r="Q4" s="9"/>
      <c r="R4" s="9"/>
      <c r="S4" s="9"/>
      <c r="T4" s="9"/>
      <c r="U4" s="9"/>
      <c r="V4" s="9"/>
      <c r="W4" s="9"/>
      <c r="X4" s="9"/>
      <c r="Y4" s="9"/>
      <c r="Z4" s="9"/>
      <c r="AA4" s="9"/>
      <c r="AB4" s="9"/>
      <c r="AC4" s="9"/>
      <c r="AD4" s="9"/>
    </row>
    <row r="5" spans="2:30" x14ac:dyDescent="0.2">
      <c r="G5" s="9"/>
      <c r="H5" s="9"/>
      <c r="I5" s="9"/>
      <c r="J5" s="9"/>
      <c r="K5" s="9"/>
      <c r="L5" s="9"/>
      <c r="M5" s="9"/>
      <c r="N5" s="9"/>
      <c r="O5" s="9"/>
      <c r="P5" s="9"/>
      <c r="Q5" s="9"/>
      <c r="R5" s="9"/>
      <c r="S5" s="9"/>
      <c r="T5" s="9"/>
      <c r="U5" s="9"/>
      <c r="V5" s="9"/>
      <c r="W5" s="9"/>
      <c r="X5" s="9"/>
      <c r="Y5" s="9"/>
      <c r="Z5" s="9"/>
      <c r="AA5" s="9"/>
      <c r="AB5" s="9"/>
      <c r="AC5" s="9"/>
      <c r="AD5" s="9"/>
    </row>
    <row r="6" spans="2:30" x14ac:dyDescent="0.2">
      <c r="G6" s="9"/>
      <c r="H6" s="9"/>
      <c r="I6" s="9"/>
      <c r="J6" s="9"/>
      <c r="K6" s="9"/>
      <c r="L6" s="9"/>
      <c r="M6" s="9"/>
      <c r="N6" s="9"/>
      <c r="O6" s="9"/>
      <c r="P6" s="9"/>
      <c r="Q6" s="9"/>
      <c r="R6" s="9"/>
      <c r="S6" s="9"/>
      <c r="T6" s="9"/>
      <c r="U6" s="9"/>
      <c r="V6" s="9"/>
      <c r="W6" s="9"/>
      <c r="X6" s="9"/>
      <c r="Y6" s="9"/>
      <c r="Z6" s="9"/>
      <c r="AA6" s="9"/>
      <c r="AB6" s="9"/>
      <c r="AC6" s="9"/>
      <c r="AD6" s="9"/>
    </row>
    <row r="7" spans="2:30" x14ac:dyDescent="0.2">
      <c r="G7" s="9"/>
      <c r="H7" s="9"/>
      <c r="I7" s="9"/>
      <c r="J7" s="9"/>
      <c r="K7" s="9"/>
      <c r="L7" s="9"/>
      <c r="M7" s="9"/>
      <c r="N7" s="9"/>
      <c r="O7" s="9"/>
      <c r="P7" s="9"/>
      <c r="Q7" s="9"/>
      <c r="R7" s="9"/>
      <c r="S7" s="9"/>
      <c r="T7" s="9"/>
      <c r="U7" s="9"/>
      <c r="V7" s="9"/>
      <c r="W7" s="9"/>
      <c r="X7" s="9"/>
      <c r="Y7" s="9"/>
      <c r="Z7" s="9"/>
      <c r="AA7" s="9"/>
      <c r="AB7" s="9"/>
      <c r="AC7" s="9"/>
      <c r="AD7" s="9"/>
    </row>
    <row r="8" spans="2:30" x14ac:dyDescent="0.2">
      <c r="G8" s="9"/>
      <c r="H8" s="9"/>
      <c r="I8" s="9"/>
      <c r="J8" s="9"/>
      <c r="K8" s="9"/>
      <c r="L8" s="9"/>
      <c r="M8" s="9"/>
      <c r="N8" s="9"/>
      <c r="O8" s="9"/>
      <c r="P8" s="9"/>
      <c r="Q8" s="9"/>
      <c r="R8" s="9"/>
      <c r="S8" s="9"/>
      <c r="T8" s="9"/>
      <c r="U8" s="9"/>
      <c r="V8" s="9"/>
      <c r="W8" s="9"/>
      <c r="X8" s="9"/>
      <c r="Y8" s="9"/>
      <c r="Z8" s="9"/>
      <c r="AA8" s="9"/>
      <c r="AB8" s="9"/>
      <c r="AC8" s="9"/>
      <c r="AD8" s="9"/>
    </row>
    <row r="9" spans="2:30" x14ac:dyDescent="0.2">
      <c r="G9" s="9"/>
      <c r="H9" s="9"/>
      <c r="I9" s="9"/>
      <c r="J9" s="9"/>
      <c r="K9" s="9"/>
      <c r="L9" s="9"/>
      <c r="M9" s="9"/>
      <c r="N9" s="9"/>
      <c r="O9" s="9"/>
      <c r="P9" s="9"/>
      <c r="Q9" s="9"/>
      <c r="R9" s="9"/>
      <c r="S9" s="9"/>
      <c r="T9" s="9"/>
      <c r="U9" s="9"/>
      <c r="V9" s="9"/>
      <c r="W9" s="9"/>
      <c r="X9" s="9"/>
      <c r="Y9" s="9"/>
      <c r="Z9" s="9"/>
      <c r="AA9" s="9"/>
      <c r="AB9" s="9"/>
      <c r="AC9" s="9"/>
      <c r="AD9" s="9"/>
    </row>
    <row r="10" spans="2:30" x14ac:dyDescent="0.2">
      <c r="G10" s="9"/>
      <c r="H10" s="9"/>
      <c r="I10" s="9"/>
      <c r="J10" s="9"/>
      <c r="K10" s="9"/>
      <c r="L10" s="9"/>
      <c r="M10" s="9"/>
      <c r="N10" s="9"/>
      <c r="O10" s="9"/>
      <c r="P10" s="9"/>
      <c r="Q10" s="9"/>
      <c r="R10" s="9"/>
      <c r="S10" s="9"/>
      <c r="T10" s="9"/>
      <c r="U10" s="9"/>
      <c r="V10" s="9"/>
      <c r="W10" s="9"/>
      <c r="X10" s="9"/>
      <c r="Y10" s="9"/>
      <c r="Z10" s="9"/>
      <c r="AA10" s="9"/>
      <c r="AB10" s="9"/>
      <c r="AC10" s="9"/>
      <c r="AD10" s="9"/>
    </row>
    <row r="11" spans="2:30" x14ac:dyDescent="0.2">
      <c r="G11" s="9"/>
      <c r="H11" s="9"/>
      <c r="I11" s="9"/>
      <c r="J11" s="9"/>
      <c r="K11" s="9"/>
      <c r="L11" s="9"/>
      <c r="M11" s="9"/>
      <c r="N11" s="9"/>
      <c r="O11" s="9"/>
      <c r="P11" s="9"/>
      <c r="Q11" s="9"/>
      <c r="R11" s="9"/>
      <c r="S11" s="9"/>
      <c r="T11" s="9"/>
      <c r="U11" s="9"/>
      <c r="V11" s="9"/>
      <c r="W11" s="9"/>
      <c r="X11" s="9"/>
      <c r="Y11" s="9"/>
      <c r="Z11" s="9"/>
      <c r="AA11" s="9"/>
      <c r="AB11" s="9"/>
      <c r="AC11" s="9"/>
      <c r="AD11" s="9"/>
    </row>
    <row r="12" spans="2:30" x14ac:dyDescent="0.2">
      <c r="G12" s="9"/>
      <c r="H12" s="9"/>
      <c r="I12" s="9"/>
      <c r="J12" s="9"/>
      <c r="K12" s="9"/>
      <c r="L12" s="9"/>
      <c r="M12" s="9"/>
      <c r="N12" s="9"/>
      <c r="O12" s="9"/>
      <c r="P12" s="9"/>
      <c r="Q12" s="9"/>
      <c r="R12" s="9"/>
      <c r="S12" s="9"/>
      <c r="T12" s="9"/>
      <c r="U12" s="9"/>
      <c r="V12" s="9"/>
      <c r="W12" s="9"/>
      <c r="X12" s="9"/>
      <c r="Y12" s="9"/>
      <c r="Z12" s="9"/>
      <c r="AA12" s="9"/>
      <c r="AB12" s="9"/>
      <c r="AC12" s="9"/>
      <c r="AD12" s="9"/>
    </row>
    <row r="13" spans="2:30" x14ac:dyDescent="0.2">
      <c r="G13" s="9"/>
      <c r="H13" s="9"/>
      <c r="I13" s="9"/>
      <c r="J13" s="9"/>
      <c r="K13" s="9"/>
      <c r="L13" s="9"/>
      <c r="M13" s="9"/>
      <c r="N13" s="9"/>
      <c r="O13" s="9"/>
      <c r="P13" s="9"/>
      <c r="Q13" s="9"/>
      <c r="R13" s="9"/>
      <c r="S13" s="9"/>
      <c r="T13" s="9"/>
      <c r="U13" s="9"/>
      <c r="V13" s="9"/>
      <c r="W13" s="9"/>
      <c r="X13" s="9"/>
      <c r="Y13" s="9"/>
      <c r="Z13" s="9"/>
      <c r="AA13" s="9"/>
      <c r="AB13" s="9"/>
      <c r="AC13" s="9"/>
      <c r="AD13" s="9"/>
    </row>
    <row r="14" spans="2:30" x14ac:dyDescent="0.2">
      <c r="G14" s="9"/>
      <c r="H14" s="9"/>
      <c r="I14" s="9"/>
      <c r="J14" s="9"/>
      <c r="K14" s="9"/>
      <c r="L14" s="9"/>
      <c r="M14" s="9"/>
      <c r="N14" s="9"/>
      <c r="O14" s="9"/>
      <c r="P14" s="9"/>
      <c r="Q14" s="9"/>
      <c r="R14" s="9"/>
      <c r="S14" s="9"/>
      <c r="T14" s="9"/>
      <c r="U14" s="9"/>
      <c r="V14" s="9"/>
      <c r="W14" s="9"/>
      <c r="X14" s="9"/>
      <c r="Y14" s="9"/>
      <c r="Z14" s="9"/>
      <c r="AA14" s="9"/>
      <c r="AB14" s="9"/>
      <c r="AC14" s="9"/>
      <c r="AD14" s="9"/>
    </row>
    <row r="15" spans="2:30" x14ac:dyDescent="0.2">
      <c r="G15" s="9"/>
      <c r="H15" s="9"/>
      <c r="I15" s="9"/>
      <c r="J15" s="9"/>
      <c r="K15" s="9"/>
      <c r="L15" s="9"/>
      <c r="M15" s="9"/>
      <c r="N15" s="9"/>
      <c r="O15" s="9"/>
      <c r="P15" s="9"/>
      <c r="Q15" s="9"/>
      <c r="R15" s="9"/>
      <c r="S15" s="9"/>
      <c r="T15" s="9"/>
      <c r="U15" s="9"/>
      <c r="V15" s="9"/>
      <c r="W15" s="9"/>
      <c r="X15" s="9"/>
      <c r="Y15" s="9"/>
      <c r="Z15" s="9"/>
      <c r="AA15" s="9"/>
      <c r="AB15" s="9"/>
      <c r="AC15" s="9"/>
      <c r="AD15" s="9"/>
    </row>
    <row r="16" spans="2:30" x14ac:dyDescent="0.2">
      <c r="G16" s="9"/>
      <c r="H16" s="9"/>
      <c r="I16" s="9"/>
      <c r="J16" s="9"/>
      <c r="K16" s="9"/>
      <c r="L16" s="9"/>
      <c r="M16" s="9"/>
      <c r="N16" s="9"/>
      <c r="O16" s="9"/>
      <c r="P16" s="9"/>
      <c r="Q16" s="9"/>
      <c r="R16" s="9"/>
      <c r="S16" s="9"/>
      <c r="T16" s="9"/>
      <c r="U16" s="9"/>
      <c r="V16" s="9"/>
      <c r="W16" s="9"/>
      <c r="X16" s="9"/>
      <c r="Y16" s="9"/>
      <c r="Z16" s="9"/>
      <c r="AA16" s="9"/>
      <c r="AB16" s="9"/>
      <c r="AC16" s="9"/>
      <c r="AD16" s="9"/>
    </row>
    <row r="17" spans="7:30" x14ac:dyDescent="0.2">
      <c r="G17" s="9"/>
      <c r="H17" s="9"/>
      <c r="I17" s="9"/>
      <c r="J17" s="9"/>
      <c r="K17" s="9"/>
      <c r="L17" s="9"/>
      <c r="M17" s="9"/>
      <c r="N17" s="9"/>
      <c r="O17" s="9"/>
      <c r="P17" s="9"/>
      <c r="Q17" s="9"/>
      <c r="R17" s="9"/>
      <c r="S17" s="9"/>
      <c r="T17" s="9"/>
      <c r="U17" s="9"/>
      <c r="V17" s="9"/>
      <c r="W17" s="9"/>
      <c r="X17" s="9"/>
      <c r="Y17" s="9"/>
      <c r="Z17" s="9"/>
      <c r="AA17" s="9"/>
      <c r="AB17" s="9"/>
      <c r="AC17" s="9"/>
      <c r="AD17" s="9"/>
    </row>
    <row r="18" spans="7:30" x14ac:dyDescent="0.2">
      <c r="G18" s="9"/>
      <c r="H18" s="9"/>
      <c r="I18" s="9"/>
      <c r="J18" s="9"/>
      <c r="K18" s="9"/>
      <c r="L18" s="9"/>
      <c r="M18" s="9"/>
      <c r="N18" s="9"/>
      <c r="O18" s="9"/>
      <c r="P18" s="9"/>
      <c r="Q18" s="9"/>
      <c r="R18" s="9"/>
      <c r="S18" s="9"/>
      <c r="T18" s="9"/>
      <c r="U18" s="9"/>
      <c r="V18" s="9"/>
      <c r="W18" s="9"/>
      <c r="X18" s="9"/>
      <c r="Y18" s="9"/>
      <c r="Z18" s="9"/>
      <c r="AA18" s="9"/>
      <c r="AB18" s="9"/>
      <c r="AC18" s="9"/>
      <c r="AD18" s="9"/>
    </row>
    <row r="19" spans="7:30" x14ac:dyDescent="0.2">
      <c r="G19" s="9"/>
      <c r="H19" s="9"/>
      <c r="I19" s="9"/>
      <c r="J19" s="9"/>
      <c r="K19" s="9"/>
      <c r="L19" s="9"/>
      <c r="M19" s="9"/>
      <c r="N19" s="9"/>
      <c r="O19" s="9"/>
      <c r="P19" s="9"/>
      <c r="Q19" s="9"/>
      <c r="R19" s="9"/>
      <c r="S19" s="9"/>
      <c r="T19" s="9"/>
      <c r="U19" s="9"/>
      <c r="V19" s="9"/>
      <c r="W19" s="9"/>
      <c r="X19" s="9"/>
      <c r="Y19" s="9"/>
      <c r="Z19" s="9"/>
      <c r="AA19" s="9"/>
      <c r="AB19" s="9"/>
      <c r="AC19" s="9"/>
      <c r="AD19" s="9"/>
    </row>
    <row r="20" spans="7:30" x14ac:dyDescent="0.2">
      <c r="G20" s="9"/>
      <c r="H20" s="9"/>
      <c r="I20" s="9"/>
      <c r="J20" s="9"/>
      <c r="K20" s="9"/>
      <c r="L20" s="9"/>
      <c r="M20" s="9"/>
      <c r="N20" s="9"/>
      <c r="O20" s="9"/>
      <c r="P20" s="9"/>
      <c r="Q20" s="9"/>
      <c r="R20" s="9"/>
      <c r="S20" s="9"/>
      <c r="T20" s="9"/>
      <c r="U20" s="9"/>
      <c r="V20" s="9"/>
      <c r="W20" s="9"/>
      <c r="X20" s="9"/>
      <c r="Y20" s="9"/>
      <c r="Z20" s="9"/>
      <c r="AA20" s="9"/>
      <c r="AB20" s="9"/>
      <c r="AC20" s="9"/>
      <c r="AD20" s="9"/>
    </row>
    <row r="21" spans="7:30" x14ac:dyDescent="0.2">
      <c r="H21" s="9"/>
      <c r="I21" s="9"/>
      <c r="J21" s="9"/>
      <c r="K21" s="9"/>
      <c r="L21" s="9"/>
      <c r="M21" s="9"/>
      <c r="N21" s="9"/>
      <c r="O21" s="9"/>
      <c r="P21" s="9"/>
      <c r="Q21" s="9"/>
      <c r="R21" s="9"/>
      <c r="S21" s="9"/>
      <c r="T21" s="9"/>
      <c r="U21" s="9"/>
      <c r="V21" s="9"/>
      <c r="W21" s="9"/>
      <c r="X21" s="9"/>
      <c r="Y21" s="9"/>
      <c r="Z21" s="9"/>
      <c r="AA21" s="9"/>
      <c r="AB21" s="9"/>
      <c r="AC21" s="9"/>
      <c r="AD21" s="9"/>
    </row>
    <row r="22" spans="7:30" x14ac:dyDescent="0.2">
      <c r="H22" s="9"/>
      <c r="I22" s="9"/>
      <c r="J22" s="9"/>
      <c r="K22" s="9"/>
      <c r="L22" s="9"/>
      <c r="M22" s="9"/>
      <c r="N22" s="9"/>
      <c r="O22" s="9"/>
      <c r="P22" s="9"/>
      <c r="Q22" s="9"/>
      <c r="R22" s="9"/>
      <c r="S22" s="9"/>
      <c r="T22" s="9"/>
      <c r="U22" s="9"/>
      <c r="V22" s="9"/>
      <c r="W22" s="9"/>
      <c r="X22" s="9"/>
      <c r="Y22" s="9"/>
      <c r="Z22" s="9"/>
      <c r="AA22" s="9"/>
      <c r="AB22" s="9"/>
      <c r="AC22" s="9"/>
      <c r="AD22" s="9"/>
    </row>
    <row r="23" spans="7:30" x14ac:dyDescent="0.2">
      <c r="H23" s="9"/>
      <c r="I23" s="9"/>
      <c r="J23" s="9"/>
      <c r="K23" s="9"/>
      <c r="L23" s="9"/>
      <c r="M23" s="9"/>
      <c r="N23" s="9"/>
      <c r="O23" s="9"/>
      <c r="P23" s="9"/>
      <c r="Q23" s="9"/>
      <c r="R23" s="9"/>
      <c r="S23" s="9"/>
      <c r="T23" s="9"/>
      <c r="U23" s="9"/>
      <c r="V23" s="9"/>
      <c r="W23" s="9"/>
      <c r="X23" s="9"/>
      <c r="Y23" s="9"/>
      <c r="Z23" s="9"/>
      <c r="AA23" s="9"/>
      <c r="AB23" s="9"/>
      <c r="AC23" s="9"/>
      <c r="AD23" s="9"/>
    </row>
    <row r="24" spans="7:30" x14ac:dyDescent="0.2">
      <c r="H24" s="9"/>
      <c r="I24" s="9"/>
      <c r="J24" s="9"/>
      <c r="K24" s="9"/>
      <c r="L24" s="9"/>
      <c r="M24" s="9"/>
      <c r="N24" s="9"/>
      <c r="O24" s="9"/>
      <c r="P24" s="9"/>
      <c r="Q24" s="9"/>
      <c r="R24" s="9"/>
      <c r="S24" s="9"/>
      <c r="T24" s="9"/>
      <c r="U24" s="9"/>
      <c r="V24" s="9"/>
      <c r="W24" s="9"/>
      <c r="X24" s="9"/>
      <c r="Y24" s="9"/>
      <c r="Z24" s="9"/>
      <c r="AA24" s="9"/>
      <c r="AB24" s="9"/>
      <c r="AC24" s="9"/>
      <c r="AD24" s="9"/>
    </row>
    <row r="25" spans="7:30" x14ac:dyDescent="0.2">
      <c r="H25" s="9"/>
      <c r="I25" s="9"/>
      <c r="J25" s="9"/>
      <c r="K25" s="9"/>
      <c r="L25" s="9"/>
      <c r="M25" s="9"/>
      <c r="N25" s="9"/>
      <c r="O25" s="9"/>
      <c r="P25" s="9"/>
      <c r="Q25" s="9"/>
      <c r="R25" s="9"/>
      <c r="S25" s="9"/>
      <c r="T25" s="9"/>
      <c r="U25" s="9"/>
      <c r="V25" s="9"/>
      <c r="W25" s="9"/>
      <c r="X25" s="9"/>
      <c r="Y25" s="9"/>
      <c r="Z25" s="9"/>
      <c r="AA25" s="9"/>
      <c r="AB25" s="9"/>
      <c r="AC25" s="9"/>
      <c r="AD25" s="9"/>
    </row>
    <row r="26" spans="7:30" x14ac:dyDescent="0.2">
      <c r="H26" s="9"/>
      <c r="I26" s="9"/>
      <c r="J26" s="9"/>
      <c r="K26" s="9"/>
      <c r="L26" s="9"/>
      <c r="M26" s="9"/>
      <c r="N26" s="9"/>
      <c r="O26" s="9"/>
      <c r="P26" s="9"/>
      <c r="Q26" s="9"/>
      <c r="R26" s="9"/>
      <c r="S26" s="9"/>
      <c r="T26" s="9"/>
      <c r="U26" s="9"/>
      <c r="V26" s="9"/>
      <c r="W26" s="9"/>
      <c r="X26" s="9"/>
      <c r="Y26" s="9"/>
      <c r="Z26" s="9"/>
      <c r="AA26" s="9"/>
      <c r="AB26" s="9"/>
      <c r="AC26" s="9"/>
      <c r="AD26" s="9"/>
    </row>
    <row r="27" spans="7:30" x14ac:dyDescent="0.2">
      <c r="G27" s="9"/>
      <c r="H27" s="9"/>
      <c r="I27" s="9"/>
      <c r="J27" s="9"/>
      <c r="K27" s="9"/>
      <c r="L27" s="9"/>
      <c r="M27" s="9"/>
      <c r="N27" s="9"/>
      <c r="O27" s="9"/>
      <c r="P27" s="9"/>
      <c r="Q27" s="9"/>
      <c r="R27" s="9"/>
      <c r="S27" s="9"/>
      <c r="T27" s="9"/>
      <c r="U27" s="9"/>
      <c r="V27" s="9"/>
      <c r="W27" s="9"/>
      <c r="X27" s="9"/>
      <c r="Y27" s="9"/>
      <c r="Z27" s="9"/>
      <c r="AA27" s="9"/>
      <c r="AB27" s="9"/>
      <c r="AC27" s="9"/>
      <c r="AD27" s="9"/>
    </row>
    <row r="28" spans="7:30" x14ac:dyDescent="0.2">
      <c r="G28" s="9"/>
      <c r="H28" s="9"/>
      <c r="I28" s="9"/>
      <c r="J28" s="9"/>
      <c r="K28" s="9"/>
      <c r="L28" s="9"/>
      <c r="M28" s="9"/>
      <c r="N28" s="9"/>
      <c r="O28" s="9"/>
      <c r="P28" s="9"/>
      <c r="Q28" s="9"/>
      <c r="R28" s="9"/>
      <c r="S28" s="9"/>
      <c r="T28" s="9"/>
      <c r="U28" s="9"/>
      <c r="V28" s="9"/>
      <c r="W28" s="9"/>
      <c r="X28" s="9"/>
      <c r="Y28" s="9"/>
      <c r="Z28" s="9"/>
      <c r="AA28" s="9"/>
      <c r="AB28" s="9"/>
      <c r="AC28" s="9"/>
      <c r="AD28" s="9"/>
    </row>
    <row r="29" spans="7:30" x14ac:dyDescent="0.2">
      <c r="G29" s="9"/>
      <c r="H29" s="9"/>
      <c r="I29" s="9"/>
      <c r="J29" s="9"/>
      <c r="K29" s="9"/>
      <c r="L29" s="9"/>
      <c r="M29" s="9"/>
      <c r="N29" s="9"/>
      <c r="O29" s="9"/>
      <c r="P29" s="9"/>
      <c r="Q29" s="9"/>
      <c r="R29" s="9"/>
      <c r="S29" s="9"/>
      <c r="T29" s="9"/>
      <c r="U29" s="9"/>
      <c r="V29" s="9"/>
      <c r="W29" s="9"/>
      <c r="X29" s="9"/>
      <c r="Y29" s="9"/>
      <c r="Z29" s="9"/>
      <c r="AA29" s="9"/>
      <c r="AB29" s="9"/>
      <c r="AC29" s="9"/>
      <c r="AD29" s="9"/>
    </row>
    <row r="30" spans="7:30" x14ac:dyDescent="0.2">
      <c r="G30" s="9"/>
      <c r="H30" s="9"/>
      <c r="I30" s="9"/>
      <c r="J30" s="9"/>
      <c r="K30" s="9"/>
      <c r="L30" s="9"/>
      <c r="M30" s="9"/>
      <c r="N30" s="9"/>
      <c r="O30" s="9"/>
      <c r="P30" s="9"/>
      <c r="Q30" s="9"/>
      <c r="R30" s="9"/>
      <c r="S30" s="9"/>
      <c r="T30" s="9"/>
      <c r="U30" s="9"/>
      <c r="V30" s="9"/>
      <c r="W30" s="9"/>
      <c r="X30" s="9"/>
      <c r="Y30" s="9"/>
      <c r="Z30" s="9"/>
      <c r="AA30" s="9"/>
      <c r="AB30" s="9"/>
      <c r="AC30" s="9"/>
      <c r="AD30" s="9"/>
    </row>
    <row r="31" spans="7:30" x14ac:dyDescent="0.2">
      <c r="G31" s="9"/>
      <c r="H31" s="9"/>
      <c r="I31" s="9"/>
      <c r="J31" s="9"/>
      <c r="K31" s="9"/>
      <c r="L31" s="9"/>
      <c r="M31" s="9"/>
      <c r="N31" s="9"/>
      <c r="O31" s="9"/>
      <c r="P31" s="9"/>
      <c r="Q31" s="9"/>
      <c r="R31" s="9"/>
      <c r="S31" s="9"/>
      <c r="T31" s="9"/>
      <c r="U31" s="9"/>
      <c r="V31" s="9"/>
      <c r="W31" s="9"/>
      <c r="X31" s="9"/>
      <c r="Y31" s="9"/>
      <c r="Z31" s="9"/>
      <c r="AA31" s="9"/>
      <c r="AB31" s="9"/>
      <c r="AC31" s="9"/>
      <c r="AD31" s="9"/>
    </row>
    <row r="32" spans="7:30" x14ac:dyDescent="0.2">
      <c r="G32" s="9"/>
      <c r="H32" s="9"/>
      <c r="I32" s="9"/>
      <c r="J32" s="9"/>
      <c r="K32" s="9"/>
      <c r="L32" s="9"/>
      <c r="M32" s="9"/>
      <c r="N32" s="9"/>
      <c r="O32" s="9"/>
      <c r="P32" s="9"/>
      <c r="Q32" s="9"/>
      <c r="R32" s="9"/>
      <c r="S32" s="9"/>
      <c r="T32" s="9"/>
      <c r="U32" s="9"/>
      <c r="V32" s="9"/>
      <c r="W32" s="9"/>
      <c r="X32" s="9"/>
      <c r="Y32" s="9"/>
      <c r="Z32" s="9"/>
      <c r="AA32" s="9"/>
      <c r="AB32" s="9"/>
      <c r="AC32" s="9"/>
      <c r="AD32" s="9"/>
    </row>
    <row r="33" spans="7:30" x14ac:dyDescent="0.2">
      <c r="G33" s="9"/>
      <c r="H33" s="9"/>
      <c r="I33" s="9"/>
      <c r="J33" s="9"/>
      <c r="K33" s="9"/>
      <c r="L33" s="9"/>
      <c r="M33" s="9"/>
      <c r="N33" s="9"/>
      <c r="O33" s="9"/>
      <c r="P33" s="9"/>
      <c r="Q33" s="9"/>
      <c r="R33" s="9"/>
      <c r="S33" s="9"/>
      <c r="T33" s="9"/>
      <c r="U33" s="9"/>
      <c r="V33" s="9"/>
      <c r="W33" s="9"/>
      <c r="X33" s="9"/>
      <c r="Y33" s="9"/>
      <c r="Z33" s="9"/>
      <c r="AA33" s="9"/>
      <c r="AB33" s="9"/>
      <c r="AC33" s="9"/>
      <c r="AD33" s="9"/>
    </row>
    <row r="34" spans="7:30" x14ac:dyDescent="0.2">
      <c r="G34" s="9"/>
      <c r="H34" s="9"/>
      <c r="I34" s="9"/>
      <c r="J34" s="9"/>
      <c r="K34" s="9"/>
      <c r="L34" s="9"/>
      <c r="M34" s="9"/>
      <c r="N34" s="9"/>
      <c r="O34" s="9"/>
      <c r="P34" s="9"/>
      <c r="Q34" s="9"/>
      <c r="R34" s="9"/>
      <c r="S34" s="9"/>
      <c r="T34" s="9"/>
      <c r="U34" s="9"/>
      <c r="V34" s="9"/>
      <c r="W34" s="9"/>
      <c r="X34" s="9"/>
      <c r="Y34" s="9"/>
      <c r="Z34" s="9"/>
      <c r="AA34" s="9"/>
      <c r="AB34" s="9"/>
      <c r="AC34" s="9"/>
      <c r="AD34" s="9"/>
    </row>
    <row r="35" spans="7:30" x14ac:dyDescent="0.2">
      <c r="G35" s="9"/>
      <c r="H35" s="9"/>
      <c r="I35" s="9"/>
      <c r="J35" s="9"/>
      <c r="K35" s="9"/>
      <c r="L35" s="9"/>
      <c r="M35" s="9"/>
      <c r="N35" s="9"/>
      <c r="O35" s="9"/>
      <c r="P35" s="9"/>
      <c r="Q35" s="9"/>
      <c r="R35" s="9"/>
      <c r="S35" s="9"/>
      <c r="T35" s="9"/>
      <c r="U35" s="9"/>
      <c r="V35" s="9"/>
      <c r="W35" s="9"/>
      <c r="X35" s="9"/>
      <c r="Y35" s="9"/>
      <c r="Z35" s="9"/>
      <c r="AA35" s="9"/>
      <c r="AB35" s="9"/>
      <c r="AC35" s="9"/>
      <c r="AD35" s="9"/>
    </row>
    <row r="36" spans="7:30" x14ac:dyDescent="0.2">
      <c r="G36" s="9"/>
      <c r="H36" s="9"/>
      <c r="I36" s="9"/>
      <c r="J36" s="9"/>
      <c r="K36" s="9"/>
      <c r="L36" s="9"/>
      <c r="M36" s="9"/>
      <c r="N36" s="9"/>
      <c r="O36" s="9"/>
      <c r="P36" s="9"/>
      <c r="Q36" s="9"/>
      <c r="R36" s="9"/>
      <c r="S36" s="9"/>
      <c r="T36" s="9"/>
      <c r="U36" s="9"/>
      <c r="V36" s="9"/>
      <c r="W36" s="9"/>
      <c r="X36" s="9"/>
      <c r="Y36" s="9"/>
      <c r="Z36" s="9"/>
      <c r="AA36" s="9"/>
      <c r="AB36" s="9"/>
      <c r="AC36" s="9"/>
      <c r="AD36" s="9"/>
    </row>
    <row r="37" spans="7:30" x14ac:dyDescent="0.2">
      <c r="G37" s="9"/>
      <c r="H37" s="9"/>
      <c r="I37" s="9"/>
      <c r="J37" s="9"/>
      <c r="K37" s="9"/>
      <c r="L37" s="9"/>
      <c r="M37" s="9"/>
      <c r="N37" s="9"/>
      <c r="O37" s="9"/>
      <c r="P37" s="9"/>
      <c r="Q37" s="9"/>
      <c r="R37" s="9"/>
      <c r="S37" s="9"/>
      <c r="T37" s="9"/>
      <c r="U37" s="9"/>
      <c r="V37" s="9"/>
      <c r="W37" s="9"/>
      <c r="X37" s="9"/>
      <c r="Y37" s="9"/>
      <c r="Z37" s="9"/>
      <c r="AA37" s="9"/>
      <c r="AB37" s="9"/>
      <c r="AC37" s="9"/>
      <c r="AD37" s="9"/>
    </row>
    <row r="38" spans="7:30" x14ac:dyDescent="0.2">
      <c r="G38" s="9"/>
      <c r="H38" s="9"/>
      <c r="I38" s="9"/>
      <c r="J38" s="9"/>
      <c r="K38" s="9"/>
      <c r="L38" s="9"/>
      <c r="M38" s="9"/>
      <c r="N38" s="9"/>
      <c r="O38" s="9"/>
      <c r="P38" s="9"/>
      <c r="Q38" s="9"/>
      <c r="R38" s="9"/>
      <c r="S38" s="9"/>
      <c r="T38" s="9"/>
      <c r="U38" s="9"/>
      <c r="V38" s="9"/>
      <c r="W38" s="9"/>
      <c r="X38" s="9"/>
      <c r="Y38" s="9"/>
      <c r="Z38" s="9"/>
      <c r="AA38" s="9"/>
      <c r="AB38" s="9"/>
      <c r="AC38" s="9"/>
      <c r="AD38" s="9"/>
    </row>
    <row r="39" spans="7:30" x14ac:dyDescent="0.2">
      <c r="G39" s="9"/>
      <c r="H39" s="9"/>
      <c r="I39" s="9"/>
      <c r="J39" s="9"/>
      <c r="K39" s="9"/>
      <c r="L39" s="9"/>
      <c r="M39" s="9"/>
      <c r="N39" s="9"/>
      <c r="O39" s="9"/>
      <c r="P39" s="9"/>
      <c r="Q39" s="9"/>
      <c r="R39" s="9"/>
      <c r="S39" s="9"/>
      <c r="T39" s="9"/>
      <c r="U39" s="9"/>
      <c r="V39" s="9"/>
      <c r="W39" s="9"/>
      <c r="X39" s="9"/>
      <c r="Y39" s="9"/>
      <c r="Z39" s="9"/>
      <c r="AA39" s="9"/>
      <c r="AB39" s="9"/>
      <c r="AC39" s="9"/>
      <c r="AD39" s="9"/>
    </row>
    <row r="40" spans="7:30" x14ac:dyDescent="0.2">
      <c r="G40" s="9"/>
      <c r="H40" s="9"/>
      <c r="I40" s="9"/>
      <c r="J40" s="9"/>
      <c r="K40" s="9"/>
      <c r="L40" s="9"/>
      <c r="M40" s="9"/>
      <c r="N40" s="9"/>
      <c r="O40" s="9"/>
      <c r="P40" s="9"/>
      <c r="Q40" s="9"/>
      <c r="R40" s="9"/>
      <c r="S40" s="9"/>
      <c r="T40" s="9"/>
      <c r="U40" s="9"/>
      <c r="V40" s="9"/>
      <c r="W40" s="9"/>
      <c r="X40" s="9"/>
      <c r="Y40" s="9"/>
      <c r="Z40" s="9"/>
      <c r="AA40" s="9"/>
      <c r="AB40" s="9"/>
      <c r="AC40" s="9"/>
      <c r="AD40" s="9"/>
    </row>
    <row r="41" spans="7:30" x14ac:dyDescent="0.2">
      <c r="G41" s="9"/>
      <c r="H41" s="9"/>
      <c r="I41" s="9"/>
      <c r="J41" s="9"/>
      <c r="K41" s="9"/>
      <c r="L41" s="9"/>
      <c r="M41" s="9"/>
      <c r="N41" s="9"/>
      <c r="O41" s="9"/>
      <c r="P41" s="9"/>
      <c r="Q41" s="9"/>
      <c r="R41" s="9"/>
      <c r="S41" s="9"/>
      <c r="T41" s="9"/>
      <c r="U41" s="9"/>
      <c r="V41" s="9"/>
      <c r="W41" s="9"/>
      <c r="X41" s="9"/>
      <c r="Y41" s="9"/>
      <c r="Z41" s="9"/>
      <c r="AA41" s="9"/>
      <c r="AB41" s="9"/>
      <c r="AC41" s="9"/>
      <c r="AD41" s="9"/>
    </row>
    <row r="42" spans="7:30" x14ac:dyDescent="0.2">
      <c r="G42" s="9"/>
      <c r="H42" s="9"/>
      <c r="I42" s="9"/>
      <c r="J42" s="9"/>
      <c r="K42" s="9"/>
      <c r="L42" s="9"/>
      <c r="M42" s="9"/>
      <c r="N42" s="9"/>
      <c r="O42" s="9"/>
      <c r="P42" s="9"/>
      <c r="Q42" s="9"/>
      <c r="R42" s="9"/>
      <c r="S42" s="9"/>
      <c r="T42" s="9"/>
      <c r="U42" s="9"/>
      <c r="V42" s="9"/>
      <c r="W42" s="9"/>
      <c r="X42" s="9"/>
      <c r="Y42" s="9"/>
      <c r="Z42" s="9"/>
      <c r="AA42" s="9"/>
      <c r="AB42" s="9"/>
      <c r="AC42" s="9"/>
      <c r="AD42" s="9"/>
    </row>
    <row r="43" spans="7:30" x14ac:dyDescent="0.2">
      <c r="G43" s="9"/>
      <c r="H43" s="9"/>
      <c r="I43" s="9"/>
      <c r="J43" s="9"/>
      <c r="K43" s="9"/>
      <c r="L43" s="9"/>
      <c r="M43" s="9"/>
      <c r="N43" s="9"/>
      <c r="O43" s="9"/>
      <c r="P43" s="9"/>
      <c r="Q43" s="9"/>
      <c r="R43" s="9"/>
      <c r="S43" s="9"/>
      <c r="T43" s="9"/>
      <c r="U43" s="9"/>
      <c r="V43" s="9"/>
      <c r="W43" s="9"/>
      <c r="X43" s="9"/>
      <c r="Y43" s="9"/>
      <c r="Z43" s="9"/>
      <c r="AA43" s="9"/>
      <c r="AB43" s="9"/>
      <c r="AC43" s="9"/>
      <c r="AD43" s="9"/>
    </row>
    <row r="44" spans="7:30" x14ac:dyDescent="0.2">
      <c r="G44" s="9"/>
      <c r="H44" s="9"/>
      <c r="I44" s="9"/>
      <c r="J44" s="9"/>
      <c r="K44" s="9"/>
      <c r="L44" s="9"/>
      <c r="M44" s="9"/>
      <c r="N44" s="9"/>
      <c r="O44" s="9"/>
      <c r="P44" s="9"/>
      <c r="Q44" s="9"/>
      <c r="R44" s="9"/>
      <c r="S44" s="9"/>
      <c r="T44" s="9"/>
      <c r="U44" s="9"/>
      <c r="V44" s="9"/>
      <c r="W44" s="9"/>
      <c r="X44" s="9"/>
      <c r="Y44" s="9"/>
      <c r="Z44" s="9"/>
      <c r="AA44" s="9"/>
      <c r="AB44" s="9"/>
      <c r="AC44" s="9"/>
      <c r="AD44" s="9"/>
    </row>
    <row r="45" spans="7:30" x14ac:dyDescent="0.2">
      <c r="G45" s="9"/>
      <c r="H45" s="9"/>
      <c r="I45" s="9"/>
      <c r="J45" s="9"/>
      <c r="K45" s="9"/>
      <c r="L45" s="9"/>
      <c r="M45" s="9"/>
      <c r="N45" s="9"/>
      <c r="O45" s="9"/>
      <c r="P45" s="9"/>
      <c r="Q45" s="9"/>
      <c r="R45" s="9"/>
      <c r="S45" s="9"/>
      <c r="T45" s="9"/>
      <c r="U45" s="9"/>
      <c r="V45" s="9"/>
      <c r="W45" s="9"/>
      <c r="X45" s="9"/>
      <c r="Y45" s="9"/>
      <c r="Z45" s="9"/>
      <c r="AA45" s="9"/>
      <c r="AB45" s="9"/>
      <c r="AC45" s="9"/>
      <c r="AD45" s="9"/>
    </row>
    <row r="46" spans="7:30" x14ac:dyDescent="0.2">
      <c r="G46" s="9"/>
      <c r="H46" s="9"/>
      <c r="I46" s="9"/>
      <c r="J46" s="9"/>
      <c r="K46" s="9"/>
      <c r="L46" s="9"/>
      <c r="M46" s="9"/>
      <c r="N46" s="9"/>
      <c r="O46" s="9"/>
      <c r="P46" s="9"/>
      <c r="Q46" s="9"/>
      <c r="R46" s="9"/>
      <c r="S46" s="9"/>
      <c r="T46" s="9"/>
      <c r="U46" s="9"/>
      <c r="V46" s="9"/>
      <c r="W46" s="9"/>
      <c r="X46" s="9"/>
      <c r="Y46" s="9"/>
      <c r="Z46" s="9"/>
      <c r="AA46" s="9"/>
      <c r="AB46" s="9"/>
      <c r="AC46" s="9"/>
      <c r="AD46" s="9"/>
    </row>
    <row r="47" spans="7:30" x14ac:dyDescent="0.2">
      <c r="G47" s="9"/>
      <c r="H47" s="9"/>
      <c r="I47" s="9"/>
      <c r="J47" s="9"/>
      <c r="K47" s="9"/>
      <c r="L47" s="9"/>
      <c r="M47" s="9"/>
      <c r="N47" s="9"/>
      <c r="O47" s="9"/>
      <c r="P47" s="9"/>
      <c r="Q47" s="9"/>
      <c r="R47" s="9"/>
      <c r="S47" s="9"/>
      <c r="T47" s="9"/>
      <c r="U47" s="9"/>
      <c r="V47" s="9"/>
      <c r="W47" s="9"/>
      <c r="X47" s="9"/>
      <c r="Y47" s="9"/>
      <c r="Z47" s="9"/>
      <c r="AA47" s="9"/>
      <c r="AB47" s="9"/>
      <c r="AC47" s="9"/>
      <c r="AD47" s="9"/>
    </row>
    <row r="48" spans="7:30" x14ac:dyDescent="0.2">
      <c r="G48" s="9"/>
      <c r="H48" s="9"/>
      <c r="I48" s="9"/>
      <c r="J48" s="9"/>
      <c r="K48" s="9"/>
      <c r="L48" s="9"/>
      <c r="M48" s="9"/>
      <c r="N48" s="9"/>
      <c r="O48" s="9"/>
      <c r="P48" s="9"/>
      <c r="Q48" s="9"/>
      <c r="R48" s="9"/>
      <c r="S48" s="9"/>
      <c r="T48" s="9"/>
      <c r="U48" s="9"/>
      <c r="V48" s="9"/>
      <c r="W48" s="9"/>
      <c r="X48" s="9"/>
      <c r="Y48" s="9"/>
      <c r="Z48" s="9"/>
      <c r="AA48" s="9"/>
      <c r="AB48" s="9"/>
      <c r="AC48" s="9"/>
      <c r="AD48" s="9"/>
    </row>
    <row r="49" spans="2:30" x14ac:dyDescent="0.2">
      <c r="G49" s="9"/>
      <c r="H49" s="9"/>
      <c r="I49" s="9"/>
      <c r="J49" s="9"/>
      <c r="K49" s="9"/>
      <c r="L49" s="9"/>
      <c r="M49" s="9"/>
      <c r="N49" s="9"/>
      <c r="O49" s="9"/>
      <c r="P49" s="9"/>
      <c r="Q49" s="9"/>
      <c r="R49" s="9"/>
      <c r="S49" s="9"/>
      <c r="T49" s="9"/>
      <c r="U49" s="9"/>
      <c r="V49" s="9"/>
      <c r="W49" s="9"/>
      <c r="X49" s="9"/>
      <c r="Y49" s="9"/>
      <c r="Z49" s="9"/>
      <c r="AA49" s="9"/>
      <c r="AB49" s="9"/>
      <c r="AC49" s="9"/>
      <c r="AD49" s="9"/>
    </row>
    <row r="50" spans="2:30" x14ac:dyDescent="0.2">
      <c r="G50" s="9"/>
      <c r="H50" s="9"/>
      <c r="I50" s="9"/>
      <c r="J50" s="9"/>
      <c r="K50" s="9"/>
      <c r="L50" s="9"/>
      <c r="M50" s="9"/>
      <c r="N50" s="9"/>
      <c r="O50" s="9"/>
      <c r="P50" s="9"/>
      <c r="Q50" s="9"/>
      <c r="R50" s="9"/>
      <c r="S50" s="9"/>
      <c r="T50" s="9"/>
      <c r="U50" s="9"/>
      <c r="V50" s="9"/>
      <c r="W50" s="9"/>
      <c r="X50" s="9"/>
      <c r="Y50" s="9"/>
      <c r="Z50" s="9"/>
      <c r="AA50" s="9"/>
      <c r="AB50" s="9"/>
      <c r="AC50" s="9"/>
      <c r="AD50" s="9"/>
    </row>
    <row r="51" spans="2:30" x14ac:dyDescent="0.2">
      <c r="G51" s="9"/>
      <c r="H51" s="9"/>
      <c r="I51" s="9"/>
      <c r="J51" s="9"/>
      <c r="K51" s="9"/>
      <c r="L51" s="9"/>
      <c r="M51" s="9"/>
      <c r="N51" s="9"/>
      <c r="O51" s="9"/>
      <c r="P51" s="9"/>
      <c r="Q51" s="9"/>
      <c r="R51" s="9"/>
      <c r="S51" s="9"/>
      <c r="T51" s="9"/>
      <c r="U51" s="9"/>
      <c r="V51" s="9"/>
      <c r="W51" s="9"/>
      <c r="X51" s="9"/>
      <c r="Y51" s="9"/>
      <c r="Z51" s="9"/>
      <c r="AA51" s="9"/>
      <c r="AB51" s="9"/>
      <c r="AC51" s="9"/>
      <c r="AD51" s="9"/>
    </row>
    <row r="52" spans="2:30" x14ac:dyDescent="0.2">
      <c r="G52" s="9"/>
      <c r="H52" s="9"/>
      <c r="I52" s="9"/>
      <c r="J52" s="9"/>
      <c r="K52" s="9"/>
      <c r="L52" s="9"/>
      <c r="M52" s="9"/>
      <c r="N52" s="9"/>
      <c r="O52" s="9"/>
      <c r="P52" s="9"/>
      <c r="Q52" s="9"/>
      <c r="R52" s="9"/>
      <c r="S52" s="9"/>
      <c r="T52" s="9"/>
      <c r="U52" s="9"/>
      <c r="V52" s="9"/>
      <c r="W52" s="9"/>
      <c r="X52" s="9"/>
      <c r="Y52" s="9"/>
      <c r="Z52" s="9"/>
      <c r="AA52" s="9"/>
      <c r="AB52" s="9"/>
      <c r="AC52" s="9"/>
      <c r="AD52" s="9"/>
    </row>
    <row r="53" spans="2:30" x14ac:dyDescent="0.2">
      <c r="G53" s="9"/>
      <c r="H53" s="9"/>
      <c r="I53" s="9"/>
      <c r="J53" s="9"/>
      <c r="K53" s="9"/>
      <c r="L53" s="9"/>
      <c r="M53" s="9"/>
      <c r="N53" s="9"/>
      <c r="O53" s="9"/>
      <c r="P53" s="9"/>
      <c r="Q53" s="9"/>
      <c r="R53" s="9"/>
      <c r="S53" s="9"/>
      <c r="T53" s="9"/>
      <c r="U53" s="9"/>
      <c r="V53" s="9"/>
      <c r="W53" s="9"/>
      <c r="X53" s="9"/>
      <c r="Y53" s="9"/>
      <c r="Z53" s="9"/>
      <c r="AA53" s="9"/>
      <c r="AB53" s="9"/>
      <c r="AC53" s="9"/>
      <c r="AD53" s="9"/>
    </row>
    <row r="54" spans="2:30" x14ac:dyDescent="0.2">
      <c r="G54" s="9"/>
      <c r="H54" s="9"/>
      <c r="I54" s="9"/>
      <c r="J54" s="9"/>
      <c r="K54" s="9"/>
      <c r="L54" s="9"/>
      <c r="M54" s="9"/>
      <c r="N54" s="9"/>
      <c r="O54" s="9"/>
      <c r="P54" s="9"/>
      <c r="Q54" s="9"/>
      <c r="R54" s="9"/>
      <c r="S54" s="9"/>
      <c r="T54" s="9"/>
      <c r="U54" s="9"/>
      <c r="V54" s="9"/>
      <c r="W54" s="9"/>
      <c r="X54" s="9"/>
      <c r="Y54" s="9"/>
      <c r="Z54" s="9"/>
      <c r="AA54" s="9"/>
      <c r="AB54" s="9"/>
      <c r="AC54" s="9"/>
      <c r="AD54" s="9"/>
    </row>
    <row r="55" spans="2:30" x14ac:dyDescent="0.2">
      <c r="G55" s="9"/>
      <c r="H55" s="9"/>
      <c r="I55" s="9"/>
      <c r="J55" s="9"/>
      <c r="K55" s="9"/>
      <c r="L55" s="9"/>
      <c r="M55" s="9"/>
      <c r="N55" s="9"/>
      <c r="O55" s="9"/>
      <c r="P55" s="9"/>
      <c r="Q55" s="9"/>
      <c r="R55" s="9"/>
      <c r="S55" s="9"/>
      <c r="T55" s="9"/>
      <c r="U55" s="9"/>
      <c r="V55" s="9"/>
      <c r="W55" s="9"/>
      <c r="X55" s="9"/>
      <c r="Y55" s="9"/>
      <c r="Z55" s="9"/>
      <c r="AA55" s="9"/>
      <c r="AB55" s="9"/>
      <c r="AC55" s="9"/>
      <c r="AD55" s="9"/>
    </row>
    <row r="56" spans="2:30" x14ac:dyDescent="0.2">
      <c r="G56" s="9"/>
      <c r="H56" s="9"/>
      <c r="I56" s="9"/>
      <c r="J56" s="9"/>
      <c r="K56" s="9"/>
      <c r="L56" s="9"/>
      <c r="M56" s="9"/>
      <c r="N56" s="9"/>
      <c r="O56" s="9"/>
      <c r="P56" s="9"/>
      <c r="Q56" s="9"/>
      <c r="R56" s="9"/>
      <c r="S56" s="9"/>
      <c r="T56" s="9"/>
      <c r="U56" s="9"/>
      <c r="V56" s="9"/>
      <c r="W56" s="9"/>
      <c r="X56" s="9"/>
      <c r="Y56" s="9"/>
      <c r="Z56" s="9"/>
      <c r="AA56" s="9"/>
      <c r="AB56" s="9"/>
      <c r="AC56" s="9"/>
      <c r="AD56" s="9"/>
    </row>
    <row r="57" spans="2:30" ht="15.75" x14ac:dyDescent="0.25">
      <c r="F57" s="15"/>
      <c r="G57" s="9"/>
      <c r="H57" s="9"/>
      <c r="I57" s="9"/>
      <c r="J57" s="9"/>
      <c r="K57" s="9"/>
      <c r="L57" s="9"/>
      <c r="M57" s="9"/>
      <c r="N57" s="9"/>
      <c r="O57" s="9"/>
      <c r="P57" s="9"/>
      <c r="Q57" s="9"/>
      <c r="R57" s="9"/>
      <c r="S57" s="9"/>
      <c r="T57" s="9"/>
      <c r="U57" s="9"/>
      <c r="V57" s="9"/>
      <c r="W57" s="9"/>
      <c r="X57" s="9"/>
      <c r="Y57" s="9"/>
      <c r="Z57" s="9"/>
      <c r="AA57" s="9"/>
      <c r="AB57" s="9"/>
      <c r="AC57" s="9"/>
      <c r="AD57" s="9"/>
    </row>
    <row r="58" spans="2:30" x14ac:dyDescent="0.2">
      <c r="H58" s="9"/>
      <c r="I58" s="9"/>
      <c r="J58" s="9"/>
      <c r="K58" s="9"/>
      <c r="L58" s="9"/>
      <c r="M58" s="9"/>
      <c r="N58" s="9"/>
      <c r="O58" s="9"/>
      <c r="P58" s="9"/>
      <c r="Q58" s="9"/>
      <c r="R58" s="9"/>
      <c r="S58" s="9"/>
      <c r="T58" s="9"/>
      <c r="U58" s="9"/>
      <c r="V58" s="9"/>
      <c r="W58" s="9"/>
      <c r="X58" s="9"/>
      <c r="Y58" s="9"/>
      <c r="Z58" s="9"/>
      <c r="AA58" s="9"/>
      <c r="AB58" s="9"/>
      <c r="AC58" s="9"/>
      <c r="AD58" s="9"/>
    </row>
    <row r="59" spans="2:30" x14ac:dyDescent="0.2">
      <c r="H59" s="9"/>
      <c r="I59" s="9"/>
      <c r="J59" s="9"/>
      <c r="K59" s="9"/>
      <c r="L59" s="9"/>
      <c r="M59" s="9"/>
      <c r="N59" s="9"/>
      <c r="O59" s="9"/>
      <c r="P59" s="9"/>
      <c r="Q59" s="9"/>
      <c r="R59" s="9"/>
      <c r="S59" s="9"/>
      <c r="T59" s="9"/>
      <c r="U59" s="9"/>
      <c r="V59" s="9"/>
      <c r="W59" s="9"/>
      <c r="X59" s="9"/>
      <c r="Y59" s="9"/>
      <c r="Z59" s="9"/>
      <c r="AA59" s="9"/>
      <c r="AB59" s="9"/>
      <c r="AC59" s="9"/>
      <c r="AD59" s="9"/>
    </row>
    <row r="60" spans="2:30" ht="15.75" x14ac:dyDescent="0.25">
      <c r="B60" s="50" t="s">
        <v>280</v>
      </c>
      <c r="G60" s="9"/>
      <c r="H60" s="9"/>
      <c r="I60" s="9"/>
      <c r="J60" s="9"/>
      <c r="K60" s="9"/>
      <c r="L60" s="9"/>
      <c r="M60" s="9"/>
      <c r="N60" s="9"/>
      <c r="O60" s="9"/>
      <c r="P60" s="9"/>
      <c r="Q60" s="9"/>
      <c r="R60" s="9"/>
      <c r="S60" s="9"/>
      <c r="T60" s="9"/>
      <c r="U60" s="9"/>
      <c r="V60" s="9"/>
      <c r="W60" s="9"/>
      <c r="X60" s="9"/>
      <c r="Y60" s="9"/>
      <c r="Z60" s="9"/>
      <c r="AA60" s="9"/>
      <c r="AB60" s="9"/>
      <c r="AC60" s="9"/>
      <c r="AD60" s="9"/>
    </row>
    <row r="61" spans="2:30" ht="16.5" thickBot="1" x14ac:dyDescent="0.3">
      <c r="C61" s="16" t="s">
        <v>3</v>
      </c>
      <c r="G61" s="9"/>
      <c r="H61" s="9"/>
      <c r="I61" s="9"/>
      <c r="J61" s="9"/>
      <c r="K61" s="9"/>
      <c r="L61" s="9"/>
      <c r="M61" s="9"/>
      <c r="N61" s="9"/>
      <c r="O61" s="9"/>
      <c r="P61" s="9"/>
      <c r="Q61" s="9"/>
      <c r="R61" s="9"/>
      <c r="S61" s="9"/>
      <c r="T61" s="9"/>
      <c r="U61" s="9"/>
      <c r="V61" s="9"/>
      <c r="W61" s="9"/>
      <c r="X61" s="9"/>
      <c r="Y61" s="9"/>
      <c r="Z61" s="9"/>
      <c r="AA61" s="9"/>
      <c r="AB61" s="9"/>
      <c r="AC61" s="9"/>
      <c r="AD61" s="9"/>
    </row>
    <row r="62" spans="2:30" x14ac:dyDescent="0.2">
      <c r="B62" s="13" t="s">
        <v>106</v>
      </c>
      <c r="C62" s="76">
        <v>4000</v>
      </c>
      <c r="D62" s="7" t="s">
        <v>41</v>
      </c>
      <c r="G62" s="58"/>
      <c r="H62" s="9"/>
      <c r="I62" s="9"/>
      <c r="J62" s="9"/>
      <c r="K62" s="9"/>
      <c r="L62" s="9"/>
      <c r="M62" s="9"/>
      <c r="N62" s="9"/>
      <c r="O62" s="9"/>
      <c r="P62" s="9"/>
      <c r="Q62" s="9"/>
      <c r="R62" s="9"/>
      <c r="S62" s="9"/>
      <c r="T62" s="9"/>
      <c r="U62" s="9"/>
      <c r="V62" s="9"/>
      <c r="W62" s="9"/>
      <c r="X62" s="9"/>
      <c r="Y62" s="9"/>
      <c r="Z62" s="9"/>
      <c r="AA62" s="9"/>
      <c r="AB62" s="9"/>
      <c r="AC62" s="9"/>
      <c r="AD62" s="9"/>
    </row>
    <row r="63" spans="2:30" x14ac:dyDescent="0.2">
      <c r="B63" s="13" t="s">
        <v>104</v>
      </c>
      <c r="C63" s="77">
        <v>1000</v>
      </c>
      <c r="D63" s="7" t="s">
        <v>41</v>
      </c>
      <c r="G63" s="58"/>
      <c r="H63" s="9"/>
      <c r="I63" s="9"/>
      <c r="J63" s="9"/>
      <c r="K63" s="9"/>
      <c r="L63" s="9"/>
      <c r="M63" s="9"/>
      <c r="N63" s="9"/>
      <c r="O63" s="9"/>
      <c r="P63" s="9"/>
      <c r="Q63" s="9"/>
      <c r="R63" s="9"/>
      <c r="S63" s="9"/>
      <c r="T63" s="9"/>
      <c r="U63" s="9"/>
      <c r="V63" s="9"/>
      <c r="W63" s="9"/>
      <c r="X63" s="9"/>
      <c r="Y63" s="9"/>
      <c r="Z63" s="9"/>
      <c r="AA63" s="9"/>
      <c r="AB63" s="9"/>
      <c r="AC63" s="9"/>
      <c r="AD63" s="9"/>
    </row>
    <row r="64" spans="2:30" x14ac:dyDescent="0.2">
      <c r="B64" s="13" t="s">
        <v>103</v>
      </c>
      <c r="C64" s="77">
        <v>90</v>
      </c>
      <c r="D64" s="7" t="s">
        <v>15</v>
      </c>
      <c r="G64" s="58"/>
      <c r="H64" s="9"/>
      <c r="I64" s="9"/>
      <c r="J64" s="9"/>
      <c r="K64" s="9"/>
      <c r="L64" s="9"/>
      <c r="M64" s="9"/>
      <c r="N64" s="9"/>
      <c r="O64" s="9"/>
      <c r="P64" s="9"/>
      <c r="Q64" s="9"/>
      <c r="R64" s="9"/>
      <c r="S64" s="9"/>
      <c r="T64" s="9"/>
      <c r="U64" s="9"/>
      <c r="V64" s="9"/>
      <c r="W64" s="9"/>
      <c r="X64" s="9"/>
      <c r="Y64" s="9"/>
      <c r="Z64" s="9"/>
      <c r="AA64" s="9"/>
      <c r="AB64" s="9"/>
      <c r="AC64" s="9"/>
      <c r="AD64" s="9"/>
    </row>
    <row r="65" spans="2:30" x14ac:dyDescent="0.2">
      <c r="B65" s="13" t="s">
        <v>105</v>
      </c>
      <c r="C65" s="77">
        <v>15</v>
      </c>
      <c r="D65" s="7" t="s">
        <v>15</v>
      </c>
      <c r="G65" s="58"/>
      <c r="H65" s="9"/>
      <c r="I65" s="9"/>
      <c r="J65" s="9"/>
      <c r="K65" s="9"/>
      <c r="L65" s="9"/>
      <c r="M65" s="9"/>
      <c r="N65" s="9"/>
      <c r="O65" s="9"/>
      <c r="P65" s="9"/>
      <c r="Q65" s="9"/>
      <c r="R65" s="9"/>
      <c r="S65" s="9"/>
      <c r="T65" s="9"/>
      <c r="U65" s="9"/>
      <c r="V65" s="9"/>
      <c r="W65" s="9"/>
      <c r="X65" s="9"/>
      <c r="Y65" s="9"/>
      <c r="Z65" s="9"/>
      <c r="AA65" s="9"/>
      <c r="AB65" s="9"/>
      <c r="AC65" s="9"/>
      <c r="AD65" s="9"/>
    </row>
    <row r="66" spans="2:30" x14ac:dyDescent="0.2">
      <c r="B66" s="13" t="s">
        <v>111</v>
      </c>
      <c r="C66" s="77">
        <v>30</v>
      </c>
      <c r="D66" s="7" t="s">
        <v>15</v>
      </c>
      <c r="H66" s="9"/>
      <c r="I66" s="9"/>
      <c r="J66" s="9"/>
      <c r="K66" s="9"/>
      <c r="L66" s="9"/>
      <c r="M66" s="9"/>
      <c r="N66" s="9"/>
      <c r="O66" s="9"/>
      <c r="P66" s="9"/>
      <c r="Q66" s="9"/>
      <c r="R66" s="9"/>
      <c r="S66" s="9"/>
      <c r="T66" s="9"/>
      <c r="U66" s="9"/>
      <c r="V66" s="9"/>
      <c r="W66" s="9"/>
      <c r="X66" s="9"/>
      <c r="Y66" s="9"/>
      <c r="Z66" s="9"/>
      <c r="AA66" s="9"/>
      <c r="AB66" s="9"/>
      <c r="AC66" s="9"/>
      <c r="AD66" s="9"/>
    </row>
    <row r="67" spans="2:30" x14ac:dyDescent="0.2">
      <c r="B67" s="13" t="s">
        <v>141</v>
      </c>
      <c r="C67" s="77">
        <v>30</v>
      </c>
      <c r="D67" s="7" t="s">
        <v>16</v>
      </c>
      <c r="G67" s="58"/>
      <c r="H67" s="9"/>
      <c r="I67" s="9"/>
      <c r="J67" s="9"/>
      <c r="K67" s="9"/>
      <c r="L67" s="9"/>
      <c r="M67" s="9"/>
      <c r="N67" s="9"/>
      <c r="O67" s="9"/>
      <c r="P67" s="9"/>
      <c r="Q67" s="9"/>
      <c r="R67" s="9"/>
      <c r="S67" s="9"/>
      <c r="T67" s="9"/>
      <c r="U67" s="9"/>
      <c r="V67" s="9"/>
      <c r="W67" s="9"/>
      <c r="X67" s="9"/>
      <c r="Y67" s="9"/>
      <c r="Z67" s="9"/>
      <c r="AA67" s="9"/>
      <c r="AB67" s="9"/>
      <c r="AC67" s="9"/>
      <c r="AD67" s="9"/>
    </row>
    <row r="68" spans="2:30" x14ac:dyDescent="0.2">
      <c r="B68" s="13" t="s">
        <v>142</v>
      </c>
      <c r="C68" s="77">
        <v>20</v>
      </c>
      <c r="D68" s="7" t="s">
        <v>16</v>
      </c>
      <c r="G68" s="58"/>
      <c r="H68" s="9"/>
      <c r="I68" s="9"/>
      <c r="J68" s="9"/>
      <c r="K68" s="9"/>
      <c r="L68" s="9"/>
      <c r="M68" s="9"/>
      <c r="N68" s="9"/>
      <c r="O68" s="9"/>
      <c r="P68" s="9"/>
      <c r="Q68" s="9"/>
      <c r="R68" s="9"/>
      <c r="S68" s="9"/>
      <c r="T68" s="9"/>
      <c r="U68" s="9"/>
      <c r="V68" s="9"/>
      <c r="W68" s="9"/>
      <c r="X68" s="9"/>
      <c r="Y68" s="9"/>
      <c r="Z68" s="9"/>
      <c r="AA68" s="9"/>
      <c r="AB68" s="9"/>
      <c r="AC68" s="9"/>
      <c r="AD68" s="9"/>
    </row>
    <row r="69" spans="2:30" x14ac:dyDescent="0.2">
      <c r="B69" s="13" t="s">
        <v>108</v>
      </c>
      <c r="C69" s="77">
        <v>8</v>
      </c>
      <c r="D69" s="7" t="s">
        <v>16</v>
      </c>
      <c r="G69" s="58"/>
      <c r="H69" s="9"/>
      <c r="I69" s="9"/>
      <c r="J69" s="9"/>
      <c r="K69" s="9"/>
      <c r="L69" s="9"/>
      <c r="M69" s="9"/>
      <c r="N69" s="9"/>
      <c r="O69" s="9"/>
      <c r="P69" s="9"/>
      <c r="Q69" s="9"/>
      <c r="R69" s="9"/>
      <c r="S69" s="9"/>
      <c r="T69" s="9"/>
      <c r="U69" s="9"/>
      <c r="V69" s="9"/>
      <c r="W69" s="9"/>
      <c r="X69" s="9"/>
      <c r="Y69" s="9"/>
      <c r="Z69" s="9"/>
      <c r="AA69" s="9"/>
      <c r="AB69" s="9"/>
      <c r="AC69" s="9"/>
      <c r="AD69" s="9"/>
    </row>
    <row r="70" spans="2:30" x14ac:dyDescent="0.2">
      <c r="B70" s="13" t="s">
        <v>107</v>
      </c>
      <c r="C70" s="77">
        <v>40</v>
      </c>
      <c r="D70" s="7" t="s">
        <v>16</v>
      </c>
      <c r="G70" s="58"/>
      <c r="H70" s="9"/>
      <c r="I70" s="9"/>
      <c r="J70" s="9"/>
      <c r="K70" s="9"/>
      <c r="L70" s="9"/>
      <c r="M70" s="9"/>
      <c r="N70" s="9"/>
      <c r="O70" s="9"/>
      <c r="P70" s="9"/>
      <c r="Q70" s="9"/>
      <c r="R70" s="9"/>
      <c r="S70" s="9"/>
      <c r="T70" s="9"/>
      <c r="U70" s="9"/>
      <c r="V70" s="9"/>
      <c r="W70" s="9"/>
      <c r="X70" s="9"/>
      <c r="Y70" s="9"/>
      <c r="Z70" s="9"/>
      <c r="AA70" s="9"/>
      <c r="AB70" s="9"/>
      <c r="AC70" s="9"/>
      <c r="AD70" s="9"/>
    </row>
    <row r="71" spans="2:30" x14ac:dyDescent="0.2">
      <c r="B71" s="13" t="s">
        <v>260</v>
      </c>
      <c r="C71" s="77">
        <v>6</v>
      </c>
      <c r="D71" s="7" t="s">
        <v>16</v>
      </c>
      <c r="G71" s="58"/>
      <c r="H71" s="9"/>
      <c r="I71" s="9"/>
      <c r="J71" s="9"/>
      <c r="K71" s="9"/>
      <c r="L71" s="9"/>
      <c r="M71" s="9"/>
      <c r="N71" s="9"/>
      <c r="O71" s="9"/>
      <c r="P71" s="9"/>
      <c r="Q71" s="9"/>
      <c r="R71" s="9"/>
      <c r="S71" s="9"/>
      <c r="T71" s="9"/>
      <c r="U71" s="9"/>
      <c r="V71" s="9"/>
      <c r="W71" s="9"/>
      <c r="X71" s="9"/>
      <c r="Y71" s="9"/>
      <c r="Z71" s="9"/>
      <c r="AA71" s="9"/>
      <c r="AB71" s="9"/>
      <c r="AC71" s="9"/>
      <c r="AD71" s="9"/>
    </row>
    <row r="72" spans="2:30" x14ac:dyDescent="0.2">
      <c r="B72" s="13" t="s">
        <v>140</v>
      </c>
      <c r="C72" s="77">
        <v>3.5</v>
      </c>
      <c r="D72" s="7" t="s">
        <v>16</v>
      </c>
      <c r="G72" s="58"/>
      <c r="H72" s="9"/>
      <c r="I72" s="9"/>
      <c r="J72" s="9"/>
      <c r="K72" s="9"/>
      <c r="L72" s="9"/>
      <c r="M72" s="9"/>
      <c r="N72" s="9"/>
      <c r="O72" s="9"/>
      <c r="P72" s="9"/>
      <c r="Q72" s="9"/>
      <c r="R72" s="9"/>
      <c r="S72" s="9"/>
      <c r="T72" s="9"/>
      <c r="U72" s="9"/>
      <c r="V72" s="9"/>
      <c r="W72" s="9"/>
      <c r="X72" s="9"/>
      <c r="Y72" s="9"/>
      <c r="Z72" s="9"/>
      <c r="AA72" s="9"/>
      <c r="AB72" s="9"/>
      <c r="AC72" s="9"/>
      <c r="AD72" s="9"/>
    </row>
    <row r="73" spans="2:30" ht="15.75" thickBot="1" x14ac:dyDescent="0.25">
      <c r="B73" s="13" t="s">
        <v>77</v>
      </c>
      <c r="C73" s="80">
        <v>36</v>
      </c>
      <c r="D73" s="7" t="s">
        <v>41</v>
      </c>
      <c r="G73" s="58"/>
      <c r="H73" s="9"/>
      <c r="I73" s="9"/>
      <c r="J73" s="9"/>
      <c r="K73" s="9"/>
      <c r="L73" s="9"/>
      <c r="M73" s="9"/>
      <c r="N73" s="9"/>
      <c r="O73" s="9"/>
      <c r="P73" s="9"/>
      <c r="Q73" s="9"/>
      <c r="R73" s="9"/>
      <c r="S73" s="9"/>
      <c r="T73" s="9"/>
      <c r="U73" s="9"/>
      <c r="V73" s="9"/>
      <c r="W73" s="9"/>
      <c r="X73" s="9"/>
      <c r="Y73" s="9"/>
      <c r="Z73" s="9"/>
      <c r="AA73" s="9"/>
      <c r="AB73" s="9"/>
      <c r="AC73" s="9"/>
      <c r="AD73" s="9"/>
    </row>
    <row r="74" spans="2:30" ht="15.75" x14ac:dyDescent="0.25">
      <c r="B74" s="50" t="s">
        <v>318</v>
      </c>
      <c r="C74" s="16" t="s">
        <v>110</v>
      </c>
      <c r="G74" s="9"/>
      <c r="H74" s="9"/>
      <c r="I74" s="9"/>
      <c r="J74" s="9"/>
      <c r="K74" s="9"/>
      <c r="L74" s="9"/>
      <c r="M74" s="9"/>
      <c r="N74" s="9"/>
      <c r="O74" s="9"/>
      <c r="P74" s="9"/>
      <c r="Q74" s="9"/>
      <c r="R74" s="9"/>
      <c r="S74" s="9"/>
      <c r="T74" s="9"/>
      <c r="U74" s="9"/>
      <c r="V74" s="9"/>
      <c r="W74" s="9"/>
      <c r="X74" s="9"/>
      <c r="Y74" s="9"/>
      <c r="Z74" s="9"/>
      <c r="AA74" s="9"/>
      <c r="AB74" s="9"/>
      <c r="AC74" s="9"/>
      <c r="AD74" s="9"/>
    </row>
    <row r="75" spans="2:30" x14ac:dyDescent="0.2">
      <c r="B75" s="13" t="s">
        <v>109</v>
      </c>
      <c r="C75" s="7" t="s">
        <v>281</v>
      </c>
      <c r="G75" s="9"/>
      <c r="H75" s="9"/>
      <c r="I75" s="9"/>
      <c r="J75" s="9"/>
      <c r="K75" s="9"/>
      <c r="L75" s="9"/>
      <c r="M75" s="9"/>
      <c r="N75" s="9"/>
      <c r="O75" s="9"/>
      <c r="P75" s="9"/>
      <c r="Q75" s="9"/>
      <c r="R75" s="9"/>
      <c r="S75" s="9"/>
      <c r="T75" s="9"/>
      <c r="U75" s="9"/>
      <c r="V75" s="9"/>
      <c r="W75" s="9"/>
      <c r="X75" s="9"/>
      <c r="Y75" s="9"/>
      <c r="Z75" s="9"/>
      <c r="AA75" s="9"/>
      <c r="AB75" s="9"/>
      <c r="AC75" s="9"/>
      <c r="AD75" s="9"/>
    </row>
    <row r="76" spans="2:30" x14ac:dyDescent="0.2">
      <c r="B76" s="13" t="s">
        <v>109</v>
      </c>
      <c r="C76" s="14">
        <f>(C62 - C63)*(C67 / 2) / (C68 / 2)</f>
        <v>4500</v>
      </c>
      <c r="D76" s="7" t="s">
        <v>41</v>
      </c>
      <c r="G76" s="9"/>
      <c r="H76" s="9"/>
      <c r="I76" s="9"/>
      <c r="J76" s="9"/>
      <c r="K76" s="9"/>
      <c r="L76" s="9"/>
      <c r="M76" s="9"/>
      <c r="N76" s="9"/>
      <c r="O76" s="9"/>
      <c r="P76" s="9"/>
      <c r="Q76" s="9"/>
      <c r="R76" s="9"/>
      <c r="S76" s="9"/>
      <c r="T76" s="9"/>
      <c r="U76" s="9"/>
      <c r="V76" s="9"/>
      <c r="W76" s="9"/>
      <c r="X76" s="9"/>
      <c r="Y76" s="9"/>
      <c r="Z76" s="9"/>
      <c r="AA76" s="9"/>
      <c r="AB76" s="9"/>
      <c r="AC76" s="9"/>
      <c r="AD76" s="9"/>
    </row>
    <row r="77" spans="2:30" x14ac:dyDescent="0.2">
      <c r="B77" s="13" t="s">
        <v>282</v>
      </c>
      <c r="C77" s="14" t="s">
        <v>115</v>
      </c>
      <c r="G77" s="9"/>
      <c r="H77" s="9"/>
      <c r="I77" s="9"/>
      <c r="J77" s="9"/>
      <c r="K77" s="9"/>
      <c r="L77" s="9"/>
      <c r="M77" s="9"/>
      <c r="N77" s="9"/>
      <c r="O77" s="9"/>
      <c r="P77" s="9"/>
      <c r="Q77" s="9"/>
      <c r="R77" s="9"/>
      <c r="S77" s="9"/>
      <c r="T77" s="9"/>
      <c r="U77" s="9"/>
      <c r="V77" s="9"/>
      <c r="W77" s="9"/>
      <c r="X77" s="9"/>
      <c r="Y77" s="9"/>
      <c r="Z77" s="9"/>
      <c r="AA77" s="9"/>
      <c r="AB77" s="9"/>
      <c r="AC77" s="9"/>
      <c r="AD77" s="9"/>
    </row>
    <row r="78" spans="2:30" x14ac:dyDescent="0.2">
      <c r="B78" s="13" t="s">
        <v>46</v>
      </c>
      <c r="C78" s="44">
        <f>C62*COS(C65/57.2957)+(C63*SIN(C64/57.2957))</f>
        <v>4863.7029290206683</v>
      </c>
      <c r="D78" s="7" t="s">
        <v>41</v>
      </c>
      <c r="G78" s="9"/>
      <c r="H78" s="9"/>
      <c r="I78" s="9"/>
      <c r="J78" s="9"/>
      <c r="K78" s="9"/>
      <c r="L78" s="9"/>
      <c r="M78" s="9"/>
      <c r="N78" s="9"/>
      <c r="O78" s="9"/>
      <c r="P78" s="9"/>
      <c r="Q78" s="9"/>
      <c r="R78" s="9"/>
      <c r="S78" s="9"/>
      <c r="T78" s="9"/>
      <c r="U78" s="9"/>
      <c r="V78" s="9"/>
      <c r="W78" s="9"/>
      <c r="X78" s="9"/>
      <c r="Y78" s="9"/>
      <c r="Z78" s="9"/>
      <c r="AA78" s="9"/>
      <c r="AB78" s="9"/>
      <c r="AC78" s="9"/>
      <c r="AD78" s="9"/>
    </row>
    <row r="79" spans="2:30" x14ac:dyDescent="0.2">
      <c r="B79" s="13" t="s">
        <v>116</v>
      </c>
      <c r="C79" s="7" t="s">
        <v>117</v>
      </c>
      <c r="E79" s="13"/>
      <c r="G79" s="9"/>
      <c r="H79" s="9"/>
      <c r="I79" s="9"/>
      <c r="J79" s="9"/>
      <c r="K79" s="9"/>
      <c r="L79" s="9"/>
      <c r="M79" s="9"/>
      <c r="N79" s="9"/>
      <c r="O79" s="9"/>
      <c r="P79" s="9"/>
      <c r="Q79" s="9"/>
      <c r="R79" s="9"/>
      <c r="S79" s="9"/>
      <c r="T79" s="9"/>
      <c r="U79" s="9"/>
      <c r="V79" s="9"/>
      <c r="W79" s="9"/>
      <c r="X79" s="9"/>
      <c r="Y79" s="9"/>
      <c r="Z79" s="9"/>
      <c r="AA79" s="9"/>
      <c r="AB79" s="9"/>
      <c r="AC79" s="9"/>
      <c r="AD79" s="9"/>
    </row>
    <row r="80" spans="2:30" x14ac:dyDescent="0.2">
      <c r="B80" s="13" t="s">
        <v>118</v>
      </c>
      <c r="C80" s="44">
        <f>C76 * SIN(C66/57.2957)</f>
        <v>2250.0028317716938</v>
      </c>
      <c r="D80" s="7" t="s">
        <v>41</v>
      </c>
      <c r="E80" s="13"/>
      <c r="G80" s="9"/>
      <c r="H80" s="9"/>
      <c r="I80" s="9"/>
      <c r="J80" s="9"/>
      <c r="K80" s="9"/>
      <c r="L80" s="9"/>
      <c r="M80" s="9"/>
      <c r="N80" s="9"/>
      <c r="O80" s="9"/>
      <c r="P80" s="9"/>
      <c r="Q80" s="9"/>
      <c r="R80" s="9"/>
      <c r="S80" s="9"/>
      <c r="T80" s="9"/>
      <c r="U80" s="9"/>
      <c r="V80" s="9"/>
      <c r="W80" s="9"/>
      <c r="X80" s="9"/>
      <c r="Y80" s="9"/>
      <c r="Z80" s="9"/>
      <c r="AA80" s="9"/>
      <c r="AB80" s="9"/>
      <c r="AC80" s="9"/>
      <c r="AD80" s="9"/>
    </row>
    <row r="81" spans="2:30" x14ac:dyDescent="0.2">
      <c r="B81" s="13" t="s">
        <v>120</v>
      </c>
      <c r="C81" s="44" t="s">
        <v>121</v>
      </c>
      <c r="E81" s="13"/>
      <c r="G81" s="9"/>
      <c r="H81" s="9"/>
      <c r="I81" s="9"/>
      <c r="J81" s="9"/>
      <c r="K81" s="9"/>
      <c r="L81" s="9"/>
      <c r="M81" s="9"/>
      <c r="N81" s="9"/>
      <c r="O81" s="9"/>
      <c r="P81" s="9"/>
      <c r="Q81" s="9"/>
      <c r="R81" s="9"/>
      <c r="S81" s="9"/>
      <c r="T81" s="9"/>
      <c r="U81" s="9"/>
      <c r="V81" s="9"/>
      <c r="W81" s="9"/>
      <c r="X81" s="9"/>
      <c r="Y81" s="9"/>
      <c r="Z81" s="9"/>
      <c r="AA81" s="9"/>
      <c r="AB81" s="9"/>
      <c r="AC81" s="9"/>
      <c r="AD81" s="9"/>
    </row>
    <row r="82" spans="2:30" x14ac:dyDescent="0.2">
      <c r="B82" s="13" t="s">
        <v>38</v>
      </c>
      <c r="C82" s="44">
        <f>C78 / 2</f>
        <v>2431.8514645103342</v>
      </c>
      <c r="D82" s="7" t="s">
        <v>41</v>
      </c>
      <c r="E82" s="7" t="s">
        <v>19</v>
      </c>
      <c r="G82" s="9"/>
      <c r="H82" s="9"/>
      <c r="I82" s="9"/>
      <c r="J82" s="9"/>
      <c r="K82" s="9"/>
      <c r="L82" s="9"/>
      <c r="M82" s="9"/>
      <c r="N82" s="9"/>
      <c r="O82" s="9"/>
      <c r="P82" s="9"/>
      <c r="Q82" s="9"/>
      <c r="R82" s="9"/>
      <c r="S82" s="9"/>
      <c r="T82" s="9"/>
      <c r="U82" s="9"/>
      <c r="V82" s="9"/>
      <c r="W82" s="9"/>
      <c r="X82" s="9"/>
      <c r="Y82" s="9"/>
      <c r="Z82" s="9"/>
      <c r="AA82" s="9"/>
      <c r="AB82" s="9"/>
      <c r="AC82" s="9"/>
      <c r="AD82" s="9"/>
    </row>
    <row r="83" spans="2:30" x14ac:dyDescent="0.2">
      <c r="B83" s="13" t="s">
        <v>122</v>
      </c>
      <c r="C83" s="44" t="s">
        <v>121</v>
      </c>
      <c r="G83" s="9"/>
      <c r="H83" s="9"/>
      <c r="I83" s="9"/>
      <c r="J83" s="9"/>
      <c r="K83" s="9"/>
      <c r="L83" s="9"/>
      <c r="M83" s="9"/>
      <c r="N83" s="9"/>
      <c r="O83" s="9"/>
      <c r="P83" s="9"/>
      <c r="Q83" s="9"/>
      <c r="R83" s="9"/>
      <c r="S83" s="9"/>
      <c r="T83" s="9"/>
      <c r="U83" s="9"/>
      <c r="V83" s="9"/>
      <c r="W83" s="9"/>
      <c r="X83" s="9"/>
      <c r="Y83" s="9"/>
      <c r="Z83" s="9"/>
      <c r="AA83" s="9"/>
      <c r="AB83" s="9"/>
      <c r="AC83" s="9"/>
      <c r="AD83" s="9"/>
    </row>
    <row r="84" spans="2:30" x14ac:dyDescent="0.2">
      <c r="B84" s="13" t="s">
        <v>61</v>
      </c>
      <c r="C84" s="44">
        <f>C78 / 2</f>
        <v>2431.8514645103342</v>
      </c>
      <c r="D84" s="7" t="s">
        <v>41</v>
      </c>
      <c r="G84" s="9"/>
      <c r="H84" s="9"/>
      <c r="I84" s="9"/>
      <c r="J84" s="9"/>
      <c r="K84" s="9"/>
      <c r="L84" s="9"/>
      <c r="M84" s="9"/>
      <c r="N84" s="9"/>
      <c r="O84" s="9"/>
      <c r="P84" s="9"/>
      <c r="Q84" s="9"/>
      <c r="R84" s="9"/>
      <c r="S84" s="9"/>
      <c r="T84" s="9"/>
      <c r="U84" s="9"/>
      <c r="V84" s="9"/>
      <c r="W84" s="9"/>
      <c r="X84" s="9"/>
      <c r="Y84" s="9"/>
      <c r="Z84" s="9"/>
      <c r="AA84" s="9"/>
      <c r="AB84" s="9"/>
      <c r="AC84" s="9"/>
      <c r="AD84" s="9"/>
    </row>
    <row r="85" spans="2:30" ht="15.75" x14ac:dyDescent="0.25">
      <c r="B85" s="50" t="s">
        <v>123</v>
      </c>
      <c r="C85" s="86"/>
      <c r="G85" s="9"/>
      <c r="H85" s="9"/>
      <c r="I85" s="9"/>
      <c r="J85" s="9"/>
      <c r="K85" s="9"/>
      <c r="L85" s="9"/>
      <c r="M85" s="9"/>
      <c r="N85" s="9"/>
      <c r="O85" s="9"/>
      <c r="P85" s="9"/>
      <c r="Q85" s="9"/>
      <c r="R85" s="9"/>
      <c r="S85" s="9"/>
      <c r="T85" s="9"/>
      <c r="U85" s="9"/>
      <c r="V85" s="9"/>
      <c r="W85" s="9"/>
      <c r="X85" s="9"/>
      <c r="Y85" s="9"/>
      <c r="Z85" s="9"/>
      <c r="AA85" s="9"/>
      <c r="AB85" s="9"/>
      <c r="AC85" s="9"/>
      <c r="AD85" s="9"/>
    </row>
    <row r="86" spans="2:30" x14ac:dyDescent="0.2">
      <c r="B86" s="13" t="s">
        <v>113</v>
      </c>
      <c r="C86" s="86" t="s">
        <v>258</v>
      </c>
      <c r="G86" s="9"/>
      <c r="H86" s="9"/>
      <c r="I86" s="9"/>
      <c r="J86" s="9"/>
      <c r="K86" s="9"/>
      <c r="L86" s="9"/>
      <c r="M86" s="9"/>
      <c r="N86" s="9"/>
      <c r="O86" s="9"/>
      <c r="P86" s="9"/>
      <c r="Q86" s="9"/>
      <c r="R86" s="9"/>
      <c r="S86" s="9"/>
      <c r="T86" s="9"/>
      <c r="U86" s="9"/>
      <c r="V86" s="9"/>
      <c r="W86" s="9"/>
      <c r="X86" s="9"/>
      <c r="Y86" s="9"/>
      <c r="Z86" s="9"/>
      <c r="AA86" s="9"/>
      <c r="AB86" s="9"/>
      <c r="AC86" s="9"/>
      <c r="AD86" s="9"/>
    </row>
    <row r="87" spans="2:30" x14ac:dyDescent="0.2">
      <c r="B87" s="13" t="s">
        <v>112</v>
      </c>
      <c r="C87" s="86" t="s">
        <v>259</v>
      </c>
      <c r="G87" s="9"/>
      <c r="H87" s="9"/>
      <c r="I87" s="9"/>
      <c r="J87" s="9"/>
      <c r="K87" s="9"/>
      <c r="L87" s="9"/>
      <c r="M87" s="9"/>
      <c r="N87" s="9"/>
      <c r="O87" s="9"/>
      <c r="P87" s="9"/>
      <c r="Q87" s="9"/>
      <c r="R87" s="9"/>
      <c r="S87" s="9"/>
      <c r="T87" s="9"/>
      <c r="U87" s="9"/>
      <c r="V87" s="9"/>
      <c r="W87" s="9"/>
      <c r="X87" s="9"/>
      <c r="Y87" s="9"/>
      <c r="Z87" s="9"/>
      <c r="AA87" s="9"/>
      <c r="AB87" s="9"/>
      <c r="AC87" s="9"/>
      <c r="AD87" s="9"/>
    </row>
    <row r="88" spans="2:30" x14ac:dyDescent="0.2">
      <c r="B88" s="13" t="s">
        <v>114</v>
      </c>
      <c r="C88" s="44">
        <f>( C82*(C70 - C69) + (C84 * C69) - (C80 * C71) ) / C70</f>
        <v>2094.3510397445802</v>
      </c>
      <c r="D88" s="7" t="s">
        <v>41</v>
      </c>
      <c r="G88" s="9"/>
      <c r="H88" s="9"/>
      <c r="I88" s="9"/>
      <c r="J88" s="9"/>
      <c r="K88" s="9"/>
      <c r="L88" s="9"/>
      <c r="M88" s="9"/>
      <c r="N88" s="9"/>
      <c r="O88" s="9"/>
      <c r="P88" s="9"/>
      <c r="Q88" s="9"/>
      <c r="R88" s="9"/>
      <c r="S88" s="9"/>
      <c r="T88" s="9"/>
      <c r="U88" s="9"/>
      <c r="V88" s="9"/>
      <c r="W88" s="9"/>
      <c r="X88" s="9"/>
      <c r="Y88" s="9"/>
      <c r="Z88" s="9"/>
      <c r="AA88" s="9"/>
      <c r="AB88" s="9"/>
      <c r="AC88" s="9"/>
      <c r="AD88" s="9"/>
    </row>
    <row r="89" spans="2:30" x14ac:dyDescent="0.2">
      <c r="B89" s="13" t="s">
        <v>126</v>
      </c>
      <c r="C89" s="44" t="s">
        <v>127</v>
      </c>
      <c r="G89" s="9"/>
      <c r="H89" s="9"/>
      <c r="I89" s="9"/>
      <c r="J89" s="9"/>
      <c r="K89" s="9"/>
      <c r="L89" s="9"/>
      <c r="M89" s="9"/>
      <c r="N89" s="9"/>
      <c r="O89" s="9"/>
      <c r="P89" s="9"/>
      <c r="Q89" s="9"/>
      <c r="R89" s="9"/>
      <c r="S89" s="9"/>
      <c r="T89" s="9"/>
      <c r="U89" s="9"/>
      <c r="V89" s="9"/>
      <c r="W89" s="9"/>
      <c r="X89" s="9"/>
      <c r="Y89" s="9"/>
      <c r="Z89" s="9"/>
      <c r="AA89" s="9"/>
      <c r="AB89" s="9"/>
      <c r="AC89" s="9"/>
      <c r="AD89" s="9"/>
    </row>
    <row r="90" spans="2:30" x14ac:dyDescent="0.2">
      <c r="B90" s="13" t="s">
        <v>128</v>
      </c>
      <c r="C90" s="44">
        <f>C82 + C84 + C80 - C88</f>
        <v>5019.3547210477809</v>
      </c>
      <c r="D90" s="7" t="s">
        <v>41</v>
      </c>
      <c r="G90" s="9"/>
      <c r="H90" s="9"/>
      <c r="I90" s="9"/>
      <c r="J90" s="9"/>
      <c r="K90" s="9"/>
      <c r="L90" s="9"/>
      <c r="M90" s="9"/>
      <c r="N90" s="9"/>
      <c r="O90" s="9"/>
      <c r="P90" s="9"/>
      <c r="Q90" s="9"/>
      <c r="R90" s="9"/>
      <c r="S90" s="9"/>
      <c r="T90" s="9"/>
      <c r="U90" s="9"/>
      <c r="V90" s="9"/>
      <c r="W90" s="9"/>
      <c r="X90" s="9"/>
      <c r="Y90" s="9"/>
      <c r="Z90" s="9"/>
      <c r="AA90" s="9"/>
      <c r="AB90" s="9"/>
      <c r="AC90" s="9"/>
      <c r="AD90" s="9"/>
    </row>
    <row r="91" spans="2:30" ht="15.75" x14ac:dyDescent="0.25">
      <c r="B91" s="50" t="s">
        <v>132</v>
      </c>
      <c r="G91" s="9"/>
      <c r="H91" s="9"/>
      <c r="I91" s="9"/>
      <c r="J91" s="9"/>
      <c r="K91" s="9"/>
      <c r="L91" s="9"/>
      <c r="M91" s="9"/>
      <c r="N91" s="9"/>
      <c r="O91" s="9"/>
      <c r="P91" s="9"/>
      <c r="Q91" s="9"/>
      <c r="R91" s="9"/>
      <c r="S91" s="9"/>
      <c r="T91" s="9"/>
      <c r="U91" s="9"/>
      <c r="V91" s="9"/>
      <c r="W91" s="9"/>
      <c r="X91" s="9"/>
      <c r="Y91" s="9"/>
      <c r="Z91" s="9"/>
      <c r="AA91" s="9"/>
      <c r="AB91" s="9"/>
      <c r="AC91" s="9"/>
      <c r="AD91" s="9"/>
    </row>
    <row r="92" spans="2:30" x14ac:dyDescent="0.2">
      <c r="B92" s="13" t="s">
        <v>147</v>
      </c>
      <c r="C92" s="14" t="s">
        <v>129</v>
      </c>
      <c r="G92" s="9"/>
      <c r="H92" s="9"/>
      <c r="I92" s="9"/>
      <c r="J92" s="9"/>
      <c r="K92" s="9"/>
      <c r="L92" s="9"/>
      <c r="M92" s="9"/>
      <c r="N92" s="9"/>
      <c r="O92" s="9"/>
      <c r="P92" s="9"/>
      <c r="Q92" s="9"/>
      <c r="R92" s="9"/>
      <c r="S92" s="9"/>
      <c r="T92" s="9"/>
      <c r="U92" s="9"/>
      <c r="V92" s="9"/>
      <c r="W92" s="9"/>
      <c r="X92" s="9"/>
      <c r="Y92" s="9"/>
      <c r="Z92" s="9"/>
      <c r="AA92" s="9"/>
      <c r="AB92" s="9"/>
      <c r="AC92" s="9"/>
      <c r="AD92" s="9"/>
    </row>
    <row r="93" spans="2:30" x14ac:dyDescent="0.2">
      <c r="B93" s="13" t="s">
        <v>147</v>
      </c>
      <c r="C93" s="44">
        <f>C88 * C69</f>
        <v>16754.808317956642</v>
      </c>
      <c r="D93" s="7" t="s">
        <v>130</v>
      </c>
      <c r="G93" s="9"/>
      <c r="H93" s="9"/>
      <c r="I93" s="9"/>
      <c r="J93" s="9"/>
      <c r="K93" s="9"/>
      <c r="L93" s="9"/>
      <c r="M93" s="9"/>
      <c r="N93" s="9"/>
      <c r="O93" s="9"/>
      <c r="P93" s="9"/>
      <c r="Q93" s="9"/>
      <c r="R93" s="9"/>
      <c r="S93" s="9"/>
      <c r="T93" s="9"/>
      <c r="U93" s="9"/>
      <c r="V93" s="9"/>
      <c r="W93" s="9"/>
      <c r="X93" s="9"/>
      <c r="Y93" s="9"/>
      <c r="Z93" s="9"/>
      <c r="AA93" s="9"/>
      <c r="AB93" s="9"/>
      <c r="AC93" s="9"/>
      <c r="AD93" s="9"/>
    </row>
    <row r="94" spans="2:30" x14ac:dyDescent="0.2">
      <c r="B94" s="13" t="s">
        <v>148</v>
      </c>
      <c r="C94" s="44" t="s">
        <v>131</v>
      </c>
      <c r="G94" s="9"/>
      <c r="H94" s="9"/>
      <c r="I94" s="9"/>
      <c r="J94" s="9"/>
      <c r="K94" s="9"/>
      <c r="L94" s="9"/>
      <c r="M94" s="9"/>
      <c r="N94" s="9"/>
      <c r="O94" s="9"/>
      <c r="P94" s="9"/>
      <c r="Q94" s="9"/>
      <c r="R94" s="9"/>
      <c r="S94" s="9"/>
      <c r="T94" s="9"/>
      <c r="U94" s="9"/>
      <c r="V94" s="9"/>
      <c r="W94" s="9"/>
      <c r="X94" s="9"/>
      <c r="Y94" s="9"/>
      <c r="Z94" s="9"/>
      <c r="AA94" s="9"/>
      <c r="AB94" s="9"/>
      <c r="AC94" s="9"/>
      <c r="AD94" s="9"/>
    </row>
    <row r="95" spans="2:30" x14ac:dyDescent="0.2">
      <c r="B95" s="13" t="s">
        <v>148</v>
      </c>
      <c r="C95" s="44">
        <f>(C88*(C70-C69)-(C82*(C70-2*C69)))</f>
        <v>8654.7981235785483</v>
      </c>
      <c r="D95" s="7" t="s">
        <v>130</v>
      </c>
      <c r="G95" s="9"/>
      <c r="H95" s="9"/>
      <c r="I95" s="9"/>
      <c r="J95" s="9"/>
      <c r="K95" s="9"/>
      <c r="L95" s="9"/>
      <c r="M95" s="9"/>
      <c r="N95" s="9"/>
      <c r="O95" s="9"/>
      <c r="P95" s="9"/>
      <c r="Q95" s="9"/>
      <c r="R95" s="9"/>
      <c r="S95" s="9"/>
      <c r="T95" s="9"/>
      <c r="U95" s="9"/>
      <c r="V95" s="9"/>
      <c r="W95" s="9"/>
      <c r="X95" s="9"/>
      <c r="Y95" s="9"/>
      <c r="Z95" s="9"/>
      <c r="AA95" s="9"/>
      <c r="AB95" s="9"/>
      <c r="AC95" s="9"/>
      <c r="AD95" s="9"/>
    </row>
    <row r="96" spans="2:30" x14ac:dyDescent="0.2">
      <c r="B96" s="13" t="s">
        <v>149</v>
      </c>
      <c r="C96" s="87" t="s">
        <v>224</v>
      </c>
      <c r="G96" s="9"/>
      <c r="H96" s="9"/>
      <c r="I96" s="9"/>
      <c r="J96" s="9"/>
      <c r="K96" s="9"/>
      <c r="L96" s="9"/>
      <c r="M96" s="9"/>
      <c r="N96" s="9"/>
      <c r="O96" s="9"/>
      <c r="P96" s="9"/>
      <c r="Q96" s="9"/>
      <c r="R96" s="9"/>
      <c r="S96" s="9"/>
      <c r="T96" s="9"/>
      <c r="U96" s="9"/>
      <c r="V96" s="9"/>
      <c r="W96" s="9"/>
      <c r="X96" s="9"/>
      <c r="Y96" s="9"/>
      <c r="Z96" s="9"/>
      <c r="AA96" s="9"/>
      <c r="AB96" s="9"/>
      <c r="AC96" s="9"/>
      <c r="AD96" s="9"/>
    </row>
    <row r="97" spans="2:30" x14ac:dyDescent="0.2">
      <c r="B97" s="13" t="s">
        <v>149</v>
      </c>
      <c r="C97" s="44">
        <f>-C80 * C71</f>
        <v>-13500.016990630163</v>
      </c>
      <c r="D97" s="7" t="s">
        <v>130</v>
      </c>
      <c r="G97" s="9"/>
      <c r="H97" s="9"/>
      <c r="I97" s="9"/>
      <c r="J97" s="9"/>
      <c r="K97" s="9"/>
      <c r="L97" s="9"/>
      <c r="M97" s="9"/>
      <c r="N97" s="9"/>
      <c r="O97" s="9"/>
      <c r="P97" s="9"/>
      <c r="Q97" s="9"/>
      <c r="R97" s="9"/>
      <c r="S97" s="9"/>
      <c r="T97" s="9"/>
      <c r="U97" s="9"/>
      <c r="V97" s="9"/>
      <c r="W97" s="9"/>
      <c r="X97" s="9"/>
      <c r="Y97" s="9"/>
      <c r="Z97" s="9"/>
      <c r="AA97" s="9"/>
      <c r="AB97" s="9"/>
      <c r="AC97" s="9"/>
      <c r="AD97" s="9"/>
    </row>
    <row r="98" spans="2:30" ht="15.75" x14ac:dyDescent="0.25">
      <c r="B98" s="50" t="s">
        <v>319</v>
      </c>
      <c r="C98" s="16" t="s">
        <v>110</v>
      </c>
      <c r="G98" s="9"/>
      <c r="H98" s="9"/>
      <c r="I98" s="9"/>
      <c r="J98" s="9"/>
      <c r="K98" s="9"/>
      <c r="L98" s="9"/>
      <c r="M98" s="9"/>
      <c r="N98" s="9"/>
      <c r="O98" s="9"/>
      <c r="P98" s="9"/>
      <c r="Q98" s="9"/>
      <c r="R98" s="9"/>
      <c r="S98" s="9"/>
      <c r="T98" s="9"/>
      <c r="U98" s="9"/>
      <c r="V98" s="9"/>
      <c r="W98" s="9"/>
      <c r="X98" s="9"/>
      <c r="Y98" s="9"/>
      <c r="Z98" s="9"/>
      <c r="AA98" s="9"/>
      <c r="AB98" s="9"/>
      <c r="AC98" s="9"/>
      <c r="AD98" s="9"/>
    </row>
    <row r="99" spans="2:30" x14ac:dyDescent="0.2">
      <c r="B99" s="13" t="s">
        <v>235</v>
      </c>
      <c r="C99" s="44" t="s">
        <v>237</v>
      </c>
      <c r="G99" s="9"/>
      <c r="H99" s="9"/>
      <c r="I99" s="9"/>
      <c r="J99" s="9"/>
      <c r="K99" s="9"/>
      <c r="L99" s="9"/>
      <c r="M99" s="9"/>
      <c r="N99" s="9"/>
      <c r="O99" s="9"/>
      <c r="P99" s="9"/>
      <c r="Q99" s="9"/>
      <c r="R99" s="9"/>
      <c r="S99" s="9"/>
      <c r="T99" s="9"/>
      <c r="U99" s="9"/>
      <c r="V99" s="9"/>
      <c r="W99" s="9"/>
      <c r="X99" s="9"/>
      <c r="Y99" s="9"/>
      <c r="Z99" s="9"/>
      <c r="AA99" s="9"/>
      <c r="AB99" s="9"/>
      <c r="AC99" s="9"/>
      <c r="AD99" s="9"/>
    </row>
    <row r="100" spans="2:30" x14ac:dyDescent="0.2">
      <c r="B100" s="13" t="s">
        <v>232</v>
      </c>
      <c r="C100" s="44">
        <f>0.291*((3.1416*(C67-0.25)*0.5*(C73+2)))</f>
        <v>516.7547153999999</v>
      </c>
      <c r="D100" s="7" t="s">
        <v>41</v>
      </c>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2:30" x14ac:dyDescent="0.2">
      <c r="B101" s="13" t="s">
        <v>238</v>
      </c>
      <c r="C101" s="44" t="s">
        <v>240</v>
      </c>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2:30" x14ac:dyDescent="0.2">
      <c r="B102" s="13" t="s">
        <v>233</v>
      </c>
      <c r="C102" s="44">
        <f>0.291*( ( (3.1416*2*C72*((C72+4)^2 - C72^2) )/4) + (3.1416*0.75*(C67^2 - (C72 + 4)^2) /4) )</f>
        <v>215.02401401249998</v>
      </c>
      <c r="D102" s="7" t="s">
        <v>41</v>
      </c>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2:30" x14ac:dyDescent="0.2">
      <c r="B103" s="13" t="s">
        <v>236</v>
      </c>
      <c r="C103" s="44" t="s">
        <v>239</v>
      </c>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2:30" x14ac:dyDescent="0.2">
      <c r="B104" s="13" t="s">
        <v>234</v>
      </c>
      <c r="C104" s="44">
        <f>0.291*(3.1416*(C70+12)*(C72^2)/4)</f>
        <v>145.58724179999999</v>
      </c>
      <c r="D104" s="7" t="s">
        <v>41</v>
      </c>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2:30" x14ac:dyDescent="0.2">
      <c r="B105" s="13" t="s">
        <v>241</v>
      </c>
      <c r="C105" s="7" t="s">
        <v>243</v>
      </c>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2:30" x14ac:dyDescent="0.2">
      <c r="B106" s="13" t="s">
        <v>231</v>
      </c>
      <c r="C106" s="44">
        <f>C100 + C102 + C104</f>
        <v>877.36597121249986</v>
      </c>
      <c r="D106" s="7" t="s">
        <v>41</v>
      </c>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2:30" x14ac:dyDescent="0.2">
      <c r="B107" s="13" t="s">
        <v>227</v>
      </c>
      <c r="C107" s="44" t="s">
        <v>226</v>
      </c>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2:30" x14ac:dyDescent="0.2">
      <c r="B108" s="13" t="s">
        <v>134</v>
      </c>
      <c r="C108" s="44">
        <f>C62 * SIN(C65/57.2957) +( C63 * COS(C64/57.2957))+(C106/2)</f>
        <v>1473.9583898643114</v>
      </c>
      <c r="D108" s="7" t="s">
        <v>41</v>
      </c>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2:30" x14ac:dyDescent="0.2">
      <c r="B109" s="13" t="s">
        <v>136</v>
      </c>
      <c r="C109" s="86" t="s">
        <v>133</v>
      </c>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2:30" ht="15.75" x14ac:dyDescent="0.25">
      <c r="B110" s="13" t="s">
        <v>137</v>
      </c>
      <c r="C110" s="44">
        <f>C76 * COS(C66/57.2957)</f>
        <v>3897.1126821044527</v>
      </c>
      <c r="D110" s="7" t="s">
        <v>41</v>
      </c>
      <c r="F110" s="23"/>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2:30" x14ac:dyDescent="0.2">
      <c r="B111" s="13" t="s">
        <v>120</v>
      </c>
      <c r="C111" s="44" t="s">
        <v>135</v>
      </c>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2:30" x14ac:dyDescent="0.2">
      <c r="B112" s="13" t="s">
        <v>38</v>
      </c>
      <c r="C112" s="44">
        <f>C108 / 2</f>
        <v>736.97919493215568</v>
      </c>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2:30" x14ac:dyDescent="0.2">
      <c r="B113" s="13" t="s">
        <v>122</v>
      </c>
      <c r="C113" s="44" t="s">
        <v>135</v>
      </c>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2:30" x14ac:dyDescent="0.2">
      <c r="B114" s="13" t="s">
        <v>61</v>
      </c>
      <c r="C114" s="44">
        <f>C108 / 2</f>
        <v>736.97919493215568</v>
      </c>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2:30" x14ac:dyDescent="0.2">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2:30" ht="15.75" x14ac:dyDescent="0.25">
      <c r="B116" s="50" t="s">
        <v>123</v>
      </c>
      <c r="C116" s="86"/>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2:30" x14ac:dyDescent="0.2">
      <c r="B117" s="13" t="s">
        <v>113</v>
      </c>
      <c r="C117" s="86" t="s">
        <v>258</v>
      </c>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2:30" x14ac:dyDescent="0.2">
      <c r="B118" s="13" t="s">
        <v>112</v>
      </c>
      <c r="C118" s="86" t="s">
        <v>257</v>
      </c>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2:30" x14ac:dyDescent="0.2">
      <c r="B119" s="13" t="s">
        <v>114</v>
      </c>
      <c r="C119" s="44">
        <f>( C112*(C70 - C69) + (C84 * C69) - (C110 * C71) ) / C70</f>
        <v>491.38674653212348</v>
      </c>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2:30" x14ac:dyDescent="0.2">
      <c r="B120" s="13" t="s">
        <v>126</v>
      </c>
      <c r="C120" s="44" t="s">
        <v>138</v>
      </c>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2:30" x14ac:dyDescent="0.2">
      <c r="B121" s="13" t="s">
        <v>128</v>
      </c>
      <c r="C121" s="44">
        <f>C112 + C114 + C110 - C119</f>
        <v>4879.6843254366404</v>
      </c>
      <c r="D121" s="7" t="s">
        <v>41</v>
      </c>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2:30" x14ac:dyDescent="0.2">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2:30" ht="15.75" x14ac:dyDescent="0.25">
      <c r="B123" s="15" t="s">
        <v>473</v>
      </c>
      <c r="C123" s="44" t="s">
        <v>129</v>
      </c>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2:30" x14ac:dyDescent="0.2">
      <c r="B124" s="13" t="s">
        <v>150</v>
      </c>
      <c r="C124" s="44">
        <f>C119 * C69</f>
        <v>3931.0939722569879</v>
      </c>
      <c r="D124" s="7" t="s">
        <v>130</v>
      </c>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2:30" x14ac:dyDescent="0.2">
      <c r="B125" s="13" t="s">
        <v>151</v>
      </c>
      <c r="C125" s="44" t="s">
        <v>139</v>
      </c>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2:30" x14ac:dyDescent="0.2">
      <c r="B126" s="13" t="s">
        <v>151</v>
      </c>
      <c r="C126" s="44">
        <f>(C119*(C70-C69))-(C112*(C70-2*C69))</f>
        <v>-1963.1247893437849</v>
      </c>
      <c r="D126" s="7" t="s">
        <v>130</v>
      </c>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2:30" x14ac:dyDescent="0.2">
      <c r="B127" s="13" t="s">
        <v>152</v>
      </c>
      <c r="C127" s="87" t="s">
        <v>256</v>
      </c>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2:30" x14ac:dyDescent="0.2">
      <c r="B128" s="13" t="s">
        <v>152</v>
      </c>
      <c r="C128" s="87">
        <f>-C110 * C71</f>
        <v>-23382.676092626716</v>
      </c>
      <c r="D128" s="7" t="s">
        <v>130</v>
      </c>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2:30" x14ac:dyDescent="0.2">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2:30" x14ac:dyDescent="0.2">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2:30" x14ac:dyDescent="0.2">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2:30" x14ac:dyDescent="0.2">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2:30" x14ac:dyDescent="0.2">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2:30" x14ac:dyDescent="0.2">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2:30" x14ac:dyDescent="0.2">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2:30" x14ac:dyDescent="0.2">
      <c r="C136" s="44"/>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2:30" x14ac:dyDescent="0.2">
      <c r="C137" s="44"/>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2:30" x14ac:dyDescent="0.2">
      <c r="C138" s="44"/>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2:30" x14ac:dyDescent="0.2">
      <c r="C139" s="44"/>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2:30" x14ac:dyDescent="0.2">
      <c r="C140" s="44"/>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2:30" x14ac:dyDescent="0.2">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2:30" x14ac:dyDescent="0.2">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2:30" x14ac:dyDescent="0.2">
      <c r="B143" s="13"/>
      <c r="C143" s="44"/>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2:30" x14ac:dyDescent="0.2">
      <c r="C144" s="44"/>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2:30" x14ac:dyDescent="0.2">
      <c r="C145" s="44"/>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2:30" x14ac:dyDescent="0.2">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2:30" x14ac:dyDescent="0.2">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2:30" ht="15.75" x14ac:dyDescent="0.25">
      <c r="B148" s="50"/>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2:30" x14ac:dyDescent="0.2">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2:30" x14ac:dyDescent="0.2">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2:30" x14ac:dyDescent="0.2">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2:30" x14ac:dyDescent="0.2">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2:30" x14ac:dyDescent="0.2">
      <c r="H153" s="9"/>
      <c r="I153" s="9"/>
      <c r="J153" s="9"/>
      <c r="K153" s="9"/>
      <c r="L153" s="9"/>
      <c r="M153" s="9"/>
      <c r="N153" s="9"/>
      <c r="O153" s="9"/>
      <c r="P153" s="9"/>
      <c r="Q153" s="9"/>
      <c r="R153" s="9"/>
      <c r="S153" s="9"/>
      <c r="T153" s="9"/>
      <c r="U153" s="9"/>
      <c r="V153" s="9"/>
      <c r="W153" s="9"/>
      <c r="X153" s="9"/>
      <c r="Y153" s="9"/>
      <c r="Z153" s="9"/>
      <c r="AA153" s="9"/>
      <c r="AB153" s="9"/>
      <c r="AC153" s="9"/>
      <c r="AD153" s="9"/>
    </row>
    <row r="154" spans="2:30" ht="18" x14ac:dyDescent="0.25">
      <c r="B154" s="6" t="s">
        <v>475</v>
      </c>
      <c r="H154" s="9"/>
      <c r="I154" s="9"/>
      <c r="J154" s="9"/>
      <c r="K154" s="9"/>
      <c r="L154" s="9"/>
      <c r="M154" s="9"/>
      <c r="N154" s="9"/>
      <c r="O154" s="9"/>
      <c r="P154" s="9"/>
      <c r="Q154" s="9"/>
      <c r="R154" s="9"/>
      <c r="S154" s="9"/>
      <c r="T154" s="9"/>
      <c r="U154" s="9"/>
      <c r="V154" s="9"/>
      <c r="W154" s="9"/>
      <c r="X154" s="9"/>
      <c r="Y154" s="9"/>
      <c r="Z154" s="9"/>
      <c r="AA154" s="9"/>
      <c r="AB154" s="9"/>
      <c r="AC154" s="9"/>
      <c r="AD154" s="9"/>
    </row>
    <row r="155" spans="2:30" x14ac:dyDescent="0.2">
      <c r="B155" s="13" t="s">
        <v>474</v>
      </c>
      <c r="C155" s="86" t="s">
        <v>144</v>
      </c>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2:30" x14ac:dyDescent="0.2">
      <c r="B156" s="13" t="s">
        <v>143</v>
      </c>
      <c r="C156" s="44">
        <f>(C93^2 + C124^2)^0.5</f>
        <v>17209.796674864705</v>
      </c>
      <c r="D156" s="7" t="s">
        <v>130</v>
      </c>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2:30" x14ac:dyDescent="0.2">
      <c r="B157" s="13" t="s">
        <v>145</v>
      </c>
      <c r="C157" s="86" t="s">
        <v>153</v>
      </c>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2:30" x14ac:dyDescent="0.2">
      <c r="B158" s="13" t="s">
        <v>145</v>
      </c>
      <c r="C158" s="44">
        <f>(C95^2 + C126^2)^0.5</f>
        <v>8874.6486971842914</v>
      </c>
      <c r="D158" s="7" t="s">
        <v>130</v>
      </c>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2:30" x14ac:dyDescent="0.2">
      <c r="B159" s="13" t="s">
        <v>146</v>
      </c>
      <c r="C159" s="86" t="s">
        <v>154</v>
      </c>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2:30" x14ac:dyDescent="0.2">
      <c r="B160" s="13" t="s">
        <v>146</v>
      </c>
      <c r="C160" s="44">
        <f>(C97^2 + C128^2)^0.5</f>
        <v>27000.000000000004</v>
      </c>
      <c r="D160" s="7" t="s">
        <v>130</v>
      </c>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2:30" x14ac:dyDescent="0.2">
      <c r="H161" s="9"/>
      <c r="I161" s="9"/>
      <c r="J161" s="9"/>
      <c r="K161" s="9"/>
      <c r="L161" s="9"/>
      <c r="M161" s="9"/>
      <c r="N161" s="9"/>
      <c r="O161" s="9"/>
      <c r="P161" s="9"/>
      <c r="Q161" s="9"/>
      <c r="R161" s="9"/>
      <c r="S161" s="9"/>
      <c r="T161" s="9"/>
      <c r="U161" s="9"/>
      <c r="V161" s="9"/>
      <c r="W161" s="9"/>
      <c r="X161" s="9"/>
      <c r="Y161" s="9"/>
      <c r="Z161" s="9"/>
      <c r="AA161" s="9"/>
      <c r="AB161" s="9"/>
      <c r="AC161" s="9"/>
      <c r="AD161" s="9"/>
    </row>
    <row r="162" spans="2:30" ht="18" x14ac:dyDescent="0.25">
      <c r="B162" s="35" t="s">
        <v>253</v>
      </c>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2:30" x14ac:dyDescent="0.2">
      <c r="B163" s="13" t="s">
        <v>13</v>
      </c>
      <c r="C163" s="7" t="s">
        <v>254</v>
      </c>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2:30" ht="15.75" x14ac:dyDescent="0.25">
      <c r="B164" s="13" t="s">
        <v>13</v>
      </c>
      <c r="C164" s="25">
        <f>57.2957*ATAN( C97 / C128 )</f>
        <v>30.000000000000007</v>
      </c>
      <c r="D164" s="7" t="s">
        <v>15</v>
      </c>
      <c r="F164" s="23"/>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2:30" x14ac:dyDescent="0.2">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2:30" x14ac:dyDescent="0.2">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2:30" x14ac:dyDescent="0.2">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2:30" x14ac:dyDescent="0.2">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2:30" x14ac:dyDescent="0.2">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2:30" x14ac:dyDescent="0.2">
      <c r="C170" s="86"/>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2:30" x14ac:dyDescent="0.2">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2:30" x14ac:dyDescent="0.2">
      <c r="B172" s="13"/>
      <c r="C172" s="86"/>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2:30" x14ac:dyDescent="0.2">
      <c r="B173" s="13"/>
      <c r="C173" s="44"/>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2:30" x14ac:dyDescent="0.2">
      <c r="C174" s="86"/>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2:30" x14ac:dyDescent="0.2">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2:30" x14ac:dyDescent="0.2">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2:30" x14ac:dyDescent="0.2">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2:30" x14ac:dyDescent="0.2">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2:30" x14ac:dyDescent="0.2">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2:30" x14ac:dyDescent="0.2">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2:30" x14ac:dyDescent="0.2">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2:30" ht="18" x14ac:dyDescent="0.25">
      <c r="B182" s="6" t="s">
        <v>320</v>
      </c>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2:30" x14ac:dyDescent="0.2">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2:30" x14ac:dyDescent="0.2">
      <c r="B184" s="14"/>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2:30" x14ac:dyDescent="0.2">
      <c r="B185" s="14"/>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2:30" x14ac:dyDescent="0.2">
      <c r="B186" s="14"/>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2:30" x14ac:dyDescent="0.2">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2:30" x14ac:dyDescent="0.2">
      <c r="B188" s="13"/>
      <c r="C188" s="44"/>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2:30" x14ac:dyDescent="0.2">
      <c r="B189" s="13"/>
      <c r="C189" s="44"/>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2:30" x14ac:dyDescent="0.2">
      <c r="B190" s="13"/>
      <c r="C190" s="44"/>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2:30" x14ac:dyDescent="0.2">
      <c r="B191" s="13"/>
      <c r="C191" s="44"/>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2:30" x14ac:dyDescent="0.2">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7:30" x14ac:dyDescent="0.2">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7:30" x14ac:dyDescent="0.2">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7:30" x14ac:dyDescent="0.2">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7:30" x14ac:dyDescent="0.2">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7:30" x14ac:dyDescent="0.2">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7:30" x14ac:dyDescent="0.2">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7:30" x14ac:dyDescent="0.2">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7:30" x14ac:dyDescent="0.2">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7:30" x14ac:dyDescent="0.2">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7:30" x14ac:dyDescent="0.2">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7:30" x14ac:dyDescent="0.2">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7:30" x14ac:dyDescent="0.2">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7:30" x14ac:dyDescent="0.2">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7:30" x14ac:dyDescent="0.2">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7:30" x14ac:dyDescent="0.2">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7:30" x14ac:dyDescent="0.2">
      <c r="H208" s="9"/>
      <c r="I208" s="9"/>
      <c r="J208" s="9"/>
      <c r="K208" s="9"/>
      <c r="L208" s="9"/>
      <c r="M208" s="9"/>
      <c r="N208" s="9"/>
      <c r="O208" s="9"/>
      <c r="P208" s="9"/>
      <c r="Q208" s="9"/>
      <c r="R208" s="9"/>
      <c r="S208" s="9"/>
      <c r="T208" s="9"/>
      <c r="U208" s="9"/>
      <c r="V208" s="9"/>
      <c r="W208" s="9"/>
      <c r="X208" s="9"/>
      <c r="Y208" s="9"/>
      <c r="Z208" s="9"/>
      <c r="AA208" s="9"/>
      <c r="AB208" s="9"/>
      <c r="AC208" s="9"/>
      <c r="AD208" s="9"/>
    </row>
    <row r="209" spans="2:30" ht="18" x14ac:dyDescent="0.25">
      <c r="B209" s="35" t="s">
        <v>162</v>
      </c>
      <c r="H209" s="9"/>
      <c r="I209" s="9"/>
      <c r="J209" s="9"/>
      <c r="K209" s="9"/>
      <c r="L209" s="9"/>
      <c r="M209" s="9"/>
      <c r="N209" s="9"/>
      <c r="O209" s="9"/>
      <c r="P209" s="9"/>
      <c r="Q209" s="9"/>
      <c r="R209" s="9"/>
      <c r="S209" s="9"/>
      <c r="T209" s="9"/>
      <c r="U209" s="9"/>
      <c r="V209" s="9"/>
      <c r="W209" s="9"/>
      <c r="X209" s="9"/>
      <c r="Y209" s="9"/>
      <c r="Z209" s="9"/>
      <c r="AA209" s="9"/>
      <c r="AB209" s="9"/>
      <c r="AC209" s="9"/>
      <c r="AD209" s="9"/>
    </row>
    <row r="210" spans="2:30" ht="16.5" thickBot="1" x14ac:dyDescent="0.3">
      <c r="C210" s="16" t="s">
        <v>3</v>
      </c>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2:30" x14ac:dyDescent="0.2">
      <c r="B211" s="13" t="s">
        <v>158</v>
      </c>
      <c r="C211" s="122">
        <v>10</v>
      </c>
      <c r="D211" s="7" t="s">
        <v>90</v>
      </c>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2:30" x14ac:dyDescent="0.2">
      <c r="B212" s="13" t="s">
        <v>159</v>
      </c>
      <c r="C212" s="123">
        <v>400</v>
      </c>
      <c r="D212" s="7" t="s">
        <v>17</v>
      </c>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2:30" x14ac:dyDescent="0.2">
      <c r="B213" s="13" t="s">
        <v>140</v>
      </c>
      <c r="C213" s="79">
        <v>3.5</v>
      </c>
      <c r="D213" s="7" t="s">
        <v>16</v>
      </c>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2:30" x14ac:dyDescent="0.2">
      <c r="B214" s="13" t="s">
        <v>141</v>
      </c>
      <c r="C214" s="78">
        <v>18</v>
      </c>
      <c r="D214" s="7" t="s">
        <v>16</v>
      </c>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2:30" x14ac:dyDescent="0.2">
      <c r="B215" s="13" t="s">
        <v>142</v>
      </c>
      <c r="C215" s="77">
        <v>20</v>
      </c>
      <c r="D215" s="7" t="s">
        <v>16</v>
      </c>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2:30" x14ac:dyDescent="0.2">
      <c r="B216" s="13" t="s">
        <v>108</v>
      </c>
      <c r="C216" s="77">
        <v>8</v>
      </c>
      <c r="D216" s="7" t="s">
        <v>16</v>
      </c>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2:30" ht="15.75" x14ac:dyDescent="0.25">
      <c r="B217" s="13" t="s">
        <v>107</v>
      </c>
      <c r="C217" s="77">
        <v>40</v>
      </c>
      <c r="D217" s="7" t="s">
        <v>16</v>
      </c>
      <c r="F217" s="23"/>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2:30" ht="15.75" thickBot="1" x14ac:dyDescent="0.25">
      <c r="B218" s="13" t="s">
        <v>225</v>
      </c>
      <c r="C218" s="80">
        <v>27000</v>
      </c>
      <c r="D218" s="7" t="s">
        <v>130</v>
      </c>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2:30" ht="15.75" x14ac:dyDescent="0.25">
      <c r="C219" s="16" t="s">
        <v>4</v>
      </c>
      <c r="G219" s="9"/>
      <c r="H219" s="9"/>
      <c r="I219" s="9"/>
      <c r="J219" s="9"/>
      <c r="K219" s="9"/>
      <c r="L219" s="9"/>
      <c r="M219" s="9"/>
      <c r="N219" s="9"/>
      <c r="O219" s="9"/>
      <c r="P219" s="9"/>
      <c r="Q219" s="9"/>
      <c r="R219" s="9"/>
      <c r="S219" s="9"/>
      <c r="T219" s="9"/>
      <c r="U219" s="9"/>
      <c r="V219" s="9"/>
      <c r="W219" s="9"/>
      <c r="X219" s="9"/>
      <c r="Y219" s="9"/>
      <c r="Z219" s="9"/>
      <c r="AA219" s="9"/>
      <c r="AB219" s="9"/>
      <c r="AC219" s="9"/>
      <c r="AD219" s="9"/>
    </row>
    <row r="220" spans="2:30" x14ac:dyDescent="0.2">
      <c r="B220" s="13" t="s">
        <v>175</v>
      </c>
      <c r="C220" s="7" t="s">
        <v>176</v>
      </c>
      <c r="G220" s="9"/>
      <c r="H220" s="9"/>
      <c r="I220" s="9"/>
      <c r="J220" s="9"/>
      <c r="K220" s="9"/>
      <c r="L220" s="9"/>
      <c r="M220" s="9"/>
      <c r="N220" s="9"/>
      <c r="O220" s="9"/>
      <c r="P220" s="9"/>
      <c r="Q220" s="9"/>
      <c r="R220" s="9"/>
      <c r="S220" s="9"/>
      <c r="T220" s="9"/>
      <c r="U220" s="9"/>
      <c r="V220" s="9"/>
      <c r="W220" s="9"/>
      <c r="X220" s="9"/>
      <c r="Y220" s="9"/>
      <c r="Z220" s="9"/>
      <c r="AA220" s="9"/>
      <c r="AB220" s="9"/>
      <c r="AC220" s="9"/>
      <c r="AD220" s="9"/>
    </row>
    <row r="221" spans="2:30" x14ac:dyDescent="0.2">
      <c r="B221" s="13" t="s">
        <v>177</v>
      </c>
      <c r="C221" s="44">
        <f>C212 / (3.1417 * C213/12)</f>
        <v>436.52435669496492</v>
      </c>
      <c r="D221" s="7" t="s">
        <v>178</v>
      </c>
      <c r="G221" s="9"/>
      <c r="H221" s="9"/>
      <c r="I221" s="9"/>
      <c r="J221" s="9"/>
      <c r="K221" s="9"/>
      <c r="L221" s="9"/>
      <c r="M221" s="9"/>
      <c r="N221" s="9"/>
      <c r="O221" s="9"/>
      <c r="P221" s="9"/>
      <c r="Q221" s="9"/>
      <c r="R221" s="9"/>
      <c r="S221" s="9"/>
      <c r="T221" s="9"/>
      <c r="U221" s="9"/>
      <c r="V221" s="9"/>
      <c r="W221" s="9"/>
      <c r="X221" s="9"/>
      <c r="Y221" s="9"/>
      <c r="Z221" s="9"/>
      <c r="AA221" s="9"/>
      <c r="AB221" s="9"/>
      <c r="AC221" s="9"/>
      <c r="AD221" s="9"/>
    </row>
    <row r="222" spans="2:30" x14ac:dyDescent="0.2">
      <c r="B222" s="13" t="s">
        <v>229</v>
      </c>
      <c r="C222" s="7" t="s">
        <v>228</v>
      </c>
      <c r="G222" s="9"/>
      <c r="H222" s="9"/>
      <c r="I222" s="9"/>
      <c r="J222" s="9"/>
      <c r="K222" s="9"/>
      <c r="L222" s="9"/>
      <c r="M222" s="9"/>
      <c r="N222" s="9"/>
      <c r="O222" s="9"/>
      <c r="P222" s="9"/>
      <c r="Q222" s="9"/>
      <c r="R222" s="9"/>
      <c r="S222" s="9"/>
      <c r="T222" s="9"/>
      <c r="U222" s="9"/>
      <c r="V222" s="9"/>
      <c r="W222" s="9"/>
      <c r="X222" s="9"/>
      <c r="Y222" s="9"/>
      <c r="Z222" s="9"/>
      <c r="AA222" s="9"/>
      <c r="AB222" s="9"/>
      <c r="AC222" s="9"/>
      <c r="AD222" s="9"/>
    </row>
    <row r="223" spans="2:30" x14ac:dyDescent="0.2">
      <c r="B223" s="13" t="s">
        <v>230</v>
      </c>
      <c r="C223" s="44">
        <f>5252 *( C211 / C221)/2</f>
        <v>60.157009791666674</v>
      </c>
      <c r="D223" s="7" t="s">
        <v>179</v>
      </c>
      <c r="G223" s="9"/>
      <c r="H223" s="9"/>
      <c r="I223" s="9"/>
      <c r="J223" s="9"/>
      <c r="K223" s="9"/>
      <c r="L223" s="9"/>
      <c r="M223" s="9"/>
      <c r="N223" s="9"/>
      <c r="O223" s="9"/>
      <c r="P223" s="9"/>
      <c r="Q223" s="9"/>
      <c r="R223" s="9"/>
      <c r="S223" s="9"/>
      <c r="T223" s="9"/>
      <c r="U223" s="9"/>
      <c r="V223" s="9"/>
      <c r="W223" s="9"/>
      <c r="X223" s="9"/>
      <c r="Y223" s="9"/>
      <c r="Z223" s="9"/>
      <c r="AA223" s="9"/>
      <c r="AB223" s="9"/>
      <c r="AC223" s="9"/>
      <c r="AD223" s="9"/>
    </row>
    <row r="224" spans="2:30" x14ac:dyDescent="0.2">
      <c r="B224" s="13" t="s">
        <v>230</v>
      </c>
      <c r="C224" s="44">
        <f>12*C223</f>
        <v>721.88411750000012</v>
      </c>
      <c r="D224" s="7" t="s">
        <v>130</v>
      </c>
      <c r="G224" s="9"/>
      <c r="H224" s="9"/>
      <c r="I224" s="9"/>
      <c r="J224" s="9"/>
      <c r="K224" s="9"/>
      <c r="L224" s="9"/>
      <c r="M224" s="9"/>
      <c r="N224" s="9"/>
      <c r="O224" s="9"/>
      <c r="P224" s="9"/>
      <c r="Q224" s="9"/>
      <c r="R224" s="9"/>
      <c r="S224" s="9"/>
      <c r="T224" s="9"/>
      <c r="U224" s="9"/>
      <c r="V224" s="9"/>
      <c r="W224" s="9"/>
      <c r="X224" s="9"/>
      <c r="Y224" s="9"/>
      <c r="Z224" s="9"/>
      <c r="AA224" s="9"/>
      <c r="AB224" s="9"/>
      <c r="AC224" s="9"/>
      <c r="AD224" s="9"/>
    </row>
    <row r="225" spans="2:30" x14ac:dyDescent="0.2">
      <c r="B225" s="13" t="s">
        <v>163</v>
      </c>
      <c r="C225" s="14" t="s">
        <v>167</v>
      </c>
      <c r="G225" s="9"/>
      <c r="H225" s="9"/>
      <c r="I225" s="9"/>
      <c r="J225" s="9"/>
      <c r="K225" s="9"/>
      <c r="L225" s="9"/>
      <c r="M225" s="9"/>
      <c r="N225" s="9"/>
      <c r="O225" s="9"/>
      <c r="P225" s="9"/>
      <c r="Q225" s="9"/>
      <c r="R225" s="9"/>
      <c r="S225" s="9"/>
      <c r="T225" s="9"/>
      <c r="U225" s="9"/>
      <c r="V225" s="9"/>
      <c r="W225" s="9"/>
      <c r="X225" s="9"/>
      <c r="Y225" s="9"/>
      <c r="Z225" s="9"/>
      <c r="AA225" s="9"/>
      <c r="AB225" s="9"/>
      <c r="AC225" s="9"/>
      <c r="AD225" s="9"/>
    </row>
    <row r="226" spans="2:30" x14ac:dyDescent="0.2">
      <c r="B226" s="13" t="s">
        <v>169</v>
      </c>
      <c r="C226" s="89">
        <f>3.1417 * C213^4 /64</f>
        <v>7.3664274414062501</v>
      </c>
      <c r="D226" s="7" t="s">
        <v>164</v>
      </c>
      <c r="G226" s="9"/>
      <c r="H226" s="9"/>
      <c r="I226" s="9"/>
      <c r="J226" s="9"/>
      <c r="K226" s="9"/>
      <c r="L226" s="9"/>
      <c r="M226" s="9"/>
      <c r="N226" s="9"/>
      <c r="O226" s="9"/>
      <c r="P226" s="9"/>
      <c r="Q226" s="9"/>
      <c r="R226" s="9"/>
      <c r="S226" s="9"/>
      <c r="T226" s="9"/>
      <c r="U226" s="9"/>
      <c r="V226" s="9"/>
      <c r="W226" s="9"/>
      <c r="X226" s="9"/>
      <c r="Y226" s="9"/>
      <c r="Z226" s="9"/>
      <c r="AA226" s="9"/>
      <c r="AB226" s="9"/>
      <c r="AC226" s="9"/>
      <c r="AD226" s="9"/>
    </row>
    <row r="227" spans="2:30" x14ac:dyDescent="0.2">
      <c r="B227" s="13" t="s">
        <v>165</v>
      </c>
      <c r="C227" s="14" t="s">
        <v>166</v>
      </c>
      <c r="G227" s="9"/>
      <c r="H227" s="9"/>
      <c r="I227" s="9"/>
      <c r="J227" s="9"/>
      <c r="K227" s="9"/>
      <c r="L227" s="9"/>
      <c r="M227" s="9"/>
      <c r="N227" s="9"/>
      <c r="O227" s="9"/>
      <c r="P227" s="9"/>
      <c r="Q227" s="9"/>
      <c r="R227" s="9"/>
      <c r="S227" s="9"/>
      <c r="T227" s="9"/>
      <c r="U227" s="9"/>
      <c r="V227" s="9"/>
      <c r="W227" s="9"/>
      <c r="X227" s="9"/>
      <c r="Y227" s="9"/>
      <c r="Z227" s="9"/>
      <c r="AA227" s="9"/>
      <c r="AB227" s="9"/>
      <c r="AC227" s="9"/>
      <c r="AD227" s="9"/>
    </row>
    <row r="228" spans="2:30" x14ac:dyDescent="0.2">
      <c r="B228" s="13" t="s">
        <v>168</v>
      </c>
      <c r="C228" s="89">
        <f>3.1417 * C213^4 / 32</f>
        <v>14.7328548828125</v>
      </c>
      <c r="D228" s="7" t="s">
        <v>164</v>
      </c>
      <c r="G228" s="9"/>
      <c r="H228" s="9"/>
      <c r="I228" s="9"/>
      <c r="J228" s="9"/>
      <c r="K228" s="9"/>
      <c r="L228" s="9"/>
      <c r="M228" s="9"/>
      <c r="N228" s="9"/>
      <c r="O228" s="9"/>
      <c r="P228" s="9"/>
      <c r="Q228" s="9"/>
      <c r="R228" s="9"/>
      <c r="S228" s="9"/>
      <c r="T228" s="9"/>
      <c r="U228" s="9"/>
      <c r="V228" s="9"/>
      <c r="W228" s="9"/>
      <c r="X228" s="9"/>
      <c r="Y228" s="9"/>
      <c r="Z228" s="9"/>
      <c r="AA228" s="9"/>
      <c r="AB228" s="9"/>
      <c r="AC228" s="9"/>
      <c r="AD228" s="9"/>
    </row>
    <row r="229" spans="2:30" x14ac:dyDescent="0.2">
      <c r="B229" s="13" t="s">
        <v>170</v>
      </c>
      <c r="C229" s="14" t="s">
        <v>171</v>
      </c>
      <c r="G229" s="9"/>
      <c r="H229" s="9"/>
      <c r="I229" s="9"/>
      <c r="J229" s="9"/>
      <c r="K229" s="9"/>
      <c r="L229" s="9"/>
      <c r="M229" s="9"/>
      <c r="N229" s="9"/>
      <c r="O229" s="9"/>
      <c r="P229" s="9"/>
      <c r="Q229" s="9"/>
      <c r="R229" s="9"/>
      <c r="S229" s="9"/>
      <c r="T229" s="9"/>
      <c r="U229" s="9"/>
      <c r="V229" s="9"/>
      <c r="W229" s="9"/>
      <c r="X229" s="9"/>
      <c r="Y229" s="9"/>
      <c r="Z229" s="9"/>
      <c r="AA229" s="9"/>
      <c r="AB229" s="9"/>
      <c r="AC229" s="9"/>
      <c r="AD229" s="9"/>
    </row>
    <row r="230" spans="2:30" x14ac:dyDescent="0.2">
      <c r="B230" s="13" t="s">
        <v>172</v>
      </c>
      <c r="C230" s="44">
        <f>C218 * (C213/2) / C226</f>
        <v>6414.2354453137705</v>
      </c>
      <c r="D230" s="7" t="s">
        <v>173</v>
      </c>
      <c r="G230" s="9"/>
      <c r="H230" s="9"/>
      <c r="I230" s="9"/>
      <c r="J230" s="9"/>
      <c r="K230" s="9"/>
      <c r="L230" s="9"/>
      <c r="M230" s="9"/>
      <c r="N230" s="9"/>
      <c r="O230" s="9"/>
      <c r="P230" s="9"/>
      <c r="Q230" s="9"/>
      <c r="R230" s="9"/>
      <c r="S230" s="9"/>
      <c r="T230" s="9"/>
      <c r="U230" s="9"/>
      <c r="V230" s="9"/>
      <c r="W230" s="9"/>
      <c r="X230" s="9"/>
      <c r="Y230" s="9"/>
      <c r="Z230" s="9"/>
      <c r="AA230" s="9"/>
      <c r="AB230" s="9"/>
      <c r="AC230" s="9"/>
      <c r="AD230" s="9"/>
    </row>
    <row r="231" spans="2:30" x14ac:dyDescent="0.2">
      <c r="B231" s="13" t="s">
        <v>180</v>
      </c>
      <c r="C231" s="14">
        <v>19900</v>
      </c>
      <c r="D231" s="7" t="s">
        <v>130</v>
      </c>
      <c r="G231" s="9"/>
      <c r="H231" s="9"/>
      <c r="I231" s="9"/>
      <c r="J231" s="9"/>
      <c r="K231" s="9"/>
      <c r="L231" s="9"/>
      <c r="M231" s="9"/>
      <c r="N231" s="9"/>
      <c r="O231" s="9"/>
      <c r="P231" s="9"/>
      <c r="Q231" s="9"/>
      <c r="R231" s="9"/>
      <c r="S231" s="9"/>
      <c r="T231" s="9"/>
      <c r="U231" s="9"/>
      <c r="V231" s="9"/>
      <c r="W231" s="9"/>
      <c r="X231" s="9"/>
      <c r="Y231" s="9"/>
      <c r="Z231" s="9"/>
      <c r="AA231" s="9"/>
      <c r="AB231" s="9"/>
      <c r="AC231" s="9"/>
      <c r="AD231" s="9"/>
    </row>
    <row r="232" spans="2:30" x14ac:dyDescent="0.2">
      <c r="B232" s="13" t="s">
        <v>184</v>
      </c>
      <c r="C232" s="14" t="s">
        <v>181</v>
      </c>
      <c r="H232" s="9"/>
      <c r="I232" s="9"/>
      <c r="J232" s="9"/>
      <c r="K232" s="9"/>
      <c r="L232" s="9"/>
      <c r="M232" s="9"/>
      <c r="N232" s="9"/>
      <c r="O232" s="9"/>
      <c r="P232" s="9"/>
      <c r="Q232" s="9"/>
      <c r="R232" s="9"/>
      <c r="S232" s="9"/>
      <c r="T232" s="9"/>
      <c r="U232" s="9"/>
      <c r="V232" s="9"/>
      <c r="W232" s="9"/>
      <c r="X232" s="9"/>
      <c r="Y232" s="9"/>
      <c r="Z232" s="9"/>
      <c r="AA232" s="9"/>
      <c r="AB232" s="9"/>
      <c r="AC232" s="9"/>
      <c r="AD232" s="9"/>
    </row>
    <row r="233" spans="2:30" x14ac:dyDescent="0.2">
      <c r="B233" s="13" t="s">
        <v>174</v>
      </c>
      <c r="C233" s="44">
        <f>C224 * (C213/2) / C228</f>
        <v>85.746938775510216</v>
      </c>
      <c r="D233" s="7" t="s">
        <v>173</v>
      </c>
      <c r="H233" s="9"/>
      <c r="I233" s="9"/>
      <c r="J233" s="9"/>
      <c r="K233" s="9"/>
      <c r="L233" s="9"/>
      <c r="M233" s="9"/>
      <c r="N233" s="9"/>
      <c r="O233" s="9"/>
      <c r="P233" s="9"/>
      <c r="Q233" s="9"/>
      <c r="R233" s="9"/>
      <c r="S233" s="9"/>
      <c r="T233" s="9"/>
      <c r="U233" s="9"/>
      <c r="V233" s="9"/>
      <c r="W233" s="9"/>
      <c r="X233" s="9"/>
      <c r="Y233" s="9"/>
      <c r="Z233" s="9"/>
      <c r="AA233" s="9"/>
      <c r="AB233" s="9"/>
      <c r="AC233" s="9"/>
      <c r="AD233" s="9"/>
    </row>
    <row r="234" spans="2:30" x14ac:dyDescent="0.2">
      <c r="H234" s="9"/>
      <c r="I234" s="9"/>
      <c r="J234" s="9"/>
      <c r="K234" s="9"/>
      <c r="L234" s="9"/>
      <c r="M234" s="9"/>
      <c r="N234" s="9"/>
      <c r="O234" s="9"/>
      <c r="P234" s="9"/>
      <c r="Q234" s="9"/>
      <c r="R234" s="9"/>
      <c r="S234" s="9"/>
      <c r="T234" s="9"/>
      <c r="U234" s="9"/>
      <c r="V234" s="9"/>
      <c r="W234" s="9"/>
      <c r="X234" s="9"/>
      <c r="Y234" s="9"/>
      <c r="Z234" s="9"/>
      <c r="AA234" s="9"/>
      <c r="AB234" s="9"/>
      <c r="AC234" s="9"/>
      <c r="AD234" s="9"/>
    </row>
    <row r="235" spans="2:30" ht="18" x14ac:dyDescent="0.25">
      <c r="B235" s="35" t="s">
        <v>188</v>
      </c>
      <c r="H235" s="9"/>
      <c r="I235" s="9"/>
      <c r="J235" s="9"/>
      <c r="K235" s="9"/>
      <c r="L235" s="9"/>
      <c r="M235" s="9"/>
      <c r="N235" s="9"/>
      <c r="O235" s="9"/>
      <c r="P235" s="9"/>
      <c r="Q235" s="9"/>
      <c r="R235" s="9"/>
      <c r="S235" s="9"/>
      <c r="T235" s="9"/>
      <c r="U235" s="9"/>
      <c r="V235" s="9"/>
      <c r="W235" s="9"/>
      <c r="X235" s="9"/>
      <c r="Y235" s="9"/>
      <c r="Z235" s="9"/>
      <c r="AA235" s="9"/>
      <c r="AB235" s="9"/>
      <c r="AC235" s="9"/>
      <c r="AD235" s="9"/>
    </row>
    <row r="236" spans="2:30" x14ac:dyDescent="0.2">
      <c r="B236" s="14" t="s">
        <v>187</v>
      </c>
      <c r="H236" s="9"/>
      <c r="I236" s="9"/>
      <c r="J236" s="9"/>
      <c r="K236" s="9"/>
      <c r="L236" s="9"/>
      <c r="M236" s="9"/>
      <c r="N236" s="9"/>
      <c r="O236" s="9"/>
      <c r="P236" s="9"/>
      <c r="Q236" s="9"/>
      <c r="R236" s="9"/>
      <c r="S236" s="9"/>
      <c r="T236" s="9"/>
      <c r="U236" s="9"/>
      <c r="V236" s="9"/>
      <c r="W236" s="9"/>
      <c r="X236" s="9"/>
      <c r="Y236" s="9"/>
      <c r="Z236" s="9"/>
      <c r="AA236" s="9"/>
      <c r="AB236" s="9"/>
      <c r="AC236" s="9"/>
      <c r="AD236" s="9"/>
    </row>
    <row r="237" spans="2:30" x14ac:dyDescent="0.2">
      <c r="B237" s="14" t="s">
        <v>183</v>
      </c>
      <c r="H237" s="9"/>
      <c r="I237" s="9"/>
      <c r="J237" s="9"/>
      <c r="K237" s="9"/>
      <c r="L237" s="9"/>
      <c r="M237" s="9"/>
      <c r="N237" s="9"/>
      <c r="O237" s="9"/>
      <c r="P237" s="9"/>
      <c r="Q237" s="9"/>
      <c r="R237" s="9"/>
      <c r="S237" s="9"/>
      <c r="T237" s="9"/>
      <c r="U237" s="9"/>
      <c r="V237" s="9"/>
      <c r="W237" s="9"/>
      <c r="X237" s="9"/>
      <c r="Y237" s="9"/>
      <c r="Z237" s="9"/>
      <c r="AA237" s="9"/>
      <c r="AB237" s="9"/>
      <c r="AC237" s="9"/>
      <c r="AD237" s="9"/>
    </row>
    <row r="238" spans="2:30" x14ac:dyDescent="0.2">
      <c r="H238" s="9"/>
      <c r="I238" s="9"/>
      <c r="J238" s="9"/>
      <c r="K238" s="9"/>
      <c r="L238" s="9"/>
      <c r="M238" s="9"/>
      <c r="N238" s="9"/>
      <c r="O238" s="9"/>
      <c r="P238" s="9"/>
      <c r="Q238" s="9"/>
      <c r="R238" s="9"/>
      <c r="S238" s="9"/>
      <c r="T238" s="9"/>
      <c r="U238" s="9"/>
      <c r="V238" s="9"/>
      <c r="W238" s="9"/>
      <c r="X238" s="9"/>
      <c r="Y238" s="9"/>
      <c r="Z238" s="9"/>
      <c r="AA238" s="9"/>
      <c r="AB238" s="9"/>
      <c r="AC238" s="9"/>
      <c r="AD238" s="9"/>
    </row>
    <row r="239" spans="2:30" x14ac:dyDescent="0.2">
      <c r="B239" s="13" t="s">
        <v>186</v>
      </c>
      <c r="C239" s="7" t="s">
        <v>182</v>
      </c>
      <c r="H239" s="9"/>
      <c r="I239" s="9"/>
      <c r="J239" s="9"/>
      <c r="K239" s="9"/>
      <c r="L239" s="9"/>
      <c r="M239" s="9"/>
      <c r="N239" s="9"/>
      <c r="O239" s="9"/>
      <c r="P239" s="9"/>
      <c r="Q239" s="9"/>
      <c r="R239" s="9"/>
      <c r="S239" s="9"/>
      <c r="T239" s="9"/>
      <c r="U239" s="9"/>
      <c r="V239" s="9"/>
      <c r="W239" s="9"/>
      <c r="X239" s="9"/>
      <c r="Y239" s="9"/>
      <c r="Z239" s="9"/>
      <c r="AA239" s="9"/>
      <c r="AB239" s="9"/>
      <c r="AC239" s="9"/>
      <c r="AD239" s="9"/>
    </row>
    <row r="240" spans="2:30" ht="15.75" x14ac:dyDescent="0.25">
      <c r="B240" s="15" t="s">
        <v>185</v>
      </c>
      <c r="C240" s="90">
        <f>( C230 / 2 ) + ( C230^2 + 4 * C233^2 )^0.5</f>
        <v>9623.6453270514176</v>
      </c>
      <c r="D240" s="8" t="s">
        <v>173</v>
      </c>
      <c r="H240" s="9"/>
      <c r="I240" s="9"/>
      <c r="J240" s="9"/>
      <c r="K240" s="9"/>
      <c r="L240" s="9"/>
      <c r="M240" s="9"/>
      <c r="N240" s="9"/>
      <c r="O240" s="9"/>
      <c r="P240" s="9"/>
      <c r="Q240" s="9"/>
      <c r="R240" s="9"/>
      <c r="S240" s="9"/>
      <c r="T240" s="9"/>
      <c r="U240" s="9"/>
      <c r="V240" s="9"/>
      <c r="W240" s="9"/>
      <c r="X240" s="9"/>
      <c r="Y240" s="9"/>
      <c r="Z240" s="9"/>
      <c r="AA240" s="9"/>
      <c r="AB240" s="9"/>
      <c r="AC240" s="9"/>
      <c r="AD240" s="9"/>
    </row>
    <row r="241" spans="8:30" x14ac:dyDescent="0.2">
      <c r="H241" s="9"/>
      <c r="I241" s="9"/>
      <c r="J241" s="9"/>
      <c r="K241" s="9"/>
      <c r="L241" s="9"/>
      <c r="M241" s="9"/>
      <c r="N241" s="9"/>
      <c r="O241" s="9"/>
      <c r="P241" s="9"/>
      <c r="Q241" s="9"/>
      <c r="R241" s="9"/>
      <c r="S241" s="9"/>
      <c r="T241" s="9"/>
      <c r="U241" s="9"/>
      <c r="V241" s="9"/>
      <c r="W241" s="9"/>
      <c r="X241" s="9"/>
      <c r="Y241" s="9"/>
      <c r="Z241" s="9"/>
      <c r="AA241" s="9"/>
      <c r="AB241" s="9"/>
      <c r="AC241" s="9"/>
      <c r="AD241" s="9"/>
    </row>
    <row r="242" spans="8:30" x14ac:dyDescent="0.2">
      <c r="H242" s="9"/>
      <c r="I242" s="9"/>
      <c r="J242" s="9"/>
      <c r="K242" s="9"/>
      <c r="L242" s="9"/>
      <c r="M242" s="9"/>
      <c r="N242" s="9"/>
      <c r="O242" s="9"/>
      <c r="P242" s="9"/>
      <c r="Q242" s="9"/>
      <c r="R242" s="9"/>
      <c r="S242" s="9"/>
      <c r="T242" s="9"/>
      <c r="U242" s="9"/>
      <c r="V242" s="9"/>
      <c r="W242" s="9"/>
      <c r="X242" s="9"/>
      <c r="Y242" s="9"/>
      <c r="Z242" s="9"/>
      <c r="AA242" s="9"/>
      <c r="AB242" s="9"/>
      <c r="AC242" s="9"/>
      <c r="AD242" s="9"/>
    </row>
    <row r="243" spans="8:30" x14ac:dyDescent="0.2">
      <c r="H243" s="9"/>
      <c r="I243" s="9"/>
      <c r="J243" s="9"/>
      <c r="K243" s="9"/>
      <c r="L243" s="9"/>
      <c r="M243" s="9"/>
      <c r="N243" s="9"/>
      <c r="O243" s="9"/>
      <c r="P243" s="9"/>
      <c r="Q243" s="9"/>
      <c r="R243" s="9"/>
      <c r="S243" s="9"/>
      <c r="T243" s="9"/>
      <c r="U243" s="9"/>
      <c r="V243" s="9"/>
      <c r="W243" s="9"/>
      <c r="X243" s="9"/>
      <c r="Y243" s="9"/>
      <c r="Z243" s="9"/>
      <c r="AA243" s="9"/>
      <c r="AB243" s="9"/>
      <c r="AC243" s="9"/>
      <c r="AD243" s="9"/>
    </row>
    <row r="244" spans="8:30" x14ac:dyDescent="0.2">
      <c r="H244" s="9"/>
      <c r="I244" s="9"/>
      <c r="J244" s="9"/>
      <c r="K244" s="9"/>
      <c r="L244" s="9"/>
      <c r="M244" s="9"/>
      <c r="N244" s="9"/>
      <c r="O244" s="9"/>
      <c r="P244" s="9"/>
      <c r="Q244" s="9"/>
      <c r="R244" s="9"/>
      <c r="S244" s="9"/>
      <c r="T244" s="9"/>
      <c r="U244" s="9"/>
      <c r="V244" s="9"/>
      <c r="W244" s="9"/>
      <c r="X244" s="9"/>
      <c r="Y244" s="9"/>
      <c r="Z244" s="9"/>
      <c r="AA244" s="9"/>
      <c r="AB244" s="9"/>
      <c r="AC244" s="9"/>
      <c r="AD244" s="9"/>
    </row>
    <row r="245" spans="8:30" x14ac:dyDescent="0.2">
      <c r="H245" s="9"/>
      <c r="I245" s="9"/>
      <c r="J245" s="9"/>
      <c r="K245" s="9"/>
      <c r="L245" s="9"/>
      <c r="M245" s="9"/>
      <c r="N245" s="9"/>
      <c r="O245" s="9"/>
      <c r="P245" s="9"/>
      <c r="Q245" s="9"/>
      <c r="R245" s="9"/>
      <c r="S245" s="9"/>
      <c r="T245" s="9"/>
      <c r="U245" s="9"/>
      <c r="V245" s="9"/>
      <c r="W245" s="9"/>
      <c r="X245" s="9"/>
      <c r="Y245" s="9"/>
      <c r="Z245" s="9"/>
      <c r="AA245" s="9"/>
      <c r="AB245" s="9"/>
      <c r="AC245" s="9"/>
      <c r="AD245" s="9"/>
    </row>
    <row r="246" spans="8:30" x14ac:dyDescent="0.2">
      <c r="H246" s="9"/>
      <c r="I246" s="9"/>
      <c r="J246" s="9"/>
      <c r="K246" s="9"/>
      <c r="L246" s="9"/>
      <c r="M246" s="9"/>
      <c r="N246" s="9"/>
      <c r="O246" s="9"/>
      <c r="P246" s="9"/>
      <c r="Q246" s="9"/>
      <c r="R246" s="9"/>
      <c r="S246" s="9"/>
      <c r="T246" s="9"/>
      <c r="U246" s="9"/>
      <c r="V246" s="9"/>
      <c r="W246" s="9"/>
      <c r="X246" s="9"/>
      <c r="Y246" s="9"/>
      <c r="Z246" s="9"/>
      <c r="AA246" s="9"/>
      <c r="AB246" s="9"/>
      <c r="AC246" s="9"/>
      <c r="AD246" s="9"/>
    </row>
    <row r="247" spans="8:30" x14ac:dyDescent="0.2">
      <c r="H247" s="9"/>
      <c r="I247" s="9"/>
      <c r="J247" s="9"/>
      <c r="K247" s="9"/>
      <c r="L247" s="9"/>
      <c r="M247" s="9"/>
      <c r="N247" s="9"/>
      <c r="O247" s="9"/>
      <c r="P247" s="9"/>
      <c r="Q247" s="9"/>
      <c r="R247" s="9"/>
      <c r="S247" s="9"/>
      <c r="T247" s="9"/>
      <c r="U247" s="9"/>
      <c r="V247" s="9"/>
      <c r="W247" s="9"/>
      <c r="X247" s="9"/>
      <c r="Y247" s="9"/>
      <c r="Z247" s="9"/>
      <c r="AA247" s="9"/>
      <c r="AB247" s="9"/>
      <c r="AC247" s="9"/>
      <c r="AD247" s="9"/>
    </row>
    <row r="248" spans="8:30" x14ac:dyDescent="0.2">
      <c r="H248" s="9"/>
      <c r="I248" s="9"/>
      <c r="J248" s="9"/>
      <c r="K248" s="9"/>
      <c r="L248" s="9"/>
      <c r="M248" s="9"/>
      <c r="N248" s="9"/>
      <c r="O248" s="9"/>
      <c r="P248" s="9"/>
      <c r="Q248" s="9"/>
      <c r="R248" s="9"/>
      <c r="S248" s="9"/>
      <c r="T248" s="9"/>
      <c r="U248" s="9"/>
      <c r="V248" s="9"/>
      <c r="W248" s="9"/>
      <c r="X248" s="9"/>
      <c r="Y248" s="9"/>
      <c r="Z248" s="9"/>
      <c r="AA248" s="9"/>
      <c r="AB248" s="9"/>
      <c r="AC248" s="9"/>
      <c r="AD248" s="9"/>
    </row>
    <row r="249" spans="8:30" x14ac:dyDescent="0.2">
      <c r="H249" s="9"/>
      <c r="I249" s="9"/>
      <c r="J249" s="9"/>
      <c r="K249" s="9"/>
      <c r="L249" s="9"/>
      <c r="M249" s="9"/>
      <c r="N249" s="9"/>
      <c r="O249" s="9"/>
      <c r="P249" s="9"/>
      <c r="Q249" s="9"/>
      <c r="R249" s="9"/>
      <c r="S249" s="9"/>
      <c r="T249" s="9"/>
      <c r="U249" s="9"/>
      <c r="V249" s="9"/>
      <c r="W249" s="9"/>
      <c r="X249" s="9"/>
      <c r="Y249" s="9"/>
      <c r="Z249" s="9"/>
      <c r="AA249" s="9"/>
      <c r="AB249" s="9"/>
      <c r="AC249" s="9"/>
      <c r="AD249" s="9"/>
    </row>
    <row r="250" spans="8:30" x14ac:dyDescent="0.2">
      <c r="H250" s="9"/>
      <c r="I250" s="9"/>
      <c r="J250" s="9"/>
      <c r="K250" s="9"/>
      <c r="L250" s="9"/>
      <c r="M250" s="9"/>
      <c r="N250" s="9"/>
      <c r="O250" s="9"/>
      <c r="P250" s="9"/>
      <c r="Q250" s="9"/>
      <c r="R250" s="9"/>
      <c r="S250" s="9"/>
      <c r="T250" s="9"/>
      <c r="U250" s="9"/>
      <c r="V250" s="9"/>
      <c r="W250" s="9"/>
      <c r="X250" s="9"/>
      <c r="Y250" s="9"/>
      <c r="Z250" s="9"/>
      <c r="AA250" s="9"/>
      <c r="AB250" s="9"/>
      <c r="AC250" s="9"/>
      <c r="AD250" s="9"/>
    </row>
    <row r="251" spans="8:30" x14ac:dyDescent="0.2">
      <c r="H251" s="9"/>
      <c r="I251" s="9"/>
      <c r="J251" s="9"/>
      <c r="K251" s="9"/>
      <c r="L251" s="9"/>
      <c r="M251" s="9"/>
      <c r="N251" s="9"/>
      <c r="O251" s="9"/>
      <c r="P251" s="9"/>
      <c r="Q251" s="9"/>
      <c r="R251" s="9"/>
      <c r="S251" s="9"/>
      <c r="T251" s="9"/>
      <c r="U251" s="9"/>
      <c r="V251" s="9"/>
      <c r="W251" s="9"/>
      <c r="X251" s="9"/>
      <c r="Y251" s="9"/>
      <c r="Z251" s="9"/>
      <c r="AA251" s="9"/>
      <c r="AB251" s="9"/>
      <c r="AC251" s="9"/>
      <c r="AD251" s="9"/>
    </row>
    <row r="252" spans="8:30" x14ac:dyDescent="0.2">
      <c r="H252" s="9"/>
      <c r="I252" s="9"/>
      <c r="J252" s="9"/>
      <c r="K252" s="9"/>
      <c r="L252" s="9"/>
      <c r="M252" s="9"/>
      <c r="N252" s="9"/>
      <c r="O252" s="9"/>
      <c r="P252" s="9"/>
      <c r="Q252" s="9"/>
      <c r="R252" s="9"/>
      <c r="S252" s="9"/>
      <c r="T252" s="9"/>
      <c r="U252" s="9"/>
      <c r="V252" s="9"/>
      <c r="W252" s="9"/>
      <c r="X252" s="9"/>
      <c r="Y252" s="9"/>
      <c r="Z252" s="9"/>
      <c r="AA252" s="9"/>
      <c r="AB252" s="9"/>
      <c r="AC252" s="9"/>
      <c r="AD252" s="9"/>
    </row>
    <row r="253" spans="8:30" x14ac:dyDescent="0.2">
      <c r="H253" s="9"/>
      <c r="I253" s="9"/>
      <c r="J253" s="9"/>
      <c r="K253" s="9"/>
      <c r="L253" s="9"/>
      <c r="M253" s="9"/>
      <c r="N253" s="9"/>
      <c r="O253" s="9"/>
      <c r="P253" s="9"/>
      <c r="Q253" s="9"/>
      <c r="R253" s="9"/>
      <c r="S253" s="9"/>
      <c r="T253" s="9"/>
      <c r="U253" s="9"/>
      <c r="V253" s="9"/>
      <c r="W253" s="9"/>
      <c r="X253" s="9"/>
      <c r="Y253" s="9"/>
      <c r="Z253" s="9"/>
      <c r="AA253" s="9"/>
      <c r="AB253" s="9"/>
      <c r="AC253" s="9"/>
      <c r="AD253" s="9"/>
    </row>
    <row r="254" spans="8:30" x14ac:dyDescent="0.2">
      <c r="H254" s="9"/>
      <c r="I254" s="9"/>
      <c r="J254" s="9"/>
      <c r="K254" s="9"/>
      <c r="L254" s="9"/>
      <c r="M254" s="9"/>
      <c r="N254" s="9"/>
      <c r="O254" s="9"/>
      <c r="P254" s="9"/>
      <c r="Q254" s="9"/>
      <c r="R254" s="9"/>
      <c r="S254" s="9"/>
      <c r="T254" s="9"/>
      <c r="U254" s="9"/>
      <c r="V254" s="9"/>
      <c r="W254" s="9"/>
      <c r="X254" s="9"/>
      <c r="Y254" s="9"/>
      <c r="Z254" s="9"/>
      <c r="AA254" s="9"/>
      <c r="AB254" s="9"/>
      <c r="AC254" s="9"/>
      <c r="AD254" s="9"/>
    </row>
    <row r="255" spans="8:30" x14ac:dyDescent="0.2">
      <c r="H255" s="9"/>
      <c r="I255" s="9"/>
      <c r="J255" s="9"/>
      <c r="K255" s="9"/>
      <c r="L255" s="9"/>
      <c r="M255" s="9"/>
      <c r="N255" s="9"/>
      <c r="O255" s="9"/>
      <c r="P255" s="9"/>
      <c r="Q255" s="9"/>
      <c r="R255" s="9"/>
      <c r="S255" s="9"/>
      <c r="T255" s="9"/>
      <c r="U255" s="9"/>
      <c r="V255" s="9"/>
      <c r="W255" s="9"/>
      <c r="X255" s="9"/>
      <c r="Y255" s="9"/>
      <c r="Z255" s="9"/>
      <c r="AA255" s="9"/>
      <c r="AB255" s="9"/>
      <c r="AC255" s="9"/>
      <c r="AD255" s="9"/>
    </row>
    <row r="256" spans="8:30" x14ac:dyDescent="0.2">
      <c r="H256" s="9"/>
      <c r="I256" s="9"/>
      <c r="J256" s="9"/>
      <c r="K256" s="9"/>
      <c r="L256" s="9"/>
      <c r="M256" s="9"/>
      <c r="N256" s="9"/>
      <c r="O256" s="9"/>
      <c r="P256" s="9"/>
      <c r="Q256" s="9"/>
      <c r="R256" s="9"/>
      <c r="S256" s="9"/>
      <c r="T256" s="9"/>
      <c r="U256" s="9"/>
      <c r="V256" s="9"/>
      <c r="W256" s="9"/>
      <c r="X256" s="9"/>
      <c r="Y256" s="9"/>
      <c r="Z256" s="9"/>
      <c r="AA256" s="9"/>
      <c r="AB256" s="9"/>
      <c r="AC256" s="9"/>
      <c r="AD256" s="9"/>
    </row>
    <row r="257" spans="6:30" x14ac:dyDescent="0.2">
      <c r="H257" s="9"/>
      <c r="I257" s="9"/>
      <c r="J257" s="9"/>
      <c r="K257" s="9"/>
      <c r="L257" s="9"/>
      <c r="M257" s="9"/>
      <c r="N257" s="9"/>
      <c r="O257" s="9"/>
      <c r="P257" s="9"/>
      <c r="Q257" s="9"/>
      <c r="R257" s="9"/>
      <c r="S257" s="9"/>
      <c r="T257" s="9"/>
      <c r="U257" s="9"/>
      <c r="V257" s="9"/>
      <c r="W257" s="9"/>
      <c r="X257" s="9"/>
      <c r="Y257" s="9"/>
      <c r="Z257" s="9"/>
      <c r="AA257" s="9"/>
      <c r="AB257" s="9"/>
      <c r="AC257" s="9"/>
      <c r="AD257" s="9"/>
    </row>
    <row r="258" spans="6:30" x14ac:dyDescent="0.2">
      <c r="H258" s="9"/>
      <c r="I258" s="9"/>
      <c r="J258" s="9"/>
      <c r="K258" s="9"/>
      <c r="L258" s="9"/>
      <c r="M258" s="9"/>
      <c r="N258" s="9"/>
      <c r="O258" s="9"/>
      <c r="P258" s="9"/>
      <c r="Q258" s="9"/>
      <c r="R258" s="9"/>
      <c r="S258" s="9"/>
      <c r="T258" s="9"/>
      <c r="U258" s="9"/>
      <c r="V258" s="9"/>
      <c r="W258" s="9"/>
      <c r="X258" s="9"/>
      <c r="Y258" s="9"/>
      <c r="Z258" s="9"/>
      <c r="AA258" s="9"/>
      <c r="AB258" s="9"/>
      <c r="AC258" s="9"/>
      <c r="AD258" s="9"/>
    </row>
    <row r="259" spans="6:30" x14ac:dyDescent="0.2">
      <c r="H259" s="9"/>
      <c r="I259" s="9"/>
      <c r="J259" s="9"/>
      <c r="K259" s="9"/>
      <c r="L259" s="9"/>
      <c r="M259" s="9"/>
      <c r="N259" s="9"/>
      <c r="O259" s="9"/>
      <c r="P259" s="9"/>
      <c r="Q259" s="9"/>
      <c r="R259" s="9"/>
      <c r="S259" s="9"/>
      <c r="T259" s="9"/>
      <c r="U259" s="9"/>
      <c r="V259" s="9"/>
      <c r="W259" s="9"/>
      <c r="X259" s="9"/>
      <c r="Y259" s="9"/>
      <c r="Z259" s="9"/>
      <c r="AA259" s="9"/>
      <c r="AB259" s="9"/>
      <c r="AC259" s="9"/>
      <c r="AD259" s="9"/>
    </row>
    <row r="260" spans="6:30" x14ac:dyDescent="0.2">
      <c r="H260" s="9"/>
      <c r="I260" s="9"/>
      <c r="J260" s="9"/>
      <c r="K260" s="9"/>
      <c r="L260" s="9"/>
      <c r="M260" s="9"/>
      <c r="N260" s="9"/>
      <c r="O260" s="9"/>
      <c r="P260" s="9"/>
      <c r="Q260" s="9"/>
      <c r="R260" s="9"/>
      <c r="S260" s="9"/>
      <c r="T260" s="9"/>
      <c r="U260" s="9"/>
      <c r="V260" s="9"/>
      <c r="W260" s="9"/>
      <c r="X260" s="9"/>
      <c r="Y260" s="9"/>
      <c r="Z260" s="9"/>
      <c r="AA260" s="9"/>
      <c r="AB260" s="9"/>
      <c r="AC260" s="9"/>
      <c r="AD260" s="9"/>
    </row>
    <row r="261" spans="6:30" x14ac:dyDescent="0.2">
      <c r="H261" s="9"/>
      <c r="I261" s="9"/>
      <c r="J261" s="9"/>
      <c r="K261" s="9"/>
      <c r="L261" s="9"/>
      <c r="M261" s="9"/>
      <c r="N261" s="9"/>
      <c r="O261" s="9"/>
      <c r="P261" s="9"/>
      <c r="Q261" s="9"/>
      <c r="R261" s="9"/>
      <c r="S261" s="9"/>
      <c r="T261" s="9"/>
      <c r="U261" s="9"/>
      <c r="V261" s="9"/>
      <c r="W261" s="9"/>
      <c r="X261" s="9"/>
      <c r="Y261" s="9"/>
      <c r="Z261" s="9"/>
      <c r="AA261" s="9"/>
      <c r="AB261" s="9"/>
      <c r="AC261" s="9"/>
      <c r="AD261" s="9"/>
    </row>
    <row r="262" spans="6:30" x14ac:dyDescent="0.2">
      <c r="H262" s="9"/>
      <c r="I262" s="9"/>
      <c r="J262" s="9"/>
      <c r="K262" s="9"/>
      <c r="L262" s="9"/>
      <c r="M262" s="9"/>
      <c r="N262" s="9"/>
      <c r="O262" s="9"/>
      <c r="P262" s="9"/>
      <c r="Q262" s="9"/>
      <c r="R262" s="9"/>
      <c r="S262" s="9"/>
      <c r="T262" s="9"/>
      <c r="U262" s="9"/>
      <c r="V262" s="9"/>
      <c r="W262" s="9"/>
      <c r="X262" s="9"/>
      <c r="Y262" s="9"/>
      <c r="Z262" s="9"/>
      <c r="AA262" s="9"/>
      <c r="AB262" s="9"/>
      <c r="AC262" s="9"/>
      <c r="AD262" s="9"/>
    </row>
    <row r="263" spans="6:30" x14ac:dyDescent="0.2">
      <c r="H263" s="9"/>
      <c r="I263" s="9"/>
      <c r="J263" s="9"/>
      <c r="K263" s="9"/>
      <c r="L263" s="9"/>
      <c r="M263" s="9"/>
      <c r="N263" s="9"/>
      <c r="O263" s="9"/>
      <c r="P263" s="9"/>
      <c r="Q263" s="9"/>
      <c r="R263" s="9"/>
      <c r="S263" s="9"/>
      <c r="T263" s="9"/>
      <c r="U263" s="9"/>
      <c r="V263" s="9"/>
      <c r="W263" s="9"/>
      <c r="X263" s="9"/>
      <c r="Y263" s="9"/>
      <c r="Z263" s="9"/>
      <c r="AA263" s="9"/>
      <c r="AB263" s="9"/>
      <c r="AC263" s="9"/>
      <c r="AD263" s="9"/>
    </row>
    <row r="264" spans="6:30" x14ac:dyDescent="0.2">
      <c r="H264" s="9"/>
      <c r="I264" s="9"/>
      <c r="J264" s="9"/>
      <c r="K264" s="9"/>
      <c r="L264" s="9"/>
      <c r="M264" s="9"/>
      <c r="N264" s="9"/>
      <c r="O264" s="9"/>
      <c r="P264" s="9"/>
      <c r="Q264" s="9"/>
      <c r="R264" s="9"/>
      <c r="S264" s="9"/>
      <c r="T264" s="9"/>
      <c r="U264" s="9"/>
      <c r="V264" s="9"/>
      <c r="W264" s="9"/>
      <c r="X264" s="9"/>
      <c r="Y264" s="9"/>
      <c r="Z264" s="9"/>
      <c r="AA264" s="9"/>
      <c r="AB264" s="9"/>
      <c r="AC264" s="9"/>
      <c r="AD264" s="9"/>
    </row>
    <row r="265" spans="6:30" x14ac:dyDescent="0.2">
      <c r="H265" s="9"/>
      <c r="I265" s="9"/>
      <c r="J265" s="9"/>
      <c r="K265" s="9"/>
      <c r="L265" s="9"/>
      <c r="M265" s="9"/>
      <c r="N265" s="9"/>
      <c r="O265" s="9"/>
      <c r="P265" s="9"/>
      <c r="Q265" s="9"/>
      <c r="R265" s="9"/>
      <c r="S265" s="9"/>
      <c r="T265" s="9"/>
      <c r="U265" s="9"/>
      <c r="V265" s="9"/>
      <c r="W265" s="9"/>
      <c r="X265" s="9"/>
      <c r="Y265" s="9"/>
      <c r="Z265" s="9"/>
      <c r="AA265" s="9"/>
      <c r="AB265" s="9"/>
      <c r="AC265" s="9"/>
      <c r="AD265" s="9"/>
    </row>
    <row r="266" spans="6:30" x14ac:dyDescent="0.2">
      <c r="H266" s="9"/>
      <c r="I266" s="9"/>
      <c r="J266" s="9"/>
      <c r="K266" s="9"/>
      <c r="L266" s="9"/>
      <c r="M266" s="9"/>
      <c r="N266" s="9"/>
      <c r="O266" s="9"/>
      <c r="P266" s="9"/>
      <c r="Q266" s="9"/>
      <c r="R266" s="9"/>
      <c r="S266" s="9"/>
      <c r="T266" s="9"/>
      <c r="U266" s="9"/>
      <c r="V266" s="9"/>
      <c r="W266" s="9"/>
      <c r="X266" s="9"/>
      <c r="Y266" s="9"/>
      <c r="Z266" s="9"/>
      <c r="AA266" s="9"/>
      <c r="AB266" s="9"/>
      <c r="AC266" s="9"/>
      <c r="AD266" s="9"/>
    </row>
    <row r="267" spans="6:30" x14ac:dyDescent="0.2">
      <c r="H267" s="9"/>
      <c r="I267" s="9"/>
      <c r="J267" s="9"/>
      <c r="K267" s="9"/>
      <c r="L267" s="9"/>
      <c r="M267" s="9"/>
      <c r="N267" s="9"/>
      <c r="O267" s="9"/>
      <c r="P267" s="9"/>
      <c r="Q267" s="9"/>
      <c r="R267" s="9"/>
      <c r="S267" s="9"/>
      <c r="T267" s="9"/>
      <c r="U267" s="9"/>
      <c r="V267" s="9"/>
      <c r="W267" s="9"/>
      <c r="X267" s="9"/>
      <c r="Y267" s="9"/>
      <c r="Z267" s="9"/>
      <c r="AA267" s="9"/>
      <c r="AB267" s="9"/>
      <c r="AC267" s="9"/>
      <c r="AD267" s="9"/>
    </row>
    <row r="268" spans="6:30" ht="15.75" x14ac:dyDescent="0.25">
      <c r="F268" s="23"/>
      <c r="H268" s="9"/>
      <c r="I268" s="9"/>
      <c r="J268" s="9"/>
      <c r="K268" s="9"/>
      <c r="L268" s="9"/>
      <c r="M268" s="9"/>
      <c r="N268" s="9"/>
      <c r="O268" s="9"/>
      <c r="P268" s="9"/>
      <c r="Q268" s="9"/>
      <c r="R268" s="9"/>
      <c r="S268" s="9"/>
      <c r="T268" s="9"/>
      <c r="U268" s="9"/>
      <c r="V268" s="9"/>
      <c r="W268" s="9"/>
      <c r="X268" s="9"/>
      <c r="Y268" s="9"/>
      <c r="Z268" s="9"/>
      <c r="AA268" s="9"/>
      <c r="AB268" s="9"/>
      <c r="AC268" s="9"/>
      <c r="AD268" s="9"/>
    </row>
    <row r="269" spans="6:30" x14ac:dyDescent="0.2">
      <c r="H269" s="9"/>
      <c r="I269" s="9"/>
      <c r="J269" s="9"/>
      <c r="K269" s="9"/>
      <c r="L269" s="9"/>
      <c r="M269" s="9"/>
      <c r="N269" s="9"/>
      <c r="O269" s="9"/>
      <c r="P269" s="9"/>
      <c r="Q269" s="9"/>
      <c r="R269" s="9"/>
      <c r="S269" s="9"/>
      <c r="T269" s="9"/>
      <c r="U269" s="9"/>
      <c r="V269" s="9"/>
      <c r="W269" s="9"/>
      <c r="X269" s="9"/>
      <c r="Y269" s="9"/>
      <c r="Z269" s="9"/>
      <c r="AA269" s="9"/>
      <c r="AB269" s="9"/>
      <c r="AC269" s="9"/>
      <c r="AD269" s="9"/>
    </row>
    <row r="270" spans="6:30" x14ac:dyDescent="0.2">
      <c r="H270" s="9"/>
      <c r="I270" s="9"/>
      <c r="J270" s="9"/>
      <c r="K270" s="9"/>
      <c r="L270" s="9"/>
      <c r="M270" s="9"/>
      <c r="N270" s="9"/>
      <c r="O270" s="9"/>
      <c r="P270" s="9"/>
      <c r="Q270" s="9"/>
      <c r="R270" s="9"/>
      <c r="S270" s="9"/>
      <c r="T270" s="9"/>
      <c r="U270" s="9"/>
      <c r="V270" s="9"/>
      <c r="W270" s="9"/>
      <c r="X270" s="9"/>
      <c r="Y270" s="9"/>
      <c r="Z270" s="9"/>
      <c r="AA270" s="9"/>
      <c r="AB270" s="9"/>
      <c r="AC270" s="9"/>
      <c r="AD270" s="9"/>
    </row>
    <row r="271" spans="6:30" x14ac:dyDescent="0.2">
      <c r="H271" s="9"/>
      <c r="I271" s="9"/>
      <c r="J271" s="9"/>
      <c r="K271" s="9"/>
      <c r="L271" s="9"/>
      <c r="M271" s="9"/>
      <c r="N271" s="9"/>
      <c r="O271" s="9"/>
      <c r="P271" s="9"/>
      <c r="Q271" s="9"/>
      <c r="R271" s="9"/>
      <c r="S271" s="9"/>
      <c r="T271" s="9"/>
      <c r="U271" s="9"/>
      <c r="V271" s="9"/>
      <c r="W271" s="9"/>
      <c r="X271" s="9"/>
      <c r="Y271" s="9"/>
      <c r="Z271" s="9"/>
      <c r="AA271" s="9"/>
      <c r="AB271" s="9"/>
      <c r="AC271" s="9"/>
      <c r="AD271" s="9"/>
    </row>
    <row r="272" spans="6:30" x14ac:dyDescent="0.2">
      <c r="H272" s="9"/>
      <c r="I272" s="9"/>
      <c r="J272" s="9"/>
      <c r="K272" s="9"/>
      <c r="L272" s="9"/>
      <c r="M272" s="9"/>
      <c r="N272" s="9"/>
      <c r="O272" s="9"/>
      <c r="P272" s="9"/>
      <c r="Q272" s="9"/>
      <c r="R272" s="9"/>
      <c r="S272" s="9"/>
      <c r="T272" s="9"/>
      <c r="U272" s="9"/>
      <c r="V272" s="9"/>
      <c r="W272" s="9"/>
      <c r="X272" s="9"/>
      <c r="Y272" s="9"/>
      <c r="Z272" s="9"/>
      <c r="AA272" s="9"/>
      <c r="AB272" s="9"/>
      <c r="AC272" s="9"/>
      <c r="AD272" s="9"/>
    </row>
    <row r="273" spans="2:30" x14ac:dyDescent="0.2">
      <c r="H273" s="9"/>
      <c r="I273" s="9"/>
      <c r="J273" s="9"/>
      <c r="K273" s="9"/>
      <c r="L273" s="9"/>
      <c r="M273" s="9"/>
      <c r="N273" s="9"/>
      <c r="O273" s="9"/>
      <c r="P273" s="9"/>
      <c r="Q273" s="9"/>
      <c r="R273" s="9"/>
      <c r="S273" s="9"/>
      <c r="T273" s="9"/>
      <c r="U273" s="9"/>
      <c r="V273" s="9"/>
      <c r="W273" s="9"/>
      <c r="X273" s="9"/>
      <c r="Y273" s="9"/>
      <c r="Z273" s="9"/>
      <c r="AA273" s="9"/>
      <c r="AB273" s="9"/>
      <c r="AC273" s="9"/>
      <c r="AD273" s="9"/>
    </row>
    <row r="274" spans="2:30" x14ac:dyDescent="0.2">
      <c r="H274" s="9"/>
      <c r="I274" s="9"/>
      <c r="J274" s="9"/>
      <c r="K274" s="9"/>
      <c r="L274" s="9"/>
      <c r="M274" s="9"/>
      <c r="N274" s="9"/>
      <c r="O274" s="9"/>
      <c r="P274" s="9"/>
      <c r="Q274" s="9"/>
      <c r="R274" s="9"/>
      <c r="S274" s="9"/>
      <c r="T274" s="9"/>
      <c r="U274" s="9"/>
      <c r="V274" s="9"/>
      <c r="W274" s="9"/>
      <c r="X274" s="9"/>
      <c r="Y274" s="9"/>
      <c r="Z274" s="9"/>
      <c r="AA274" s="9"/>
      <c r="AB274" s="9"/>
      <c r="AC274" s="9"/>
      <c r="AD274" s="9"/>
    </row>
    <row r="275" spans="2:30" x14ac:dyDescent="0.2">
      <c r="H275" s="9"/>
      <c r="I275" s="9"/>
      <c r="J275" s="9"/>
      <c r="K275" s="9"/>
      <c r="L275" s="9"/>
      <c r="M275" s="9"/>
      <c r="N275" s="9"/>
      <c r="O275" s="9"/>
      <c r="P275" s="9"/>
      <c r="Q275" s="9"/>
      <c r="R275" s="9"/>
      <c r="S275" s="9"/>
      <c r="T275" s="9"/>
      <c r="U275" s="9"/>
      <c r="V275" s="9"/>
      <c r="W275" s="9"/>
      <c r="X275" s="9"/>
      <c r="Y275" s="9"/>
      <c r="Z275" s="9"/>
      <c r="AA275" s="9"/>
      <c r="AB275" s="9"/>
      <c r="AC275" s="9"/>
      <c r="AD275" s="9"/>
    </row>
    <row r="276" spans="2:30" x14ac:dyDescent="0.2">
      <c r="H276" s="9"/>
      <c r="I276" s="9"/>
      <c r="J276" s="9"/>
      <c r="K276" s="9"/>
      <c r="L276" s="9"/>
      <c r="M276" s="9"/>
      <c r="N276" s="9"/>
      <c r="O276" s="9"/>
      <c r="P276" s="9"/>
      <c r="Q276" s="9"/>
      <c r="R276" s="9"/>
      <c r="S276" s="9"/>
      <c r="T276" s="9"/>
      <c r="U276" s="9"/>
      <c r="V276" s="9"/>
      <c r="W276" s="9"/>
      <c r="X276" s="9"/>
      <c r="Y276" s="9"/>
      <c r="Z276" s="9"/>
      <c r="AA276" s="9"/>
      <c r="AB276" s="9"/>
      <c r="AC276" s="9"/>
      <c r="AD276" s="9"/>
    </row>
    <row r="277" spans="2:30" x14ac:dyDescent="0.2">
      <c r="H277" s="9"/>
      <c r="I277" s="9"/>
      <c r="J277" s="9"/>
      <c r="K277" s="9"/>
      <c r="L277" s="9"/>
      <c r="M277" s="9"/>
      <c r="N277" s="9"/>
      <c r="O277" s="9"/>
      <c r="P277" s="9"/>
      <c r="Q277" s="9"/>
      <c r="R277" s="9"/>
      <c r="S277" s="9"/>
      <c r="T277" s="9"/>
      <c r="U277" s="9"/>
      <c r="V277" s="9"/>
      <c r="W277" s="9"/>
      <c r="X277" s="9"/>
      <c r="Y277" s="9"/>
      <c r="Z277" s="9"/>
      <c r="AA277" s="9"/>
      <c r="AB277" s="9"/>
      <c r="AC277" s="9"/>
      <c r="AD277" s="9"/>
    </row>
    <row r="278" spans="2:30" x14ac:dyDescent="0.2">
      <c r="H278" s="9"/>
      <c r="I278" s="9"/>
      <c r="J278" s="9"/>
      <c r="K278" s="9"/>
      <c r="L278" s="9"/>
      <c r="M278" s="9"/>
      <c r="N278" s="9"/>
      <c r="O278" s="9"/>
      <c r="P278" s="9"/>
      <c r="Q278" s="9"/>
      <c r="R278" s="9"/>
      <c r="S278" s="9"/>
      <c r="T278" s="9"/>
      <c r="U278" s="9"/>
      <c r="V278" s="9"/>
      <c r="W278" s="9"/>
      <c r="X278" s="9"/>
      <c r="Y278" s="9"/>
      <c r="Z278" s="9"/>
      <c r="AA278" s="9"/>
      <c r="AB278" s="9"/>
      <c r="AC278" s="9"/>
      <c r="AD278" s="9"/>
    </row>
    <row r="279" spans="2:30" x14ac:dyDescent="0.2">
      <c r="H279" s="9"/>
      <c r="I279" s="9"/>
      <c r="J279" s="9"/>
      <c r="K279" s="9"/>
      <c r="L279" s="9"/>
      <c r="M279" s="9"/>
      <c r="N279" s="9"/>
      <c r="O279" s="9"/>
      <c r="P279" s="9"/>
      <c r="Q279" s="9"/>
      <c r="R279" s="9"/>
      <c r="S279" s="9"/>
      <c r="T279" s="9"/>
      <c r="U279" s="9"/>
      <c r="V279" s="9"/>
      <c r="W279" s="9"/>
      <c r="X279" s="9"/>
      <c r="Y279" s="9"/>
      <c r="Z279" s="9"/>
      <c r="AA279" s="9"/>
      <c r="AB279" s="9"/>
      <c r="AC279" s="9"/>
      <c r="AD279" s="9"/>
    </row>
    <row r="280" spans="2:30" x14ac:dyDescent="0.2">
      <c r="H280" s="9"/>
      <c r="I280" s="9"/>
      <c r="J280" s="9"/>
      <c r="K280" s="9"/>
      <c r="L280" s="9"/>
      <c r="M280" s="9"/>
      <c r="N280" s="9"/>
      <c r="O280" s="9"/>
      <c r="P280" s="9"/>
      <c r="Q280" s="9"/>
      <c r="R280" s="9"/>
      <c r="S280" s="9"/>
      <c r="T280" s="9"/>
      <c r="U280" s="9"/>
      <c r="V280" s="9"/>
      <c r="W280" s="9"/>
      <c r="X280" s="9"/>
      <c r="Y280" s="9"/>
      <c r="Z280" s="9"/>
      <c r="AA280" s="9"/>
      <c r="AB280" s="9"/>
      <c r="AC280" s="9"/>
      <c r="AD280" s="9"/>
    </row>
    <row r="281" spans="2:30" x14ac:dyDescent="0.2">
      <c r="H281" s="9"/>
      <c r="I281" s="9"/>
      <c r="J281" s="9"/>
      <c r="K281" s="9"/>
      <c r="L281" s="9"/>
      <c r="M281" s="9"/>
      <c r="N281" s="9"/>
      <c r="O281" s="9"/>
      <c r="P281" s="9"/>
      <c r="Q281" s="9"/>
      <c r="R281" s="9"/>
      <c r="S281" s="9"/>
      <c r="T281" s="9"/>
      <c r="U281" s="9"/>
      <c r="V281" s="9"/>
      <c r="W281" s="9"/>
      <c r="X281" s="9"/>
      <c r="Y281" s="9"/>
      <c r="Z281" s="9"/>
      <c r="AA281" s="9"/>
      <c r="AB281" s="9"/>
      <c r="AC281" s="9"/>
      <c r="AD281" s="9"/>
    </row>
    <row r="282" spans="2:30" x14ac:dyDescent="0.2">
      <c r="H282" s="9"/>
      <c r="I282" s="9"/>
      <c r="J282" s="9"/>
      <c r="K282" s="9"/>
      <c r="L282" s="9"/>
      <c r="M282" s="9"/>
      <c r="N282" s="9"/>
      <c r="O282" s="9"/>
      <c r="P282" s="9"/>
      <c r="Q282" s="9"/>
      <c r="R282" s="9"/>
      <c r="S282" s="9"/>
      <c r="T282" s="9"/>
      <c r="U282" s="9"/>
      <c r="V282" s="9"/>
      <c r="W282" s="9"/>
      <c r="X282" s="9"/>
      <c r="Y282" s="9"/>
      <c r="Z282" s="9"/>
      <c r="AA282" s="9"/>
      <c r="AB282" s="9"/>
      <c r="AC282" s="9"/>
      <c r="AD282" s="9"/>
    </row>
    <row r="283" spans="2:30" x14ac:dyDescent="0.2">
      <c r="H283" s="9"/>
      <c r="I283" s="9"/>
      <c r="J283" s="9"/>
      <c r="K283" s="9"/>
      <c r="L283" s="9"/>
      <c r="M283" s="9"/>
      <c r="N283" s="9"/>
      <c r="O283" s="9"/>
      <c r="P283" s="9"/>
      <c r="Q283" s="9"/>
      <c r="R283" s="9"/>
      <c r="S283" s="9"/>
      <c r="T283" s="9"/>
      <c r="U283" s="9"/>
      <c r="V283" s="9"/>
      <c r="W283" s="9"/>
      <c r="X283" s="9"/>
      <c r="Y283" s="9"/>
      <c r="Z283" s="9"/>
      <c r="AA283" s="9"/>
      <c r="AB283" s="9"/>
      <c r="AC283" s="9"/>
      <c r="AD283" s="9"/>
    </row>
    <row r="284" spans="2:30" ht="15.75" x14ac:dyDescent="0.25">
      <c r="B284" s="50"/>
      <c r="H284" s="9"/>
      <c r="I284" s="9"/>
      <c r="J284" s="9"/>
      <c r="K284" s="9"/>
      <c r="L284" s="9"/>
      <c r="M284" s="9"/>
      <c r="N284" s="9"/>
      <c r="O284" s="9"/>
      <c r="P284" s="9"/>
      <c r="Q284" s="9"/>
      <c r="R284" s="9"/>
      <c r="S284" s="9"/>
      <c r="T284" s="9"/>
      <c r="U284" s="9"/>
      <c r="V284" s="9"/>
      <c r="W284" s="9"/>
      <c r="X284" s="9"/>
      <c r="Y284" s="9"/>
      <c r="Z284" s="9"/>
      <c r="AA284" s="9"/>
      <c r="AB284" s="9"/>
      <c r="AC284" s="9"/>
      <c r="AD284" s="9"/>
    </row>
    <row r="285" spans="2:30" x14ac:dyDescent="0.2">
      <c r="H285" s="9"/>
      <c r="I285" s="9"/>
      <c r="J285" s="9"/>
      <c r="K285" s="9"/>
      <c r="L285" s="9"/>
      <c r="M285" s="9"/>
      <c r="N285" s="9"/>
      <c r="O285" s="9"/>
      <c r="P285" s="9"/>
      <c r="Q285" s="9"/>
      <c r="R285" s="9"/>
      <c r="S285" s="9"/>
      <c r="T285" s="9"/>
      <c r="U285" s="9"/>
      <c r="V285" s="9"/>
      <c r="W285" s="9"/>
      <c r="X285" s="9"/>
      <c r="Y285" s="9"/>
      <c r="Z285" s="9"/>
      <c r="AA285" s="9"/>
      <c r="AB285" s="9"/>
      <c r="AC285" s="9"/>
      <c r="AD285" s="9"/>
    </row>
    <row r="286" spans="2:30" x14ac:dyDescent="0.2">
      <c r="H286" s="9"/>
      <c r="I286" s="9"/>
      <c r="J286" s="9"/>
      <c r="K286" s="9"/>
      <c r="L286" s="9"/>
      <c r="M286" s="9"/>
      <c r="N286" s="9"/>
      <c r="O286" s="9"/>
      <c r="P286" s="9"/>
      <c r="Q286" s="9"/>
      <c r="R286" s="9"/>
      <c r="S286" s="9"/>
      <c r="T286" s="9"/>
      <c r="U286" s="9"/>
      <c r="V286" s="9"/>
      <c r="W286" s="9"/>
      <c r="X286" s="9"/>
      <c r="Y286" s="9"/>
      <c r="Z286" s="9"/>
      <c r="AA286" s="9"/>
      <c r="AB286" s="9"/>
      <c r="AC286" s="9"/>
      <c r="AD286" s="9"/>
    </row>
    <row r="287" spans="2:30" x14ac:dyDescent="0.2">
      <c r="H287" s="9"/>
      <c r="I287" s="9"/>
      <c r="J287" s="9"/>
      <c r="K287" s="9"/>
      <c r="L287" s="9"/>
      <c r="M287" s="9"/>
      <c r="N287" s="9"/>
      <c r="O287" s="9"/>
      <c r="P287" s="9"/>
      <c r="Q287" s="9"/>
      <c r="R287" s="9"/>
      <c r="S287" s="9"/>
      <c r="T287" s="9"/>
      <c r="U287" s="9"/>
      <c r="V287" s="9"/>
      <c r="W287" s="9"/>
      <c r="X287" s="9"/>
      <c r="Y287" s="9"/>
      <c r="Z287" s="9"/>
      <c r="AA287" s="9"/>
      <c r="AB287" s="9"/>
      <c r="AC287" s="9"/>
      <c r="AD287" s="9"/>
    </row>
    <row r="288" spans="2:30" x14ac:dyDescent="0.2">
      <c r="H288" s="9"/>
      <c r="I288" s="9"/>
      <c r="J288" s="9"/>
      <c r="K288" s="9"/>
      <c r="L288" s="9"/>
      <c r="M288" s="9"/>
      <c r="N288" s="9"/>
      <c r="O288" s="9"/>
      <c r="P288" s="9"/>
      <c r="Q288" s="9"/>
      <c r="R288" s="9"/>
      <c r="S288" s="9"/>
      <c r="T288" s="9"/>
      <c r="U288" s="9"/>
      <c r="V288" s="9"/>
      <c r="W288" s="9"/>
      <c r="X288" s="9"/>
      <c r="Y288" s="9"/>
      <c r="Z288" s="9"/>
      <c r="AA288" s="9"/>
      <c r="AB288" s="9"/>
      <c r="AC288" s="9"/>
      <c r="AD288" s="9"/>
    </row>
    <row r="289" spans="2:30" ht="18" x14ac:dyDescent="0.25">
      <c r="B289" s="6" t="s">
        <v>204</v>
      </c>
      <c r="H289" s="9"/>
      <c r="I289" s="9"/>
      <c r="J289" s="9"/>
      <c r="K289" s="9"/>
      <c r="L289" s="9"/>
      <c r="M289" s="9"/>
      <c r="N289" s="9"/>
      <c r="O289" s="9"/>
      <c r="P289" s="9"/>
      <c r="Q289" s="9"/>
      <c r="R289" s="9"/>
      <c r="S289" s="9"/>
      <c r="T289" s="9"/>
      <c r="U289" s="9"/>
      <c r="V289" s="9"/>
      <c r="W289" s="9"/>
      <c r="X289" s="9"/>
      <c r="Y289" s="9"/>
      <c r="Z289" s="9"/>
      <c r="AA289" s="9"/>
      <c r="AB289" s="9"/>
      <c r="AC289" s="9"/>
      <c r="AD289" s="9"/>
    </row>
    <row r="290" spans="2:30" x14ac:dyDescent="0.2">
      <c r="B290" s="13" t="s">
        <v>251</v>
      </c>
      <c r="C290" s="7" t="s">
        <v>292</v>
      </c>
      <c r="H290" s="9"/>
      <c r="I290" s="9"/>
      <c r="J290" s="9"/>
      <c r="K290" s="9"/>
      <c r="L290" s="9"/>
      <c r="M290" s="9"/>
      <c r="N290" s="9"/>
      <c r="O290" s="9"/>
      <c r="P290" s="9"/>
      <c r="Q290" s="9"/>
      <c r="R290" s="9"/>
      <c r="S290" s="9"/>
      <c r="T290" s="9"/>
      <c r="U290" s="9"/>
      <c r="V290" s="9"/>
      <c r="W290" s="9"/>
      <c r="X290" s="9"/>
      <c r="Y290" s="9"/>
      <c r="Z290" s="9"/>
      <c r="AA290" s="9"/>
      <c r="AB290" s="9"/>
      <c r="AC290" s="9"/>
      <c r="AD290" s="9"/>
    </row>
    <row r="291" spans="2:30" x14ac:dyDescent="0.2">
      <c r="B291" s="24" t="s">
        <v>290</v>
      </c>
      <c r="H291" s="9"/>
      <c r="I291" s="9"/>
      <c r="J291" s="9"/>
      <c r="K291" s="9"/>
      <c r="L291" s="9"/>
      <c r="M291" s="9"/>
      <c r="N291" s="9"/>
      <c r="O291" s="9"/>
      <c r="P291" s="9"/>
      <c r="Q291" s="9"/>
      <c r="R291" s="9"/>
      <c r="S291" s="9"/>
      <c r="T291" s="9"/>
      <c r="U291" s="9"/>
      <c r="V291" s="9"/>
      <c r="W291" s="9"/>
      <c r="X291" s="9"/>
      <c r="Y291" s="9"/>
      <c r="Z291" s="9"/>
      <c r="AA291" s="9"/>
      <c r="AB291" s="9"/>
      <c r="AC291" s="9"/>
      <c r="AD291" s="9"/>
    </row>
    <row r="292" spans="2:30" x14ac:dyDescent="0.2">
      <c r="B292" s="13" t="s">
        <v>289</v>
      </c>
      <c r="C292" s="7" t="s">
        <v>293</v>
      </c>
      <c r="H292" s="9"/>
      <c r="I292" s="9"/>
      <c r="J292" s="9"/>
      <c r="K292" s="9"/>
      <c r="L292" s="9"/>
      <c r="M292" s="9"/>
      <c r="N292" s="9"/>
      <c r="O292" s="9"/>
      <c r="P292" s="9"/>
      <c r="Q292" s="9"/>
      <c r="R292" s="9"/>
      <c r="S292" s="9"/>
      <c r="T292" s="9"/>
      <c r="U292" s="9"/>
      <c r="V292" s="9"/>
      <c r="W292" s="9"/>
      <c r="X292" s="9"/>
      <c r="Y292" s="9"/>
      <c r="Z292" s="9"/>
      <c r="AA292" s="9"/>
      <c r="AB292" s="9"/>
      <c r="AC292" s="9"/>
      <c r="AD292" s="9"/>
    </row>
    <row r="293" spans="2:30" x14ac:dyDescent="0.2">
      <c r="B293" s="13" t="s">
        <v>295</v>
      </c>
      <c r="C293" s="7" t="s">
        <v>296</v>
      </c>
      <c r="D293" s="7" t="s">
        <v>202</v>
      </c>
      <c r="H293" s="9"/>
      <c r="I293" s="9"/>
      <c r="J293" s="9"/>
      <c r="K293" s="9"/>
      <c r="L293" s="9"/>
      <c r="M293" s="9"/>
      <c r="N293" s="9"/>
      <c r="O293" s="9"/>
      <c r="P293" s="9"/>
      <c r="Q293" s="9"/>
      <c r="R293" s="9"/>
      <c r="S293" s="9"/>
      <c r="T293" s="9"/>
      <c r="U293" s="9"/>
      <c r="V293" s="9"/>
      <c r="W293" s="9"/>
      <c r="X293" s="9"/>
      <c r="Y293" s="9"/>
      <c r="Z293" s="9"/>
      <c r="AA293" s="9"/>
      <c r="AB293" s="9"/>
      <c r="AC293" s="9"/>
      <c r="AD293" s="9"/>
    </row>
    <row r="294" spans="2:30" ht="15.75" x14ac:dyDescent="0.25">
      <c r="B294" s="50"/>
      <c r="H294" s="9"/>
      <c r="I294" s="9"/>
      <c r="J294" s="9"/>
      <c r="K294" s="9"/>
      <c r="L294" s="9"/>
      <c r="M294" s="9"/>
      <c r="N294" s="9"/>
      <c r="O294" s="9"/>
      <c r="P294" s="9"/>
      <c r="Q294" s="9"/>
      <c r="R294" s="9"/>
      <c r="S294" s="9"/>
      <c r="T294" s="9"/>
      <c r="U294" s="9"/>
      <c r="V294" s="9"/>
      <c r="W294" s="9"/>
      <c r="X294" s="9"/>
      <c r="Y294" s="9"/>
      <c r="Z294" s="9"/>
      <c r="AA294" s="9"/>
      <c r="AB294" s="9"/>
      <c r="AC294" s="9"/>
      <c r="AD294" s="9"/>
    </row>
    <row r="295" spans="2:30" ht="18" x14ac:dyDescent="0.25">
      <c r="B295" s="6" t="s">
        <v>291</v>
      </c>
      <c r="H295" s="9"/>
      <c r="I295" s="9"/>
      <c r="J295" s="9"/>
      <c r="K295" s="9"/>
      <c r="L295" s="9"/>
      <c r="M295" s="9"/>
      <c r="N295" s="9"/>
      <c r="O295" s="9"/>
      <c r="P295" s="9"/>
      <c r="Q295" s="9"/>
      <c r="R295" s="9"/>
      <c r="S295" s="9"/>
      <c r="T295" s="9"/>
      <c r="U295" s="9"/>
      <c r="V295" s="9"/>
      <c r="W295" s="9"/>
      <c r="X295" s="9"/>
      <c r="Y295" s="9"/>
      <c r="Z295" s="9"/>
      <c r="AA295" s="9"/>
      <c r="AB295" s="9"/>
      <c r="AC295" s="9"/>
      <c r="AD295" s="9"/>
    </row>
    <row r="296" spans="2:30" ht="16.5" thickBot="1" x14ac:dyDescent="0.3">
      <c r="C296" s="16" t="s">
        <v>3</v>
      </c>
      <c r="H296" s="9"/>
      <c r="I296" s="9"/>
      <c r="J296" s="9"/>
      <c r="K296" s="9"/>
      <c r="L296" s="9"/>
      <c r="M296" s="9"/>
      <c r="N296" s="9"/>
      <c r="O296" s="9"/>
      <c r="P296" s="9"/>
      <c r="Q296" s="9"/>
      <c r="R296" s="9"/>
      <c r="S296" s="9"/>
      <c r="T296" s="9"/>
      <c r="U296" s="9"/>
      <c r="V296" s="9"/>
      <c r="W296" s="9"/>
      <c r="X296" s="9"/>
      <c r="Y296" s="9"/>
      <c r="Z296" s="9"/>
      <c r="AA296" s="9"/>
      <c r="AB296" s="9"/>
      <c r="AC296" s="9"/>
      <c r="AD296" s="9"/>
    </row>
    <row r="297" spans="2:30" x14ac:dyDescent="0.2">
      <c r="B297" s="13" t="s">
        <v>205</v>
      </c>
      <c r="C297" s="122">
        <v>518</v>
      </c>
      <c r="D297" s="7" t="s">
        <v>41</v>
      </c>
      <c r="E297" s="7" t="s">
        <v>19</v>
      </c>
      <c r="H297" s="9"/>
      <c r="I297" s="9"/>
      <c r="J297" s="9"/>
      <c r="K297" s="9"/>
      <c r="L297" s="9"/>
      <c r="M297" s="9"/>
      <c r="N297" s="9"/>
      <c r="O297" s="9"/>
      <c r="P297" s="9"/>
      <c r="Q297" s="9"/>
      <c r="R297" s="9"/>
      <c r="S297" s="9"/>
      <c r="T297" s="9"/>
      <c r="U297" s="9"/>
      <c r="V297" s="9"/>
      <c r="W297" s="9"/>
      <c r="X297" s="9"/>
      <c r="Y297" s="9"/>
      <c r="Z297" s="9"/>
      <c r="AA297" s="9"/>
      <c r="AB297" s="9"/>
      <c r="AC297" s="9"/>
      <c r="AD297" s="9"/>
    </row>
    <row r="298" spans="2:30" x14ac:dyDescent="0.2">
      <c r="B298" s="13" t="s">
        <v>206</v>
      </c>
      <c r="C298" s="123">
        <v>518</v>
      </c>
      <c r="D298" s="7" t="s">
        <v>41</v>
      </c>
      <c r="H298" s="9"/>
      <c r="I298" s="9"/>
      <c r="J298" s="9"/>
      <c r="K298" s="9"/>
      <c r="L298" s="9"/>
      <c r="M298" s="9"/>
      <c r="N298" s="9"/>
      <c r="O298" s="9"/>
      <c r="P298" s="9"/>
      <c r="Q298" s="9"/>
      <c r="R298" s="9"/>
      <c r="S298" s="9"/>
      <c r="T298" s="9"/>
      <c r="U298" s="9"/>
      <c r="V298" s="9"/>
      <c r="W298" s="9"/>
      <c r="X298" s="9"/>
      <c r="Y298" s="9"/>
      <c r="Z298" s="9"/>
      <c r="AA298" s="9"/>
      <c r="AB298" s="9"/>
      <c r="AC298" s="9"/>
      <c r="AD298" s="9"/>
    </row>
    <row r="299" spans="2:30" x14ac:dyDescent="0.2">
      <c r="B299" s="13" t="s">
        <v>336</v>
      </c>
      <c r="C299" s="79">
        <v>8</v>
      </c>
      <c r="D299" s="7" t="s">
        <v>16</v>
      </c>
      <c r="H299" s="9"/>
      <c r="I299" s="9"/>
      <c r="J299" s="9"/>
      <c r="K299" s="9"/>
      <c r="L299" s="9"/>
      <c r="M299" s="9"/>
      <c r="N299" s="9"/>
      <c r="O299" s="9"/>
      <c r="P299" s="9"/>
      <c r="Q299" s="9"/>
      <c r="R299" s="9"/>
      <c r="S299" s="9"/>
      <c r="T299" s="9"/>
      <c r="U299" s="9"/>
      <c r="V299" s="9"/>
      <c r="W299" s="9"/>
      <c r="X299" s="9"/>
      <c r="Y299" s="9"/>
      <c r="Z299" s="9"/>
      <c r="AA299" s="9"/>
      <c r="AB299" s="9"/>
      <c r="AC299" s="9"/>
      <c r="AD299" s="9"/>
    </row>
    <row r="300" spans="2:30" x14ac:dyDescent="0.2">
      <c r="B300" s="13" t="s">
        <v>207</v>
      </c>
      <c r="C300" s="79">
        <v>40</v>
      </c>
      <c r="D300" s="7" t="s">
        <v>16</v>
      </c>
      <c r="H300" s="9"/>
      <c r="I300" s="9"/>
      <c r="J300" s="9"/>
      <c r="K300" s="9"/>
      <c r="L300" s="9"/>
      <c r="M300" s="9"/>
      <c r="N300" s="9"/>
      <c r="O300" s="9"/>
      <c r="P300" s="9"/>
      <c r="Q300" s="9"/>
      <c r="R300" s="9"/>
      <c r="S300" s="9"/>
      <c r="T300" s="9"/>
      <c r="U300" s="9"/>
      <c r="V300" s="9"/>
      <c r="W300" s="9"/>
      <c r="X300" s="9"/>
      <c r="Y300" s="9"/>
      <c r="Z300" s="9"/>
      <c r="AA300" s="9"/>
      <c r="AB300" s="9"/>
      <c r="AC300" s="9"/>
      <c r="AD300" s="9"/>
    </row>
    <row r="301" spans="2:30" ht="15.75" x14ac:dyDescent="0.25">
      <c r="B301" s="15" t="s">
        <v>140</v>
      </c>
      <c r="C301" s="134">
        <v>3.5</v>
      </c>
      <c r="D301" s="8" t="s">
        <v>16</v>
      </c>
      <c r="H301" s="9"/>
      <c r="I301" s="9"/>
      <c r="J301" s="9"/>
      <c r="K301" s="9"/>
      <c r="L301" s="9"/>
      <c r="M301" s="9"/>
      <c r="N301" s="9"/>
      <c r="O301" s="9"/>
      <c r="P301" s="9"/>
      <c r="Q301" s="9"/>
      <c r="R301" s="9"/>
      <c r="S301" s="9"/>
      <c r="T301" s="9"/>
      <c r="U301" s="9"/>
      <c r="V301" s="9"/>
      <c r="W301" s="9"/>
      <c r="X301" s="9"/>
      <c r="Y301" s="9"/>
      <c r="Z301" s="9"/>
      <c r="AA301" s="9"/>
      <c r="AB301" s="9"/>
      <c r="AC301" s="9"/>
      <c r="AD301" s="9"/>
    </row>
    <row r="302" spans="2:30" x14ac:dyDescent="0.2">
      <c r="B302" s="13" t="s">
        <v>200</v>
      </c>
      <c r="C302" s="77">
        <v>29000000</v>
      </c>
      <c r="D302" s="7" t="s">
        <v>173</v>
      </c>
      <c r="H302" s="9"/>
      <c r="I302" s="9"/>
      <c r="J302" s="9"/>
      <c r="K302" s="9"/>
      <c r="L302" s="9"/>
      <c r="M302" s="9"/>
      <c r="N302" s="9"/>
      <c r="O302" s="9"/>
      <c r="P302" s="9"/>
      <c r="Q302" s="9"/>
      <c r="R302" s="9"/>
      <c r="S302" s="9"/>
      <c r="T302" s="9"/>
      <c r="U302" s="9"/>
      <c r="V302" s="9"/>
      <c r="W302" s="9"/>
      <c r="X302" s="9"/>
      <c r="Y302" s="9"/>
      <c r="Z302" s="9"/>
      <c r="AA302" s="9"/>
      <c r="AB302" s="9"/>
      <c r="AC302" s="9"/>
      <c r="AD302" s="9"/>
    </row>
    <row r="303" spans="2:30" ht="16.5" thickBot="1" x14ac:dyDescent="0.3">
      <c r="B303" s="15" t="s">
        <v>196</v>
      </c>
      <c r="C303" s="144">
        <v>32</v>
      </c>
      <c r="D303" s="8" t="s">
        <v>16</v>
      </c>
      <c r="H303" s="9"/>
      <c r="I303" s="9"/>
      <c r="J303" s="9"/>
      <c r="K303" s="9"/>
      <c r="L303" s="9"/>
      <c r="M303" s="9"/>
      <c r="N303" s="9"/>
      <c r="O303" s="9"/>
      <c r="P303" s="9"/>
      <c r="Q303" s="9"/>
      <c r="R303" s="9"/>
      <c r="S303" s="9"/>
      <c r="T303" s="9"/>
      <c r="U303" s="9"/>
      <c r="V303" s="9"/>
      <c r="W303" s="9"/>
      <c r="X303" s="9"/>
      <c r="Y303" s="9"/>
      <c r="Z303" s="9"/>
      <c r="AA303" s="9"/>
      <c r="AB303" s="9"/>
      <c r="AC303" s="9"/>
      <c r="AD303" s="9"/>
    </row>
    <row r="304" spans="2:30" ht="15.75" x14ac:dyDescent="0.25">
      <c r="B304" s="13"/>
      <c r="C304" s="16" t="s">
        <v>4</v>
      </c>
      <c r="H304" s="9"/>
      <c r="I304" s="9"/>
      <c r="J304" s="9"/>
      <c r="K304" s="9"/>
      <c r="L304" s="9"/>
      <c r="M304" s="9"/>
      <c r="N304" s="9"/>
      <c r="O304" s="9"/>
      <c r="P304" s="9"/>
      <c r="Q304" s="9"/>
      <c r="R304" s="9"/>
      <c r="S304" s="9"/>
      <c r="T304" s="9"/>
      <c r="U304" s="9"/>
      <c r="V304" s="9"/>
      <c r="W304" s="9"/>
      <c r="X304" s="9"/>
      <c r="Y304" s="9"/>
      <c r="Z304" s="9"/>
      <c r="AA304" s="9"/>
      <c r="AB304" s="9"/>
      <c r="AC304" s="9"/>
      <c r="AD304" s="9"/>
    </row>
    <row r="305" spans="2:30" x14ac:dyDescent="0.2">
      <c r="B305" s="13" t="s">
        <v>163</v>
      </c>
      <c r="C305" s="14" t="s">
        <v>167</v>
      </c>
      <c r="H305" s="9"/>
      <c r="I305" s="9"/>
      <c r="J305" s="9"/>
      <c r="K305" s="9"/>
      <c r="L305" s="9"/>
      <c r="M305" s="9"/>
      <c r="N305" s="9"/>
      <c r="O305" s="9"/>
      <c r="P305" s="9"/>
      <c r="Q305" s="9"/>
      <c r="R305" s="9"/>
      <c r="S305" s="9"/>
      <c r="T305" s="9"/>
      <c r="U305" s="9"/>
      <c r="V305" s="9"/>
      <c r="W305" s="9"/>
      <c r="X305" s="9"/>
      <c r="Y305" s="9"/>
      <c r="Z305" s="9"/>
      <c r="AA305" s="9"/>
      <c r="AB305" s="9"/>
      <c r="AC305" s="9"/>
      <c r="AD305" s="9"/>
    </row>
    <row r="306" spans="2:30" x14ac:dyDescent="0.2">
      <c r="B306" s="13" t="s">
        <v>169</v>
      </c>
      <c r="C306" s="89">
        <f>3.1417 * C301^4 /64</f>
        <v>7.3664274414062501</v>
      </c>
      <c r="D306" s="7" t="s">
        <v>164</v>
      </c>
      <c r="H306" s="9"/>
      <c r="I306" s="9"/>
      <c r="J306" s="9"/>
      <c r="K306" s="9"/>
      <c r="L306" s="9"/>
      <c r="M306" s="9"/>
      <c r="N306" s="9"/>
      <c r="O306" s="9"/>
      <c r="P306" s="9"/>
      <c r="Q306" s="9"/>
      <c r="R306" s="9"/>
      <c r="S306" s="9"/>
      <c r="T306" s="9"/>
      <c r="U306" s="9"/>
      <c r="V306" s="9"/>
      <c r="W306" s="9"/>
      <c r="X306" s="9"/>
      <c r="Y306" s="9"/>
      <c r="Z306" s="9"/>
      <c r="AA306" s="9"/>
      <c r="AB306" s="9"/>
      <c r="AC306" s="9"/>
      <c r="AD306" s="9"/>
    </row>
    <row r="307" spans="2:30" x14ac:dyDescent="0.2">
      <c r="B307" s="13" t="s">
        <v>6</v>
      </c>
      <c r="C307" s="44" t="s">
        <v>195</v>
      </c>
      <c r="D307" s="7" t="s">
        <v>19</v>
      </c>
      <c r="H307" s="9"/>
      <c r="I307" s="9"/>
      <c r="J307" s="9"/>
      <c r="K307" s="9"/>
      <c r="L307" s="9"/>
      <c r="M307" s="9"/>
      <c r="N307" s="9"/>
      <c r="O307" s="9"/>
      <c r="P307" s="9"/>
      <c r="Q307" s="9"/>
      <c r="R307" s="9"/>
      <c r="S307" s="9"/>
      <c r="T307" s="9"/>
      <c r="U307" s="9"/>
      <c r="V307" s="9"/>
      <c r="W307" s="9"/>
      <c r="X307" s="9"/>
      <c r="Y307" s="9"/>
      <c r="Z307" s="9"/>
      <c r="AA307" s="9"/>
      <c r="AB307" s="9"/>
      <c r="AC307" s="9"/>
      <c r="AD307" s="9"/>
    </row>
    <row r="308" spans="2:30" x14ac:dyDescent="0.2">
      <c r="B308" s="13" t="s">
        <v>6</v>
      </c>
      <c r="C308" s="44">
        <f>C300 - C299</f>
        <v>32</v>
      </c>
      <c r="D308" s="7" t="s">
        <v>16</v>
      </c>
      <c r="H308" s="9"/>
      <c r="I308" s="9"/>
      <c r="J308" s="9"/>
      <c r="K308" s="9"/>
      <c r="L308" s="9"/>
      <c r="M308" s="9"/>
      <c r="N308" s="9"/>
      <c r="O308" s="9"/>
      <c r="P308" s="9"/>
      <c r="Q308" s="9"/>
      <c r="R308" s="9"/>
      <c r="S308" s="9"/>
      <c r="T308" s="9"/>
      <c r="U308" s="9"/>
      <c r="V308" s="9"/>
      <c r="W308" s="9"/>
      <c r="X308" s="9"/>
      <c r="Y308" s="9"/>
      <c r="Z308" s="9"/>
      <c r="AA308" s="9"/>
      <c r="AB308" s="9"/>
      <c r="AC308" s="9"/>
      <c r="AD308" s="9"/>
    </row>
    <row r="309" spans="2:30" x14ac:dyDescent="0.2">
      <c r="B309" s="13" t="s">
        <v>194</v>
      </c>
      <c r="C309" s="87">
        <f>( -(C298 * C300^3 / 6) + ((C297 / 6)*C308^3 )) / C300</f>
        <v>-67409.066666666666</v>
      </c>
      <c r="H309" s="9"/>
      <c r="I309" s="9"/>
      <c r="J309" s="9"/>
      <c r="K309" s="9"/>
      <c r="L309" s="9"/>
      <c r="M309" s="9"/>
      <c r="N309" s="9"/>
      <c r="O309" s="9"/>
      <c r="P309" s="9"/>
      <c r="Q309" s="9"/>
      <c r="R309" s="9"/>
      <c r="S309" s="9"/>
      <c r="T309" s="9"/>
      <c r="U309" s="9"/>
      <c r="V309" s="9"/>
      <c r="W309" s="9"/>
      <c r="X309" s="9"/>
      <c r="Y309" s="9"/>
      <c r="Z309" s="9"/>
      <c r="AA309" s="9"/>
      <c r="AB309" s="9"/>
      <c r="AC309" s="9"/>
      <c r="AD309" s="9"/>
    </row>
    <row r="310" spans="2:30" x14ac:dyDescent="0.2">
      <c r="B310" s="13" t="s">
        <v>193</v>
      </c>
      <c r="C310" s="7" t="s">
        <v>201</v>
      </c>
      <c r="H310" s="9"/>
      <c r="I310" s="9"/>
      <c r="J310" s="9"/>
      <c r="K310" s="9"/>
      <c r="L310" s="9"/>
      <c r="M310" s="9"/>
      <c r="N310" s="9"/>
      <c r="O310" s="9"/>
      <c r="P310" s="9"/>
      <c r="Q310" s="9"/>
      <c r="R310" s="9"/>
      <c r="S310" s="9"/>
      <c r="T310" s="9"/>
      <c r="U310" s="9"/>
      <c r="V310" s="9"/>
      <c r="W310" s="9"/>
      <c r="X310" s="9"/>
      <c r="Y310" s="9"/>
      <c r="Z310" s="9"/>
      <c r="AA310" s="9"/>
      <c r="AB310" s="9"/>
      <c r="AC310" s="9"/>
      <c r="AD310" s="9"/>
    </row>
    <row r="311" spans="2:30" x14ac:dyDescent="0.2">
      <c r="H311" s="9"/>
      <c r="I311" s="9"/>
      <c r="J311" s="9"/>
      <c r="K311" s="9"/>
      <c r="L311" s="9"/>
      <c r="M311" s="9"/>
      <c r="N311" s="9"/>
      <c r="O311" s="9"/>
      <c r="P311" s="9"/>
      <c r="Q311" s="9"/>
      <c r="R311" s="9"/>
      <c r="S311" s="9"/>
      <c r="T311" s="9"/>
      <c r="U311" s="9"/>
      <c r="V311" s="9"/>
      <c r="W311" s="9"/>
      <c r="X311" s="9"/>
      <c r="Y311" s="9"/>
      <c r="Z311" s="9"/>
      <c r="AA311" s="9"/>
      <c r="AB311" s="9"/>
      <c r="AC311" s="9"/>
      <c r="AD311" s="9"/>
    </row>
    <row r="312" spans="2:30" ht="18" x14ac:dyDescent="0.25">
      <c r="B312" s="35" t="s">
        <v>198</v>
      </c>
      <c r="C312" s="86"/>
      <c r="H312" s="9"/>
      <c r="I312" s="9"/>
      <c r="J312" s="9"/>
      <c r="K312" s="9"/>
      <c r="L312" s="9"/>
      <c r="M312" s="9"/>
      <c r="N312" s="9"/>
      <c r="O312" s="9"/>
      <c r="P312" s="9"/>
      <c r="Q312" s="9"/>
      <c r="R312" s="9"/>
      <c r="S312" s="9"/>
      <c r="T312" s="9"/>
      <c r="U312" s="9"/>
      <c r="V312" s="9"/>
      <c r="W312" s="9"/>
      <c r="X312" s="9"/>
      <c r="Y312" s="9"/>
      <c r="Z312" s="9"/>
      <c r="AA312" s="9"/>
      <c r="AB312" s="9"/>
      <c r="AC312" s="9"/>
      <c r="AD312" s="9"/>
    </row>
    <row r="313" spans="2:30" x14ac:dyDescent="0.2">
      <c r="B313" s="13" t="s">
        <v>197</v>
      </c>
      <c r="C313" s="7" t="s">
        <v>201</v>
      </c>
      <c r="H313" s="9"/>
      <c r="I313" s="9"/>
      <c r="J313" s="9"/>
      <c r="K313" s="9"/>
      <c r="L313" s="9"/>
      <c r="M313" s="9"/>
      <c r="N313" s="9"/>
      <c r="O313" s="9"/>
      <c r="P313" s="9"/>
      <c r="Q313" s="9"/>
      <c r="R313" s="9"/>
      <c r="S313" s="9"/>
      <c r="T313" s="9"/>
      <c r="U313" s="9"/>
      <c r="V313" s="9"/>
      <c r="W313" s="9"/>
      <c r="X313" s="9"/>
      <c r="Y313" s="9"/>
      <c r="Z313" s="9"/>
      <c r="AA313" s="9"/>
      <c r="AB313" s="9"/>
      <c r="AC313" s="9"/>
      <c r="AD313" s="9"/>
    </row>
    <row r="314" spans="2:30" x14ac:dyDescent="0.2">
      <c r="B314" s="13" t="s">
        <v>288</v>
      </c>
      <c r="C314" s="7" t="s">
        <v>294</v>
      </c>
      <c r="H314" s="9"/>
      <c r="I314" s="9"/>
      <c r="J314" s="9"/>
      <c r="K314" s="9"/>
      <c r="L314" s="9"/>
      <c r="M314" s="9"/>
      <c r="N314" s="9"/>
      <c r="O314" s="9"/>
      <c r="P314" s="9"/>
      <c r="Q314" s="9"/>
      <c r="R314" s="9"/>
      <c r="S314" s="9"/>
      <c r="T314" s="9"/>
      <c r="U314" s="9"/>
      <c r="V314" s="9"/>
      <c r="W314" s="9"/>
      <c r="X314" s="9"/>
      <c r="Y314" s="9"/>
      <c r="Z314" s="9"/>
      <c r="AA314" s="9"/>
      <c r="AB314" s="9"/>
      <c r="AC314" s="9"/>
      <c r="AD314" s="9"/>
    </row>
    <row r="315" spans="2:30" x14ac:dyDescent="0.2">
      <c r="B315" s="13" t="s">
        <v>288</v>
      </c>
      <c r="C315" s="135">
        <f>(C297*C299 / (6*C302*C306*C300) ) * (C300^2 - 3*C300*2*C303^2 + 8*C303^3)</f>
        <v>1.4535831687340472E-3</v>
      </c>
      <c r="D315" s="7" t="s">
        <v>202</v>
      </c>
      <c r="H315" s="9"/>
      <c r="I315" s="9"/>
      <c r="J315" s="9"/>
      <c r="K315" s="9"/>
      <c r="L315" s="9"/>
      <c r="M315" s="9"/>
      <c r="N315" s="9"/>
      <c r="O315" s="9"/>
      <c r="P315" s="9"/>
      <c r="Q315" s="9"/>
      <c r="R315" s="9"/>
      <c r="S315" s="9"/>
      <c r="T315" s="9"/>
      <c r="U315" s="9"/>
      <c r="V315" s="9"/>
      <c r="W315" s="9"/>
      <c r="X315" s="9"/>
      <c r="Y315" s="9"/>
      <c r="Z315" s="9"/>
      <c r="AA315" s="9"/>
      <c r="AB315" s="9"/>
      <c r="AC315" s="9"/>
      <c r="AD315" s="9"/>
    </row>
    <row r="316" spans="2:30" ht="15.75" x14ac:dyDescent="0.25">
      <c r="B316" s="15" t="s">
        <v>199</v>
      </c>
      <c r="C316" s="94">
        <f>C315*57.1957</f>
        <v>8.3138706843961949E-2</v>
      </c>
      <c r="D316" s="8" t="s">
        <v>203</v>
      </c>
      <c r="F316" s="23"/>
      <c r="H316" s="9"/>
      <c r="I316" s="9"/>
      <c r="J316" s="9"/>
      <c r="K316" s="9"/>
      <c r="L316" s="9"/>
      <c r="M316" s="9"/>
      <c r="N316" s="9"/>
      <c r="O316" s="9"/>
      <c r="P316" s="9"/>
      <c r="Q316" s="9"/>
      <c r="R316" s="9"/>
      <c r="S316" s="9"/>
      <c r="T316" s="9"/>
      <c r="U316" s="9"/>
      <c r="V316" s="9"/>
      <c r="W316" s="9"/>
      <c r="X316" s="9"/>
      <c r="Y316" s="9"/>
      <c r="Z316" s="9"/>
      <c r="AA316" s="9"/>
      <c r="AB316" s="9"/>
      <c r="AC316" s="9"/>
      <c r="AD316" s="9"/>
    </row>
    <row r="317" spans="2:30" ht="18" x14ac:dyDescent="0.25">
      <c r="B317" s="35" t="s">
        <v>247</v>
      </c>
      <c r="H317" s="9"/>
      <c r="I317" s="9"/>
      <c r="J317" s="9"/>
      <c r="K317" s="9"/>
      <c r="L317" s="9"/>
      <c r="M317" s="9"/>
      <c r="N317" s="9"/>
      <c r="O317" s="9"/>
      <c r="P317" s="9"/>
      <c r="Q317" s="9"/>
      <c r="R317" s="9"/>
      <c r="S317" s="9"/>
      <c r="T317" s="9"/>
      <c r="U317" s="9"/>
      <c r="V317" s="9"/>
      <c r="W317" s="9"/>
      <c r="X317" s="9"/>
      <c r="Y317" s="9"/>
      <c r="Z317" s="9"/>
      <c r="AA317" s="9"/>
      <c r="AB317" s="9"/>
      <c r="AC317" s="9"/>
      <c r="AD317" s="9"/>
    </row>
    <row r="318" spans="2:30" ht="15.75" x14ac:dyDescent="0.25">
      <c r="B318" s="15" t="s">
        <v>211</v>
      </c>
      <c r="C318" s="94">
        <v>7.4000000000000003E-3</v>
      </c>
      <c r="D318" s="8" t="s">
        <v>203</v>
      </c>
      <c r="H318" s="9"/>
      <c r="I318" s="9"/>
      <c r="J318" s="9"/>
      <c r="K318" s="9"/>
      <c r="L318" s="9"/>
      <c r="M318" s="9"/>
      <c r="N318" s="9"/>
      <c r="O318" s="9"/>
      <c r="P318" s="9"/>
      <c r="Q318" s="9"/>
      <c r="R318" s="9"/>
      <c r="S318" s="9"/>
      <c r="T318" s="9"/>
      <c r="U318" s="9"/>
      <c r="V318" s="9"/>
      <c r="W318" s="9"/>
      <c r="X318" s="9"/>
      <c r="Y318" s="9"/>
      <c r="Z318" s="9"/>
      <c r="AA318" s="9"/>
      <c r="AB318" s="9"/>
      <c r="AC318" s="9"/>
      <c r="AD318" s="9"/>
    </row>
    <row r="319" spans="2:30" ht="15.75" x14ac:dyDescent="0.25">
      <c r="B319" s="15" t="s">
        <v>212</v>
      </c>
      <c r="C319" s="94">
        <v>4.4699999999999997E-2</v>
      </c>
      <c r="D319" s="8" t="s">
        <v>203</v>
      </c>
      <c r="H319" s="9"/>
      <c r="I319" s="9"/>
      <c r="J319" s="9"/>
      <c r="K319" s="9"/>
      <c r="L319" s="9"/>
      <c r="M319" s="9"/>
      <c r="N319" s="9"/>
      <c r="O319" s="9"/>
      <c r="P319" s="9"/>
      <c r="Q319" s="9"/>
      <c r="R319" s="9"/>
      <c r="S319" s="9"/>
      <c r="T319" s="9"/>
      <c r="U319" s="9"/>
      <c r="V319" s="9"/>
      <c r="W319" s="9"/>
      <c r="X319" s="9"/>
      <c r="Y319" s="9"/>
      <c r="Z319" s="9"/>
      <c r="AA319" s="9"/>
      <c r="AB319" s="9"/>
      <c r="AC319" s="9"/>
      <c r="AD319" s="9"/>
    </row>
    <row r="320" spans="2:30" ht="15.75" x14ac:dyDescent="0.25">
      <c r="B320" s="15" t="s">
        <v>213</v>
      </c>
      <c r="C320" s="94">
        <v>0.59909999999999997</v>
      </c>
      <c r="D320" s="8" t="s">
        <v>203</v>
      </c>
      <c r="H320" s="9"/>
      <c r="I320" s="9"/>
      <c r="J320" s="9"/>
      <c r="K320" s="9"/>
      <c r="L320" s="9"/>
      <c r="M320" s="9"/>
      <c r="N320" s="9"/>
      <c r="O320" s="9"/>
      <c r="P320" s="9"/>
      <c r="Q320" s="9"/>
      <c r="R320" s="9"/>
      <c r="S320" s="9"/>
      <c r="T320" s="9"/>
      <c r="U320" s="9"/>
      <c r="V320" s="9"/>
      <c r="W320" s="9"/>
      <c r="X320" s="9"/>
      <c r="Y320" s="9"/>
      <c r="Z320" s="9"/>
      <c r="AA320" s="9"/>
      <c r="AB320" s="9"/>
      <c r="AC320" s="9"/>
      <c r="AD320" s="9"/>
    </row>
    <row r="321" spans="2:30" ht="15.75" x14ac:dyDescent="0.25">
      <c r="B321" s="15" t="s">
        <v>214</v>
      </c>
      <c r="C321" s="94">
        <v>8.3099999999999993E-2</v>
      </c>
      <c r="D321" s="8" t="s">
        <v>203</v>
      </c>
      <c r="H321" s="9"/>
      <c r="I321" s="9"/>
      <c r="J321" s="9"/>
      <c r="K321" s="9"/>
      <c r="L321" s="9"/>
      <c r="M321" s="9"/>
      <c r="N321" s="9"/>
      <c r="O321" s="9"/>
      <c r="P321" s="9"/>
      <c r="Q321" s="9"/>
      <c r="R321" s="9"/>
      <c r="S321" s="9"/>
      <c r="T321" s="9"/>
      <c r="U321" s="9"/>
      <c r="V321" s="9"/>
      <c r="W321" s="9"/>
      <c r="X321" s="9"/>
      <c r="Y321" s="9"/>
      <c r="Z321" s="9"/>
      <c r="AA321" s="9"/>
      <c r="AB321" s="9"/>
      <c r="AC321" s="9"/>
      <c r="AD321" s="9"/>
    </row>
    <row r="322" spans="2:30" ht="15.75" x14ac:dyDescent="0.25">
      <c r="B322" s="50"/>
      <c r="C322" s="86"/>
      <c r="H322" s="9"/>
      <c r="I322" s="9"/>
      <c r="J322" s="9"/>
      <c r="K322" s="9"/>
      <c r="L322" s="9"/>
      <c r="M322" s="9"/>
      <c r="N322" s="9"/>
      <c r="O322" s="9"/>
      <c r="P322" s="9"/>
      <c r="Q322" s="9"/>
      <c r="R322" s="9"/>
      <c r="S322" s="9"/>
      <c r="T322" s="9"/>
      <c r="U322" s="9"/>
      <c r="V322" s="9"/>
      <c r="W322" s="9"/>
      <c r="X322" s="9"/>
      <c r="Y322" s="9"/>
      <c r="Z322" s="9"/>
      <c r="AA322" s="9"/>
      <c r="AB322" s="9"/>
      <c r="AC322" s="9"/>
      <c r="AD322" s="9"/>
    </row>
    <row r="323" spans="2:30" ht="18" x14ac:dyDescent="0.25">
      <c r="B323" s="35" t="s">
        <v>298</v>
      </c>
      <c r="H323" s="9"/>
      <c r="I323" s="9"/>
      <c r="J323" s="9"/>
      <c r="K323" s="9"/>
      <c r="L323" s="9"/>
      <c r="M323" s="9"/>
      <c r="N323" s="9"/>
      <c r="O323" s="9"/>
      <c r="P323" s="9"/>
      <c r="Q323" s="9"/>
      <c r="R323" s="9"/>
      <c r="S323" s="9"/>
      <c r="T323" s="9"/>
      <c r="U323" s="9"/>
      <c r="V323" s="9"/>
      <c r="W323" s="9"/>
      <c r="X323" s="9"/>
      <c r="Y323" s="9"/>
      <c r="Z323" s="9"/>
      <c r="AA323" s="9"/>
      <c r="AB323" s="9"/>
      <c r="AC323" s="9"/>
      <c r="AD323" s="9"/>
    </row>
    <row r="324" spans="2:30" ht="15.75" x14ac:dyDescent="0.25">
      <c r="B324" s="15" t="s">
        <v>211</v>
      </c>
      <c r="C324" s="94">
        <v>-4.4699999999999997E-2</v>
      </c>
      <c r="D324" s="8" t="s">
        <v>203</v>
      </c>
      <c r="H324" s="9"/>
      <c r="I324" s="9"/>
      <c r="J324" s="9"/>
      <c r="K324" s="9"/>
      <c r="L324" s="9"/>
      <c r="M324" s="9"/>
      <c r="N324" s="9"/>
      <c r="O324" s="9"/>
      <c r="P324" s="9"/>
      <c r="Q324" s="9"/>
      <c r="R324" s="9"/>
      <c r="S324" s="9"/>
      <c r="T324" s="9"/>
      <c r="U324" s="9"/>
      <c r="V324" s="9"/>
      <c r="W324" s="9"/>
      <c r="X324" s="9"/>
      <c r="Y324" s="9"/>
      <c r="Z324" s="9"/>
      <c r="AA324" s="9"/>
      <c r="AB324" s="9"/>
      <c r="AC324" s="9"/>
      <c r="AD324" s="9"/>
    </row>
    <row r="325" spans="2:30" ht="15.75" x14ac:dyDescent="0.25">
      <c r="B325" s="15" t="s">
        <v>212</v>
      </c>
      <c r="C325" s="94">
        <v>-5.3999999999999999E-2</v>
      </c>
      <c r="D325" s="8" t="s">
        <v>203</v>
      </c>
      <c r="H325" s="9"/>
      <c r="I325" s="9"/>
      <c r="J325" s="9"/>
      <c r="K325" s="9"/>
      <c r="L325" s="9"/>
      <c r="M325" s="9"/>
      <c r="N325" s="9"/>
      <c r="O325" s="9"/>
      <c r="P325" s="9"/>
      <c r="Q325" s="9"/>
      <c r="R325" s="9"/>
      <c r="S325" s="9"/>
      <c r="T325" s="9"/>
      <c r="U325" s="9"/>
      <c r="V325" s="9"/>
      <c r="W325" s="9"/>
      <c r="X325" s="9"/>
      <c r="Y325" s="9"/>
      <c r="Z325" s="9"/>
      <c r="AA325" s="9"/>
      <c r="AB325" s="9"/>
      <c r="AC325" s="9"/>
      <c r="AD325" s="9"/>
    </row>
    <row r="326" spans="2:30" ht="15.75" x14ac:dyDescent="0.25">
      <c r="B326" s="15" t="s">
        <v>213</v>
      </c>
      <c r="C326" s="94">
        <v>8.7999999999999995E-2</v>
      </c>
      <c r="D326" s="8" t="s">
        <v>203</v>
      </c>
      <c r="H326" s="9"/>
      <c r="I326" s="9"/>
      <c r="J326" s="9"/>
      <c r="K326" s="9"/>
      <c r="L326" s="9"/>
      <c r="M326" s="9"/>
      <c r="N326" s="9"/>
      <c r="O326" s="9"/>
      <c r="P326" s="9"/>
      <c r="Q326" s="9"/>
      <c r="R326" s="9"/>
      <c r="S326" s="9"/>
      <c r="T326" s="9"/>
      <c r="U326" s="9"/>
      <c r="V326" s="9"/>
      <c r="W326" s="9"/>
      <c r="X326" s="9"/>
      <c r="Y326" s="9"/>
      <c r="Z326" s="9"/>
      <c r="AA326" s="9"/>
      <c r="AB326" s="9"/>
      <c r="AC326" s="9"/>
      <c r="AD326" s="9"/>
    </row>
    <row r="327" spans="2:30" ht="15.75" x14ac:dyDescent="0.25">
      <c r="B327" s="15" t="s">
        <v>214</v>
      </c>
      <c r="C327" s="94">
        <v>5.2999999999999999E-2</v>
      </c>
      <c r="D327" s="8" t="s">
        <v>203</v>
      </c>
      <c r="H327" s="9"/>
      <c r="I327" s="9"/>
      <c r="J327" s="9"/>
      <c r="K327" s="9"/>
      <c r="L327" s="9"/>
      <c r="M327" s="9"/>
      <c r="N327" s="9"/>
      <c r="O327" s="9"/>
      <c r="P327" s="9"/>
      <c r="Q327" s="9"/>
      <c r="R327" s="9"/>
      <c r="S327" s="9"/>
      <c r="T327" s="9"/>
      <c r="U327" s="9"/>
      <c r="V327" s="9"/>
      <c r="W327" s="9"/>
      <c r="X327" s="9"/>
      <c r="Y327" s="9"/>
      <c r="Z327" s="9"/>
      <c r="AA327" s="9"/>
      <c r="AB327" s="9"/>
      <c r="AC327" s="9"/>
      <c r="AD327" s="9"/>
    </row>
    <row r="328" spans="2:30" x14ac:dyDescent="0.2">
      <c r="H328" s="9"/>
      <c r="I328" s="9"/>
      <c r="J328" s="9"/>
      <c r="K328" s="9"/>
      <c r="L328" s="9"/>
      <c r="M328" s="9"/>
      <c r="N328" s="9"/>
      <c r="O328" s="9"/>
      <c r="P328" s="9"/>
      <c r="Q328" s="9"/>
      <c r="R328" s="9"/>
      <c r="S328" s="9"/>
      <c r="T328" s="9"/>
      <c r="U328" s="9"/>
      <c r="V328" s="9"/>
      <c r="W328" s="9"/>
      <c r="X328" s="9"/>
      <c r="Y328" s="9"/>
      <c r="Z328" s="9"/>
      <c r="AA328" s="9"/>
      <c r="AB328" s="9"/>
      <c r="AC328" s="9"/>
      <c r="AD328" s="9"/>
    </row>
    <row r="329" spans="2:30" ht="18" x14ac:dyDescent="0.25">
      <c r="B329" s="35" t="s">
        <v>248</v>
      </c>
      <c r="H329" s="9"/>
      <c r="I329" s="9"/>
      <c r="J329" s="9"/>
      <c r="K329" s="9"/>
      <c r="L329" s="9"/>
      <c r="M329" s="9"/>
      <c r="N329" s="9"/>
      <c r="O329" s="9"/>
      <c r="P329" s="9"/>
      <c r="Q329" s="9"/>
      <c r="R329" s="9"/>
      <c r="S329" s="9"/>
      <c r="T329" s="9"/>
      <c r="U329" s="9"/>
      <c r="V329" s="9"/>
      <c r="W329" s="9"/>
      <c r="X329" s="9"/>
      <c r="Y329" s="9"/>
      <c r="Z329" s="9"/>
      <c r="AA329" s="9"/>
      <c r="AB329" s="9"/>
      <c r="AC329" s="9"/>
      <c r="AD329" s="9"/>
    </row>
    <row r="330" spans="2:30" x14ac:dyDescent="0.2">
      <c r="H330" s="9"/>
      <c r="I330" s="9"/>
      <c r="J330" s="9"/>
      <c r="K330" s="9"/>
      <c r="L330" s="9"/>
      <c r="M330" s="9"/>
      <c r="N330" s="9"/>
      <c r="O330" s="9"/>
      <c r="P330" s="9"/>
      <c r="Q330" s="9"/>
      <c r="R330" s="9"/>
      <c r="S330" s="9"/>
      <c r="T330" s="9"/>
      <c r="U330" s="9"/>
      <c r="V330" s="9"/>
      <c r="W330" s="9"/>
      <c r="X330" s="9"/>
      <c r="Y330" s="9"/>
      <c r="Z330" s="9"/>
      <c r="AA330" s="9"/>
      <c r="AB330" s="9"/>
      <c r="AC330" s="9"/>
      <c r="AD330" s="9"/>
    </row>
    <row r="331" spans="2:30" x14ac:dyDescent="0.2">
      <c r="H331" s="9"/>
      <c r="I331" s="9"/>
      <c r="J331" s="9"/>
      <c r="K331" s="9"/>
      <c r="L331" s="9"/>
      <c r="M331" s="9"/>
      <c r="N331" s="9"/>
      <c r="O331" s="9"/>
      <c r="P331" s="9"/>
      <c r="Q331" s="9"/>
      <c r="R331" s="9"/>
      <c r="S331" s="9"/>
      <c r="T331" s="9"/>
      <c r="U331" s="9"/>
      <c r="V331" s="9"/>
      <c r="W331" s="9"/>
      <c r="X331" s="9"/>
      <c r="Y331" s="9"/>
      <c r="Z331" s="9"/>
      <c r="AA331" s="9"/>
      <c r="AB331" s="9"/>
      <c r="AC331" s="9"/>
      <c r="AD331" s="9"/>
    </row>
    <row r="332" spans="2:30" x14ac:dyDescent="0.2">
      <c r="H332" s="9"/>
      <c r="I332" s="9"/>
      <c r="J332" s="9"/>
      <c r="K332" s="9"/>
      <c r="L332" s="9"/>
      <c r="M332" s="9"/>
      <c r="N332" s="9"/>
      <c r="O332" s="9"/>
      <c r="P332" s="9"/>
      <c r="Q332" s="9"/>
      <c r="R332" s="9"/>
      <c r="S332" s="9"/>
      <c r="T332" s="9"/>
      <c r="U332" s="9"/>
      <c r="V332" s="9"/>
      <c r="W332" s="9"/>
      <c r="X332" s="9"/>
      <c r="Y332" s="9"/>
      <c r="Z332" s="9"/>
      <c r="AA332" s="9"/>
      <c r="AB332" s="9"/>
      <c r="AC332" s="9"/>
      <c r="AD332" s="9"/>
    </row>
    <row r="333" spans="2:30" x14ac:dyDescent="0.2">
      <c r="H333" s="9"/>
      <c r="I333" s="9"/>
      <c r="J333" s="9"/>
      <c r="K333" s="9"/>
      <c r="L333" s="9"/>
      <c r="M333" s="9"/>
      <c r="N333" s="9"/>
      <c r="O333" s="9"/>
      <c r="P333" s="9"/>
      <c r="Q333" s="9"/>
      <c r="R333" s="9"/>
      <c r="S333" s="9"/>
      <c r="T333" s="9"/>
      <c r="U333" s="9"/>
      <c r="V333" s="9"/>
      <c r="W333" s="9"/>
      <c r="X333" s="9"/>
      <c r="Y333" s="9"/>
      <c r="Z333" s="9"/>
      <c r="AA333" s="9"/>
      <c r="AB333" s="9"/>
      <c r="AC333" s="9"/>
      <c r="AD333" s="9"/>
    </row>
    <row r="334" spans="2:30" x14ac:dyDescent="0.2">
      <c r="H334" s="9"/>
      <c r="I334" s="9"/>
      <c r="J334" s="9"/>
      <c r="K334" s="9"/>
      <c r="L334" s="9"/>
      <c r="M334" s="9"/>
      <c r="N334" s="9"/>
      <c r="O334" s="9"/>
      <c r="P334" s="9"/>
      <c r="Q334" s="9"/>
      <c r="R334" s="9"/>
      <c r="S334" s="9"/>
      <c r="T334" s="9"/>
      <c r="U334" s="9"/>
      <c r="V334" s="9"/>
      <c r="W334" s="9"/>
      <c r="X334" s="9"/>
      <c r="Y334" s="9"/>
      <c r="Z334" s="9"/>
      <c r="AA334" s="9"/>
      <c r="AB334" s="9"/>
      <c r="AC334" s="9"/>
      <c r="AD334" s="9"/>
    </row>
    <row r="335" spans="2:30" x14ac:dyDescent="0.2">
      <c r="H335" s="9"/>
      <c r="I335" s="9"/>
      <c r="J335" s="9"/>
      <c r="K335" s="9"/>
      <c r="L335" s="9"/>
      <c r="M335" s="9"/>
      <c r="N335" s="9"/>
      <c r="O335" s="9"/>
      <c r="P335" s="9"/>
      <c r="Q335" s="9"/>
      <c r="R335" s="9"/>
      <c r="S335" s="9"/>
      <c r="T335" s="9"/>
      <c r="U335" s="9"/>
      <c r="V335" s="9"/>
      <c r="W335" s="9"/>
      <c r="X335" s="9"/>
      <c r="Y335" s="9"/>
      <c r="Z335" s="9"/>
      <c r="AA335" s="9"/>
      <c r="AB335" s="9"/>
      <c r="AC335" s="9"/>
      <c r="AD335" s="9"/>
    </row>
    <row r="336" spans="2:30" x14ac:dyDescent="0.2">
      <c r="H336" s="9"/>
      <c r="I336" s="9"/>
      <c r="J336" s="9"/>
      <c r="K336" s="9"/>
      <c r="L336" s="9"/>
      <c r="M336" s="9"/>
      <c r="N336" s="9"/>
      <c r="O336" s="9"/>
      <c r="P336" s="9"/>
      <c r="Q336" s="9"/>
      <c r="R336" s="9"/>
      <c r="S336" s="9"/>
      <c r="T336" s="9"/>
      <c r="U336" s="9"/>
      <c r="V336" s="9"/>
      <c r="W336" s="9"/>
      <c r="X336" s="9"/>
      <c r="Y336" s="9"/>
      <c r="Z336" s="9"/>
      <c r="AA336" s="9"/>
      <c r="AB336" s="9"/>
      <c r="AC336" s="9"/>
      <c r="AD336" s="9"/>
    </row>
    <row r="337" spans="2:30" x14ac:dyDescent="0.2">
      <c r="H337" s="9"/>
      <c r="I337" s="9"/>
      <c r="J337" s="9"/>
      <c r="K337" s="9"/>
      <c r="L337" s="9"/>
      <c r="M337" s="9"/>
      <c r="N337" s="9"/>
      <c r="O337" s="9"/>
      <c r="P337" s="9"/>
      <c r="Q337" s="9"/>
      <c r="R337" s="9"/>
      <c r="S337" s="9"/>
      <c r="T337" s="9"/>
      <c r="U337" s="9"/>
      <c r="V337" s="9"/>
      <c r="W337" s="9"/>
      <c r="X337" s="9"/>
      <c r="Y337" s="9"/>
      <c r="Z337" s="9"/>
      <c r="AA337" s="9"/>
      <c r="AB337" s="9"/>
      <c r="AC337" s="9"/>
      <c r="AD337" s="9"/>
    </row>
    <row r="338" spans="2:30" x14ac:dyDescent="0.2">
      <c r="H338" s="9"/>
      <c r="I338" s="9"/>
      <c r="J338" s="9"/>
      <c r="K338" s="9"/>
      <c r="L338" s="9"/>
      <c r="M338" s="9"/>
      <c r="N338" s="9"/>
      <c r="O338" s="9"/>
      <c r="P338" s="9"/>
      <c r="Q338" s="9"/>
      <c r="R338" s="9"/>
      <c r="S338" s="9"/>
      <c r="T338" s="9"/>
      <c r="U338" s="9"/>
      <c r="V338" s="9"/>
      <c r="W338" s="9"/>
      <c r="X338" s="9"/>
      <c r="Y338" s="9"/>
      <c r="Z338" s="9"/>
      <c r="AA338" s="9"/>
      <c r="AB338" s="9"/>
      <c r="AC338" s="9"/>
      <c r="AD338" s="9"/>
    </row>
    <row r="339" spans="2:30" x14ac:dyDescent="0.2">
      <c r="H339" s="9"/>
      <c r="I339" s="9"/>
      <c r="J339" s="9"/>
      <c r="K339" s="9"/>
      <c r="L339" s="9"/>
      <c r="M339" s="9"/>
      <c r="N339" s="9"/>
      <c r="O339" s="9"/>
      <c r="P339" s="9"/>
      <c r="Q339" s="9"/>
      <c r="R339" s="9"/>
      <c r="S339" s="9"/>
      <c r="T339" s="9"/>
      <c r="U339" s="9"/>
      <c r="V339" s="9"/>
      <c r="W339" s="9"/>
      <c r="X339" s="9"/>
      <c r="Y339" s="9"/>
      <c r="Z339" s="9"/>
      <c r="AA339" s="9"/>
      <c r="AB339" s="9"/>
      <c r="AC339" s="9"/>
      <c r="AD339" s="9"/>
    </row>
    <row r="340" spans="2:30" x14ac:dyDescent="0.2">
      <c r="H340" s="9"/>
      <c r="I340" s="9"/>
      <c r="J340" s="9"/>
      <c r="K340" s="9"/>
      <c r="L340" s="9"/>
      <c r="M340" s="9"/>
      <c r="N340" s="9"/>
      <c r="O340" s="9"/>
      <c r="P340" s="9"/>
      <c r="Q340" s="9"/>
      <c r="R340" s="9"/>
      <c r="S340" s="9"/>
      <c r="T340" s="9"/>
      <c r="U340" s="9"/>
      <c r="V340" s="9"/>
      <c r="W340" s="9"/>
      <c r="X340" s="9"/>
      <c r="Y340" s="9"/>
      <c r="Z340" s="9"/>
      <c r="AA340" s="9"/>
      <c r="AB340" s="9"/>
      <c r="AC340" s="9"/>
      <c r="AD340" s="9"/>
    </row>
    <row r="341" spans="2:30" x14ac:dyDescent="0.2">
      <c r="H341" s="9"/>
      <c r="I341" s="9"/>
      <c r="J341" s="9"/>
      <c r="K341" s="9"/>
      <c r="L341" s="9"/>
      <c r="M341" s="9"/>
      <c r="N341" s="9"/>
      <c r="O341" s="9"/>
      <c r="P341" s="9"/>
      <c r="Q341" s="9"/>
      <c r="R341" s="9"/>
      <c r="S341" s="9"/>
      <c r="T341" s="9"/>
      <c r="U341" s="9"/>
      <c r="V341" s="9"/>
      <c r="W341" s="9"/>
      <c r="X341" s="9"/>
      <c r="Y341" s="9"/>
      <c r="Z341" s="9"/>
      <c r="AA341" s="9"/>
      <c r="AB341" s="9"/>
      <c r="AC341" s="9"/>
      <c r="AD341" s="9"/>
    </row>
    <row r="342" spans="2:30" x14ac:dyDescent="0.2">
      <c r="H342" s="9"/>
      <c r="I342" s="9"/>
      <c r="J342" s="9"/>
      <c r="K342" s="9"/>
      <c r="L342" s="9"/>
      <c r="M342" s="9"/>
      <c r="N342" s="9"/>
      <c r="O342" s="9"/>
      <c r="P342" s="9"/>
      <c r="Q342" s="9"/>
      <c r="R342" s="9"/>
      <c r="S342" s="9"/>
      <c r="T342" s="9"/>
      <c r="U342" s="9"/>
      <c r="V342" s="9"/>
      <c r="W342" s="9"/>
      <c r="X342" s="9"/>
      <c r="Y342" s="9"/>
      <c r="Z342" s="9"/>
      <c r="AA342" s="9"/>
      <c r="AB342" s="9"/>
      <c r="AC342" s="9"/>
      <c r="AD342" s="9"/>
    </row>
    <row r="343" spans="2:30" x14ac:dyDescent="0.2">
      <c r="H343" s="9"/>
      <c r="I343" s="9"/>
      <c r="J343" s="9"/>
      <c r="K343" s="9"/>
      <c r="L343" s="9"/>
      <c r="M343" s="9"/>
      <c r="N343" s="9"/>
      <c r="O343" s="9"/>
      <c r="P343" s="9"/>
      <c r="Q343" s="9"/>
      <c r="R343" s="9"/>
      <c r="S343" s="9"/>
      <c r="T343" s="9"/>
      <c r="U343" s="9"/>
      <c r="V343" s="9"/>
      <c r="W343" s="9"/>
      <c r="X343" s="9"/>
      <c r="Y343" s="9"/>
      <c r="Z343" s="9"/>
      <c r="AA343" s="9"/>
      <c r="AB343" s="9"/>
      <c r="AC343" s="9"/>
      <c r="AD343" s="9"/>
    </row>
    <row r="344" spans="2:30" x14ac:dyDescent="0.2">
      <c r="H344" s="9"/>
      <c r="I344" s="9"/>
      <c r="J344" s="9"/>
      <c r="K344" s="9"/>
      <c r="L344" s="9"/>
      <c r="M344" s="9"/>
      <c r="N344" s="9"/>
      <c r="O344" s="9"/>
      <c r="P344" s="9"/>
      <c r="Q344" s="9"/>
      <c r="R344" s="9"/>
      <c r="S344" s="9"/>
      <c r="T344" s="9"/>
      <c r="U344" s="9"/>
      <c r="V344" s="9"/>
      <c r="W344" s="9"/>
      <c r="X344" s="9"/>
      <c r="Y344" s="9"/>
      <c r="Z344" s="9"/>
      <c r="AA344" s="9"/>
      <c r="AB344" s="9"/>
      <c r="AC344" s="9"/>
      <c r="AD344" s="9"/>
    </row>
    <row r="345" spans="2:30" x14ac:dyDescent="0.2">
      <c r="H345" s="9"/>
      <c r="I345" s="9"/>
      <c r="J345" s="9"/>
      <c r="K345" s="9"/>
      <c r="L345" s="9"/>
      <c r="M345" s="9"/>
      <c r="N345" s="9"/>
      <c r="O345" s="9"/>
      <c r="P345" s="9"/>
      <c r="Q345" s="9"/>
      <c r="R345" s="9"/>
      <c r="S345" s="9"/>
      <c r="T345" s="9"/>
      <c r="U345" s="9"/>
      <c r="V345" s="9"/>
      <c r="W345" s="9"/>
      <c r="X345" s="9"/>
      <c r="Y345" s="9"/>
      <c r="Z345" s="9"/>
      <c r="AA345" s="9"/>
      <c r="AB345" s="9"/>
      <c r="AC345" s="9"/>
      <c r="AD345" s="9"/>
    </row>
    <row r="346" spans="2:30" x14ac:dyDescent="0.2">
      <c r="H346" s="9"/>
      <c r="I346" s="9"/>
      <c r="J346" s="9"/>
      <c r="K346" s="9"/>
      <c r="L346" s="9"/>
      <c r="M346" s="9"/>
      <c r="N346" s="9"/>
      <c r="O346" s="9"/>
      <c r="P346" s="9"/>
      <c r="Q346" s="9"/>
      <c r="R346" s="9"/>
      <c r="S346" s="9"/>
      <c r="T346" s="9"/>
      <c r="U346" s="9"/>
      <c r="V346" s="9"/>
      <c r="W346" s="9"/>
      <c r="X346" s="9"/>
      <c r="Y346" s="9"/>
      <c r="Z346" s="9"/>
      <c r="AA346" s="9"/>
      <c r="AB346" s="9"/>
      <c r="AC346" s="9"/>
      <c r="AD346" s="9"/>
    </row>
    <row r="347" spans="2:30" x14ac:dyDescent="0.2">
      <c r="H347" s="9"/>
      <c r="I347" s="9"/>
      <c r="J347" s="9"/>
      <c r="K347" s="9"/>
      <c r="L347" s="9"/>
      <c r="M347" s="9"/>
      <c r="N347" s="9"/>
      <c r="O347" s="9"/>
      <c r="P347" s="9"/>
      <c r="Q347" s="9"/>
      <c r="R347" s="9"/>
      <c r="S347" s="9"/>
      <c r="T347" s="9"/>
      <c r="U347" s="9"/>
      <c r="V347" s="9"/>
      <c r="W347" s="9"/>
      <c r="X347" s="9"/>
      <c r="Y347" s="9"/>
      <c r="Z347" s="9"/>
      <c r="AA347" s="9"/>
      <c r="AB347" s="9"/>
      <c r="AC347" s="9"/>
      <c r="AD347" s="9"/>
    </row>
    <row r="348" spans="2:30" ht="15.75" x14ac:dyDescent="0.25">
      <c r="G348" s="8"/>
      <c r="H348" s="9"/>
      <c r="I348" s="9"/>
      <c r="J348" s="9"/>
      <c r="K348" s="9"/>
      <c r="L348" s="9"/>
      <c r="M348" s="9"/>
      <c r="N348" s="9"/>
      <c r="O348" s="9"/>
      <c r="P348" s="9"/>
      <c r="Q348" s="9"/>
      <c r="R348" s="9"/>
      <c r="S348" s="9"/>
      <c r="T348" s="9"/>
      <c r="U348" s="9"/>
      <c r="V348" s="9"/>
      <c r="W348" s="9"/>
      <c r="X348" s="9"/>
      <c r="Y348" s="9"/>
      <c r="Z348" s="9"/>
      <c r="AA348" s="9"/>
      <c r="AB348" s="9"/>
      <c r="AC348" s="9"/>
      <c r="AD348" s="9"/>
    </row>
    <row r="349" spans="2:30" x14ac:dyDescent="0.2">
      <c r="H349" s="9"/>
      <c r="I349" s="9"/>
      <c r="J349" s="9"/>
      <c r="K349" s="9"/>
      <c r="L349" s="9"/>
      <c r="M349" s="9"/>
      <c r="N349" s="9"/>
      <c r="O349" s="9"/>
      <c r="P349" s="9"/>
      <c r="Q349" s="9"/>
      <c r="R349" s="9"/>
      <c r="S349" s="9"/>
      <c r="T349" s="9"/>
      <c r="U349" s="9"/>
      <c r="V349" s="9"/>
      <c r="W349" s="9"/>
      <c r="X349" s="9"/>
      <c r="Y349" s="9"/>
      <c r="Z349" s="9"/>
      <c r="AA349" s="9"/>
      <c r="AB349" s="9"/>
      <c r="AC349" s="9"/>
      <c r="AD349" s="9"/>
    </row>
    <row r="350" spans="2:30" ht="18" x14ac:dyDescent="0.25">
      <c r="B350" s="6" t="s">
        <v>249</v>
      </c>
      <c r="H350" s="9"/>
      <c r="I350" s="9"/>
      <c r="J350" s="9"/>
      <c r="K350" s="9"/>
      <c r="L350" s="9"/>
      <c r="M350" s="9"/>
      <c r="N350" s="9"/>
      <c r="O350" s="9"/>
      <c r="P350" s="9"/>
      <c r="Q350" s="9"/>
      <c r="R350" s="9"/>
      <c r="S350" s="9"/>
      <c r="T350" s="9"/>
      <c r="U350" s="9"/>
      <c r="V350" s="9"/>
      <c r="W350" s="9"/>
      <c r="X350" s="9"/>
      <c r="Y350" s="9"/>
      <c r="Z350" s="9"/>
      <c r="AA350" s="9"/>
      <c r="AB350" s="9"/>
      <c r="AC350" s="9"/>
      <c r="AD350" s="9"/>
    </row>
    <row r="351" spans="2:30" x14ac:dyDescent="0.2">
      <c r="B351" s="13" t="s">
        <v>250</v>
      </c>
      <c r="C351" s="7" t="s">
        <v>252</v>
      </c>
      <c r="H351" s="9"/>
      <c r="I351" s="9"/>
      <c r="J351" s="9"/>
      <c r="K351" s="9"/>
      <c r="L351" s="9"/>
      <c r="M351" s="9"/>
      <c r="N351" s="9"/>
      <c r="O351" s="9"/>
      <c r="P351" s="9"/>
      <c r="Q351" s="9"/>
      <c r="R351" s="9"/>
      <c r="S351" s="9"/>
      <c r="T351" s="9"/>
      <c r="U351" s="9"/>
      <c r="V351" s="9"/>
      <c r="W351" s="9"/>
      <c r="X351" s="9"/>
      <c r="Y351" s="9"/>
      <c r="Z351" s="9"/>
      <c r="AA351" s="9"/>
      <c r="AB351" s="9"/>
      <c r="AC351" s="9"/>
      <c r="AD351" s="9"/>
    </row>
    <row r="352" spans="2:30" x14ac:dyDescent="0.2">
      <c r="H352" s="9"/>
      <c r="I352" s="9"/>
      <c r="J352" s="9"/>
      <c r="K352" s="9"/>
      <c r="L352" s="9"/>
      <c r="M352" s="9"/>
      <c r="N352" s="9"/>
      <c r="O352" s="9"/>
      <c r="P352" s="9"/>
      <c r="Q352" s="9"/>
      <c r="R352" s="9"/>
      <c r="S352" s="9"/>
      <c r="T352" s="9"/>
      <c r="U352" s="9"/>
      <c r="V352" s="9"/>
      <c r="W352" s="9"/>
      <c r="X352" s="9"/>
      <c r="Y352" s="9"/>
      <c r="Z352" s="9"/>
      <c r="AA352" s="9"/>
      <c r="AB352" s="9"/>
      <c r="AC352" s="9"/>
      <c r="AD352" s="9"/>
    </row>
    <row r="353" spans="2:30" x14ac:dyDescent="0.2">
      <c r="B353" s="13" t="s">
        <v>251</v>
      </c>
      <c r="C353" s="7" t="s">
        <v>269</v>
      </c>
      <c r="H353" s="9"/>
      <c r="I353" s="9"/>
      <c r="J353" s="9"/>
      <c r="K353" s="9"/>
      <c r="L353" s="9"/>
      <c r="M353" s="9"/>
      <c r="N353" s="9"/>
      <c r="O353" s="9"/>
      <c r="P353" s="9"/>
      <c r="Q353" s="9"/>
      <c r="R353" s="9"/>
      <c r="S353" s="9"/>
      <c r="T353" s="9"/>
      <c r="U353" s="9"/>
      <c r="V353" s="9"/>
      <c r="W353" s="9"/>
      <c r="X353" s="9"/>
      <c r="Y353" s="9"/>
      <c r="Z353" s="9"/>
      <c r="AA353" s="9"/>
      <c r="AB353" s="9"/>
      <c r="AC353" s="9"/>
      <c r="AD353" s="9"/>
    </row>
    <row r="354" spans="2:30" x14ac:dyDescent="0.2">
      <c r="B354" s="24" t="s">
        <v>262</v>
      </c>
      <c r="H354" s="9"/>
      <c r="I354" s="9"/>
      <c r="J354" s="9"/>
      <c r="K354" s="9"/>
      <c r="L354" s="9"/>
      <c r="M354" s="9"/>
      <c r="N354" s="9"/>
      <c r="O354" s="9"/>
      <c r="P354" s="9"/>
      <c r="Q354" s="9"/>
      <c r="R354" s="9"/>
      <c r="S354" s="9"/>
      <c r="T354" s="9"/>
      <c r="U354" s="9"/>
      <c r="V354" s="9"/>
      <c r="W354" s="9"/>
      <c r="X354" s="9"/>
      <c r="Y354" s="9"/>
      <c r="Z354" s="9"/>
      <c r="AA354" s="9"/>
      <c r="AB354" s="9"/>
      <c r="AC354" s="9"/>
      <c r="AD354" s="9"/>
    </row>
    <row r="355" spans="2:30" x14ac:dyDescent="0.2">
      <c r="B355" s="13" t="s">
        <v>289</v>
      </c>
      <c r="C355" s="7" t="s">
        <v>270</v>
      </c>
      <c r="H355" s="9"/>
      <c r="I355" s="9"/>
      <c r="J355" s="9"/>
      <c r="K355" s="9"/>
      <c r="L355" s="9"/>
      <c r="M355" s="9"/>
      <c r="N355" s="9"/>
      <c r="O355" s="9"/>
      <c r="P355" s="9"/>
      <c r="Q355" s="9"/>
      <c r="R355" s="9"/>
      <c r="S355" s="9"/>
      <c r="T355" s="9"/>
      <c r="U355" s="9"/>
      <c r="V355" s="9"/>
      <c r="W355" s="9"/>
      <c r="X355" s="9"/>
      <c r="Y355" s="9"/>
      <c r="Z355" s="9"/>
      <c r="AA355" s="9"/>
      <c r="AB355" s="9"/>
      <c r="AC355" s="9"/>
      <c r="AD355" s="9"/>
    </row>
    <row r="356" spans="2:30" x14ac:dyDescent="0.2">
      <c r="H356" s="9"/>
      <c r="I356" s="9"/>
      <c r="J356" s="9"/>
      <c r="K356" s="9"/>
      <c r="L356" s="9"/>
      <c r="M356" s="9"/>
      <c r="N356" s="9"/>
      <c r="O356" s="9"/>
      <c r="P356" s="9"/>
      <c r="Q356" s="9"/>
      <c r="R356" s="9"/>
      <c r="S356" s="9"/>
      <c r="T356" s="9"/>
      <c r="U356" s="9"/>
      <c r="V356" s="9"/>
      <c r="W356" s="9"/>
      <c r="X356" s="9"/>
      <c r="Y356" s="9"/>
      <c r="Z356" s="9"/>
      <c r="AA356" s="9"/>
      <c r="AB356" s="9"/>
      <c r="AC356" s="9"/>
      <c r="AD356" s="9"/>
    </row>
    <row r="357" spans="2:30" x14ac:dyDescent="0.2">
      <c r="B357" s="13" t="s">
        <v>297</v>
      </c>
      <c r="C357" s="7" t="s">
        <v>271</v>
      </c>
      <c r="H357" s="9"/>
      <c r="I357" s="9"/>
      <c r="J357" s="9"/>
      <c r="K357" s="9"/>
      <c r="L357" s="9"/>
      <c r="M357" s="9"/>
      <c r="N357" s="9"/>
      <c r="O357" s="9"/>
      <c r="P357" s="9"/>
      <c r="Q357" s="9"/>
      <c r="R357" s="9"/>
      <c r="S357" s="9"/>
      <c r="T357" s="9"/>
      <c r="U357" s="9"/>
      <c r="V357" s="9"/>
      <c r="W357" s="9"/>
      <c r="X357" s="9"/>
      <c r="Y357" s="9"/>
      <c r="Z357" s="9"/>
      <c r="AA357" s="9"/>
      <c r="AB357" s="9"/>
      <c r="AC357" s="9"/>
      <c r="AD357" s="9"/>
    </row>
    <row r="358" spans="2:30" x14ac:dyDescent="0.2">
      <c r="H358" s="9"/>
      <c r="I358" s="9"/>
      <c r="J358" s="9"/>
      <c r="K358" s="9"/>
      <c r="L358" s="9"/>
      <c r="M358" s="9"/>
      <c r="N358" s="9"/>
      <c r="O358" s="9"/>
      <c r="P358" s="9"/>
      <c r="Q358" s="9"/>
      <c r="R358" s="9"/>
      <c r="S358" s="9"/>
      <c r="T358" s="9"/>
      <c r="U358" s="9"/>
      <c r="V358" s="9"/>
      <c r="W358" s="9"/>
      <c r="X358" s="9"/>
      <c r="Y358" s="9"/>
      <c r="Z358" s="9"/>
      <c r="AA358" s="9"/>
      <c r="AB358" s="9"/>
      <c r="AC358" s="9"/>
      <c r="AD358" s="9"/>
    </row>
    <row r="359" spans="2:30" x14ac:dyDescent="0.2">
      <c r="B359" s="13" t="s">
        <v>295</v>
      </c>
      <c r="C359" s="7" t="s">
        <v>296</v>
      </c>
      <c r="D359" s="7" t="s">
        <v>202</v>
      </c>
      <c r="H359" s="9"/>
      <c r="I359" s="9"/>
      <c r="J359" s="9"/>
      <c r="K359" s="9"/>
      <c r="L359" s="9"/>
      <c r="M359" s="9"/>
      <c r="N359" s="9"/>
      <c r="O359" s="9"/>
      <c r="P359" s="9"/>
      <c r="Q359" s="9"/>
      <c r="R359" s="9"/>
      <c r="S359" s="9"/>
      <c r="T359" s="9"/>
      <c r="U359" s="9"/>
      <c r="V359" s="9"/>
      <c r="W359" s="9"/>
      <c r="X359" s="9"/>
      <c r="Y359" s="9"/>
      <c r="Z359" s="9"/>
      <c r="AA359" s="9"/>
      <c r="AB359" s="9"/>
      <c r="AC359" s="9"/>
      <c r="AD359" s="9"/>
    </row>
    <row r="360" spans="2:30" ht="16.5" thickBot="1" x14ac:dyDescent="0.3">
      <c r="B360" s="13"/>
      <c r="C360" s="16" t="s">
        <v>3</v>
      </c>
      <c r="H360" s="9"/>
      <c r="I360" s="9"/>
      <c r="J360" s="9"/>
      <c r="K360" s="9"/>
      <c r="L360" s="9"/>
      <c r="M360" s="9"/>
      <c r="N360" s="9"/>
      <c r="O360" s="9"/>
      <c r="P360" s="9"/>
      <c r="Q360" s="9"/>
      <c r="R360" s="9"/>
      <c r="S360" s="9"/>
      <c r="T360" s="9"/>
      <c r="U360" s="9"/>
      <c r="V360" s="9"/>
      <c r="W360" s="9"/>
      <c r="X360" s="9"/>
      <c r="Y360" s="9"/>
      <c r="Z360" s="9"/>
      <c r="AA360" s="9"/>
      <c r="AB360" s="9"/>
      <c r="AC360" s="9"/>
      <c r="AD360" s="9"/>
    </row>
    <row r="361" spans="2:30" x14ac:dyDescent="0.2">
      <c r="B361" s="13" t="s">
        <v>255</v>
      </c>
      <c r="C361" s="122">
        <v>4500</v>
      </c>
      <c r="D361" s="7" t="s">
        <v>41</v>
      </c>
      <c r="E361" s="7" t="s">
        <v>19</v>
      </c>
      <c r="H361" s="9"/>
      <c r="I361" s="9"/>
      <c r="J361" s="9"/>
      <c r="K361" s="9"/>
      <c r="L361" s="9"/>
      <c r="M361" s="9"/>
      <c r="N361" s="9"/>
      <c r="O361" s="9"/>
      <c r="P361" s="9"/>
      <c r="Q361" s="9"/>
      <c r="R361" s="9"/>
      <c r="S361" s="9"/>
      <c r="T361" s="9"/>
      <c r="U361" s="9"/>
      <c r="V361" s="9"/>
      <c r="W361" s="9"/>
      <c r="X361" s="9"/>
      <c r="Y361" s="9"/>
      <c r="Z361" s="9"/>
      <c r="AA361" s="9"/>
      <c r="AB361" s="9"/>
      <c r="AC361" s="9"/>
      <c r="AD361" s="9"/>
    </row>
    <row r="362" spans="2:30" x14ac:dyDescent="0.2">
      <c r="B362" s="13" t="s">
        <v>261</v>
      </c>
      <c r="C362" s="77">
        <v>6</v>
      </c>
      <c r="D362" s="7" t="s">
        <v>16</v>
      </c>
      <c r="H362" s="9"/>
      <c r="I362" s="9"/>
      <c r="J362" s="9"/>
      <c r="K362" s="9"/>
      <c r="L362" s="9"/>
      <c r="M362" s="9"/>
      <c r="N362" s="9"/>
      <c r="O362" s="9"/>
      <c r="P362" s="9"/>
      <c r="Q362" s="9"/>
      <c r="R362" s="9"/>
      <c r="S362" s="9"/>
      <c r="T362" s="9"/>
      <c r="U362" s="9"/>
      <c r="V362" s="9"/>
      <c r="W362" s="9"/>
      <c r="X362" s="9"/>
      <c r="Y362" s="9"/>
      <c r="Z362" s="9"/>
      <c r="AA362" s="9"/>
      <c r="AB362" s="9"/>
      <c r="AC362" s="9"/>
      <c r="AD362" s="9"/>
    </row>
    <row r="363" spans="2:30" x14ac:dyDescent="0.2">
      <c r="B363" s="13" t="s">
        <v>268</v>
      </c>
      <c r="C363" s="77">
        <v>8</v>
      </c>
      <c r="D363" s="7" t="s">
        <v>16</v>
      </c>
      <c r="H363" s="9"/>
      <c r="I363" s="9"/>
      <c r="J363" s="9"/>
      <c r="K363" s="9"/>
      <c r="L363" s="9"/>
      <c r="M363" s="9"/>
      <c r="N363" s="9"/>
      <c r="O363" s="9"/>
      <c r="P363" s="9"/>
      <c r="Q363" s="9"/>
      <c r="R363" s="9"/>
      <c r="S363" s="9"/>
      <c r="T363" s="9"/>
      <c r="U363" s="9"/>
      <c r="V363" s="9"/>
      <c r="W363" s="9"/>
      <c r="X363" s="9"/>
      <c r="Y363" s="9"/>
      <c r="Z363" s="9"/>
      <c r="AA363" s="9"/>
      <c r="AB363" s="9"/>
      <c r="AC363" s="9"/>
      <c r="AD363" s="9"/>
    </row>
    <row r="364" spans="2:30" x14ac:dyDescent="0.2">
      <c r="B364" s="13" t="s">
        <v>207</v>
      </c>
      <c r="C364" s="79">
        <v>40</v>
      </c>
      <c r="D364" s="7" t="s">
        <v>16</v>
      </c>
      <c r="H364" s="9"/>
      <c r="I364" s="9"/>
      <c r="J364" s="9"/>
      <c r="K364" s="9"/>
      <c r="L364" s="9"/>
      <c r="M364" s="9"/>
      <c r="N364" s="9"/>
      <c r="O364" s="9"/>
      <c r="P364" s="9"/>
      <c r="Q364" s="9"/>
      <c r="R364" s="9"/>
      <c r="S364" s="9"/>
      <c r="T364" s="9"/>
      <c r="U364" s="9"/>
      <c r="V364" s="9"/>
      <c r="W364" s="9"/>
      <c r="X364" s="9"/>
      <c r="Y364" s="9"/>
      <c r="Z364" s="9"/>
      <c r="AA364" s="9"/>
      <c r="AB364" s="9"/>
      <c r="AC364" s="9"/>
      <c r="AD364" s="9"/>
    </row>
    <row r="365" spans="2:30" ht="15.75" x14ac:dyDescent="0.25">
      <c r="B365" s="15" t="s">
        <v>140</v>
      </c>
      <c r="C365" s="134">
        <v>3.5</v>
      </c>
      <c r="D365" s="8" t="s">
        <v>16</v>
      </c>
      <c r="H365" s="9"/>
      <c r="I365" s="9"/>
      <c r="J365" s="9"/>
      <c r="K365" s="9"/>
      <c r="L365" s="9"/>
      <c r="M365" s="9"/>
      <c r="N365" s="9"/>
      <c r="O365" s="9"/>
      <c r="P365" s="9"/>
      <c r="Q365" s="9"/>
      <c r="R365" s="9"/>
      <c r="S365" s="9"/>
      <c r="T365" s="9"/>
      <c r="U365" s="9"/>
      <c r="V365" s="9"/>
      <c r="W365" s="9"/>
      <c r="X365" s="9"/>
      <c r="Y365" s="9"/>
      <c r="Z365" s="9"/>
      <c r="AA365" s="9"/>
      <c r="AB365" s="9"/>
      <c r="AC365" s="9"/>
      <c r="AD365" s="9"/>
    </row>
    <row r="366" spans="2:30" x14ac:dyDescent="0.2">
      <c r="B366" s="13" t="s">
        <v>200</v>
      </c>
      <c r="C366" s="77">
        <v>29000000</v>
      </c>
      <c r="D366" s="7" t="s">
        <v>173</v>
      </c>
      <c r="H366" s="9"/>
      <c r="I366" s="9"/>
      <c r="J366" s="9"/>
      <c r="K366" s="9"/>
      <c r="L366" s="9"/>
      <c r="M366" s="9"/>
      <c r="N366" s="9"/>
      <c r="O366" s="9"/>
      <c r="P366" s="9"/>
      <c r="Q366" s="9"/>
      <c r="R366" s="9"/>
      <c r="S366" s="9"/>
      <c r="T366" s="9"/>
      <c r="U366" s="9"/>
      <c r="V366" s="9"/>
      <c r="W366" s="9"/>
      <c r="X366" s="9"/>
      <c r="Y366" s="9"/>
      <c r="Z366" s="9"/>
      <c r="AA366" s="9"/>
      <c r="AB366" s="9"/>
      <c r="AC366" s="9"/>
      <c r="AD366" s="9"/>
    </row>
    <row r="367" spans="2:30" ht="16.5" thickBot="1" x14ac:dyDescent="0.3">
      <c r="B367" s="15" t="s">
        <v>196</v>
      </c>
      <c r="C367" s="144">
        <v>8</v>
      </c>
      <c r="D367" s="8" t="s">
        <v>16</v>
      </c>
      <c r="F367" s="23"/>
      <c r="H367" s="9"/>
      <c r="I367" s="9"/>
      <c r="J367" s="9"/>
      <c r="K367" s="9"/>
      <c r="L367" s="9"/>
      <c r="M367" s="9"/>
      <c r="N367" s="9"/>
      <c r="O367" s="9"/>
      <c r="P367" s="9"/>
      <c r="Q367" s="9"/>
      <c r="R367" s="9"/>
      <c r="S367" s="9"/>
      <c r="T367" s="9"/>
      <c r="U367" s="9"/>
      <c r="V367" s="9"/>
      <c r="W367" s="9"/>
      <c r="X367" s="9"/>
      <c r="Y367" s="9"/>
      <c r="Z367" s="9"/>
      <c r="AA367" s="9"/>
      <c r="AB367" s="9"/>
      <c r="AC367" s="9"/>
      <c r="AD367" s="9"/>
    </row>
    <row r="368" spans="2:30" ht="15.75" x14ac:dyDescent="0.25">
      <c r="B368" s="8" t="s">
        <v>324</v>
      </c>
      <c r="H368" s="9"/>
      <c r="I368" s="9"/>
      <c r="J368" s="9"/>
      <c r="K368" s="9"/>
      <c r="L368" s="9"/>
      <c r="M368" s="9"/>
      <c r="N368" s="9"/>
      <c r="O368" s="9"/>
      <c r="P368" s="9"/>
      <c r="Q368" s="9"/>
      <c r="R368" s="9"/>
      <c r="S368" s="9"/>
      <c r="T368" s="9"/>
      <c r="U368" s="9"/>
      <c r="V368" s="9"/>
      <c r="W368" s="9"/>
      <c r="X368" s="9"/>
      <c r="Y368" s="9"/>
      <c r="Z368" s="9"/>
      <c r="AA368" s="9"/>
      <c r="AB368" s="9"/>
      <c r="AC368" s="9"/>
      <c r="AD368" s="9"/>
    </row>
    <row r="369" spans="2:30" ht="15.75" x14ac:dyDescent="0.25">
      <c r="B369" s="13"/>
      <c r="C369" s="16" t="s">
        <v>4</v>
      </c>
      <c r="H369" s="9"/>
      <c r="I369" s="9"/>
      <c r="J369" s="9"/>
      <c r="K369" s="9"/>
      <c r="L369" s="9"/>
      <c r="M369" s="9"/>
      <c r="N369" s="9"/>
      <c r="O369" s="9"/>
      <c r="P369" s="9"/>
      <c r="Q369" s="9"/>
      <c r="R369" s="9"/>
      <c r="S369" s="9"/>
      <c r="T369" s="9"/>
      <c r="U369" s="9"/>
      <c r="V369" s="9"/>
      <c r="W369" s="9"/>
      <c r="X369" s="9"/>
      <c r="Y369" s="9"/>
      <c r="Z369" s="9"/>
      <c r="AA369" s="9"/>
      <c r="AB369" s="9"/>
      <c r="AC369" s="9"/>
      <c r="AD369" s="9"/>
    </row>
    <row r="370" spans="2:30" x14ac:dyDescent="0.2">
      <c r="B370" s="13" t="s">
        <v>267</v>
      </c>
      <c r="C370" s="7" t="s">
        <v>195</v>
      </c>
      <c r="H370" s="9"/>
      <c r="I370" s="9"/>
      <c r="J370" s="9"/>
      <c r="K370" s="9"/>
      <c r="L370" s="9"/>
      <c r="M370" s="9"/>
      <c r="N370" s="9"/>
      <c r="O370" s="9"/>
      <c r="P370" s="9"/>
      <c r="Q370" s="9"/>
      <c r="R370" s="9"/>
      <c r="S370" s="9"/>
      <c r="T370" s="9"/>
      <c r="U370" s="9"/>
      <c r="V370" s="9"/>
      <c r="W370" s="9"/>
      <c r="X370" s="9"/>
      <c r="Y370" s="9"/>
      <c r="Z370" s="9"/>
      <c r="AA370" s="9"/>
      <c r="AB370" s="9"/>
      <c r="AC370" s="9"/>
      <c r="AD370" s="9"/>
    </row>
    <row r="371" spans="2:30" x14ac:dyDescent="0.2">
      <c r="B371" s="13" t="s">
        <v>6</v>
      </c>
      <c r="C371" s="88">
        <f>C364 - C363</f>
        <v>32</v>
      </c>
      <c r="D371" s="7" t="s">
        <v>16</v>
      </c>
      <c r="F371" s="13"/>
      <c r="H371" s="9"/>
      <c r="I371" s="9"/>
      <c r="J371" s="9"/>
      <c r="K371" s="9"/>
      <c r="L371" s="9"/>
      <c r="M371" s="9"/>
      <c r="N371" s="9"/>
      <c r="O371" s="9"/>
      <c r="P371" s="9"/>
      <c r="Q371" s="9"/>
      <c r="R371" s="9"/>
      <c r="S371" s="9"/>
      <c r="T371" s="9"/>
      <c r="U371" s="9"/>
      <c r="V371" s="9"/>
      <c r="W371" s="9"/>
      <c r="X371" s="9"/>
      <c r="Y371" s="9"/>
      <c r="Z371" s="9"/>
      <c r="AA371" s="9"/>
      <c r="AB371" s="9"/>
      <c r="AC371" s="9"/>
      <c r="AD371" s="9"/>
    </row>
    <row r="372" spans="2:30" x14ac:dyDescent="0.2">
      <c r="B372" s="13" t="s">
        <v>163</v>
      </c>
      <c r="C372" s="14" t="s">
        <v>167</v>
      </c>
      <c r="H372" s="9"/>
      <c r="I372" s="9"/>
      <c r="J372" s="9"/>
      <c r="K372" s="9"/>
      <c r="L372" s="9"/>
      <c r="M372" s="9"/>
      <c r="N372" s="9"/>
      <c r="O372" s="9"/>
      <c r="P372" s="9"/>
      <c r="Q372" s="9"/>
      <c r="R372" s="9"/>
      <c r="S372" s="9"/>
      <c r="T372" s="9"/>
      <c r="U372" s="9"/>
      <c r="V372" s="9"/>
      <c r="W372" s="9"/>
      <c r="X372" s="9"/>
      <c r="Y372" s="9"/>
      <c r="Z372" s="9"/>
      <c r="AA372" s="9"/>
      <c r="AB372" s="9"/>
      <c r="AC372" s="9"/>
      <c r="AD372" s="9"/>
    </row>
    <row r="373" spans="2:30" x14ac:dyDescent="0.2">
      <c r="B373" s="13" t="s">
        <v>169</v>
      </c>
      <c r="C373" s="89">
        <f>3.1417 * C365^4 /64</f>
        <v>7.3664274414062501</v>
      </c>
      <c r="D373" s="7" t="s">
        <v>164</v>
      </c>
      <c r="H373" s="9"/>
      <c r="I373" s="9"/>
      <c r="J373" s="9"/>
      <c r="K373" s="9"/>
      <c r="L373" s="9"/>
      <c r="M373" s="9"/>
      <c r="N373" s="9"/>
      <c r="O373" s="9"/>
      <c r="P373" s="9"/>
      <c r="Q373" s="9"/>
      <c r="R373" s="9"/>
      <c r="S373" s="9"/>
      <c r="T373" s="9"/>
      <c r="U373" s="9"/>
      <c r="V373" s="9"/>
      <c r="W373" s="9"/>
      <c r="X373" s="9"/>
      <c r="Y373" s="9"/>
      <c r="Z373" s="9"/>
      <c r="AA373" s="9"/>
      <c r="AB373" s="9"/>
      <c r="AC373" s="9"/>
      <c r="AD373" s="9"/>
    </row>
    <row r="374" spans="2:30" ht="18" x14ac:dyDescent="0.25">
      <c r="B374" s="35" t="s">
        <v>198</v>
      </c>
      <c r="H374" s="9"/>
      <c r="I374" s="9"/>
      <c r="J374" s="9"/>
      <c r="K374" s="9"/>
      <c r="L374" s="9"/>
      <c r="M374" s="9"/>
      <c r="N374" s="9"/>
      <c r="O374" s="9"/>
      <c r="P374" s="9"/>
      <c r="Q374" s="9"/>
      <c r="R374" s="9"/>
      <c r="S374" s="9"/>
      <c r="T374" s="9"/>
      <c r="U374" s="9"/>
      <c r="V374" s="9"/>
      <c r="W374" s="9"/>
      <c r="X374" s="9"/>
      <c r="Y374" s="9"/>
      <c r="Z374" s="9"/>
      <c r="AA374" s="9"/>
      <c r="AB374" s="9"/>
      <c r="AC374" s="9"/>
      <c r="AD374" s="9"/>
    </row>
    <row r="375" spans="2:30" x14ac:dyDescent="0.2">
      <c r="B375" s="13" t="s">
        <v>263</v>
      </c>
      <c r="C375" s="7" t="s">
        <v>271</v>
      </c>
      <c r="H375" s="9"/>
      <c r="I375" s="9"/>
      <c r="J375" s="9"/>
      <c r="K375" s="9"/>
      <c r="L375" s="9"/>
      <c r="M375" s="9"/>
      <c r="N375" s="9"/>
      <c r="O375" s="9"/>
      <c r="P375" s="9"/>
      <c r="Q375" s="9"/>
      <c r="R375" s="9"/>
      <c r="S375" s="9"/>
      <c r="T375" s="9"/>
      <c r="U375" s="9"/>
      <c r="V375" s="9"/>
      <c r="W375" s="9"/>
      <c r="X375" s="9"/>
      <c r="Y375" s="9"/>
      <c r="Z375" s="9"/>
      <c r="AA375" s="9"/>
      <c r="AB375" s="9"/>
      <c r="AC375" s="9"/>
      <c r="AD375" s="9"/>
    </row>
    <row r="376" spans="2:30" x14ac:dyDescent="0.2">
      <c r="B376" s="13" t="s">
        <v>264</v>
      </c>
      <c r="C376" s="135">
        <f>(C361 * C362 /( 6 * C366 * C373*C364)) * ( C364^2 - 3* C367^2 )</f>
        <v>7.4148140451574631E-4</v>
      </c>
      <c r="D376" s="7" t="s">
        <v>202</v>
      </c>
      <c r="H376" s="9"/>
      <c r="I376" s="9"/>
      <c r="J376" s="9"/>
      <c r="K376" s="9"/>
      <c r="L376" s="9"/>
      <c r="M376" s="9"/>
      <c r="N376" s="9"/>
      <c r="O376" s="9"/>
      <c r="P376" s="9"/>
      <c r="Q376" s="9"/>
      <c r="R376" s="9"/>
      <c r="S376" s="9"/>
      <c r="T376" s="9"/>
      <c r="U376" s="9"/>
      <c r="V376" s="9"/>
      <c r="W376" s="9"/>
      <c r="X376" s="9"/>
      <c r="Y376" s="9"/>
      <c r="Z376" s="9"/>
      <c r="AA376" s="9"/>
      <c r="AB376" s="9"/>
      <c r="AC376" s="9"/>
      <c r="AD376" s="9"/>
    </row>
    <row r="377" spans="2:30" x14ac:dyDescent="0.2">
      <c r="B377" s="13" t="s">
        <v>264</v>
      </c>
      <c r="C377" s="89">
        <f>57.2957*C376</f>
        <v>4.2483696108712846E-2</v>
      </c>
      <c r="D377" s="7" t="s">
        <v>203</v>
      </c>
      <c r="H377" s="9"/>
      <c r="I377" s="9"/>
      <c r="J377" s="9"/>
      <c r="K377" s="9"/>
      <c r="L377" s="9"/>
      <c r="M377" s="9"/>
      <c r="N377" s="9"/>
      <c r="O377" s="9"/>
      <c r="P377" s="9"/>
      <c r="Q377" s="9"/>
      <c r="R377" s="9"/>
      <c r="S377" s="9"/>
      <c r="T377" s="9"/>
      <c r="U377" s="9"/>
      <c r="V377" s="9"/>
      <c r="W377" s="9"/>
      <c r="X377" s="9"/>
      <c r="Y377" s="9"/>
      <c r="Z377" s="9"/>
      <c r="AA377" s="9"/>
      <c r="AB377" s="9"/>
      <c r="AC377" s="9"/>
      <c r="AD377" s="9"/>
    </row>
    <row r="378" spans="2:30" x14ac:dyDescent="0.2">
      <c r="C378" s="14"/>
      <c r="H378" s="9"/>
      <c r="I378" s="9"/>
      <c r="J378" s="9"/>
      <c r="K378" s="9"/>
      <c r="L378" s="9"/>
      <c r="M378" s="9"/>
      <c r="N378" s="9"/>
      <c r="O378" s="9"/>
      <c r="P378" s="9"/>
      <c r="Q378" s="9"/>
      <c r="R378" s="9"/>
      <c r="S378" s="9"/>
      <c r="T378" s="9"/>
      <c r="U378" s="9"/>
      <c r="V378" s="9"/>
      <c r="W378" s="9"/>
      <c r="X378" s="9"/>
      <c r="Y378" s="9"/>
      <c r="Z378" s="9"/>
      <c r="AA378" s="9"/>
      <c r="AB378" s="9"/>
      <c r="AC378" s="9"/>
      <c r="AD378" s="9"/>
    </row>
    <row r="379" spans="2:30" ht="18" x14ac:dyDescent="0.25">
      <c r="B379" s="35" t="s">
        <v>276</v>
      </c>
      <c r="H379" s="9"/>
      <c r="I379" s="9"/>
      <c r="J379" s="9"/>
      <c r="K379" s="9"/>
      <c r="L379" s="9"/>
      <c r="M379" s="9"/>
      <c r="N379" s="9"/>
      <c r="O379" s="9"/>
      <c r="P379" s="9"/>
      <c r="Q379" s="9"/>
      <c r="R379" s="9"/>
      <c r="S379" s="9"/>
      <c r="T379" s="9"/>
      <c r="U379" s="9"/>
      <c r="V379" s="9"/>
      <c r="W379" s="9"/>
      <c r="X379" s="9"/>
      <c r="Y379" s="9"/>
      <c r="Z379" s="9"/>
      <c r="AA379" s="9"/>
      <c r="AB379" s="9"/>
      <c r="AC379" s="9"/>
      <c r="AD379" s="9"/>
    </row>
    <row r="380" spans="2:30" ht="15.75" x14ac:dyDescent="0.25">
      <c r="B380" s="15" t="s">
        <v>265</v>
      </c>
      <c r="C380" s="94">
        <v>4.8300000000000003E-2</v>
      </c>
      <c r="D380" s="8" t="s">
        <v>203</v>
      </c>
      <c r="H380" s="9"/>
      <c r="I380" s="9"/>
      <c r="J380" s="9"/>
      <c r="K380" s="9"/>
      <c r="L380" s="9"/>
      <c r="M380" s="9"/>
      <c r="N380" s="9"/>
      <c r="O380" s="9"/>
      <c r="P380" s="9"/>
      <c r="Q380" s="9"/>
      <c r="R380" s="9"/>
      <c r="S380" s="9"/>
      <c r="T380" s="9"/>
      <c r="U380" s="9"/>
      <c r="V380" s="9"/>
      <c r="W380" s="9"/>
      <c r="X380" s="9"/>
      <c r="Y380" s="9"/>
      <c r="Z380" s="9"/>
      <c r="AA380" s="9"/>
      <c r="AB380" s="9"/>
      <c r="AC380" s="9"/>
      <c r="AD380" s="9"/>
    </row>
    <row r="381" spans="2:30" ht="15.75" x14ac:dyDescent="0.25">
      <c r="B381" s="15" t="s">
        <v>266</v>
      </c>
      <c r="C381" s="94">
        <v>4.2500000000000003E-2</v>
      </c>
      <c r="D381" s="8" t="s">
        <v>203</v>
      </c>
      <c r="H381" s="9"/>
      <c r="I381" s="9"/>
      <c r="J381" s="9"/>
      <c r="K381" s="9"/>
      <c r="L381" s="9"/>
      <c r="M381" s="9"/>
      <c r="N381" s="9"/>
      <c r="O381" s="9"/>
      <c r="P381" s="9"/>
      <c r="Q381" s="9"/>
      <c r="R381" s="9"/>
      <c r="S381" s="9"/>
      <c r="T381" s="9"/>
      <c r="U381" s="9"/>
      <c r="V381" s="9"/>
      <c r="W381" s="9"/>
      <c r="X381" s="9"/>
      <c r="Y381" s="9"/>
      <c r="Z381" s="9"/>
      <c r="AA381" s="9"/>
      <c r="AB381" s="9"/>
      <c r="AC381" s="9"/>
      <c r="AD381" s="9"/>
    </row>
    <row r="382" spans="2:30" ht="15.75" x14ac:dyDescent="0.25">
      <c r="B382" s="15" t="s">
        <v>299</v>
      </c>
      <c r="C382" s="94">
        <v>-4.4400000000000002E-2</v>
      </c>
      <c r="D382" s="8" t="s">
        <v>203</v>
      </c>
      <c r="H382" s="9"/>
      <c r="I382" s="9"/>
      <c r="J382" s="9"/>
      <c r="K382" s="9"/>
      <c r="L382" s="9"/>
      <c r="M382" s="9"/>
      <c r="N382" s="9"/>
      <c r="O382" s="9"/>
      <c r="P382" s="9"/>
      <c r="Q382" s="9"/>
      <c r="R382" s="9"/>
      <c r="S382" s="9"/>
      <c r="T382" s="9"/>
      <c r="U382" s="9"/>
      <c r="V382" s="9"/>
      <c r="W382" s="9"/>
      <c r="X382" s="9"/>
      <c r="Y382" s="9"/>
      <c r="Z382" s="9"/>
      <c r="AA382" s="9"/>
      <c r="AB382" s="9"/>
      <c r="AC382" s="9"/>
      <c r="AD382" s="9"/>
    </row>
    <row r="383" spans="2:30" ht="15.75" x14ac:dyDescent="0.25">
      <c r="B383" s="15" t="s">
        <v>300</v>
      </c>
      <c r="C383" s="94">
        <v>-9.6600000000000005E-2</v>
      </c>
      <c r="D383" s="8" t="s">
        <v>203</v>
      </c>
      <c r="H383" s="9"/>
      <c r="I383" s="9"/>
      <c r="J383" s="9"/>
      <c r="K383" s="9"/>
      <c r="L383" s="9"/>
      <c r="M383" s="9"/>
      <c r="N383" s="9"/>
      <c r="O383" s="9"/>
      <c r="P383" s="9"/>
      <c r="Q383" s="9"/>
      <c r="R383" s="9"/>
      <c r="S383" s="9"/>
      <c r="T383" s="9"/>
      <c r="U383" s="9"/>
      <c r="V383" s="9"/>
      <c r="W383" s="9"/>
      <c r="X383" s="9"/>
      <c r="Y383" s="9"/>
      <c r="Z383" s="9"/>
      <c r="AA383" s="9"/>
      <c r="AB383" s="9"/>
      <c r="AC383" s="9"/>
      <c r="AD383" s="9"/>
    </row>
    <row r="384" spans="2:30" x14ac:dyDescent="0.2">
      <c r="H384" s="9"/>
      <c r="I384" s="9"/>
      <c r="J384" s="9"/>
      <c r="K384" s="9"/>
      <c r="L384" s="9"/>
      <c r="M384" s="9"/>
      <c r="N384" s="9"/>
      <c r="O384" s="9"/>
      <c r="P384" s="9"/>
      <c r="Q384" s="9"/>
      <c r="R384" s="9"/>
      <c r="S384" s="9"/>
      <c r="T384" s="9"/>
      <c r="U384" s="9"/>
      <c r="V384" s="9"/>
      <c r="W384" s="9"/>
      <c r="X384" s="9"/>
      <c r="Y384" s="9"/>
      <c r="Z384" s="9"/>
      <c r="AA384" s="9"/>
      <c r="AB384" s="9"/>
      <c r="AC384" s="9"/>
      <c r="AD384" s="9"/>
    </row>
    <row r="385" spans="2:30" x14ac:dyDescent="0.2">
      <c r="H385" s="9"/>
      <c r="I385" s="9"/>
      <c r="J385" s="9"/>
      <c r="K385" s="9"/>
      <c r="L385" s="9"/>
      <c r="M385" s="9"/>
      <c r="N385" s="9"/>
      <c r="O385" s="9"/>
      <c r="P385" s="9"/>
      <c r="Q385" s="9"/>
      <c r="R385" s="9"/>
      <c r="S385" s="9"/>
      <c r="T385" s="9"/>
      <c r="U385" s="9"/>
      <c r="V385" s="9"/>
      <c r="W385" s="9"/>
      <c r="X385" s="9"/>
      <c r="Y385" s="9"/>
      <c r="Z385" s="9"/>
      <c r="AA385" s="9"/>
      <c r="AB385" s="9"/>
      <c r="AC385" s="9"/>
      <c r="AD385" s="9"/>
    </row>
    <row r="386" spans="2:30" x14ac:dyDescent="0.2">
      <c r="H386" s="9"/>
      <c r="I386" s="9"/>
      <c r="J386" s="9"/>
      <c r="K386" s="9"/>
      <c r="L386" s="9"/>
      <c r="M386" s="9"/>
      <c r="N386" s="9"/>
      <c r="O386" s="9"/>
      <c r="P386" s="9"/>
      <c r="Q386" s="9"/>
      <c r="R386" s="9"/>
      <c r="S386" s="9"/>
      <c r="T386" s="9"/>
      <c r="U386" s="9"/>
      <c r="V386" s="9"/>
      <c r="W386" s="9"/>
      <c r="X386" s="9"/>
      <c r="Y386" s="9"/>
      <c r="Z386" s="9"/>
      <c r="AA386" s="9"/>
      <c r="AB386" s="9"/>
      <c r="AC386" s="9"/>
      <c r="AD386" s="9"/>
    </row>
    <row r="387" spans="2:30" x14ac:dyDescent="0.2">
      <c r="H387" s="9"/>
      <c r="I387" s="9"/>
      <c r="J387" s="9"/>
      <c r="K387" s="9"/>
      <c r="L387" s="9"/>
      <c r="M387" s="9"/>
      <c r="N387" s="9"/>
      <c r="O387" s="9"/>
      <c r="P387" s="9"/>
      <c r="Q387" s="9"/>
      <c r="R387" s="9"/>
      <c r="S387" s="9"/>
      <c r="T387" s="9"/>
      <c r="U387" s="9"/>
      <c r="V387" s="9"/>
      <c r="W387" s="9"/>
      <c r="X387" s="9"/>
      <c r="Y387" s="9"/>
      <c r="Z387" s="9"/>
      <c r="AA387" s="9"/>
      <c r="AB387" s="9"/>
      <c r="AC387" s="9"/>
      <c r="AD387" s="9"/>
    </row>
    <row r="388" spans="2:30" x14ac:dyDescent="0.2">
      <c r="H388" s="9"/>
      <c r="I388" s="9"/>
      <c r="J388" s="9"/>
      <c r="K388" s="9"/>
      <c r="L388" s="9"/>
      <c r="M388" s="9"/>
      <c r="N388" s="9"/>
      <c r="O388" s="9"/>
      <c r="P388" s="9"/>
      <c r="Q388" s="9"/>
      <c r="R388" s="9"/>
      <c r="S388" s="9"/>
      <c r="T388" s="9"/>
      <c r="U388" s="9"/>
      <c r="V388" s="9"/>
      <c r="W388" s="9"/>
      <c r="X388" s="9"/>
      <c r="Y388" s="9"/>
      <c r="Z388" s="9"/>
      <c r="AA388" s="9"/>
      <c r="AB388" s="9"/>
      <c r="AC388" s="9"/>
      <c r="AD388" s="9"/>
    </row>
    <row r="389" spans="2:30" x14ac:dyDescent="0.2">
      <c r="H389" s="9"/>
      <c r="I389" s="9"/>
      <c r="J389" s="9"/>
      <c r="K389" s="9"/>
      <c r="L389" s="9"/>
      <c r="M389" s="9"/>
      <c r="N389" s="9"/>
      <c r="O389" s="9"/>
      <c r="P389" s="9"/>
      <c r="Q389" s="9"/>
      <c r="R389" s="9"/>
      <c r="S389" s="9"/>
      <c r="T389" s="9"/>
      <c r="U389" s="9"/>
      <c r="V389" s="9"/>
      <c r="W389" s="9"/>
      <c r="X389" s="9"/>
      <c r="Y389" s="9"/>
      <c r="Z389" s="9"/>
      <c r="AA389" s="9"/>
      <c r="AB389" s="9"/>
      <c r="AC389" s="9"/>
      <c r="AD389" s="9"/>
    </row>
    <row r="390" spans="2:30" x14ac:dyDescent="0.2">
      <c r="H390" s="9"/>
      <c r="I390" s="9"/>
      <c r="J390" s="9"/>
      <c r="K390" s="9"/>
      <c r="L390" s="9"/>
      <c r="M390" s="9"/>
      <c r="N390" s="9"/>
      <c r="O390" s="9"/>
      <c r="P390" s="9"/>
      <c r="Q390" s="9"/>
      <c r="R390" s="9"/>
      <c r="S390" s="9"/>
      <c r="T390" s="9"/>
      <c r="U390" s="9"/>
      <c r="V390" s="9"/>
      <c r="W390" s="9"/>
      <c r="X390" s="9"/>
      <c r="Y390" s="9"/>
      <c r="Z390" s="9"/>
      <c r="AA390" s="9"/>
      <c r="AB390" s="9"/>
      <c r="AC390" s="9"/>
      <c r="AD390" s="9"/>
    </row>
    <row r="391" spans="2:30" x14ac:dyDescent="0.2">
      <c r="H391" s="9"/>
      <c r="I391" s="9"/>
      <c r="J391" s="9"/>
      <c r="K391" s="9"/>
      <c r="L391" s="9"/>
      <c r="M391" s="9"/>
      <c r="N391" s="9"/>
      <c r="O391" s="9"/>
      <c r="P391" s="9"/>
      <c r="Q391" s="9"/>
      <c r="R391" s="9"/>
      <c r="S391" s="9"/>
      <c r="T391" s="9"/>
      <c r="U391" s="9"/>
      <c r="V391" s="9"/>
      <c r="W391" s="9"/>
      <c r="X391" s="9"/>
      <c r="Y391" s="9"/>
      <c r="Z391" s="9"/>
      <c r="AA391" s="9"/>
      <c r="AB391" s="9"/>
      <c r="AC391" s="9"/>
      <c r="AD391" s="9"/>
    </row>
    <row r="392" spans="2:30" x14ac:dyDescent="0.2">
      <c r="H392" s="9"/>
      <c r="I392" s="9"/>
      <c r="J392" s="9"/>
      <c r="K392" s="9"/>
      <c r="L392" s="9"/>
      <c r="M392" s="9"/>
      <c r="N392" s="9"/>
      <c r="O392" s="9"/>
      <c r="P392" s="9"/>
      <c r="Q392" s="9"/>
      <c r="R392" s="9"/>
      <c r="S392" s="9"/>
      <c r="T392" s="9"/>
      <c r="U392" s="9"/>
      <c r="V392" s="9"/>
      <c r="W392" s="9"/>
      <c r="X392" s="9"/>
      <c r="Y392" s="9"/>
      <c r="Z392" s="9"/>
      <c r="AA392" s="9"/>
      <c r="AB392" s="9"/>
      <c r="AC392" s="9"/>
      <c r="AD392" s="9"/>
    </row>
    <row r="393" spans="2:30" x14ac:dyDescent="0.2">
      <c r="H393" s="9"/>
      <c r="I393" s="9"/>
      <c r="J393" s="9"/>
      <c r="K393" s="9"/>
      <c r="L393" s="9"/>
      <c r="M393" s="9"/>
      <c r="N393" s="9"/>
      <c r="O393" s="9"/>
      <c r="P393" s="9"/>
      <c r="Q393" s="9"/>
      <c r="R393" s="9"/>
      <c r="S393" s="9"/>
      <c r="T393" s="9"/>
      <c r="U393" s="9"/>
      <c r="V393" s="9"/>
      <c r="W393" s="9"/>
      <c r="X393" s="9"/>
      <c r="Y393" s="9"/>
      <c r="Z393" s="9"/>
      <c r="AA393" s="9"/>
      <c r="AB393" s="9"/>
      <c r="AC393" s="9"/>
      <c r="AD393" s="9"/>
    </row>
    <row r="394" spans="2:30" x14ac:dyDescent="0.2">
      <c r="H394" s="9"/>
      <c r="I394" s="9"/>
      <c r="J394" s="9"/>
      <c r="K394" s="9"/>
      <c r="L394" s="9"/>
      <c r="M394" s="9"/>
      <c r="N394" s="9"/>
      <c r="O394" s="9"/>
      <c r="P394" s="9"/>
      <c r="Q394" s="9"/>
      <c r="R394" s="9"/>
      <c r="S394" s="9"/>
      <c r="T394" s="9"/>
      <c r="U394" s="9"/>
      <c r="V394" s="9"/>
      <c r="W394" s="9"/>
      <c r="X394" s="9"/>
      <c r="Y394" s="9"/>
      <c r="Z394" s="9"/>
      <c r="AA394" s="9"/>
      <c r="AB394" s="9"/>
      <c r="AC394" s="9"/>
      <c r="AD394" s="9"/>
    </row>
    <row r="395" spans="2:30" x14ac:dyDescent="0.2">
      <c r="H395" s="9"/>
      <c r="I395" s="9"/>
      <c r="J395" s="9"/>
      <c r="K395" s="9"/>
      <c r="L395" s="9"/>
      <c r="M395" s="9"/>
      <c r="N395" s="9"/>
      <c r="O395" s="9"/>
      <c r="P395" s="9"/>
      <c r="Q395" s="9"/>
      <c r="R395" s="9"/>
      <c r="S395" s="9"/>
      <c r="T395" s="9"/>
      <c r="U395" s="9"/>
      <c r="V395" s="9"/>
      <c r="W395" s="9"/>
      <c r="X395" s="9"/>
      <c r="Y395" s="9"/>
      <c r="Z395" s="9"/>
      <c r="AA395" s="9"/>
      <c r="AB395" s="9"/>
      <c r="AC395" s="9"/>
      <c r="AD395" s="9"/>
    </row>
    <row r="396" spans="2:30" x14ac:dyDescent="0.2">
      <c r="H396" s="9"/>
      <c r="I396" s="9"/>
      <c r="J396" s="9"/>
      <c r="K396" s="9"/>
      <c r="L396" s="9"/>
      <c r="M396" s="9"/>
      <c r="N396" s="9"/>
      <c r="O396" s="9"/>
      <c r="P396" s="9"/>
      <c r="Q396" s="9"/>
      <c r="R396" s="9"/>
      <c r="S396" s="9"/>
      <c r="T396" s="9"/>
      <c r="U396" s="9"/>
      <c r="V396" s="9"/>
      <c r="W396" s="9"/>
      <c r="X396" s="9"/>
      <c r="Y396" s="9"/>
      <c r="Z396" s="9"/>
      <c r="AA396" s="9"/>
      <c r="AB396" s="9"/>
      <c r="AC396" s="9"/>
      <c r="AD396" s="9"/>
    </row>
    <row r="397" spans="2:30" x14ac:dyDescent="0.2">
      <c r="H397" s="9"/>
      <c r="I397" s="9"/>
      <c r="J397" s="9"/>
      <c r="K397" s="9"/>
      <c r="L397" s="9"/>
      <c r="M397" s="9"/>
      <c r="N397" s="9"/>
      <c r="O397" s="9"/>
      <c r="P397" s="9"/>
      <c r="Q397" s="9"/>
      <c r="R397" s="9"/>
      <c r="S397" s="9"/>
      <c r="T397" s="9"/>
      <c r="U397" s="9"/>
      <c r="V397" s="9"/>
      <c r="W397" s="9"/>
      <c r="X397" s="9"/>
      <c r="Y397" s="9"/>
      <c r="Z397" s="9"/>
      <c r="AA397" s="9"/>
      <c r="AB397" s="9"/>
      <c r="AC397" s="9"/>
      <c r="AD397" s="9"/>
    </row>
    <row r="398" spans="2:30" ht="15.75" x14ac:dyDescent="0.25">
      <c r="B398" s="8" t="s">
        <v>277</v>
      </c>
      <c r="H398" s="9"/>
      <c r="I398" s="9"/>
      <c r="J398" s="9"/>
      <c r="K398" s="9"/>
      <c r="L398" s="9"/>
      <c r="M398" s="9"/>
      <c r="N398" s="9"/>
      <c r="O398" s="9"/>
      <c r="P398" s="9"/>
      <c r="Q398" s="9"/>
      <c r="R398" s="9"/>
      <c r="S398" s="9"/>
      <c r="T398" s="9"/>
      <c r="U398" s="9"/>
      <c r="V398" s="9"/>
      <c r="W398" s="9"/>
      <c r="X398" s="9"/>
      <c r="Y398" s="9"/>
      <c r="Z398" s="9"/>
      <c r="AA398" s="9"/>
      <c r="AB398" s="9"/>
      <c r="AC398" s="9"/>
      <c r="AD398" s="9"/>
    </row>
    <row r="399" spans="2:30" x14ac:dyDescent="0.2">
      <c r="H399" s="9"/>
      <c r="I399" s="9"/>
      <c r="J399" s="9"/>
      <c r="K399" s="9"/>
      <c r="L399" s="9"/>
      <c r="M399" s="9"/>
      <c r="N399" s="9"/>
      <c r="O399" s="9"/>
      <c r="P399" s="9"/>
      <c r="Q399" s="9"/>
      <c r="R399" s="9"/>
      <c r="S399" s="9"/>
      <c r="T399" s="9"/>
      <c r="U399" s="9"/>
      <c r="V399" s="9"/>
      <c r="W399" s="9"/>
      <c r="X399" s="9"/>
      <c r="Y399" s="9"/>
      <c r="Z399" s="9"/>
      <c r="AA399" s="9"/>
      <c r="AB399" s="9"/>
      <c r="AC399" s="9"/>
      <c r="AD399" s="9"/>
    </row>
    <row r="400" spans="2:30" ht="15.75" x14ac:dyDescent="0.25">
      <c r="B400" s="15" t="s">
        <v>208</v>
      </c>
      <c r="C400" s="7" t="s">
        <v>272</v>
      </c>
      <c r="H400" s="9"/>
      <c r="I400" s="9"/>
      <c r="J400" s="9"/>
      <c r="K400" s="9"/>
      <c r="L400" s="9"/>
      <c r="M400" s="9"/>
      <c r="N400" s="9"/>
      <c r="O400" s="9"/>
      <c r="P400" s="9"/>
      <c r="Q400" s="9"/>
      <c r="R400" s="9"/>
      <c r="S400" s="9"/>
      <c r="T400" s="9"/>
      <c r="U400" s="9"/>
      <c r="V400" s="9"/>
      <c r="W400" s="9"/>
      <c r="X400" s="9"/>
      <c r="Y400" s="9"/>
      <c r="Z400" s="9"/>
      <c r="AA400" s="9"/>
      <c r="AB400" s="9"/>
      <c r="AC400" s="9"/>
      <c r="AD400" s="9"/>
    </row>
    <row r="401" spans="2:30" ht="15.75" x14ac:dyDescent="0.25">
      <c r="B401" s="15" t="s">
        <v>219</v>
      </c>
      <c r="C401" s="94">
        <f>C324 + C327 + C380</f>
        <v>5.6600000000000004E-2</v>
      </c>
      <c r="D401" s="8" t="s">
        <v>203</v>
      </c>
      <c r="H401" s="9"/>
      <c r="I401" s="9"/>
      <c r="J401" s="9"/>
      <c r="K401" s="9"/>
      <c r="L401" s="9"/>
      <c r="M401" s="9"/>
      <c r="N401" s="9"/>
      <c r="O401" s="9"/>
      <c r="P401" s="9"/>
      <c r="Q401" s="9"/>
      <c r="R401" s="9"/>
      <c r="S401" s="9"/>
      <c r="T401" s="9"/>
      <c r="U401" s="9"/>
      <c r="V401" s="9"/>
      <c r="W401" s="9"/>
      <c r="X401" s="9"/>
      <c r="Y401" s="9"/>
      <c r="Z401" s="9"/>
      <c r="AA401" s="9"/>
      <c r="AB401" s="9"/>
      <c r="AC401" s="9"/>
      <c r="AD401" s="9"/>
    </row>
    <row r="402" spans="2:30" x14ac:dyDescent="0.2">
      <c r="C402" s="14"/>
      <c r="H402" s="9"/>
      <c r="I402" s="9"/>
      <c r="J402" s="9"/>
      <c r="K402" s="9"/>
      <c r="L402" s="9"/>
      <c r="M402" s="9"/>
      <c r="N402" s="9"/>
      <c r="O402" s="9"/>
      <c r="P402" s="9"/>
      <c r="Q402" s="9"/>
      <c r="R402" s="9"/>
      <c r="S402" s="9"/>
      <c r="T402" s="9"/>
      <c r="U402" s="9"/>
      <c r="V402" s="9"/>
      <c r="W402" s="9"/>
      <c r="X402" s="9"/>
      <c r="Y402" s="9"/>
      <c r="Z402" s="9"/>
      <c r="AA402" s="9"/>
      <c r="AB402" s="9"/>
      <c r="AC402" s="9"/>
      <c r="AD402" s="9"/>
    </row>
    <row r="403" spans="2:30" ht="15.75" x14ac:dyDescent="0.25">
      <c r="B403" s="15" t="s">
        <v>209</v>
      </c>
      <c r="C403" s="14" t="s">
        <v>273</v>
      </c>
      <c r="H403" s="9"/>
      <c r="I403" s="9"/>
      <c r="J403" s="9"/>
      <c r="K403" s="9"/>
      <c r="L403" s="9"/>
      <c r="M403" s="9"/>
      <c r="N403" s="9"/>
      <c r="O403" s="9"/>
      <c r="P403" s="9"/>
      <c r="Q403" s="9"/>
      <c r="R403" s="9"/>
      <c r="S403" s="9"/>
      <c r="T403" s="9"/>
      <c r="U403" s="9"/>
      <c r="V403" s="9"/>
      <c r="W403" s="9"/>
      <c r="X403" s="9"/>
      <c r="Y403" s="9"/>
      <c r="Z403" s="9"/>
      <c r="AA403" s="9"/>
      <c r="AB403" s="9"/>
      <c r="AC403" s="9"/>
      <c r="AD403" s="9"/>
    </row>
    <row r="404" spans="2:30" ht="15.75" x14ac:dyDescent="0.25">
      <c r="B404" s="15" t="s">
        <v>220</v>
      </c>
      <c r="C404" s="94">
        <f>C325 + C326 + C381</f>
        <v>7.6499999999999999E-2</v>
      </c>
      <c r="D404" s="8" t="s">
        <v>203</v>
      </c>
      <c r="H404" s="9"/>
      <c r="I404" s="9"/>
      <c r="J404" s="9"/>
      <c r="K404" s="9"/>
      <c r="L404" s="9"/>
      <c r="M404" s="9"/>
      <c r="N404" s="9"/>
      <c r="O404" s="9"/>
      <c r="P404" s="9"/>
      <c r="Q404" s="9"/>
      <c r="R404" s="9"/>
      <c r="S404" s="9"/>
      <c r="T404" s="9"/>
      <c r="U404" s="9"/>
      <c r="V404" s="9"/>
      <c r="W404" s="9"/>
      <c r="X404" s="9"/>
      <c r="Y404" s="9"/>
      <c r="Z404" s="9"/>
      <c r="AA404" s="9"/>
      <c r="AB404" s="9"/>
      <c r="AC404" s="9"/>
      <c r="AD404" s="9"/>
    </row>
    <row r="405" spans="2:30" x14ac:dyDescent="0.2">
      <c r="C405" s="14"/>
      <c r="H405" s="9"/>
      <c r="I405" s="9"/>
      <c r="J405" s="9"/>
      <c r="K405" s="9"/>
      <c r="L405" s="9"/>
      <c r="M405" s="9"/>
      <c r="N405" s="9"/>
      <c r="O405" s="9"/>
      <c r="P405" s="9"/>
      <c r="Q405" s="9"/>
      <c r="R405" s="9"/>
      <c r="S405" s="9"/>
      <c r="T405" s="9"/>
      <c r="U405" s="9"/>
      <c r="V405" s="9"/>
      <c r="W405" s="9"/>
      <c r="X405" s="9"/>
      <c r="Y405" s="9"/>
      <c r="Z405" s="9"/>
      <c r="AA405" s="9"/>
      <c r="AB405" s="9"/>
      <c r="AC405" s="9"/>
      <c r="AD405" s="9"/>
    </row>
    <row r="406" spans="2:30" ht="15.75" x14ac:dyDescent="0.25">
      <c r="B406" s="15" t="s">
        <v>210</v>
      </c>
      <c r="C406" s="14" t="s">
        <v>274</v>
      </c>
      <c r="H406" s="9"/>
      <c r="I406" s="9"/>
      <c r="J406" s="9"/>
      <c r="K406" s="9"/>
      <c r="L406" s="9"/>
      <c r="M406" s="9"/>
      <c r="N406" s="9"/>
      <c r="O406" s="9"/>
      <c r="P406" s="9"/>
      <c r="Q406" s="9"/>
      <c r="R406" s="9"/>
      <c r="S406" s="9"/>
      <c r="T406" s="9"/>
      <c r="U406" s="9"/>
      <c r="V406" s="9"/>
      <c r="W406" s="9"/>
      <c r="X406" s="9"/>
      <c r="Y406" s="9"/>
      <c r="Z406" s="9"/>
      <c r="AA406" s="9"/>
      <c r="AB406" s="9"/>
      <c r="AC406" s="9"/>
      <c r="AD406" s="9"/>
    </row>
    <row r="407" spans="2:30" ht="15.75" x14ac:dyDescent="0.25">
      <c r="B407" s="15" t="s">
        <v>221</v>
      </c>
      <c r="C407" s="94">
        <f>C326 + C325 +C382</f>
        <v>-1.0400000000000006E-2</v>
      </c>
      <c r="D407" s="8" t="s">
        <v>203</v>
      </c>
      <c r="H407" s="9"/>
      <c r="I407" s="9"/>
      <c r="J407" s="9"/>
      <c r="K407" s="9"/>
      <c r="L407" s="9"/>
      <c r="M407" s="9"/>
      <c r="N407" s="9"/>
      <c r="O407" s="9"/>
      <c r="P407" s="9"/>
      <c r="Q407" s="9"/>
      <c r="R407" s="9"/>
      <c r="S407" s="9"/>
      <c r="T407" s="9"/>
      <c r="U407" s="9"/>
      <c r="V407" s="9"/>
      <c r="W407" s="9"/>
      <c r="X407" s="9"/>
      <c r="Y407" s="9"/>
      <c r="Z407" s="9"/>
      <c r="AA407" s="9"/>
      <c r="AB407" s="9"/>
      <c r="AC407" s="9"/>
      <c r="AD407" s="9"/>
    </row>
    <row r="408" spans="2:30" x14ac:dyDescent="0.2">
      <c r="H408" s="9"/>
      <c r="I408" s="9"/>
      <c r="J408" s="9"/>
      <c r="K408" s="9"/>
      <c r="L408" s="9"/>
      <c r="M408" s="9"/>
      <c r="N408" s="9"/>
      <c r="O408" s="9"/>
      <c r="P408" s="9"/>
      <c r="Q408" s="9"/>
      <c r="R408" s="9"/>
      <c r="S408" s="9"/>
      <c r="T408" s="9"/>
      <c r="U408" s="9"/>
      <c r="V408" s="9"/>
      <c r="W408" s="9"/>
      <c r="X408" s="9"/>
      <c r="Y408" s="9"/>
      <c r="Z408" s="9"/>
      <c r="AA408" s="9"/>
      <c r="AB408" s="9"/>
      <c r="AC408" s="9"/>
      <c r="AD408" s="9"/>
    </row>
    <row r="409" spans="2:30" ht="15.75" x14ac:dyDescent="0.25">
      <c r="B409" s="15" t="s">
        <v>222</v>
      </c>
      <c r="C409" s="14" t="s">
        <v>275</v>
      </c>
      <c r="H409" s="9"/>
      <c r="I409" s="9"/>
      <c r="J409" s="9"/>
      <c r="K409" s="9"/>
      <c r="L409" s="9"/>
      <c r="M409" s="9"/>
      <c r="N409" s="9"/>
      <c r="O409" s="9"/>
      <c r="P409" s="9"/>
      <c r="Q409" s="9"/>
      <c r="R409" s="9"/>
      <c r="S409" s="9"/>
      <c r="T409" s="9"/>
      <c r="U409" s="9"/>
      <c r="V409" s="9"/>
      <c r="W409" s="9"/>
      <c r="X409" s="9"/>
      <c r="Y409" s="9"/>
      <c r="Z409" s="9"/>
      <c r="AA409" s="9"/>
      <c r="AB409" s="9"/>
      <c r="AC409" s="9"/>
      <c r="AD409" s="9"/>
    </row>
    <row r="410" spans="2:30" ht="15.75" x14ac:dyDescent="0.25">
      <c r="B410" s="15" t="s">
        <v>221</v>
      </c>
      <c r="C410" s="94">
        <f>C327 + C324 +C383</f>
        <v>-8.8300000000000003E-2</v>
      </c>
      <c r="D410" s="8" t="s">
        <v>203</v>
      </c>
      <c r="H410" s="9"/>
      <c r="I410" s="9"/>
      <c r="J410" s="9"/>
      <c r="K410" s="9"/>
      <c r="L410" s="9"/>
      <c r="M410" s="9"/>
      <c r="N410" s="9"/>
      <c r="O410" s="9"/>
      <c r="P410" s="9"/>
      <c r="Q410" s="9"/>
      <c r="R410" s="9"/>
      <c r="S410" s="9"/>
      <c r="T410" s="9"/>
      <c r="U410" s="9"/>
      <c r="V410" s="9"/>
      <c r="W410" s="9"/>
      <c r="X410" s="9"/>
      <c r="Y410" s="9"/>
      <c r="Z410" s="9"/>
      <c r="AA410" s="9"/>
      <c r="AB410" s="9"/>
      <c r="AC410" s="9"/>
      <c r="AD410" s="9"/>
    </row>
    <row r="411" spans="2:30" x14ac:dyDescent="0.2">
      <c r="H411" s="9"/>
      <c r="I411" s="9"/>
      <c r="J411" s="9"/>
      <c r="K411" s="9"/>
      <c r="L411" s="9"/>
      <c r="M411" s="9"/>
      <c r="N411" s="9"/>
      <c r="O411" s="9"/>
      <c r="P411" s="9"/>
      <c r="Q411" s="9"/>
      <c r="R411" s="9"/>
      <c r="S411" s="9"/>
      <c r="T411" s="9"/>
      <c r="U411" s="9"/>
      <c r="V411" s="9"/>
      <c r="W411" s="9"/>
      <c r="X411" s="9"/>
      <c r="Y411" s="9"/>
      <c r="Z411" s="9"/>
      <c r="AA411" s="9"/>
      <c r="AB411" s="9"/>
      <c r="AC411" s="9"/>
      <c r="AD411" s="9"/>
    </row>
    <row r="412" spans="2:30" x14ac:dyDescent="0.2">
      <c r="H412" s="9"/>
      <c r="I412" s="9"/>
      <c r="J412" s="9"/>
      <c r="K412" s="9"/>
      <c r="L412" s="9"/>
      <c r="M412" s="9"/>
      <c r="N412" s="9"/>
      <c r="O412" s="9"/>
      <c r="P412" s="9"/>
      <c r="Q412" s="9"/>
      <c r="R412" s="9"/>
      <c r="S412" s="9"/>
      <c r="T412" s="9"/>
      <c r="U412" s="9"/>
      <c r="V412" s="9"/>
      <c r="W412" s="9"/>
      <c r="X412" s="9"/>
      <c r="Y412" s="9"/>
      <c r="Z412" s="9"/>
      <c r="AA412" s="9"/>
      <c r="AB412" s="9"/>
      <c r="AC412" s="9"/>
      <c r="AD412" s="9"/>
    </row>
    <row r="413" spans="2:30" ht="18" x14ac:dyDescent="0.25">
      <c r="B413" s="35" t="s">
        <v>302</v>
      </c>
      <c r="H413" s="9"/>
      <c r="I413" s="9"/>
      <c r="J413" s="9"/>
      <c r="K413" s="9"/>
      <c r="L413" s="9"/>
      <c r="M413" s="9"/>
      <c r="N413" s="9"/>
      <c r="O413" s="9"/>
      <c r="P413" s="9"/>
      <c r="Q413" s="9"/>
      <c r="R413" s="9"/>
      <c r="S413" s="9"/>
      <c r="T413" s="9"/>
      <c r="U413" s="9"/>
      <c r="V413" s="9"/>
      <c r="W413" s="9"/>
      <c r="X413" s="9"/>
      <c r="Y413" s="9"/>
      <c r="Z413" s="9"/>
      <c r="AA413" s="9"/>
      <c r="AB413" s="9"/>
      <c r="AC413" s="9"/>
      <c r="AD413" s="9"/>
    </row>
    <row r="414" spans="2:30" x14ac:dyDescent="0.2">
      <c r="H414" s="9"/>
      <c r="I414" s="9"/>
      <c r="J414" s="9"/>
      <c r="K414" s="9"/>
      <c r="L414" s="9"/>
      <c r="M414" s="9"/>
      <c r="N414" s="9"/>
      <c r="O414" s="9"/>
      <c r="P414" s="9"/>
      <c r="Q414" s="9"/>
      <c r="R414" s="9"/>
      <c r="S414" s="9"/>
      <c r="T414" s="9"/>
      <c r="U414" s="9"/>
      <c r="V414" s="9"/>
      <c r="W414" s="9"/>
      <c r="X414" s="9"/>
      <c r="Y414" s="9"/>
      <c r="Z414" s="9"/>
      <c r="AA414" s="9"/>
      <c r="AB414" s="9"/>
      <c r="AC414" s="9"/>
      <c r="AD414" s="9"/>
    </row>
    <row r="415" spans="2:30" x14ac:dyDescent="0.2">
      <c r="H415" s="9"/>
      <c r="I415" s="9"/>
      <c r="J415" s="9"/>
      <c r="K415" s="9"/>
      <c r="L415" s="9"/>
      <c r="M415" s="9"/>
      <c r="N415" s="9"/>
      <c r="O415" s="9"/>
      <c r="P415" s="9"/>
      <c r="Q415" s="9"/>
      <c r="R415" s="9"/>
      <c r="S415" s="9"/>
      <c r="T415" s="9"/>
      <c r="U415" s="9"/>
      <c r="V415" s="9"/>
      <c r="W415" s="9"/>
      <c r="X415" s="9"/>
      <c r="Y415" s="9"/>
      <c r="Z415" s="9"/>
      <c r="AA415" s="9"/>
      <c r="AB415" s="9"/>
      <c r="AC415" s="9"/>
      <c r="AD415" s="9"/>
    </row>
    <row r="416" spans="2:30" x14ac:dyDescent="0.2">
      <c r="H416" s="9"/>
      <c r="I416" s="9"/>
      <c r="J416" s="9"/>
      <c r="K416" s="9"/>
      <c r="L416" s="9"/>
      <c r="M416" s="9"/>
      <c r="N416" s="9"/>
      <c r="O416" s="9"/>
      <c r="P416" s="9"/>
      <c r="Q416" s="9"/>
      <c r="R416" s="9"/>
      <c r="S416" s="9"/>
      <c r="T416" s="9"/>
      <c r="U416" s="9"/>
      <c r="V416" s="9"/>
      <c r="W416" s="9"/>
      <c r="X416" s="9"/>
      <c r="Y416" s="9"/>
      <c r="Z416" s="9"/>
      <c r="AA416" s="9"/>
      <c r="AB416" s="9"/>
      <c r="AC416" s="9"/>
      <c r="AD416" s="9"/>
    </row>
    <row r="417" spans="2:30" x14ac:dyDescent="0.2">
      <c r="H417" s="9"/>
      <c r="I417" s="9"/>
      <c r="J417" s="9"/>
      <c r="K417" s="9"/>
      <c r="L417" s="9"/>
      <c r="M417" s="9"/>
      <c r="N417" s="9"/>
      <c r="O417" s="9"/>
      <c r="P417" s="9"/>
      <c r="Q417" s="9"/>
      <c r="R417" s="9"/>
      <c r="S417" s="9"/>
      <c r="T417" s="9"/>
      <c r="U417" s="9"/>
      <c r="V417" s="9"/>
      <c r="W417" s="9"/>
      <c r="X417" s="9"/>
      <c r="Y417" s="9"/>
      <c r="Z417" s="9"/>
      <c r="AA417" s="9"/>
      <c r="AB417" s="9"/>
      <c r="AC417" s="9"/>
      <c r="AD417" s="9"/>
    </row>
    <row r="418" spans="2:30" x14ac:dyDescent="0.2">
      <c r="H418" s="9"/>
      <c r="I418" s="9"/>
      <c r="J418" s="9"/>
      <c r="K418" s="9"/>
      <c r="L418" s="9"/>
      <c r="M418" s="9"/>
      <c r="N418" s="9"/>
      <c r="O418" s="9"/>
      <c r="P418" s="9"/>
      <c r="Q418" s="9"/>
      <c r="R418" s="9"/>
      <c r="S418" s="9"/>
      <c r="T418" s="9"/>
      <c r="U418" s="9"/>
      <c r="V418" s="9"/>
      <c r="W418" s="9"/>
      <c r="X418" s="9"/>
      <c r="Y418" s="9"/>
      <c r="Z418" s="9"/>
      <c r="AA418" s="9"/>
      <c r="AB418" s="9"/>
      <c r="AC418" s="9"/>
      <c r="AD418" s="9"/>
    </row>
    <row r="419" spans="2:30" x14ac:dyDescent="0.2">
      <c r="H419" s="9"/>
      <c r="I419" s="9"/>
      <c r="J419" s="9"/>
      <c r="K419" s="9"/>
      <c r="L419" s="9"/>
      <c r="M419" s="9"/>
      <c r="N419" s="9"/>
      <c r="O419" s="9"/>
      <c r="P419" s="9"/>
      <c r="Q419" s="9"/>
      <c r="R419" s="9"/>
      <c r="S419" s="9"/>
      <c r="T419" s="9"/>
      <c r="U419" s="9"/>
      <c r="V419" s="9"/>
      <c r="W419" s="9"/>
      <c r="X419" s="9"/>
      <c r="Y419" s="9"/>
      <c r="Z419" s="9"/>
      <c r="AA419" s="9"/>
      <c r="AB419" s="9"/>
      <c r="AC419" s="9"/>
      <c r="AD419" s="9"/>
    </row>
    <row r="420" spans="2:30" x14ac:dyDescent="0.2">
      <c r="H420" s="9"/>
      <c r="I420" s="9"/>
      <c r="J420" s="9"/>
      <c r="K420" s="9"/>
      <c r="L420" s="9"/>
      <c r="M420" s="9"/>
      <c r="N420" s="9"/>
      <c r="O420" s="9"/>
      <c r="P420" s="9"/>
      <c r="Q420" s="9"/>
      <c r="R420" s="9"/>
      <c r="S420" s="9"/>
      <c r="T420" s="9"/>
      <c r="U420" s="9"/>
      <c r="V420" s="9"/>
      <c r="W420" s="9"/>
      <c r="X420" s="9"/>
      <c r="Y420" s="9"/>
      <c r="Z420" s="9"/>
      <c r="AA420" s="9"/>
      <c r="AB420" s="9"/>
      <c r="AC420" s="9"/>
      <c r="AD420" s="9"/>
    </row>
    <row r="421" spans="2:30" x14ac:dyDescent="0.2">
      <c r="H421" s="9"/>
      <c r="I421" s="9"/>
      <c r="J421" s="9"/>
      <c r="K421" s="9"/>
      <c r="L421" s="9"/>
      <c r="M421" s="9"/>
      <c r="N421" s="9"/>
      <c r="O421" s="9"/>
      <c r="P421" s="9"/>
      <c r="Q421" s="9"/>
      <c r="R421" s="9"/>
      <c r="S421" s="9"/>
      <c r="T421" s="9"/>
      <c r="U421" s="9"/>
      <c r="V421" s="9"/>
      <c r="W421" s="9"/>
      <c r="X421" s="9"/>
      <c r="Y421" s="9"/>
      <c r="Z421" s="9"/>
      <c r="AA421" s="9"/>
      <c r="AB421" s="9"/>
      <c r="AC421" s="9"/>
      <c r="AD421" s="9"/>
    </row>
    <row r="422" spans="2:30" x14ac:dyDescent="0.2">
      <c r="B422" s="13"/>
      <c r="H422" s="9"/>
      <c r="I422" s="9"/>
      <c r="J422" s="9"/>
      <c r="K422" s="9"/>
      <c r="L422" s="9"/>
      <c r="M422" s="9"/>
      <c r="N422" s="9"/>
      <c r="O422" s="9"/>
      <c r="P422" s="9"/>
      <c r="Q422" s="9"/>
      <c r="R422" s="9"/>
      <c r="S422" s="9"/>
      <c r="T422" s="9"/>
      <c r="U422" s="9"/>
      <c r="V422" s="9"/>
      <c r="W422" s="9"/>
      <c r="X422" s="9"/>
      <c r="Y422" s="9"/>
      <c r="Z422" s="9"/>
      <c r="AA422" s="9"/>
      <c r="AB422" s="9"/>
      <c r="AC422" s="9"/>
      <c r="AD422" s="9"/>
    </row>
    <row r="423" spans="2:30" x14ac:dyDescent="0.2">
      <c r="H423" s="9"/>
      <c r="I423" s="9"/>
      <c r="J423" s="9"/>
      <c r="K423" s="9"/>
      <c r="L423" s="9"/>
      <c r="M423" s="9"/>
      <c r="N423" s="9"/>
      <c r="O423" s="9"/>
      <c r="P423" s="9"/>
      <c r="Q423" s="9"/>
      <c r="R423" s="9"/>
      <c r="S423" s="9"/>
      <c r="T423" s="9"/>
      <c r="U423" s="9"/>
      <c r="V423" s="9"/>
      <c r="W423" s="9"/>
      <c r="X423" s="9"/>
      <c r="Y423" s="9"/>
      <c r="Z423" s="9"/>
      <c r="AA423" s="9"/>
      <c r="AB423" s="9"/>
      <c r="AC423" s="9"/>
      <c r="AD423" s="9"/>
    </row>
    <row r="424" spans="2:30" x14ac:dyDescent="0.2">
      <c r="H424" s="9"/>
      <c r="I424" s="9"/>
      <c r="J424" s="9"/>
      <c r="K424" s="9"/>
      <c r="L424" s="9"/>
      <c r="M424" s="9"/>
      <c r="N424" s="9"/>
      <c r="O424" s="9"/>
      <c r="P424" s="9"/>
      <c r="Q424" s="9"/>
      <c r="R424" s="9"/>
      <c r="S424" s="9"/>
      <c r="T424" s="9"/>
      <c r="U424" s="9"/>
      <c r="V424" s="9"/>
      <c r="W424" s="9"/>
      <c r="X424" s="9"/>
      <c r="Y424" s="9"/>
      <c r="Z424" s="9"/>
      <c r="AA424" s="9"/>
      <c r="AB424" s="9"/>
      <c r="AC424" s="9"/>
      <c r="AD424" s="9"/>
    </row>
    <row r="425" spans="2:30" x14ac:dyDescent="0.2">
      <c r="B425" s="13"/>
      <c r="H425" s="9"/>
      <c r="I425" s="9"/>
      <c r="J425" s="9"/>
      <c r="K425" s="9"/>
      <c r="L425" s="9"/>
      <c r="M425" s="9"/>
      <c r="N425" s="9"/>
      <c r="O425" s="9"/>
      <c r="P425" s="9"/>
      <c r="Q425" s="9"/>
      <c r="R425" s="9"/>
      <c r="S425" s="9"/>
      <c r="T425" s="9"/>
      <c r="U425" s="9"/>
      <c r="V425" s="9"/>
      <c r="W425" s="9"/>
      <c r="X425" s="9"/>
      <c r="Y425" s="9"/>
      <c r="Z425" s="9"/>
      <c r="AA425" s="9"/>
      <c r="AB425" s="9"/>
      <c r="AC425" s="9"/>
      <c r="AD425" s="9"/>
    </row>
    <row r="426" spans="2:30" x14ac:dyDescent="0.2">
      <c r="B426" s="13"/>
      <c r="H426" s="9"/>
      <c r="I426" s="9"/>
      <c r="J426" s="9"/>
      <c r="K426" s="9"/>
      <c r="L426" s="9"/>
      <c r="M426" s="9"/>
      <c r="N426" s="9"/>
      <c r="O426" s="9"/>
      <c r="P426" s="9"/>
      <c r="Q426" s="9"/>
      <c r="R426" s="9"/>
      <c r="S426" s="9"/>
      <c r="T426" s="9"/>
      <c r="U426" s="9"/>
      <c r="V426" s="9"/>
      <c r="W426" s="9"/>
      <c r="X426" s="9"/>
      <c r="Y426" s="9"/>
      <c r="Z426" s="9"/>
      <c r="AA426" s="9"/>
      <c r="AB426" s="9"/>
      <c r="AC426" s="9"/>
      <c r="AD426" s="9"/>
    </row>
    <row r="427" spans="2:30" x14ac:dyDescent="0.2">
      <c r="H427" s="9"/>
      <c r="I427" s="9"/>
      <c r="J427" s="9"/>
      <c r="K427" s="9"/>
      <c r="L427" s="9"/>
      <c r="M427" s="9"/>
      <c r="N427" s="9"/>
      <c r="O427" s="9"/>
      <c r="P427" s="9"/>
      <c r="Q427" s="9"/>
      <c r="R427" s="9"/>
      <c r="S427" s="9"/>
      <c r="T427" s="9"/>
      <c r="U427" s="9"/>
      <c r="V427" s="9"/>
      <c r="W427" s="9"/>
      <c r="X427" s="9"/>
      <c r="Y427" s="9"/>
      <c r="Z427" s="9"/>
      <c r="AA427" s="9"/>
      <c r="AB427" s="9"/>
      <c r="AC427" s="9"/>
      <c r="AD427" s="9"/>
    </row>
    <row r="428" spans="2:30" x14ac:dyDescent="0.2">
      <c r="B428" s="13"/>
      <c r="H428" s="9"/>
      <c r="I428" s="9"/>
      <c r="J428" s="9"/>
      <c r="K428" s="9"/>
      <c r="L428" s="9"/>
      <c r="M428" s="9"/>
      <c r="N428" s="9"/>
      <c r="O428" s="9"/>
      <c r="P428" s="9"/>
      <c r="Q428" s="9"/>
      <c r="R428" s="9"/>
      <c r="S428" s="9"/>
      <c r="T428" s="9"/>
      <c r="U428" s="9"/>
      <c r="V428" s="9"/>
      <c r="W428" s="9"/>
      <c r="X428" s="9"/>
      <c r="Y428" s="9"/>
      <c r="Z428" s="9"/>
      <c r="AA428" s="9"/>
      <c r="AB428" s="9"/>
      <c r="AC428" s="9"/>
      <c r="AD428" s="9"/>
    </row>
    <row r="429" spans="2:30" x14ac:dyDescent="0.2">
      <c r="H429" s="9"/>
      <c r="I429" s="9"/>
      <c r="J429" s="9"/>
      <c r="K429" s="9"/>
      <c r="L429" s="9"/>
      <c r="M429" s="9"/>
      <c r="N429" s="9"/>
      <c r="O429" s="9"/>
      <c r="P429" s="9"/>
      <c r="Q429" s="9"/>
      <c r="R429" s="9"/>
      <c r="S429" s="9"/>
      <c r="T429" s="9"/>
      <c r="U429" s="9"/>
      <c r="V429" s="9"/>
      <c r="W429" s="9"/>
      <c r="X429" s="9"/>
      <c r="Y429" s="9"/>
      <c r="Z429" s="9"/>
      <c r="AA429" s="9"/>
      <c r="AB429" s="9"/>
      <c r="AC429" s="9"/>
      <c r="AD429" s="9"/>
    </row>
    <row r="430" spans="2:30" x14ac:dyDescent="0.2">
      <c r="B430" s="13"/>
      <c r="H430" s="9"/>
      <c r="I430" s="9"/>
      <c r="J430" s="9"/>
      <c r="K430" s="9"/>
      <c r="L430" s="9"/>
      <c r="M430" s="9"/>
      <c r="N430" s="9"/>
      <c r="O430" s="9"/>
      <c r="P430" s="9"/>
      <c r="Q430" s="9"/>
      <c r="R430" s="9"/>
      <c r="S430" s="9"/>
      <c r="T430" s="9"/>
      <c r="U430" s="9"/>
      <c r="V430" s="9"/>
      <c r="W430" s="9"/>
      <c r="X430" s="9"/>
      <c r="Y430" s="9"/>
      <c r="Z430" s="9"/>
      <c r="AA430" s="9"/>
      <c r="AB430" s="9"/>
      <c r="AC430" s="9"/>
      <c r="AD430" s="9"/>
    </row>
    <row r="431" spans="2:30" x14ac:dyDescent="0.2">
      <c r="B431" s="13"/>
      <c r="H431" s="9"/>
      <c r="I431" s="9"/>
      <c r="J431" s="9"/>
      <c r="K431" s="9"/>
      <c r="L431" s="9"/>
      <c r="M431" s="9"/>
      <c r="N431" s="9"/>
      <c r="O431" s="9"/>
      <c r="P431" s="9"/>
      <c r="Q431" s="9"/>
      <c r="R431" s="9"/>
      <c r="S431" s="9"/>
      <c r="T431" s="9"/>
      <c r="U431" s="9"/>
      <c r="V431" s="9"/>
      <c r="W431" s="9"/>
      <c r="X431" s="9"/>
      <c r="Y431" s="9"/>
      <c r="Z431" s="9"/>
      <c r="AA431" s="9"/>
      <c r="AB431" s="9"/>
      <c r="AC431" s="9"/>
      <c r="AD431" s="9"/>
    </row>
    <row r="432" spans="2:30" x14ac:dyDescent="0.2">
      <c r="H432" s="9"/>
      <c r="I432" s="9"/>
      <c r="J432" s="9"/>
      <c r="K432" s="9"/>
      <c r="L432" s="9"/>
      <c r="M432" s="9"/>
      <c r="N432" s="9"/>
      <c r="O432" s="9"/>
      <c r="P432" s="9"/>
      <c r="Q432" s="9"/>
      <c r="R432" s="9"/>
      <c r="S432" s="9"/>
      <c r="T432" s="9"/>
      <c r="U432" s="9"/>
      <c r="V432" s="9"/>
      <c r="W432" s="9"/>
      <c r="X432" s="9"/>
      <c r="Y432" s="9"/>
      <c r="Z432" s="9"/>
      <c r="AA432" s="9"/>
      <c r="AB432" s="9"/>
      <c r="AC432" s="9"/>
      <c r="AD432" s="9"/>
    </row>
    <row r="433" spans="2:30" ht="15.75" thickBot="1" x14ac:dyDescent="0.25">
      <c r="H433" s="9"/>
      <c r="I433" s="9"/>
      <c r="J433" s="9"/>
      <c r="K433" s="9"/>
      <c r="L433" s="9"/>
      <c r="M433" s="9"/>
      <c r="N433" s="9"/>
      <c r="O433" s="9"/>
      <c r="P433" s="9"/>
      <c r="Q433" s="9"/>
      <c r="R433" s="9"/>
      <c r="S433" s="9"/>
      <c r="T433" s="9"/>
      <c r="U433" s="9"/>
      <c r="V433" s="9"/>
      <c r="W433" s="9"/>
      <c r="X433" s="9"/>
      <c r="Y433" s="9"/>
      <c r="Z433" s="9"/>
      <c r="AA433" s="9"/>
      <c r="AB433" s="9"/>
      <c r="AC433" s="9"/>
      <c r="AD433" s="9"/>
    </row>
    <row r="434" spans="2:30" ht="16.5" thickBot="1" x14ac:dyDescent="0.3">
      <c r="B434" s="8" t="s">
        <v>310</v>
      </c>
      <c r="C434" s="136" t="s">
        <v>307</v>
      </c>
      <c r="D434" s="136" t="s">
        <v>308</v>
      </c>
      <c r="H434" s="9"/>
      <c r="I434" s="9"/>
      <c r="J434" s="9"/>
      <c r="K434" s="9"/>
      <c r="L434" s="9"/>
      <c r="M434" s="9"/>
      <c r="N434" s="9"/>
      <c r="O434" s="9"/>
      <c r="P434" s="9"/>
      <c r="Q434" s="9"/>
      <c r="R434" s="9"/>
      <c r="S434" s="9"/>
      <c r="T434" s="9"/>
      <c r="U434" s="9"/>
      <c r="V434" s="9"/>
      <c r="W434" s="9"/>
      <c r="X434" s="9"/>
      <c r="Y434" s="9"/>
      <c r="Z434" s="9"/>
      <c r="AA434" s="9"/>
      <c r="AB434" s="9"/>
      <c r="AC434" s="9"/>
      <c r="AD434" s="9"/>
    </row>
    <row r="435" spans="2:30" x14ac:dyDescent="0.2">
      <c r="B435" s="7" t="s">
        <v>304</v>
      </c>
      <c r="C435" s="137">
        <v>1.5</v>
      </c>
      <c r="D435" s="137">
        <v>1</v>
      </c>
      <c r="H435" s="9"/>
      <c r="I435" s="9"/>
      <c r="J435" s="9"/>
      <c r="K435" s="9"/>
      <c r="L435" s="9"/>
      <c r="M435" s="9"/>
      <c r="N435" s="9"/>
      <c r="O435" s="9"/>
      <c r="P435" s="9"/>
      <c r="Q435" s="9"/>
      <c r="R435" s="9"/>
      <c r="S435" s="9"/>
      <c r="T435" s="9"/>
      <c r="U435" s="9"/>
      <c r="V435" s="9"/>
      <c r="W435" s="9"/>
      <c r="X435" s="9"/>
      <c r="Y435" s="9"/>
      <c r="Z435" s="9"/>
      <c r="AA435" s="9"/>
      <c r="AB435" s="9"/>
      <c r="AC435" s="9"/>
      <c r="AD435" s="9"/>
    </row>
    <row r="436" spans="2:30" x14ac:dyDescent="0.2">
      <c r="B436" s="7" t="s">
        <v>321</v>
      </c>
      <c r="C436" s="138" t="s">
        <v>305</v>
      </c>
      <c r="D436" s="139" t="s">
        <v>309</v>
      </c>
      <c r="H436" s="9"/>
      <c r="I436" s="9"/>
      <c r="J436" s="9"/>
      <c r="K436" s="9"/>
      <c r="L436" s="9"/>
      <c r="M436" s="9"/>
      <c r="N436" s="9"/>
      <c r="O436" s="9"/>
      <c r="P436" s="9"/>
      <c r="Q436" s="9"/>
      <c r="R436" s="9"/>
      <c r="S436" s="9"/>
      <c r="T436" s="9"/>
      <c r="U436" s="9"/>
      <c r="V436" s="9"/>
      <c r="W436" s="9"/>
      <c r="X436" s="9"/>
      <c r="Y436" s="9"/>
      <c r="Z436" s="9"/>
      <c r="AA436" s="9"/>
      <c r="AB436" s="9"/>
      <c r="AC436" s="9"/>
      <c r="AD436" s="9"/>
    </row>
    <row r="437" spans="2:30" ht="15.75" thickBot="1" x14ac:dyDescent="0.25">
      <c r="B437" s="7" t="s">
        <v>322</v>
      </c>
      <c r="C437" s="140" t="s">
        <v>306</v>
      </c>
      <c r="D437" s="141" t="s">
        <v>305</v>
      </c>
      <c r="H437" s="9"/>
      <c r="I437" s="9"/>
      <c r="J437" s="9"/>
      <c r="K437" s="9"/>
      <c r="L437" s="9"/>
      <c r="M437" s="9"/>
      <c r="N437" s="9"/>
      <c r="O437" s="9"/>
      <c r="P437" s="9"/>
      <c r="Q437" s="9"/>
      <c r="R437" s="9"/>
      <c r="S437" s="9"/>
      <c r="T437" s="9"/>
      <c r="U437" s="9"/>
      <c r="V437" s="9"/>
      <c r="W437" s="9"/>
      <c r="X437" s="9"/>
      <c r="Y437" s="9"/>
      <c r="Z437" s="9"/>
      <c r="AA437" s="9"/>
      <c r="AB437" s="9"/>
      <c r="AC437" s="9"/>
      <c r="AD437" s="9"/>
    </row>
    <row r="438" spans="2:30" x14ac:dyDescent="0.2">
      <c r="B438" s="13"/>
      <c r="C438" s="14"/>
      <c r="H438" s="9"/>
      <c r="I438" s="9"/>
      <c r="J438" s="9"/>
      <c r="K438" s="9"/>
      <c r="L438" s="9"/>
      <c r="M438" s="9"/>
      <c r="N438" s="9"/>
      <c r="O438" s="9"/>
      <c r="P438" s="9"/>
      <c r="Q438" s="9"/>
      <c r="R438" s="9"/>
      <c r="S438" s="9"/>
      <c r="T438" s="9"/>
      <c r="U438" s="9"/>
      <c r="V438" s="9"/>
      <c r="W438" s="9"/>
      <c r="X438" s="9"/>
      <c r="Y438" s="9"/>
      <c r="Z438" s="9"/>
      <c r="AA438" s="9"/>
      <c r="AB438" s="9"/>
      <c r="AC438" s="9"/>
      <c r="AD438" s="9"/>
    </row>
    <row r="439" spans="2:30" x14ac:dyDescent="0.2">
      <c r="H439" s="9"/>
      <c r="I439" s="9"/>
      <c r="J439" s="9"/>
      <c r="K439" s="9"/>
      <c r="L439" s="9"/>
      <c r="M439" s="9"/>
      <c r="N439" s="9"/>
      <c r="O439" s="9"/>
      <c r="P439" s="9"/>
      <c r="Q439" s="9"/>
      <c r="R439" s="9"/>
      <c r="S439" s="9"/>
      <c r="T439" s="9"/>
      <c r="U439" s="9"/>
      <c r="V439" s="9"/>
      <c r="W439" s="9"/>
      <c r="X439" s="9"/>
      <c r="Y439" s="9"/>
      <c r="Z439" s="9"/>
      <c r="AA439" s="9"/>
      <c r="AB439" s="9"/>
      <c r="AC439" s="9"/>
      <c r="AD439" s="9"/>
    </row>
    <row r="440" spans="2:30" x14ac:dyDescent="0.2">
      <c r="B440" s="13"/>
      <c r="H440" s="9"/>
      <c r="I440" s="9"/>
      <c r="J440" s="9"/>
      <c r="K440" s="9"/>
      <c r="L440" s="9"/>
      <c r="M440" s="9"/>
      <c r="N440" s="9"/>
      <c r="O440" s="9"/>
      <c r="P440" s="9"/>
      <c r="Q440" s="9"/>
      <c r="R440" s="9"/>
      <c r="S440" s="9"/>
      <c r="T440" s="9"/>
      <c r="U440" s="9"/>
      <c r="V440" s="9"/>
      <c r="W440" s="9"/>
      <c r="X440" s="9"/>
      <c r="Y440" s="9"/>
      <c r="Z440" s="9"/>
      <c r="AA440" s="9"/>
      <c r="AB440" s="9"/>
      <c r="AC440" s="9"/>
      <c r="AD440" s="9"/>
    </row>
    <row r="441" spans="2:30" ht="16.5" thickBot="1" x14ac:dyDescent="0.3">
      <c r="C441" s="16" t="s">
        <v>3</v>
      </c>
      <c r="H441" s="9"/>
      <c r="I441" s="9"/>
      <c r="J441" s="9"/>
      <c r="K441" s="9"/>
      <c r="L441" s="9"/>
      <c r="M441" s="9"/>
      <c r="N441" s="9"/>
      <c r="O441" s="9"/>
      <c r="P441" s="9"/>
      <c r="Q441" s="9"/>
      <c r="R441" s="9"/>
      <c r="S441" s="9"/>
      <c r="T441" s="9"/>
      <c r="U441" s="9"/>
      <c r="V441" s="9"/>
      <c r="W441" s="9"/>
      <c r="X441" s="9"/>
      <c r="Y441" s="9"/>
      <c r="Z441" s="9"/>
      <c r="AA441" s="9"/>
      <c r="AB441" s="9"/>
      <c r="AC441" s="9"/>
      <c r="AD441" s="9"/>
    </row>
    <row r="442" spans="2:30" x14ac:dyDescent="0.2">
      <c r="B442" s="13" t="s">
        <v>303</v>
      </c>
      <c r="C442" s="122">
        <v>6000</v>
      </c>
      <c r="D442" s="7" t="s">
        <v>173</v>
      </c>
      <c r="H442" s="9"/>
      <c r="I442" s="9"/>
      <c r="J442" s="9"/>
      <c r="K442" s="9"/>
      <c r="L442" s="9"/>
      <c r="M442" s="9"/>
      <c r="N442" s="9"/>
      <c r="O442" s="9"/>
      <c r="P442" s="9"/>
      <c r="Q442" s="9"/>
      <c r="R442" s="9"/>
      <c r="S442" s="9"/>
      <c r="T442" s="9"/>
      <c r="U442" s="9"/>
      <c r="V442" s="9"/>
      <c r="W442" s="9"/>
      <c r="X442" s="9"/>
      <c r="Y442" s="9"/>
      <c r="Z442" s="9"/>
      <c r="AA442" s="9"/>
      <c r="AB442" s="9"/>
      <c r="AC442" s="9"/>
      <c r="AD442" s="9"/>
    </row>
    <row r="443" spans="2:30" x14ac:dyDescent="0.2">
      <c r="B443" s="13" t="s">
        <v>312</v>
      </c>
      <c r="C443" s="77">
        <v>20300</v>
      </c>
      <c r="D443" s="7" t="s">
        <v>130</v>
      </c>
      <c r="H443" s="9"/>
      <c r="I443" s="9"/>
      <c r="J443" s="9"/>
      <c r="K443" s="9"/>
      <c r="L443" s="9"/>
      <c r="M443" s="9"/>
      <c r="N443" s="9"/>
      <c r="O443" s="9"/>
      <c r="P443" s="9"/>
      <c r="Q443" s="9"/>
      <c r="R443" s="9"/>
      <c r="S443" s="9"/>
      <c r="T443" s="9"/>
      <c r="U443" s="9"/>
      <c r="V443" s="9"/>
      <c r="W443" s="9"/>
      <c r="X443" s="9"/>
      <c r="Y443" s="9"/>
      <c r="Z443" s="9"/>
      <c r="AA443" s="9"/>
      <c r="AB443" s="9"/>
      <c r="AC443" s="9"/>
      <c r="AD443" s="9"/>
    </row>
    <row r="444" spans="2:30" x14ac:dyDescent="0.2">
      <c r="B444" s="13" t="s">
        <v>311</v>
      </c>
      <c r="C444" s="142">
        <v>2</v>
      </c>
      <c r="H444" s="9"/>
      <c r="I444" s="9"/>
      <c r="J444" s="9"/>
      <c r="K444" s="9"/>
      <c r="L444" s="9"/>
      <c r="M444" s="9"/>
      <c r="N444" s="9"/>
      <c r="O444" s="9"/>
      <c r="P444" s="9"/>
      <c r="Q444" s="9"/>
      <c r="R444" s="9"/>
      <c r="S444" s="9"/>
      <c r="T444" s="9"/>
      <c r="U444" s="9"/>
      <c r="V444" s="9"/>
      <c r="W444" s="9"/>
      <c r="X444" s="9"/>
      <c r="Y444" s="9"/>
      <c r="Z444" s="9"/>
      <c r="AA444" s="9"/>
      <c r="AB444" s="9"/>
      <c r="AC444" s="9"/>
      <c r="AD444" s="9"/>
    </row>
    <row r="445" spans="2:30" x14ac:dyDescent="0.2">
      <c r="B445" s="13" t="s">
        <v>323</v>
      </c>
      <c r="C445" s="77">
        <v>722</v>
      </c>
      <c r="D445" s="7" t="s">
        <v>130</v>
      </c>
      <c r="H445" s="9"/>
      <c r="I445" s="9"/>
      <c r="J445" s="9"/>
      <c r="K445" s="9"/>
      <c r="L445" s="9"/>
      <c r="M445" s="9"/>
      <c r="N445" s="9"/>
      <c r="O445" s="9"/>
      <c r="P445" s="9"/>
      <c r="Q445" s="9"/>
      <c r="R445" s="9"/>
      <c r="S445" s="9"/>
      <c r="T445" s="9"/>
      <c r="U445" s="9"/>
      <c r="V445" s="9"/>
      <c r="W445" s="9"/>
      <c r="X445" s="9"/>
      <c r="Y445" s="9"/>
      <c r="Z445" s="9"/>
      <c r="AA445" s="9"/>
      <c r="AB445" s="9"/>
      <c r="AC445" s="9"/>
      <c r="AD445" s="9"/>
    </row>
    <row r="446" spans="2:30" ht="15.75" thickBot="1" x14ac:dyDescent="0.25">
      <c r="B446" s="13" t="s">
        <v>313</v>
      </c>
      <c r="C446" s="143">
        <v>1.5</v>
      </c>
      <c r="H446" s="9"/>
      <c r="I446" s="9"/>
      <c r="J446" s="9"/>
      <c r="K446" s="9"/>
      <c r="L446" s="9"/>
      <c r="M446" s="9"/>
      <c r="N446" s="9"/>
      <c r="O446" s="9"/>
      <c r="P446" s="9"/>
      <c r="Q446" s="9"/>
      <c r="R446" s="9"/>
      <c r="S446" s="9"/>
      <c r="T446" s="9"/>
      <c r="U446" s="9"/>
      <c r="V446" s="9"/>
      <c r="W446" s="9"/>
      <c r="X446" s="9"/>
      <c r="Y446" s="9"/>
      <c r="Z446" s="9"/>
      <c r="AA446" s="9"/>
      <c r="AB446" s="9"/>
      <c r="AC446" s="9"/>
      <c r="AD446" s="9"/>
    </row>
    <row r="447" spans="2:30" ht="15.75" x14ac:dyDescent="0.25">
      <c r="C447" s="16" t="s">
        <v>4</v>
      </c>
      <c r="H447" s="9"/>
      <c r="I447" s="9"/>
      <c r="J447" s="9"/>
      <c r="K447" s="9"/>
      <c r="L447" s="9"/>
      <c r="M447" s="9"/>
      <c r="N447" s="9"/>
      <c r="O447" s="9"/>
      <c r="P447" s="9"/>
      <c r="Q447" s="9"/>
      <c r="R447" s="9"/>
      <c r="S447" s="9"/>
      <c r="T447" s="9"/>
      <c r="U447" s="9"/>
      <c r="V447" s="9"/>
      <c r="W447" s="9"/>
      <c r="X447" s="9"/>
      <c r="Y447" s="9"/>
      <c r="Z447" s="9"/>
      <c r="AA447" s="9"/>
      <c r="AB447" s="9"/>
      <c r="AC447" s="9"/>
      <c r="AD447" s="9"/>
    </row>
    <row r="448" spans="2:30" x14ac:dyDescent="0.2">
      <c r="B448" s="13" t="s">
        <v>314</v>
      </c>
      <c r="C448" s="7" t="s">
        <v>301</v>
      </c>
      <c r="H448" s="9"/>
      <c r="I448" s="9"/>
      <c r="J448" s="9"/>
      <c r="K448" s="9"/>
      <c r="L448" s="9"/>
      <c r="M448" s="9"/>
      <c r="N448" s="9"/>
      <c r="O448" s="9"/>
      <c r="P448" s="9"/>
      <c r="Q448" s="9"/>
      <c r="R448" s="9"/>
      <c r="S448" s="9"/>
      <c r="T448" s="9"/>
      <c r="U448" s="9"/>
      <c r="V448" s="9"/>
      <c r="W448" s="9"/>
      <c r="X448" s="9"/>
      <c r="Y448" s="9"/>
      <c r="Z448" s="9"/>
      <c r="AA448" s="9"/>
      <c r="AB448" s="9"/>
      <c r="AC448" s="9"/>
      <c r="AD448" s="9"/>
    </row>
    <row r="449" spans="2:30" x14ac:dyDescent="0.2">
      <c r="B449" s="13" t="s">
        <v>314</v>
      </c>
      <c r="C449" s="89">
        <f>((16/(3.1416*C442)*((C444*C443)^2+(C446*C445)^2)^0.5))</f>
        <v>34.474528373859286</v>
      </c>
      <c r="H449" s="9"/>
      <c r="I449" s="9"/>
      <c r="J449" s="9"/>
      <c r="K449" s="9"/>
      <c r="L449" s="9"/>
      <c r="M449" s="9"/>
      <c r="N449" s="9"/>
      <c r="O449" s="9"/>
      <c r="P449" s="9"/>
      <c r="Q449" s="9"/>
      <c r="R449" s="9"/>
      <c r="S449" s="9"/>
      <c r="T449" s="9"/>
      <c r="U449" s="9"/>
      <c r="V449" s="9"/>
      <c r="W449" s="9"/>
      <c r="X449" s="9"/>
      <c r="Y449" s="9"/>
      <c r="Z449" s="9"/>
      <c r="AA449" s="9"/>
      <c r="AB449" s="9"/>
      <c r="AC449" s="9"/>
      <c r="AD449" s="9"/>
    </row>
    <row r="450" spans="2:30" ht="15.75" x14ac:dyDescent="0.25">
      <c r="B450" s="15" t="s">
        <v>315</v>
      </c>
      <c r="C450" s="92">
        <f>C449^0.333</f>
        <v>3.2507752538294992</v>
      </c>
      <c r="D450" s="8" t="s">
        <v>18</v>
      </c>
      <c r="H450" s="9"/>
      <c r="I450" s="9"/>
      <c r="J450" s="9"/>
      <c r="K450" s="9"/>
      <c r="L450" s="9"/>
      <c r="M450" s="9"/>
      <c r="N450" s="9"/>
      <c r="O450" s="9"/>
      <c r="P450" s="9"/>
      <c r="Q450" s="9"/>
      <c r="R450" s="9"/>
      <c r="S450" s="9"/>
      <c r="T450" s="9"/>
      <c r="U450" s="9"/>
      <c r="V450" s="9"/>
      <c r="W450" s="9"/>
      <c r="X450" s="9"/>
      <c r="Y450" s="9"/>
      <c r="Z450" s="9"/>
      <c r="AA450" s="9"/>
      <c r="AB450" s="9"/>
      <c r="AC450" s="9"/>
      <c r="AD450" s="9"/>
    </row>
    <row r="451" spans="2:30" ht="15.75" thickBot="1" x14ac:dyDescent="0.25">
      <c r="H451" s="9"/>
      <c r="I451" s="9"/>
      <c r="J451" s="9"/>
      <c r="K451" s="9"/>
      <c r="L451" s="9"/>
      <c r="M451" s="9"/>
      <c r="N451" s="9"/>
      <c r="O451" s="9"/>
      <c r="P451" s="9"/>
      <c r="Q451" s="9"/>
      <c r="R451" s="9"/>
      <c r="S451" s="9"/>
      <c r="T451" s="9"/>
      <c r="U451" s="9"/>
      <c r="V451" s="9"/>
      <c r="W451" s="9"/>
      <c r="X451" s="9"/>
      <c r="Y451" s="9"/>
      <c r="Z451" s="9"/>
      <c r="AA451" s="9"/>
      <c r="AB451" s="9"/>
      <c r="AC451" s="9"/>
      <c r="AD451" s="9"/>
    </row>
    <row r="452" spans="2:30" ht="16.5" thickBot="1" x14ac:dyDescent="0.3">
      <c r="B452" s="15" t="s">
        <v>316</v>
      </c>
      <c r="C452" s="132"/>
      <c r="D452" s="7" t="s">
        <v>16</v>
      </c>
      <c r="H452" s="9"/>
      <c r="I452" s="9"/>
      <c r="J452" s="9"/>
      <c r="K452" s="9"/>
      <c r="L452" s="9"/>
      <c r="M452" s="9"/>
      <c r="N452" s="9"/>
      <c r="O452" s="9"/>
      <c r="P452" s="9"/>
      <c r="Q452" s="9"/>
      <c r="R452" s="9"/>
      <c r="S452" s="9"/>
      <c r="T452" s="9"/>
      <c r="U452" s="9"/>
      <c r="V452" s="9"/>
      <c r="W452" s="9"/>
      <c r="X452" s="9"/>
      <c r="Y452" s="9"/>
      <c r="Z452" s="9"/>
      <c r="AA452" s="9"/>
      <c r="AB452" s="9"/>
      <c r="AC452" s="9"/>
      <c r="AD452" s="9"/>
    </row>
    <row r="453" spans="2:30" x14ac:dyDescent="0.2">
      <c r="H453" s="9"/>
      <c r="I453" s="9"/>
      <c r="J453" s="9"/>
      <c r="K453" s="9"/>
      <c r="L453" s="9"/>
      <c r="M453" s="9"/>
      <c r="N453" s="9"/>
      <c r="O453" s="9"/>
      <c r="P453" s="9"/>
      <c r="Q453" s="9"/>
      <c r="R453" s="9"/>
      <c r="S453" s="9"/>
      <c r="T453" s="9"/>
      <c r="U453" s="9"/>
      <c r="V453" s="9"/>
      <c r="W453" s="9"/>
      <c r="X453" s="9"/>
      <c r="Y453" s="9"/>
      <c r="Z453" s="9"/>
      <c r="AA453" s="9"/>
      <c r="AB453" s="9"/>
      <c r="AC453" s="9"/>
      <c r="AD453" s="9"/>
    </row>
    <row r="454" spans="2:30" x14ac:dyDescent="0.2">
      <c r="H454" s="9"/>
      <c r="I454" s="9"/>
      <c r="J454" s="9"/>
      <c r="K454" s="9"/>
      <c r="L454" s="9"/>
      <c r="M454" s="9"/>
      <c r="N454" s="9"/>
      <c r="O454" s="9"/>
      <c r="P454" s="9"/>
      <c r="Q454" s="9"/>
      <c r="R454" s="9"/>
      <c r="S454" s="9"/>
      <c r="T454" s="9"/>
      <c r="U454" s="9"/>
      <c r="V454" s="9"/>
      <c r="W454" s="9"/>
      <c r="X454" s="9"/>
      <c r="Y454" s="9"/>
      <c r="Z454" s="9"/>
      <c r="AA454" s="9"/>
      <c r="AB454" s="9"/>
      <c r="AC454" s="9"/>
      <c r="AD454" s="9"/>
    </row>
    <row r="455" spans="2:30" x14ac:dyDescent="0.2">
      <c r="H455" s="9"/>
      <c r="I455" s="9"/>
      <c r="J455" s="9"/>
      <c r="K455" s="9"/>
      <c r="L455" s="9"/>
      <c r="M455" s="9"/>
      <c r="N455" s="9"/>
      <c r="O455" s="9"/>
      <c r="P455" s="9"/>
      <c r="Q455" s="9"/>
      <c r="R455" s="9"/>
      <c r="S455" s="9"/>
      <c r="T455" s="9"/>
      <c r="U455" s="9"/>
      <c r="V455" s="9"/>
      <c r="W455" s="9"/>
      <c r="X455" s="9"/>
      <c r="Y455" s="9"/>
      <c r="Z455" s="9"/>
      <c r="AA455" s="9"/>
      <c r="AB455" s="9"/>
      <c r="AC455" s="9"/>
      <c r="AD455" s="9"/>
    </row>
    <row r="456" spans="2:30" x14ac:dyDescent="0.2">
      <c r="C456" s="7" t="s">
        <v>418</v>
      </c>
      <c r="H456" s="9"/>
      <c r="I456" s="9"/>
      <c r="J456" s="9"/>
      <c r="K456" s="9"/>
      <c r="L456" s="9"/>
      <c r="M456" s="9"/>
      <c r="N456" s="9"/>
      <c r="O456" s="9"/>
      <c r="P456" s="9"/>
      <c r="Q456" s="9"/>
      <c r="R456" s="9"/>
      <c r="S456" s="9"/>
      <c r="T456" s="9"/>
      <c r="U456" s="9"/>
      <c r="V456" s="9"/>
      <c r="W456" s="9"/>
      <c r="X456" s="9"/>
      <c r="Y456" s="9"/>
      <c r="Z456" s="9"/>
      <c r="AA456" s="9"/>
      <c r="AB456" s="9"/>
      <c r="AC456" s="9"/>
      <c r="AD456" s="9"/>
    </row>
    <row r="457" spans="2:30" x14ac:dyDescent="0.2">
      <c r="H457" s="9"/>
      <c r="I457" s="9"/>
      <c r="J457" s="9"/>
      <c r="K457" s="9"/>
      <c r="L457" s="9"/>
      <c r="M457" s="9"/>
      <c r="N457" s="9"/>
      <c r="O457" s="9"/>
      <c r="P457" s="9"/>
      <c r="Q457" s="9"/>
      <c r="R457" s="9"/>
      <c r="S457" s="9"/>
      <c r="T457" s="9"/>
      <c r="U457" s="9"/>
      <c r="V457" s="9"/>
      <c r="W457" s="9"/>
      <c r="X457" s="9"/>
      <c r="Y457" s="9"/>
      <c r="Z457" s="9"/>
      <c r="AA457" s="9"/>
      <c r="AB457" s="9"/>
      <c r="AC457" s="9"/>
      <c r="AD457" s="9"/>
    </row>
    <row r="458" spans="2:30" x14ac:dyDescent="0.2">
      <c r="H458" s="9"/>
      <c r="I458" s="9"/>
      <c r="J458" s="9"/>
      <c r="K458" s="9"/>
      <c r="L458" s="9"/>
      <c r="M458" s="9"/>
      <c r="N458" s="9"/>
      <c r="O458" s="9"/>
      <c r="P458" s="9"/>
      <c r="Q458" s="9"/>
      <c r="R458" s="9"/>
      <c r="S458" s="9"/>
      <c r="T458" s="9"/>
      <c r="U458" s="9"/>
      <c r="V458" s="9"/>
      <c r="W458" s="9"/>
      <c r="X458" s="9"/>
      <c r="Y458" s="9"/>
      <c r="Z458" s="9"/>
      <c r="AA458" s="9"/>
      <c r="AB458" s="9"/>
      <c r="AC458" s="9"/>
      <c r="AD458" s="9"/>
    </row>
    <row r="459" spans="2:30" x14ac:dyDescent="0.2">
      <c r="H459" s="9"/>
      <c r="I459" s="9"/>
      <c r="J459" s="9"/>
      <c r="K459" s="9"/>
      <c r="L459" s="9"/>
      <c r="M459" s="9"/>
      <c r="N459" s="9"/>
      <c r="O459" s="9"/>
      <c r="P459" s="9"/>
      <c r="Q459" s="9"/>
      <c r="R459" s="9"/>
      <c r="S459" s="9"/>
      <c r="T459" s="9"/>
      <c r="U459" s="9"/>
      <c r="V459" s="9"/>
      <c r="W459" s="9"/>
      <c r="X459" s="9"/>
      <c r="Y459" s="9"/>
      <c r="Z459" s="9"/>
      <c r="AA459" s="9"/>
      <c r="AB459" s="9"/>
      <c r="AC459" s="9"/>
      <c r="AD459" s="9"/>
    </row>
    <row r="460" spans="2:30" x14ac:dyDescent="0.2">
      <c r="H460" s="9"/>
      <c r="I460" s="9"/>
      <c r="J460" s="9"/>
      <c r="K460" s="9"/>
      <c r="L460" s="9"/>
      <c r="M460" s="9"/>
      <c r="N460" s="9"/>
      <c r="O460" s="9"/>
      <c r="P460" s="9"/>
      <c r="Q460" s="9"/>
      <c r="R460" s="9"/>
      <c r="S460" s="9"/>
      <c r="T460" s="9"/>
      <c r="U460" s="9"/>
      <c r="V460" s="9"/>
      <c r="W460" s="9"/>
      <c r="X460" s="9"/>
      <c r="Y460" s="9"/>
      <c r="Z460" s="9"/>
      <c r="AA460" s="9"/>
      <c r="AB460" s="9"/>
      <c r="AC460" s="9"/>
      <c r="AD460" s="9"/>
    </row>
    <row r="461" spans="2:30" x14ac:dyDescent="0.2">
      <c r="H461" s="9"/>
      <c r="I461" s="9"/>
      <c r="J461" s="9"/>
      <c r="K461" s="9"/>
      <c r="L461" s="9"/>
      <c r="M461" s="9"/>
      <c r="N461" s="9"/>
      <c r="O461" s="9"/>
      <c r="P461" s="9"/>
      <c r="Q461" s="9"/>
      <c r="R461" s="9"/>
      <c r="S461" s="9"/>
      <c r="T461" s="9"/>
      <c r="U461" s="9"/>
      <c r="V461" s="9"/>
      <c r="W461" s="9"/>
      <c r="X461" s="9"/>
      <c r="Y461" s="9"/>
      <c r="Z461" s="9"/>
      <c r="AA461" s="9"/>
      <c r="AB461" s="9"/>
      <c r="AC461" s="9"/>
      <c r="AD461" s="9"/>
    </row>
    <row r="462" spans="2:30" x14ac:dyDescent="0.2">
      <c r="H462" s="9"/>
      <c r="I462" s="9"/>
      <c r="J462" s="9"/>
      <c r="K462" s="9"/>
      <c r="L462" s="9"/>
      <c r="M462" s="9"/>
      <c r="N462" s="9"/>
      <c r="O462" s="9"/>
      <c r="P462" s="9"/>
      <c r="Q462" s="9"/>
      <c r="R462" s="9"/>
      <c r="S462" s="9"/>
      <c r="T462" s="9"/>
      <c r="U462" s="9"/>
      <c r="V462" s="9"/>
      <c r="W462" s="9"/>
      <c r="X462" s="9"/>
      <c r="Y462" s="9"/>
      <c r="Z462" s="9"/>
      <c r="AA462" s="9"/>
      <c r="AB462" s="9"/>
      <c r="AC462" s="9"/>
      <c r="AD462" s="9"/>
    </row>
    <row r="463" spans="2:30" x14ac:dyDescent="0.2">
      <c r="H463" s="9"/>
      <c r="I463" s="9"/>
      <c r="J463" s="9"/>
      <c r="K463" s="9"/>
      <c r="L463" s="9"/>
      <c r="M463" s="9"/>
      <c r="N463" s="9"/>
      <c r="O463" s="9"/>
      <c r="P463" s="9"/>
      <c r="Q463" s="9"/>
      <c r="R463" s="9"/>
      <c r="S463" s="9"/>
      <c r="T463" s="9"/>
      <c r="U463" s="9"/>
      <c r="V463" s="9"/>
      <c r="W463" s="9"/>
      <c r="X463" s="9"/>
      <c r="Y463" s="9"/>
      <c r="Z463" s="9"/>
      <c r="AA463" s="9"/>
      <c r="AB463" s="9"/>
      <c r="AC463" s="9"/>
      <c r="AD463" s="9"/>
    </row>
    <row r="464" spans="2:30" x14ac:dyDescent="0.2">
      <c r="H464" s="9"/>
      <c r="I464" s="9"/>
      <c r="J464" s="9"/>
      <c r="K464" s="9"/>
      <c r="L464" s="9"/>
      <c r="M464" s="9"/>
      <c r="N464" s="9"/>
      <c r="O464" s="9"/>
      <c r="P464" s="9"/>
      <c r="Q464" s="9"/>
      <c r="R464" s="9"/>
      <c r="S464" s="9"/>
      <c r="T464" s="9"/>
      <c r="U464" s="9"/>
      <c r="V464" s="9"/>
      <c r="W464" s="9"/>
      <c r="X464" s="9"/>
      <c r="Y464" s="9"/>
      <c r="Z464" s="9"/>
      <c r="AA464" s="9"/>
      <c r="AB464" s="9"/>
      <c r="AC464" s="9"/>
      <c r="AD464" s="9"/>
    </row>
    <row r="465" spans="8:30" x14ac:dyDescent="0.2">
      <c r="H465" s="9"/>
      <c r="I465" s="9"/>
      <c r="J465" s="9"/>
      <c r="K465" s="9"/>
      <c r="L465" s="9"/>
      <c r="M465" s="9"/>
      <c r="N465" s="9"/>
      <c r="O465" s="9"/>
      <c r="P465" s="9"/>
      <c r="Q465" s="9"/>
      <c r="R465" s="9"/>
      <c r="S465" s="9"/>
      <c r="T465" s="9"/>
      <c r="U465" s="9"/>
      <c r="V465" s="9"/>
      <c r="W465" s="9"/>
      <c r="X465" s="9"/>
      <c r="Y465" s="9"/>
      <c r="Z465" s="9"/>
      <c r="AA465" s="9"/>
      <c r="AB465" s="9"/>
      <c r="AC465" s="9"/>
      <c r="AD465" s="9"/>
    </row>
  </sheetData>
  <sheetProtection sheet="1" objects="1" scenarios="1" selectLockedCells="1"/>
  <phoneticPr fontId="1" type="noConversion"/>
  <pageMargins left="0.75" right="0.75" top="1" bottom="1" header="0.5" footer="0.5"/>
  <pageSetup orientation="portrait" horizontalDpi="4294967295"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406"/>
  <sheetViews>
    <sheetView zoomScaleNormal="100" workbookViewId="0">
      <selection activeCell="L1" sqref="L1"/>
    </sheetView>
  </sheetViews>
  <sheetFormatPr defaultColWidth="9.140625" defaultRowHeight="15" x14ac:dyDescent="0.2"/>
  <cols>
    <col min="1" max="1" width="41.42578125" style="7" customWidth="1"/>
    <col min="2" max="2" width="21.42578125" style="7" customWidth="1"/>
    <col min="3" max="16384" width="9.140625" style="7"/>
  </cols>
  <sheetData>
    <row r="1" spans="1:28" ht="18" x14ac:dyDescent="0.25">
      <c r="A1" s="6" t="s">
        <v>422</v>
      </c>
      <c r="B1" s="97"/>
      <c r="C1" s="97"/>
      <c r="D1" s="98"/>
      <c r="E1" s="98"/>
      <c r="F1" s="98"/>
      <c r="G1" s="99"/>
      <c r="H1" s="99"/>
      <c r="I1" s="99"/>
      <c r="J1" s="99"/>
      <c r="K1" s="98"/>
      <c r="L1" s="98"/>
      <c r="M1" s="98"/>
      <c r="N1" s="98"/>
      <c r="O1" s="98"/>
      <c r="P1" s="98"/>
      <c r="Q1" s="9"/>
      <c r="R1" s="9"/>
      <c r="S1" s="9"/>
      <c r="T1" s="9"/>
      <c r="U1" s="9"/>
      <c r="V1" s="9"/>
      <c r="W1" s="9"/>
      <c r="X1" s="9"/>
      <c r="Y1" s="9"/>
      <c r="Z1" s="9"/>
      <c r="AA1" s="9"/>
      <c r="AB1" s="9"/>
    </row>
    <row r="2" spans="1:28" x14ac:dyDescent="0.2">
      <c r="A2" s="97"/>
      <c r="B2" s="97"/>
      <c r="C2" s="97"/>
      <c r="D2" s="98"/>
      <c r="E2" s="98"/>
      <c r="F2" s="98"/>
      <c r="G2" s="98"/>
      <c r="H2" s="98"/>
      <c r="I2" s="98"/>
      <c r="J2" s="98"/>
      <c r="K2" s="98"/>
      <c r="L2" s="98"/>
      <c r="M2" s="98"/>
      <c r="N2" s="98"/>
      <c r="O2" s="98"/>
      <c r="P2" s="98"/>
      <c r="Q2" s="9"/>
      <c r="R2" s="9"/>
      <c r="S2" s="9"/>
      <c r="T2" s="9"/>
      <c r="U2" s="9"/>
      <c r="V2" s="9"/>
      <c r="W2" s="9"/>
      <c r="X2" s="9"/>
      <c r="Y2" s="9"/>
      <c r="Z2" s="9"/>
      <c r="AA2" s="9"/>
      <c r="AB2" s="9"/>
    </row>
    <row r="3" spans="1:28" ht="15.75" x14ac:dyDescent="0.25">
      <c r="A3" s="100"/>
      <c r="B3" s="97"/>
      <c r="C3" s="101"/>
      <c r="D3" s="97"/>
      <c r="E3" s="97"/>
      <c r="F3" s="97"/>
      <c r="G3" s="97"/>
      <c r="H3" s="97"/>
      <c r="I3" s="97"/>
      <c r="J3" s="97"/>
      <c r="K3" s="98"/>
      <c r="L3" s="98"/>
      <c r="M3" s="98"/>
      <c r="N3" s="98"/>
      <c r="O3" s="98"/>
      <c r="P3" s="98"/>
      <c r="Q3" s="9"/>
      <c r="R3" s="9"/>
      <c r="S3" s="9"/>
      <c r="T3" s="9"/>
      <c r="U3" s="9"/>
      <c r="V3" s="9"/>
      <c r="W3" s="9"/>
      <c r="X3" s="9"/>
      <c r="Y3" s="9"/>
      <c r="Z3" s="9"/>
      <c r="AA3" s="9"/>
      <c r="AB3" s="9"/>
    </row>
    <row r="4" spans="1:28" ht="15.75" x14ac:dyDescent="0.25">
      <c r="A4" s="50" t="s">
        <v>423</v>
      </c>
      <c r="B4" s="97"/>
      <c r="C4" s="101"/>
      <c r="D4" s="97"/>
      <c r="E4" s="97"/>
      <c r="F4" s="97"/>
      <c r="G4" s="97"/>
      <c r="H4" s="97"/>
      <c r="I4" s="97"/>
      <c r="J4" s="97"/>
      <c r="K4" s="98"/>
      <c r="L4" s="98"/>
      <c r="M4" s="98"/>
      <c r="N4" s="98"/>
      <c r="O4" s="98"/>
      <c r="P4" s="98"/>
      <c r="Q4" s="9"/>
      <c r="R4" s="9"/>
      <c r="S4" s="9"/>
      <c r="T4" s="9"/>
      <c r="U4" s="9"/>
      <c r="V4" s="9"/>
      <c r="W4" s="9"/>
      <c r="X4" s="9"/>
      <c r="Y4" s="9"/>
      <c r="Z4" s="9"/>
      <c r="AA4" s="9"/>
      <c r="AB4" s="9"/>
    </row>
    <row r="5" spans="1:28" ht="15.75" x14ac:dyDescent="0.25">
      <c r="A5" s="15" t="s">
        <v>424</v>
      </c>
      <c r="B5" s="97" t="s">
        <v>425</v>
      </c>
      <c r="C5" s="97"/>
      <c r="D5" s="97"/>
      <c r="E5" s="97"/>
      <c r="F5" s="97"/>
      <c r="G5" s="97"/>
      <c r="H5" s="97"/>
      <c r="I5" s="97"/>
      <c r="J5" s="97"/>
      <c r="K5" s="98"/>
      <c r="L5" s="98"/>
      <c r="M5" s="98"/>
      <c r="N5" s="98"/>
      <c r="O5" s="98"/>
      <c r="P5" s="98"/>
      <c r="Q5" s="9"/>
      <c r="R5" s="9"/>
      <c r="S5" s="9"/>
      <c r="T5" s="9"/>
      <c r="U5" s="9"/>
      <c r="V5" s="9"/>
      <c r="W5" s="9"/>
      <c r="X5" s="9"/>
      <c r="Y5" s="9"/>
      <c r="Z5" s="9"/>
      <c r="AA5" s="9"/>
      <c r="AB5" s="9"/>
    </row>
    <row r="6" spans="1:28" ht="15.75" x14ac:dyDescent="0.25">
      <c r="A6" s="15" t="s">
        <v>426</v>
      </c>
      <c r="B6" s="97" t="s">
        <v>427</v>
      </c>
      <c r="C6" s="97"/>
      <c r="D6" s="97"/>
      <c r="E6" s="97"/>
      <c r="F6" s="97"/>
      <c r="G6" s="97"/>
      <c r="H6" s="97"/>
      <c r="I6" s="97"/>
      <c r="J6" s="97"/>
      <c r="K6" s="98"/>
      <c r="L6" s="98"/>
      <c r="M6" s="98"/>
      <c r="N6" s="98"/>
      <c r="O6" s="98"/>
      <c r="P6" s="98"/>
      <c r="Q6" s="9"/>
      <c r="R6" s="9"/>
      <c r="S6" s="9"/>
      <c r="T6" s="9"/>
      <c r="U6" s="9"/>
      <c r="V6" s="9"/>
      <c r="W6" s="9"/>
      <c r="X6" s="9"/>
      <c r="Y6" s="9"/>
      <c r="Z6" s="9"/>
      <c r="AA6" s="9"/>
      <c r="AB6" s="9"/>
    </row>
    <row r="7" spans="1:28" ht="15.75" x14ac:dyDescent="0.25">
      <c r="A7" s="15" t="s">
        <v>428</v>
      </c>
      <c r="B7" s="97" t="s">
        <v>429</v>
      </c>
      <c r="C7" s="97"/>
      <c r="D7" s="97" t="s">
        <v>433</v>
      </c>
      <c r="E7" s="102"/>
      <c r="F7" s="98"/>
      <c r="G7" s="98"/>
      <c r="H7" s="98"/>
      <c r="I7" s="98"/>
      <c r="J7" s="98"/>
      <c r="K7" s="98"/>
      <c r="L7" s="98"/>
      <c r="M7" s="98"/>
      <c r="N7" s="98"/>
      <c r="O7" s="98"/>
      <c r="P7" s="98"/>
      <c r="Q7" s="9"/>
      <c r="R7" s="9"/>
      <c r="S7" s="9"/>
      <c r="T7" s="9"/>
      <c r="U7" s="9"/>
      <c r="V7" s="9"/>
      <c r="W7" s="9"/>
      <c r="X7" s="9"/>
      <c r="Y7" s="9"/>
      <c r="Z7" s="9"/>
      <c r="AA7" s="9"/>
      <c r="AB7" s="9"/>
    </row>
    <row r="8" spans="1:28" ht="15.75" x14ac:dyDescent="0.25">
      <c r="A8" s="15" t="s">
        <v>430</v>
      </c>
      <c r="B8" s="97" t="s">
        <v>431</v>
      </c>
      <c r="C8" s="97"/>
      <c r="D8" s="103" t="s">
        <v>435</v>
      </c>
      <c r="E8" s="98"/>
      <c r="F8" s="98"/>
      <c r="G8" s="98"/>
      <c r="I8" s="108" t="s">
        <v>436</v>
      </c>
      <c r="J8" s="98"/>
      <c r="K8" s="98"/>
      <c r="L8" s="98"/>
      <c r="M8" s="98"/>
      <c r="N8" s="98"/>
      <c r="O8" s="98"/>
      <c r="P8" s="98"/>
      <c r="Q8" s="9"/>
      <c r="R8" s="9"/>
      <c r="S8" s="9"/>
      <c r="T8" s="9"/>
      <c r="U8" s="9"/>
      <c r="V8" s="9"/>
      <c r="W8" s="9"/>
      <c r="X8" s="9"/>
      <c r="Y8" s="9"/>
      <c r="Z8" s="9"/>
      <c r="AA8" s="9"/>
      <c r="AB8" s="9"/>
    </row>
    <row r="9" spans="1:28" ht="15.75" x14ac:dyDescent="0.25">
      <c r="A9" s="50" t="s">
        <v>432</v>
      </c>
      <c r="B9" s="97"/>
      <c r="C9" s="97"/>
      <c r="K9" s="98"/>
      <c r="L9" s="98"/>
      <c r="M9" s="98"/>
      <c r="N9" s="98"/>
      <c r="O9" s="98"/>
      <c r="P9" s="98"/>
      <c r="Q9" s="9"/>
      <c r="R9" s="9"/>
      <c r="S9" s="9"/>
      <c r="T9" s="9"/>
      <c r="U9" s="9"/>
      <c r="V9" s="9"/>
      <c r="W9" s="9"/>
      <c r="X9" s="9"/>
      <c r="Y9" s="9"/>
      <c r="Z9" s="9"/>
      <c r="AA9" s="9"/>
      <c r="AB9" s="9"/>
    </row>
    <row r="10" spans="1:28" ht="15.75" x14ac:dyDescent="0.25">
      <c r="A10" s="15" t="s">
        <v>434</v>
      </c>
      <c r="B10" s="97" t="s">
        <v>425</v>
      </c>
      <c r="M10" s="98"/>
      <c r="N10" s="98"/>
      <c r="O10" s="98"/>
      <c r="P10" s="98"/>
      <c r="Q10" s="9"/>
      <c r="R10" s="9"/>
      <c r="S10" s="9"/>
      <c r="T10" s="9"/>
      <c r="U10" s="9"/>
      <c r="V10" s="9"/>
      <c r="W10" s="9"/>
      <c r="X10" s="9"/>
      <c r="Y10" s="9"/>
      <c r="Z10" s="9"/>
      <c r="AA10" s="9"/>
      <c r="AB10" s="9"/>
    </row>
    <row r="11" spans="1:28" ht="15.75" x14ac:dyDescent="0.25">
      <c r="A11" s="15" t="s">
        <v>437</v>
      </c>
      <c r="B11" s="97" t="s">
        <v>427</v>
      </c>
      <c r="C11" s="97"/>
      <c r="D11" s="51"/>
      <c r="E11" s="104"/>
      <c r="F11" s="98"/>
      <c r="G11" s="98"/>
      <c r="H11" s="98"/>
      <c r="I11" s="98"/>
      <c r="J11" s="98"/>
      <c r="K11" s="98"/>
      <c r="L11" s="98"/>
      <c r="M11" s="98"/>
      <c r="N11" s="98"/>
      <c r="O11" s="98"/>
      <c r="P11" s="98"/>
      <c r="Q11" s="9"/>
      <c r="R11" s="9"/>
      <c r="S11" s="9"/>
      <c r="T11" s="9"/>
      <c r="U11" s="9"/>
      <c r="V11" s="9"/>
      <c r="W11" s="9"/>
      <c r="X11" s="9"/>
      <c r="Y11" s="9"/>
      <c r="Z11" s="9"/>
      <c r="AA11" s="9"/>
      <c r="AB11" s="9"/>
    </row>
    <row r="12" spans="1:28" ht="15.75" x14ac:dyDescent="0.25">
      <c r="A12" s="15" t="s">
        <v>438</v>
      </c>
      <c r="B12" s="97" t="s">
        <v>439</v>
      </c>
      <c r="C12" s="97"/>
      <c r="D12" s="105"/>
      <c r="E12" s="106"/>
      <c r="F12" s="98"/>
      <c r="G12" s="98"/>
      <c r="H12" s="98"/>
      <c r="I12" s="98"/>
      <c r="J12" s="98"/>
      <c r="K12" s="98"/>
      <c r="L12" s="98"/>
      <c r="M12" s="98"/>
      <c r="N12" s="98"/>
      <c r="O12" s="98"/>
      <c r="P12" s="98"/>
      <c r="Q12" s="9"/>
      <c r="R12" s="9"/>
      <c r="S12" s="9"/>
      <c r="T12" s="9"/>
      <c r="U12" s="9"/>
      <c r="V12" s="9"/>
      <c r="W12" s="9"/>
      <c r="X12" s="9"/>
      <c r="Y12" s="9"/>
      <c r="Z12" s="9"/>
      <c r="AA12" s="9"/>
      <c r="AB12" s="9"/>
    </row>
    <row r="13" spans="1:28" ht="15.75" x14ac:dyDescent="0.25">
      <c r="A13" s="100" t="s">
        <v>440</v>
      </c>
      <c r="B13" s="97"/>
      <c r="C13" s="97"/>
      <c r="D13" s="51"/>
      <c r="E13" s="104"/>
      <c r="F13" s="98"/>
      <c r="G13" s="98"/>
      <c r="H13" s="98"/>
      <c r="I13" s="98"/>
      <c r="J13" s="98"/>
      <c r="K13" s="98"/>
      <c r="L13" s="98"/>
      <c r="M13" s="98"/>
      <c r="N13" s="98"/>
      <c r="O13" s="98"/>
      <c r="P13" s="98"/>
      <c r="Q13" s="9"/>
      <c r="R13" s="9"/>
      <c r="S13" s="9"/>
      <c r="T13" s="9"/>
      <c r="U13" s="9"/>
      <c r="V13" s="9"/>
      <c r="W13" s="9"/>
      <c r="X13" s="9"/>
      <c r="Y13" s="9"/>
      <c r="Z13" s="9"/>
      <c r="AA13" s="9"/>
      <c r="AB13" s="9"/>
    </row>
    <row r="14" spans="1:28" ht="15.75" x14ac:dyDescent="0.25">
      <c r="A14" s="97"/>
      <c r="B14" s="97"/>
      <c r="C14" s="97"/>
      <c r="D14" s="105"/>
      <c r="E14" s="107"/>
      <c r="F14" s="98"/>
      <c r="G14" s="98"/>
      <c r="H14" s="98"/>
      <c r="I14" s="98"/>
      <c r="J14" s="98"/>
      <c r="K14" s="98"/>
      <c r="L14" s="98"/>
      <c r="M14" s="98"/>
      <c r="N14" s="98"/>
      <c r="O14" s="98"/>
      <c r="P14" s="98"/>
      <c r="Q14" s="9"/>
      <c r="R14" s="9"/>
      <c r="S14" s="9"/>
      <c r="T14" s="9"/>
      <c r="U14" s="9"/>
      <c r="V14" s="9"/>
      <c r="W14" s="9"/>
      <c r="X14" s="9"/>
      <c r="Y14" s="9"/>
      <c r="Z14" s="9"/>
      <c r="AA14" s="9"/>
      <c r="AB14" s="9"/>
    </row>
    <row r="15" spans="1:28" x14ac:dyDescent="0.2">
      <c r="A15" s="97"/>
      <c r="B15" s="98"/>
      <c r="C15" s="97"/>
      <c r="D15" s="97"/>
      <c r="E15" s="97"/>
      <c r="F15" s="97"/>
      <c r="G15" s="97"/>
      <c r="H15" s="97"/>
      <c r="I15" s="98"/>
      <c r="J15" s="98"/>
      <c r="K15" s="98"/>
      <c r="L15" s="98"/>
      <c r="M15" s="98"/>
      <c r="N15" s="98"/>
      <c r="O15" s="98"/>
      <c r="P15" s="98"/>
      <c r="Q15" s="9"/>
      <c r="R15" s="9"/>
      <c r="S15" s="9"/>
      <c r="T15" s="9"/>
      <c r="U15" s="9"/>
      <c r="V15" s="9"/>
      <c r="W15" s="9"/>
      <c r="X15" s="9"/>
      <c r="Y15" s="9"/>
      <c r="Z15" s="9"/>
      <c r="AA15" s="9"/>
      <c r="AB15" s="9"/>
    </row>
    <row r="16" spans="1:28" ht="15.75" x14ac:dyDescent="0.25">
      <c r="A16" s="97" t="s">
        <v>469</v>
      </c>
      <c r="B16" s="98"/>
      <c r="C16" s="97"/>
      <c r="D16" s="98"/>
      <c r="E16" s="98"/>
      <c r="F16" s="98"/>
      <c r="G16" s="98"/>
      <c r="H16" s="98"/>
      <c r="I16" s="98"/>
      <c r="J16" s="98"/>
      <c r="K16" s="98"/>
      <c r="L16" s="98"/>
      <c r="M16" s="98"/>
      <c r="N16" s="98"/>
      <c r="O16" s="98"/>
      <c r="P16" s="98"/>
      <c r="Q16" s="9"/>
      <c r="R16" s="9"/>
      <c r="S16" s="9"/>
      <c r="T16" s="9"/>
      <c r="U16" s="9"/>
      <c r="V16" s="9"/>
      <c r="W16" s="9"/>
      <c r="X16" s="9"/>
      <c r="Y16" s="9"/>
      <c r="Z16" s="9"/>
      <c r="AA16" s="9"/>
      <c r="AB16" s="9"/>
    </row>
    <row r="17" spans="1:35" x14ac:dyDescent="0.2">
      <c r="A17" s="98"/>
      <c r="B17" s="98" t="s">
        <v>441</v>
      </c>
      <c r="C17" s="97"/>
      <c r="D17" s="98"/>
      <c r="E17" s="98"/>
      <c r="F17" s="98"/>
      <c r="G17" s="98"/>
      <c r="H17" s="98"/>
      <c r="I17" s="98"/>
      <c r="J17" s="98"/>
      <c r="K17" s="98"/>
      <c r="L17" s="98"/>
      <c r="M17" s="98"/>
      <c r="N17" s="98"/>
      <c r="O17" s="98"/>
      <c r="P17" s="98"/>
      <c r="Q17" s="9"/>
      <c r="R17" s="9"/>
      <c r="S17" s="9"/>
      <c r="T17" s="9"/>
      <c r="U17" s="9"/>
      <c r="V17" s="9"/>
      <c r="W17" s="9"/>
      <c r="X17" s="9"/>
      <c r="Y17" s="9"/>
      <c r="Z17" s="9"/>
      <c r="AA17" s="9"/>
      <c r="AB17" s="9"/>
    </row>
    <row r="18" spans="1:35" x14ac:dyDescent="0.2">
      <c r="A18" s="98"/>
      <c r="B18" s="98" t="s">
        <v>442</v>
      </c>
      <c r="C18" s="97"/>
      <c r="D18" s="98"/>
      <c r="E18" s="98"/>
      <c r="F18" s="98"/>
      <c r="G18" s="98"/>
      <c r="H18" s="98"/>
      <c r="I18" s="98"/>
      <c r="J18" s="98"/>
      <c r="K18" s="98"/>
      <c r="L18" s="98"/>
      <c r="M18" s="98"/>
      <c r="N18" s="98"/>
      <c r="O18" s="98"/>
      <c r="P18" s="98"/>
      <c r="Q18" s="9"/>
      <c r="R18" s="9"/>
      <c r="S18" s="9"/>
      <c r="T18" s="9"/>
      <c r="U18" s="9"/>
      <c r="V18" s="9"/>
      <c r="W18" s="9"/>
      <c r="X18" s="9"/>
      <c r="Y18" s="9"/>
      <c r="Z18" s="9"/>
      <c r="AA18" s="9"/>
      <c r="AB18" s="9"/>
    </row>
    <row r="19" spans="1:35" ht="15.75" x14ac:dyDescent="0.25">
      <c r="A19" s="8"/>
      <c r="B19" s="98"/>
      <c r="C19" s="97"/>
      <c r="D19" s="98"/>
      <c r="E19" s="98"/>
      <c r="F19" s="98"/>
      <c r="G19" s="98"/>
      <c r="H19" s="98"/>
      <c r="I19" s="98"/>
      <c r="J19" s="98"/>
      <c r="K19" s="98"/>
      <c r="L19" s="98"/>
      <c r="M19" s="98"/>
      <c r="N19" s="98"/>
      <c r="O19" s="98"/>
      <c r="P19" s="98"/>
      <c r="Q19" s="9"/>
      <c r="R19" s="9"/>
      <c r="S19" s="9"/>
      <c r="T19" s="9"/>
      <c r="U19" s="9"/>
      <c r="V19" s="9"/>
      <c r="W19" s="9"/>
      <c r="X19" s="9"/>
      <c r="Y19" s="9"/>
      <c r="Z19" s="9"/>
      <c r="AA19" s="9"/>
      <c r="AB19" s="9"/>
    </row>
    <row r="20" spans="1:35" ht="15.75" x14ac:dyDescent="0.25">
      <c r="A20" s="50"/>
      <c r="B20" s="98"/>
      <c r="C20" s="97"/>
      <c r="D20" s="98"/>
      <c r="E20" s="98"/>
      <c r="F20" s="98"/>
      <c r="G20" s="98"/>
      <c r="H20" s="98"/>
      <c r="I20" s="98"/>
      <c r="J20" s="98"/>
      <c r="K20" s="98"/>
      <c r="L20" s="98"/>
      <c r="M20" s="98"/>
      <c r="N20" s="98"/>
      <c r="O20" s="98"/>
      <c r="P20" s="98"/>
      <c r="Q20" s="9"/>
      <c r="R20" s="9"/>
      <c r="S20" s="9"/>
      <c r="T20" s="9"/>
      <c r="U20" s="9"/>
      <c r="V20" s="9"/>
      <c r="W20" s="9"/>
      <c r="X20" s="9"/>
      <c r="Y20" s="9"/>
      <c r="Z20" s="9"/>
      <c r="AA20" s="9"/>
      <c r="AB20" s="9"/>
    </row>
    <row r="21" spans="1:35" ht="15.75" x14ac:dyDescent="0.25">
      <c r="A21" s="50"/>
      <c r="B21" s="98"/>
      <c r="C21" s="97"/>
      <c r="D21" s="98"/>
      <c r="E21" s="98"/>
      <c r="F21" s="98"/>
      <c r="G21" s="98"/>
      <c r="H21" s="98"/>
      <c r="I21" s="98"/>
      <c r="J21" s="98"/>
      <c r="K21" s="98"/>
      <c r="L21" s="98"/>
      <c r="M21" s="98"/>
      <c r="N21" s="98"/>
      <c r="O21" s="98"/>
      <c r="P21" s="98"/>
      <c r="Q21" s="9"/>
      <c r="R21" s="9"/>
      <c r="S21" s="9"/>
      <c r="T21" s="9"/>
      <c r="U21" s="9"/>
      <c r="V21" s="9"/>
      <c r="W21" s="9"/>
      <c r="X21" s="9"/>
      <c r="Y21" s="9"/>
      <c r="Z21" s="9"/>
      <c r="AA21" s="9"/>
      <c r="AB21" s="9"/>
    </row>
    <row r="22" spans="1:35" x14ac:dyDescent="0.2">
      <c r="A22" s="97"/>
      <c r="B22" s="98"/>
      <c r="C22" s="97"/>
      <c r="D22" s="98"/>
      <c r="E22" s="98"/>
      <c r="F22" s="98"/>
      <c r="G22" s="98"/>
      <c r="H22" s="98"/>
      <c r="I22" s="98"/>
      <c r="J22" s="98"/>
      <c r="K22" s="98"/>
      <c r="L22" s="98"/>
      <c r="M22" s="98"/>
      <c r="N22" s="98"/>
      <c r="O22" s="98"/>
      <c r="P22" s="98"/>
      <c r="Q22" s="9"/>
      <c r="R22" s="9"/>
      <c r="S22" s="9"/>
      <c r="T22" s="9"/>
      <c r="U22" s="9"/>
      <c r="V22" s="9"/>
      <c r="W22" s="9"/>
      <c r="X22" s="9"/>
      <c r="Y22" s="9"/>
      <c r="Z22" s="9"/>
      <c r="AA22" s="9"/>
      <c r="AB22" s="9"/>
    </row>
    <row r="23" spans="1:35" x14ac:dyDescent="0.2">
      <c r="A23" s="98"/>
      <c r="B23" s="98"/>
      <c r="C23" s="97"/>
      <c r="D23" s="98"/>
      <c r="E23" s="98"/>
      <c r="F23" s="98"/>
      <c r="G23" s="98"/>
      <c r="H23" s="98"/>
      <c r="I23" s="98"/>
      <c r="J23" s="98"/>
      <c r="K23" s="98"/>
      <c r="L23" s="98"/>
      <c r="M23" s="98"/>
      <c r="N23" s="98"/>
      <c r="O23" s="98"/>
      <c r="P23" s="98"/>
      <c r="Q23" s="9"/>
      <c r="R23" s="9"/>
      <c r="S23" s="9"/>
      <c r="T23" s="9"/>
      <c r="U23" s="9"/>
      <c r="V23" s="9"/>
      <c r="W23" s="9"/>
      <c r="X23" s="9"/>
      <c r="Y23" s="9"/>
      <c r="Z23" s="9"/>
      <c r="AA23" s="9"/>
      <c r="AB23" s="9"/>
    </row>
    <row r="24" spans="1:35" x14ac:dyDescent="0.2">
      <c r="A24" s="97"/>
      <c r="B24" s="97"/>
      <c r="C24" s="97"/>
      <c r="D24" s="98"/>
      <c r="E24" s="98"/>
      <c r="F24" s="98"/>
      <c r="G24" s="98"/>
      <c r="H24" s="98"/>
      <c r="I24" s="98"/>
      <c r="J24" s="98"/>
      <c r="K24" s="98"/>
      <c r="L24" s="98"/>
      <c r="M24" s="98"/>
      <c r="N24" s="98"/>
      <c r="O24" s="98"/>
      <c r="P24" s="98"/>
      <c r="Q24" s="9"/>
      <c r="R24" s="9"/>
      <c r="S24" s="9"/>
      <c r="T24" s="9"/>
      <c r="U24" s="9"/>
      <c r="V24" s="9"/>
      <c r="W24" s="9"/>
      <c r="X24" s="9"/>
      <c r="Y24" s="9"/>
      <c r="Z24" s="9"/>
      <c r="AA24" s="9"/>
      <c r="AB24" s="9"/>
    </row>
    <row r="25" spans="1:35" x14ac:dyDescent="0.2">
      <c r="A25" s="97"/>
      <c r="B25" s="97"/>
      <c r="C25" s="97"/>
      <c r="D25" s="98"/>
      <c r="E25" s="98"/>
      <c r="F25" s="98"/>
      <c r="G25" s="98"/>
      <c r="H25" s="98"/>
      <c r="I25" s="98"/>
      <c r="J25" s="98"/>
      <c r="K25" s="98"/>
      <c r="L25" s="98"/>
      <c r="M25" s="98"/>
      <c r="N25" s="98"/>
      <c r="O25" s="98"/>
      <c r="P25" s="98"/>
      <c r="Q25" s="9"/>
      <c r="R25" s="9"/>
      <c r="S25" s="9"/>
      <c r="T25" s="9"/>
      <c r="U25" s="9"/>
      <c r="V25" s="9"/>
      <c r="W25" s="9"/>
      <c r="X25" s="9"/>
      <c r="Y25" s="9"/>
      <c r="Z25" s="9"/>
      <c r="AA25" s="9"/>
      <c r="AB25" s="9"/>
    </row>
    <row r="26" spans="1:35" x14ac:dyDescent="0.2">
      <c r="A26" s="97"/>
      <c r="B26" s="97"/>
      <c r="C26" s="97"/>
      <c r="D26" s="98"/>
      <c r="E26" s="98"/>
      <c r="F26" s="98"/>
      <c r="G26" s="98"/>
      <c r="H26" s="98"/>
      <c r="I26" s="98"/>
      <c r="J26" s="98"/>
      <c r="K26" s="98"/>
      <c r="L26" s="98"/>
      <c r="M26" s="98"/>
      <c r="N26" s="98"/>
      <c r="O26" s="98"/>
      <c r="P26" s="98"/>
      <c r="Q26" s="9"/>
      <c r="R26" s="9"/>
      <c r="S26" s="9"/>
      <c r="T26" s="9"/>
      <c r="U26" s="9"/>
      <c r="V26" s="9"/>
      <c r="W26" s="9"/>
      <c r="X26" s="9"/>
      <c r="Y26" s="9"/>
      <c r="Z26" s="9"/>
      <c r="AA26" s="9"/>
      <c r="AB26" s="9"/>
    </row>
    <row r="27" spans="1:35" x14ac:dyDescent="0.2">
      <c r="A27" s="97"/>
      <c r="B27" s="97"/>
      <c r="C27" s="97"/>
      <c r="D27" s="98"/>
      <c r="E27" s="98"/>
      <c r="F27" s="98"/>
      <c r="G27" s="98"/>
      <c r="H27" s="98"/>
      <c r="I27" s="98"/>
      <c r="J27" s="98"/>
      <c r="K27" s="98"/>
      <c r="L27" s="98"/>
      <c r="M27" s="98"/>
      <c r="N27" s="98"/>
      <c r="O27" s="98"/>
      <c r="P27" s="98"/>
      <c r="Q27" s="9"/>
      <c r="R27" s="9"/>
      <c r="S27" s="9"/>
      <c r="T27" s="9"/>
      <c r="U27" s="9"/>
      <c r="V27" s="9"/>
      <c r="W27" s="9"/>
      <c r="X27" s="9"/>
      <c r="Y27" s="9"/>
      <c r="Z27" s="9"/>
      <c r="AA27" s="9"/>
      <c r="AB27" s="9"/>
    </row>
    <row r="28" spans="1:35" x14ac:dyDescent="0.2">
      <c r="A28" s="97"/>
      <c r="B28" s="97"/>
      <c r="C28" s="97"/>
      <c r="D28" s="98"/>
      <c r="E28" s="98"/>
      <c r="F28" s="98"/>
      <c r="G28" s="98"/>
      <c r="H28" s="98"/>
      <c r="I28" s="98"/>
      <c r="J28" s="98"/>
      <c r="K28" s="98"/>
      <c r="L28" s="98"/>
      <c r="M28" s="98"/>
      <c r="N28" s="98"/>
      <c r="O28" s="98"/>
      <c r="P28" s="98"/>
      <c r="Q28" s="9"/>
      <c r="R28" s="9"/>
      <c r="S28" s="9"/>
      <c r="T28" s="9"/>
      <c r="U28" s="9"/>
      <c r="V28" s="9"/>
      <c r="W28" s="9"/>
      <c r="X28" s="9"/>
      <c r="Y28" s="9"/>
      <c r="Z28" s="9"/>
      <c r="AA28" s="9"/>
      <c r="AB28" s="9"/>
    </row>
    <row r="29" spans="1:35" ht="15.75" x14ac:dyDescent="0.25">
      <c r="A29" s="97"/>
      <c r="B29" s="97"/>
      <c r="C29" s="97"/>
      <c r="D29" s="98"/>
      <c r="E29" s="98"/>
      <c r="F29" s="98"/>
      <c r="G29" s="98"/>
      <c r="H29" s="165" t="s">
        <v>443</v>
      </c>
      <c r="I29" s="165" t="s">
        <v>444</v>
      </c>
      <c r="J29" s="160"/>
      <c r="K29" s="98"/>
      <c r="L29" s="98"/>
      <c r="M29" s="98"/>
      <c r="N29" s="98"/>
      <c r="O29" s="98"/>
      <c r="P29" s="98"/>
      <c r="Q29" s="9"/>
      <c r="R29" s="9"/>
      <c r="S29" s="9"/>
      <c r="T29" s="9"/>
      <c r="U29" s="9"/>
      <c r="V29" s="9"/>
      <c r="W29" s="9"/>
      <c r="X29" s="9"/>
      <c r="Y29" s="9"/>
      <c r="Z29" s="9"/>
      <c r="AA29" s="9"/>
      <c r="AB29" s="9"/>
    </row>
    <row r="30" spans="1:35" ht="15.75" x14ac:dyDescent="0.25">
      <c r="A30" s="97"/>
      <c r="B30" s="97"/>
      <c r="C30" s="97"/>
      <c r="D30" s="98"/>
      <c r="E30" s="98"/>
      <c r="F30" s="98"/>
      <c r="G30" s="98"/>
      <c r="H30" s="160">
        <v>1</v>
      </c>
      <c r="I30" s="159">
        <v>10</v>
      </c>
      <c r="J30" s="160"/>
      <c r="K30" s="98"/>
      <c r="L30" s="98"/>
      <c r="M30" s="98"/>
      <c r="N30" s="98"/>
      <c r="O30" s="98"/>
      <c r="P30" s="98"/>
    </row>
    <row r="31" spans="1:35" ht="15.75" x14ac:dyDescent="0.25">
      <c r="A31" s="97"/>
      <c r="B31" s="97"/>
      <c r="C31" s="97"/>
      <c r="D31" s="98"/>
      <c r="E31" s="98"/>
      <c r="F31" s="98"/>
      <c r="G31" s="98"/>
      <c r="H31" s="160">
        <v>2</v>
      </c>
      <c r="I31" s="159">
        <v>6</v>
      </c>
      <c r="J31" s="160"/>
      <c r="K31" s="98"/>
      <c r="L31" s="98"/>
      <c r="M31" s="98"/>
      <c r="N31" s="98"/>
      <c r="O31" s="98"/>
      <c r="P31" s="98"/>
      <c r="T31" s="9"/>
      <c r="U31" s="9"/>
      <c r="V31" s="9"/>
      <c r="W31" s="9"/>
      <c r="X31" s="9"/>
      <c r="Y31" s="9"/>
      <c r="Z31" s="9"/>
      <c r="AA31" s="9"/>
      <c r="AB31" s="9"/>
      <c r="AC31" s="9"/>
      <c r="AD31" s="9"/>
      <c r="AE31" s="9"/>
      <c r="AF31" s="9"/>
      <c r="AG31" s="9"/>
      <c r="AH31" s="9"/>
      <c r="AI31" s="9"/>
    </row>
    <row r="32" spans="1:35" ht="15.75" x14ac:dyDescent="0.25">
      <c r="A32" s="8" t="s">
        <v>445</v>
      </c>
      <c r="D32" s="9"/>
      <c r="E32" s="109" t="s">
        <v>46</v>
      </c>
      <c r="F32" s="110">
        <v>10</v>
      </c>
      <c r="G32" s="98" t="s">
        <v>41</v>
      </c>
      <c r="H32" s="160">
        <v>3</v>
      </c>
      <c r="I32" s="163" t="s">
        <v>446</v>
      </c>
      <c r="J32" s="160"/>
      <c r="K32" s="98"/>
      <c r="L32" s="98"/>
      <c r="M32" s="98"/>
      <c r="N32" s="98"/>
      <c r="O32" s="98"/>
      <c r="P32" s="98"/>
      <c r="T32" s="9"/>
      <c r="U32" s="9"/>
      <c r="V32" s="9"/>
      <c r="W32" s="9"/>
      <c r="X32" s="9"/>
      <c r="Y32" s="9"/>
      <c r="Z32" s="9"/>
      <c r="AA32" s="9"/>
      <c r="AB32" s="9"/>
      <c r="AC32" s="9"/>
      <c r="AD32" s="9"/>
      <c r="AE32" s="9"/>
      <c r="AF32" s="9"/>
      <c r="AG32" s="9"/>
      <c r="AH32" s="9"/>
      <c r="AI32" s="9"/>
    </row>
    <row r="33" spans="1:35" ht="16.5" thickBot="1" x14ac:dyDescent="0.3">
      <c r="A33" s="111"/>
      <c r="B33" s="16" t="s">
        <v>3</v>
      </c>
      <c r="C33" s="97"/>
      <c r="D33" s="9"/>
      <c r="E33" s="109" t="s">
        <v>134</v>
      </c>
      <c r="F33" s="110">
        <v>6</v>
      </c>
      <c r="G33" s="98" t="s">
        <v>447</v>
      </c>
      <c r="H33" s="160">
        <v>4</v>
      </c>
      <c r="I33" s="163" t="s">
        <v>442</v>
      </c>
      <c r="J33" s="160"/>
      <c r="K33" s="98"/>
      <c r="L33" s="98"/>
      <c r="M33" s="98"/>
      <c r="N33" s="98"/>
      <c r="O33" s="98"/>
      <c r="P33" s="98"/>
      <c r="T33" s="9"/>
      <c r="U33" s="9"/>
      <c r="V33" s="9"/>
      <c r="W33" s="9"/>
      <c r="X33" s="9"/>
      <c r="Y33" s="9"/>
      <c r="Z33" s="9"/>
      <c r="AA33" s="9"/>
      <c r="AB33" s="9"/>
      <c r="AC33" s="9"/>
      <c r="AD33" s="9"/>
      <c r="AE33" s="9"/>
      <c r="AF33" s="9"/>
      <c r="AG33" s="9"/>
      <c r="AH33" s="9"/>
      <c r="AI33" s="9"/>
    </row>
    <row r="34" spans="1:35" ht="16.5" thickBot="1" x14ac:dyDescent="0.3">
      <c r="A34" s="15" t="s">
        <v>448</v>
      </c>
      <c r="B34" s="112">
        <v>10</v>
      </c>
      <c r="C34" s="8" t="s">
        <v>41</v>
      </c>
      <c r="D34" s="9"/>
      <c r="E34" s="158" t="s">
        <v>449</v>
      </c>
      <c r="F34" s="159" t="s">
        <v>450</v>
      </c>
      <c r="G34" s="160"/>
      <c r="H34" s="160">
        <v>5</v>
      </c>
      <c r="I34" s="163" t="s">
        <v>451</v>
      </c>
      <c r="J34" s="160"/>
      <c r="K34" s="98"/>
      <c r="L34" s="98"/>
      <c r="M34" s="98"/>
      <c r="N34" s="98"/>
      <c r="O34" s="98"/>
      <c r="P34" s="98"/>
      <c r="T34" s="9"/>
      <c r="U34" s="9"/>
      <c r="V34" s="9"/>
      <c r="W34" s="9"/>
      <c r="X34" s="9"/>
      <c r="Y34" s="9"/>
      <c r="Z34" s="9"/>
      <c r="AA34" s="9"/>
      <c r="AB34" s="9"/>
      <c r="AC34" s="9"/>
      <c r="AD34" s="9"/>
      <c r="AE34" s="9"/>
      <c r="AF34" s="9"/>
      <c r="AG34" s="9"/>
      <c r="AH34" s="9"/>
      <c r="AI34" s="9"/>
    </row>
    <row r="35" spans="1:35" ht="16.5" thickBot="1" x14ac:dyDescent="0.3">
      <c r="A35" s="15" t="s">
        <v>452</v>
      </c>
      <c r="B35" s="114">
        <v>6</v>
      </c>
      <c r="C35" s="8" t="s">
        <v>41</v>
      </c>
      <c r="D35" s="98"/>
      <c r="E35" s="158" t="s">
        <v>367</v>
      </c>
      <c r="F35" s="115">
        <f>B35/B34</f>
        <v>0.6</v>
      </c>
      <c r="G35" s="160" t="s">
        <v>453</v>
      </c>
      <c r="H35" s="160">
        <v>6</v>
      </c>
      <c r="I35" s="163" t="s">
        <v>454</v>
      </c>
      <c r="J35" s="160"/>
      <c r="K35" s="98"/>
      <c r="L35" s="98"/>
      <c r="M35" s="98"/>
      <c r="N35" s="98"/>
      <c r="O35" s="98"/>
      <c r="P35" s="98"/>
      <c r="T35" s="9"/>
      <c r="U35" s="9"/>
      <c r="V35" s="9"/>
      <c r="W35" s="9"/>
      <c r="X35" s="9"/>
      <c r="Y35" s="9"/>
      <c r="Z35" s="9"/>
      <c r="AA35" s="9"/>
      <c r="AB35" s="9"/>
      <c r="AC35" s="9"/>
      <c r="AD35" s="9"/>
      <c r="AE35" s="9"/>
      <c r="AF35" s="9"/>
      <c r="AG35" s="9"/>
      <c r="AH35" s="9"/>
      <c r="AI35" s="9"/>
    </row>
    <row r="36" spans="1:35" ht="15.75" x14ac:dyDescent="0.25">
      <c r="A36" s="101"/>
      <c r="B36" s="16" t="s">
        <v>110</v>
      </c>
      <c r="C36" s="97"/>
      <c r="D36" s="98"/>
      <c r="E36" s="158" t="s">
        <v>455</v>
      </c>
      <c r="F36" s="159" t="s">
        <v>456</v>
      </c>
      <c r="G36" s="160"/>
      <c r="H36" s="160">
        <v>7</v>
      </c>
      <c r="I36" s="159">
        <v>2</v>
      </c>
      <c r="J36" s="160"/>
      <c r="K36" s="98"/>
      <c r="L36" s="98"/>
      <c r="M36" s="98"/>
      <c r="N36" s="98"/>
      <c r="O36" s="98"/>
      <c r="P36" s="98"/>
      <c r="T36" s="9"/>
      <c r="U36" s="9"/>
      <c r="V36" s="9"/>
      <c r="W36" s="9"/>
      <c r="X36" s="9"/>
      <c r="Y36" s="9"/>
      <c r="Z36" s="9"/>
      <c r="AA36" s="9"/>
      <c r="AB36" s="9"/>
      <c r="AC36" s="9"/>
      <c r="AD36" s="9"/>
      <c r="AE36" s="9"/>
      <c r="AF36" s="9"/>
      <c r="AG36" s="9"/>
      <c r="AH36" s="9"/>
      <c r="AI36" s="9"/>
    </row>
    <row r="37" spans="1:35" ht="16.5" thickBot="1" x14ac:dyDescent="0.3">
      <c r="A37" s="15" t="s">
        <v>457</v>
      </c>
      <c r="B37" s="50" t="s">
        <v>458</v>
      </c>
      <c r="C37" s="8"/>
      <c r="D37" s="98"/>
      <c r="E37" s="161" t="s">
        <v>367</v>
      </c>
      <c r="F37" s="162">
        <f>ATAN(B35/B34)</f>
        <v>0.54041950027058416</v>
      </c>
      <c r="G37" s="160" t="s">
        <v>202</v>
      </c>
      <c r="H37" s="160">
        <v>8</v>
      </c>
      <c r="I37" s="163" t="s">
        <v>431</v>
      </c>
      <c r="J37" s="160"/>
      <c r="K37" s="98"/>
      <c r="L37" s="98"/>
      <c r="M37" s="98"/>
      <c r="N37" s="98"/>
      <c r="O37" s="98"/>
      <c r="P37" s="98"/>
      <c r="T37" s="9"/>
      <c r="U37" s="9"/>
      <c r="V37" s="9"/>
      <c r="W37" s="9"/>
      <c r="X37" s="9"/>
      <c r="Y37" s="9"/>
      <c r="Z37" s="9"/>
      <c r="AA37" s="9"/>
      <c r="AB37" s="9"/>
      <c r="AC37" s="9"/>
      <c r="AD37" s="9"/>
      <c r="AE37" s="9"/>
      <c r="AF37" s="9"/>
      <c r="AG37" s="9"/>
      <c r="AH37" s="9"/>
      <c r="AI37" s="9"/>
    </row>
    <row r="38" spans="1:35" ht="16.5" thickBot="1" x14ac:dyDescent="0.3">
      <c r="A38" s="116" t="s">
        <v>367</v>
      </c>
      <c r="B38" s="117">
        <f>( B34^2 + B35^2 )^(1/2)</f>
        <v>11.661903789690601</v>
      </c>
      <c r="C38" s="8" t="s">
        <v>41</v>
      </c>
      <c r="D38" s="98"/>
      <c r="E38" s="158" t="s">
        <v>459</v>
      </c>
      <c r="F38" s="163" t="s">
        <v>460</v>
      </c>
      <c r="G38" s="163"/>
      <c r="H38" s="160">
        <v>9</v>
      </c>
      <c r="I38" s="164">
        <v>10</v>
      </c>
      <c r="J38" s="160"/>
      <c r="K38" s="98"/>
      <c r="L38" s="98"/>
      <c r="M38" s="98"/>
      <c r="N38" s="98"/>
      <c r="O38" s="98"/>
      <c r="P38" s="98"/>
      <c r="T38" s="9"/>
      <c r="U38" s="9"/>
      <c r="V38" s="9"/>
      <c r="W38" s="9"/>
      <c r="X38" s="9"/>
      <c r="Y38" s="9"/>
      <c r="Z38" s="9"/>
      <c r="AA38" s="9"/>
      <c r="AB38" s="9"/>
      <c r="AC38" s="9"/>
      <c r="AD38" s="9"/>
      <c r="AE38" s="9"/>
      <c r="AF38" s="9"/>
      <c r="AG38" s="9"/>
      <c r="AH38" s="9"/>
      <c r="AI38" s="9"/>
    </row>
    <row r="39" spans="1:35" ht="16.5" thickBot="1" x14ac:dyDescent="0.3">
      <c r="A39" s="15" t="s">
        <v>461</v>
      </c>
      <c r="B39" s="8" t="s">
        <v>462</v>
      </c>
      <c r="C39" s="8"/>
      <c r="D39" s="98"/>
      <c r="E39" s="158" t="s">
        <v>455</v>
      </c>
      <c r="F39" s="164" t="s">
        <v>463</v>
      </c>
      <c r="G39" s="160"/>
      <c r="H39" s="160">
        <v>10</v>
      </c>
      <c r="I39" s="164">
        <v>6</v>
      </c>
      <c r="J39" s="160"/>
      <c r="K39" s="98"/>
      <c r="L39" s="98"/>
      <c r="M39" s="98"/>
      <c r="N39" s="98"/>
      <c r="O39" s="98"/>
      <c r="P39" s="98"/>
      <c r="T39" s="9"/>
      <c r="U39" s="9"/>
      <c r="V39" s="9"/>
      <c r="W39" s="9"/>
      <c r="X39" s="9"/>
      <c r="Y39" s="9"/>
      <c r="Z39" s="9"/>
      <c r="AA39" s="9"/>
      <c r="AB39" s="9"/>
      <c r="AC39" s="9"/>
      <c r="AD39" s="9"/>
      <c r="AE39" s="9"/>
      <c r="AF39" s="9"/>
      <c r="AG39" s="9"/>
      <c r="AH39" s="9"/>
      <c r="AI39" s="9"/>
    </row>
    <row r="40" spans="1:35" ht="16.5" thickBot="1" x14ac:dyDescent="0.3">
      <c r="A40" s="15" t="s">
        <v>367</v>
      </c>
      <c r="B40" s="118">
        <f>57.3 * ATAN(B35 / B34)</f>
        <v>30.966037365504469</v>
      </c>
      <c r="C40" s="8" t="s">
        <v>15</v>
      </c>
      <c r="D40" s="98"/>
      <c r="E40" s="161" t="s">
        <v>367</v>
      </c>
      <c r="F40" s="164">
        <f>57.3*F37</f>
        <v>30.966037365504469</v>
      </c>
      <c r="G40" s="160" t="s">
        <v>203</v>
      </c>
      <c r="H40" s="98"/>
      <c r="I40" s="98"/>
      <c r="J40" s="98"/>
      <c r="K40" s="98"/>
      <c r="L40" s="98"/>
      <c r="M40" s="98"/>
      <c r="N40" s="98"/>
      <c r="O40" s="98"/>
      <c r="P40" s="98"/>
      <c r="T40" s="9"/>
      <c r="U40" s="9"/>
      <c r="V40" s="9"/>
      <c r="W40" s="9"/>
      <c r="X40" s="9"/>
      <c r="Y40" s="9"/>
      <c r="Z40" s="9"/>
      <c r="AA40" s="9"/>
      <c r="AB40" s="9"/>
      <c r="AC40" s="9"/>
      <c r="AD40" s="9"/>
      <c r="AE40" s="9"/>
      <c r="AF40" s="9"/>
      <c r="AG40" s="9"/>
      <c r="AH40" s="9"/>
      <c r="AI40" s="9"/>
    </row>
    <row r="41" spans="1:35" x14ac:dyDescent="0.2">
      <c r="A41" s="97"/>
      <c r="B41" s="97"/>
      <c r="C41" s="97"/>
      <c r="D41" s="98"/>
      <c r="E41" s="98"/>
      <c r="F41" s="98"/>
      <c r="G41" s="98"/>
      <c r="H41" s="98"/>
      <c r="I41" s="98"/>
      <c r="J41" s="98"/>
      <c r="K41" s="98"/>
      <c r="L41" s="98"/>
      <c r="M41" s="98"/>
      <c r="N41" s="98"/>
      <c r="O41" s="98"/>
      <c r="P41" s="98"/>
      <c r="T41" s="9"/>
      <c r="U41" s="9"/>
      <c r="V41" s="9"/>
      <c r="W41" s="9"/>
      <c r="X41" s="9"/>
      <c r="Y41" s="9"/>
      <c r="Z41" s="9"/>
      <c r="AA41" s="9"/>
      <c r="AB41" s="9"/>
      <c r="AC41" s="9"/>
      <c r="AD41" s="9"/>
      <c r="AE41" s="9"/>
      <c r="AF41" s="9"/>
      <c r="AG41" s="9"/>
      <c r="AH41" s="9"/>
      <c r="AI41" s="9"/>
    </row>
    <row r="42" spans="1:35" ht="15.75" x14ac:dyDescent="0.25">
      <c r="A42" s="8" t="s">
        <v>464</v>
      </c>
      <c r="B42" s="97"/>
      <c r="C42" s="101"/>
      <c r="D42" s="98"/>
      <c r="E42" s="98"/>
      <c r="F42" s="98"/>
      <c r="G42" s="98"/>
      <c r="H42" s="98"/>
      <c r="I42" s="98"/>
      <c r="J42" s="98"/>
      <c r="K42" s="98"/>
      <c r="L42" s="98"/>
      <c r="M42" s="98"/>
      <c r="N42" s="98"/>
      <c r="O42" s="98"/>
      <c r="P42" s="98"/>
      <c r="T42" s="9"/>
      <c r="U42" s="9"/>
      <c r="V42" s="9"/>
      <c r="W42" s="9"/>
      <c r="X42" s="9"/>
      <c r="Y42" s="9"/>
      <c r="Z42" s="9"/>
      <c r="AA42" s="9"/>
      <c r="AB42" s="9"/>
      <c r="AC42" s="9"/>
      <c r="AD42" s="9"/>
      <c r="AE42" s="9"/>
      <c r="AF42" s="9"/>
      <c r="AG42" s="9"/>
      <c r="AH42" s="9"/>
      <c r="AI42" s="9"/>
    </row>
    <row r="43" spans="1:35" ht="15.75" x14ac:dyDescent="0.25">
      <c r="A43" s="113" t="s">
        <v>465</v>
      </c>
      <c r="B43" s="97"/>
      <c r="C43" s="101"/>
      <c r="D43" s="104"/>
      <c r="E43" s="98"/>
      <c r="F43" s="98"/>
      <c r="G43" s="98"/>
      <c r="H43" s="98"/>
      <c r="I43" s="98"/>
      <c r="J43" s="98"/>
      <c r="K43" s="98"/>
      <c r="L43" s="98"/>
      <c r="M43" s="98"/>
      <c r="N43" s="98"/>
      <c r="O43" s="98"/>
      <c r="P43" s="98"/>
      <c r="T43" s="9"/>
      <c r="U43" s="9"/>
      <c r="V43" s="9"/>
      <c r="W43" s="9"/>
      <c r="X43" s="9"/>
      <c r="Y43" s="9"/>
      <c r="Z43" s="9"/>
      <c r="AA43" s="9"/>
      <c r="AB43" s="9"/>
      <c r="AC43" s="9"/>
      <c r="AD43" s="9"/>
      <c r="AE43" s="9"/>
      <c r="AF43" s="9"/>
      <c r="AG43" s="9"/>
      <c r="AH43" s="9"/>
      <c r="AI43" s="9"/>
    </row>
    <row r="44" spans="1:35" ht="15.75" x14ac:dyDescent="0.25">
      <c r="A44" s="113" t="s">
        <v>466</v>
      </c>
      <c r="B44" s="97"/>
      <c r="C44" s="101"/>
      <c r="D44" s="98"/>
      <c r="E44" s="98"/>
      <c r="F44" s="98"/>
      <c r="G44" s="98"/>
      <c r="H44" s="98"/>
      <c r="I44" s="98"/>
      <c r="J44" s="98"/>
      <c r="K44" s="98"/>
      <c r="L44" s="98"/>
      <c r="M44" s="98"/>
      <c r="N44" s="98"/>
      <c r="O44" s="98"/>
      <c r="P44" s="98"/>
      <c r="T44" s="9"/>
      <c r="U44" s="9"/>
      <c r="V44" s="9"/>
      <c r="W44" s="9"/>
      <c r="X44" s="9"/>
      <c r="Y44" s="9"/>
      <c r="Z44" s="9"/>
      <c r="AA44" s="9"/>
      <c r="AB44" s="9"/>
      <c r="AC44" s="9"/>
      <c r="AD44" s="9"/>
      <c r="AE44" s="9"/>
      <c r="AF44" s="9"/>
      <c r="AG44" s="9"/>
      <c r="AH44" s="9"/>
      <c r="AI44" s="9"/>
    </row>
    <row r="45" spans="1:35" ht="15.75" x14ac:dyDescent="0.25">
      <c r="A45" s="113" t="s">
        <v>467</v>
      </c>
      <c r="B45" s="97"/>
      <c r="C45" s="101"/>
      <c r="D45" s="98"/>
      <c r="E45" s="98"/>
      <c r="F45" s="98"/>
      <c r="G45" s="98"/>
      <c r="H45" s="98"/>
      <c r="I45" s="98"/>
      <c r="J45" s="98"/>
      <c r="K45" s="98"/>
      <c r="L45" s="98"/>
      <c r="M45" s="98"/>
      <c r="N45" s="98"/>
      <c r="O45" s="98"/>
      <c r="P45" s="98"/>
      <c r="T45" s="9"/>
      <c r="U45" s="9"/>
      <c r="V45" s="9"/>
      <c r="W45" s="9"/>
      <c r="X45" s="9"/>
      <c r="Y45" s="9"/>
      <c r="Z45" s="9"/>
      <c r="AA45" s="9"/>
      <c r="AB45" s="9"/>
      <c r="AC45" s="9"/>
      <c r="AD45" s="9"/>
      <c r="AE45" s="9"/>
      <c r="AF45" s="9"/>
      <c r="AG45" s="9"/>
      <c r="AH45" s="9"/>
      <c r="AI45" s="9"/>
    </row>
    <row r="46" spans="1:35" ht="15.75" x14ac:dyDescent="0.25">
      <c r="A46" s="113" t="s">
        <v>468</v>
      </c>
      <c r="B46" s="97"/>
      <c r="C46" s="119"/>
      <c r="D46" s="98"/>
      <c r="E46" s="98"/>
      <c r="F46" s="109"/>
      <c r="G46" s="108"/>
      <c r="H46" s="98"/>
      <c r="I46" s="98"/>
      <c r="J46" s="98"/>
      <c r="K46" s="98"/>
      <c r="L46" s="98"/>
      <c r="M46" s="98"/>
      <c r="N46" s="98"/>
      <c r="O46" s="98"/>
      <c r="P46" s="98"/>
      <c r="T46" s="9"/>
      <c r="U46" s="9"/>
      <c r="V46" s="9"/>
      <c r="W46" s="9"/>
      <c r="X46" s="9"/>
      <c r="Y46" s="9"/>
      <c r="Z46" s="9"/>
      <c r="AA46" s="9"/>
      <c r="AB46" s="9"/>
      <c r="AC46" s="9"/>
      <c r="AD46" s="9"/>
      <c r="AE46" s="9"/>
      <c r="AF46" s="9"/>
      <c r="AG46" s="9"/>
      <c r="AH46" s="9"/>
      <c r="AI46" s="9"/>
    </row>
    <row r="47" spans="1:35" ht="15.75" x14ac:dyDescent="0.25">
      <c r="A47" s="97"/>
      <c r="B47" s="97"/>
      <c r="C47" s="97"/>
      <c r="D47" s="98"/>
      <c r="E47" s="98"/>
      <c r="F47" s="109"/>
      <c r="G47" s="108"/>
      <c r="H47" s="98"/>
      <c r="I47" s="98"/>
      <c r="J47" s="98"/>
      <c r="K47" s="98"/>
      <c r="L47" s="98"/>
      <c r="M47" s="98"/>
      <c r="N47" s="98"/>
      <c r="O47" s="98"/>
      <c r="P47" s="98"/>
      <c r="T47" s="9"/>
      <c r="U47" s="9"/>
      <c r="V47" s="9"/>
      <c r="W47" s="9"/>
      <c r="X47" s="9"/>
      <c r="Y47" s="9"/>
      <c r="Z47" s="9"/>
      <c r="AA47" s="9"/>
      <c r="AB47" s="9"/>
      <c r="AC47" s="9"/>
      <c r="AD47" s="9"/>
      <c r="AE47" s="9"/>
      <c r="AF47" s="9"/>
      <c r="AG47" s="9"/>
      <c r="AH47" s="9"/>
      <c r="AI47" s="9"/>
    </row>
    <row r="48" spans="1:35" ht="15.75" x14ac:dyDescent="0.25">
      <c r="A48" s="97"/>
      <c r="B48" s="97"/>
      <c r="C48" s="101"/>
      <c r="D48" s="120"/>
      <c r="E48" s="121"/>
      <c r="F48" s="103"/>
      <c r="G48" s="108"/>
      <c r="H48" s="98"/>
      <c r="I48" s="98"/>
      <c r="J48" s="98"/>
      <c r="K48" s="98"/>
      <c r="L48" s="98"/>
      <c r="M48" s="98"/>
      <c r="N48" s="98"/>
      <c r="O48" s="98"/>
      <c r="P48" s="98"/>
      <c r="T48" s="9"/>
      <c r="U48" s="9"/>
      <c r="V48" s="9"/>
      <c r="W48" s="9"/>
      <c r="X48" s="9"/>
      <c r="Y48" s="9"/>
      <c r="Z48" s="9"/>
      <c r="AA48" s="9"/>
      <c r="AB48" s="9"/>
      <c r="AC48" s="9"/>
      <c r="AD48" s="9"/>
      <c r="AE48" s="9"/>
      <c r="AF48" s="9"/>
      <c r="AG48" s="9"/>
      <c r="AH48" s="9"/>
      <c r="AI48" s="9"/>
    </row>
    <row r="49" spans="1:35" x14ac:dyDescent="0.2">
      <c r="A49" s="97"/>
      <c r="B49" s="97"/>
      <c r="C49" s="97"/>
      <c r="D49" s="98"/>
      <c r="E49" s="98"/>
      <c r="F49" s="98"/>
      <c r="G49" s="98"/>
      <c r="H49" s="98"/>
      <c r="I49" s="98"/>
      <c r="J49" s="98"/>
      <c r="K49" s="98"/>
      <c r="L49" s="98"/>
      <c r="M49" s="98"/>
      <c r="N49" s="98"/>
      <c r="O49" s="98"/>
      <c r="P49" s="98"/>
      <c r="T49" s="9"/>
      <c r="U49" s="9"/>
      <c r="V49" s="9"/>
      <c r="W49" s="9"/>
      <c r="X49" s="9"/>
      <c r="Y49" s="9"/>
      <c r="Z49" s="9"/>
      <c r="AA49" s="9"/>
      <c r="AB49" s="9"/>
      <c r="AC49" s="9"/>
      <c r="AD49" s="9"/>
      <c r="AE49" s="9"/>
      <c r="AF49" s="9"/>
      <c r="AG49" s="9"/>
      <c r="AH49" s="9"/>
      <c r="AI49" s="9"/>
    </row>
    <row r="50" spans="1:35" x14ac:dyDescent="0.2">
      <c r="A50" s="97"/>
      <c r="B50" s="97"/>
      <c r="C50" s="97"/>
      <c r="D50" s="98"/>
      <c r="E50" s="98"/>
      <c r="F50" s="98"/>
      <c r="G50" s="98"/>
      <c r="H50" s="98"/>
      <c r="I50" s="98"/>
      <c r="J50" s="98"/>
      <c r="K50" s="98"/>
      <c r="L50" s="98"/>
      <c r="M50" s="98"/>
      <c r="N50" s="98"/>
      <c r="O50" s="98"/>
      <c r="P50" s="98"/>
      <c r="T50" s="9"/>
      <c r="U50" s="9"/>
      <c r="V50" s="9"/>
      <c r="W50" s="9"/>
      <c r="X50" s="9"/>
      <c r="Y50" s="9"/>
      <c r="Z50" s="9"/>
      <c r="AA50" s="9"/>
      <c r="AB50" s="9"/>
      <c r="AC50" s="9"/>
      <c r="AD50" s="9"/>
      <c r="AE50" s="9"/>
      <c r="AF50" s="9"/>
      <c r="AG50" s="9"/>
      <c r="AH50" s="9"/>
      <c r="AI50" s="9"/>
    </row>
    <row r="51" spans="1:35" x14ac:dyDescent="0.2">
      <c r="A51" s="97"/>
      <c r="B51" s="97"/>
      <c r="C51" s="97"/>
      <c r="D51" s="98"/>
      <c r="E51" s="98"/>
      <c r="F51" s="98"/>
      <c r="G51" s="98"/>
      <c r="H51" s="98"/>
      <c r="I51" s="98"/>
      <c r="J51" s="98"/>
      <c r="K51" s="98"/>
      <c r="L51" s="98"/>
      <c r="M51" s="98"/>
      <c r="N51" s="98"/>
      <c r="O51" s="98"/>
      <c r="P51" s="98"/>
      <c r="T51" s="9"/>
      <c r="U51" s="9"/>
      <c r="V51" s="9"/>
      <c r="W51" s="9"/>
      <c r="X51" s="9"/>
      <c r="Y51" s="9"/>
      <c r="Z51" s="9"/>
      <c r="AA51" s="9"/>
      <c r="AB51" s="9"/>
      <c r="AC51" s="9"/>
      <c r="AD51" s="9"/>
      <c r="AE51" s="9"/>
      <c r="AF51" s="9"/>
      <c r="AG51" s="9"/>
      <c r="AH51" s="9"/>
      <c r="AI51" s="9"/>
    </row>
    <row r="52" spans="1:35" x14ac:dyDescent="0.2">
      <c r="A52" s="97"/>
      <c r="B52" s="97"/>
      <c r="C52" s="97"/>
      <c r="D52" s="98"/>
      <c r="E52" s="98"/>
      <c r="F52" s="98"/>
      <c r="G52" s="98"/>
      <c r="H52" s="98"/>
      <c r="I52" s="98"/>
      <c r="J52" s="98"/>
      <c r="K52" s="98"/>
      <c r="L52" s="98"/>
      <c r="M52" s="98"/>
      <c r="N52" s="98"/>
      <c r="O52" s="98"/>
      <c r="P52" s="98"/>
      <c r="T52" s="9"/>
      <c r="U52" s="9"/>
      <c r="V52" s="9"/>
      <c r="W52" s="9"/>
      <c r="X52" s="9"/>
      <c r="Y52" s="9"/>
      <c r="Z52" s="9"/>
      <c r="AA52" s="9"/>
      <c r="AB52" s="9"/>
      <c r="AC52" s="9"/>
      <c r="AD52" s="9"/>
      <c r="AE52" s="9"/>
      <c r="AF52" s="9"/>
      <c r="AG52" s="9"/>
      <c r="AH52" s="9"/>
      <c r="AI52" s="9"/>
    </row>
    <row r="53" spans="1:35" x14ac:dyDescent="0.2">
      <c r="A53" s="97"/>
      <c r="B53" s="97"/>
      <c r="C53" s="97"/>
      <c r="D53" s="98"/>
      <c r="E53" s="98"/>
      <c r="F53" s="98"/>
      <c r="G53" s="98"/>
      <c r="H53" s="98"/>
      <c r="I53" s="98"/>
      <c r="J53" s="98"/>
      <c r="K53" s="98"/>
      <c r="L53" s="98"/>
      <c r="M53" s="98"/>
      <c r="N53" s="98"/>
      <c r="O53" s="98"/>
      <c r="P53" s="98"/>
      <c r="T53" s="9"/>
      <c r="U53" s="9"/>
      <c r="V53" s="9"/>
      <c r="W53" s="9"/>
      <c r="X53" s="9"/>
      <c r="Y53" s="9"/>
      <c r="Z53" s="9"/>
      <c r="AA53" s="9"/>
      <c r="AB53" s="9"/>
      <c r="AC53" s="9"/>
      <c r="AD53" s="9"/>
      <c r="AE53" s="9"/>
      <c r="AF53" s="9"/>
      <c r="AG53" s="9"/>
      <c r="AH53" s="9"/>
      <c r="AI53" s="9"/>
    </row>
    <row r="54" spans="1:35" x14ac:dyDescent="0.2">
      <c r="A54" s="97"/>
      <c r="B54" s="97"/>
      <c r="C54" s="97"/>
      <c r="D54" s="98"/>
      <c r="E54" s="98"/>
      <c r="F54" s="98"/>
      <c r="G54" s="98"/>
      <c r="H54" s="98"/>
      <c r="I54" s="98"/>
      <c r="J54" s="98"/>
      <c r="K54" s="98"/>
      <c r="L54" s="98"/>
      <c r="M54" s="98"/>
      <c r="N54" s="98"/>
      <c r="O54" s="98"/>
      <c r="P54" s="98"/>
      <c r="T54" s="9"/>
      <c r="U54" s="9"/>
      <c r="V54" s="9"/>
      <c r="W54" s="9"/>
      <c r="X54" s="9"/>
      <c r="Y54" s="9"/>
      <c r="Z54" s="9"/>
      <c r="AA54" s="9"/>
      <c r="AB54" s="9"/>
      <c r="AC54" s="9"/>
      <c r="AD54" s="9"/>
      <c r="AE54" s="9"/>
      <c r="AF54" s="9"/>
      <c r="AG54" s="9"/>
      <c r="AH54" s="9"/>
      <c r="AI54" s="9"/>
    </row>
    <row r="55" spans="1:35" x14ac:dyDescent="0.2">
      <c r="A55" s="97"/>
      <c r="B55" s="97"/>
      <c r="C55" s="101"/>
      <c r="D55" s="98"/>
      <c r="E55" s="98"/>
      <c r="F55" s="98"/>
      <c r="G55" s="98"/>
      <c r="H55" s="98"/>
      <c r="I55" s="98"/>
      <c r="J55" s="98"/>
      <c r="K55" s="98"/>
      <c r="L55" s="98"/>
      <c r="M55" s="98"/>
      <c r="N55" s="98"/>
      <c r="O55" s="98"/>
      <c r="P55" s="98"/>
      <c r="T55" s="9"/>
      <c r="U55" s="9"/>
      <c r="V55" s="9"/>
      <c r="W55" s="9"/>
      <c r="X55" s="9"/>
      <c r="Y55" s="9"/>
      <c r="Z55" s="9"/>
      <c r="AA55" s="9"/>
      <c r="AB55" s="9"/>
      <c r="AC55" s="9"/>
      <c r="AD55" s="9"/>
      <c r="AE55" s="9"/>
      <c r="AF55" s="9"/>
      <c r="AG55" s="9"/>
      <c r="AH55" s="9"/>
      <c r="AI55" s="9"/>
    </row>
    <row r="56" spans="1:35" x14ac:dyDescent="0.2">
      <c r="T56" s="9"/>
      <c r="U56" s="9"/>
      <c r="V56" s="9"/>
      <c r="W56" s="9"/>
      <c r="X56" s="9"/>
      <c r="Y56" s="9"/>
      <c r="Z56" s="9"/>
      <c r="AA56" s="9"/>
      <c r="AB56" s="9"/>
      <c r="AC56" s="9"/>
      <c r="AD56" s="9"/>
      <c r="AE56" s="9"/>
      <c r="AF56" s="9"/>
      <c r="AG56" s="9"/>
      <c r="AH56" s="9"/>
      <c r="AI56" s="9"/>
    </row>
    <row r="57" spans="1:35" x14ac:dyDescent="0.2">
      <c r="T57" s="9"/>
      <c r="U57" s="9"/>
      <c r="V57" s="9"/>
      <c r="W57" s="9"/>
      <c r="X57" s="9"/>
      <c r="Y57" s="9"/>
      <c r="Z57" s="9"/>
      <c r="AA57" s="9"/>
      <c r="AB57" s="9"/>
      <c r="AC57" s="9"/>
      <c r="AD57" s="9"/>
      <c r="AE57" s="9"/>
      <c r="AF57" s="9"/>
      <c r="AG57" s="9"/>
      <c r="AH57" s="9"/>
      <c r="AI57" s="9"/>
    </row>
    <row r="58" spans="1:35" x14ac:dyDescent="0.2">
      <c r="B58" s="7" t="s">
        <v>418</v>
      </c>
      <c r="T58" s="9"/>
      <c r="U58" s="9"/>
      <c r="V58" s="9"/>
      <c r="W58" s="9"/>
      <c r="X58" s="9"/>
      <c r="Y58" s="9"/>
      <c r="Z58" s="9"/>
      <c r="AA58" s="9"/>
      <c r="AB58" s="9"/>
      <c r="AC58" s="9"/>
      <c r="AD58" s="9"/>
      <c r="AE58" s="9"/>
      <c r="AF58" s="9"/>
      <c r="AG58" s="9"/>
      <c r="AH58" s="9"/>
      <c r="AI58" s="9"/>
    </row>
    <row r="59" spans="1:35" x14ac:dyDescent="0.2">
      <c r="T59" s="9"/>
      <c r="U59" s="9"/>
      <c r="V59" s="9"/>
      <c r="W59" s="9"/>
      <c r="X59" s="9"/>
      <c r="Y59" s="9"/>
      <c r="Z59" s="9"/>
      <c r="AA59" s="9"/>
      <c r="AB59" s="9"/>
      <c r="AC59" s="9"/>
      <c r="AD59" s="9"/>
      <c r="AE59" s="9"/>
      <c r="AF59" s="9"/>
      <c r="AG59" s="9"/>
      <c r="AH59" s="9"/>
      <c r="AI59" s="9"/>
    </row>
    <row r="60" spans="1:35" x14ac:dyDescent="0.2">
      <c r="T60" s="9"/>
      <c r="U60" s="9"/>
      <c r="V60" s="9"/>
      <c r="W60" s="9"/>
      <c r="X60" s="9"/>
      <c r="Y60" s="9"/>
      <c r="Z60" s="9"/>
      <c r="AA60" s="9"/>
      <c r="AB60" s="9"/>
      <c r="AC60" s="9"/>
      <c r="AD60" s="9"/>
      <c r="AE60" s="9"/>
      <c r="AF60" s="9"/>
      <c r="AG60" s="9"/>
      <c r="AH60" s="9"/>
      <c r="AI60" s="9"/>
    </row>
    <row r="61" spans="1:35" x14ac:dyDescent="0.2">
      <c r="T61" s="9"/>
      <c r="U61" s="9"/>
      <c r="V61" s="9"/>
      <c r="W61" s="9"/>
      <c r="X61" s="9"/>
      <c r="Y61" s="9"/>
      <c r="Z61" s="9"/>
      <c r="AA61" s="9"/>
      <c r="AB61" s="9"/>
      <c r="AC61" s="9"/>
      <c r="AD61" s="9"/>
      <c r="AE61" s="9"/>
      <c r="AF61" s="9"/>
      <c r="AG61" s="9"/>
      <c r="AH61" s="9"/>
      <c r="AI61" s="9"/>
    </row>
    <row r="62" spans="1:35" x14ac:dyDescent="0.2">
      <c r="T62" s="9"/>
      <c r="U62" s="9"/>
      <c r="V62" s="9"/>
      <c r="W62" s="9"/>
      <c r="X62" s="9"/>
      <c r="Y62" s="9"/>
      <c r="Z62" s="9"/>
      <c r="AA62" s="9"/>
      <c r="AB62" s="9"/>
      <c r="AC62" s="9"/>
      <c r="AD62" s="9"/>
      <c r="AE62" s="9"/>
      <c r="AF62" s="9"/>
      <c r="AG62" s="9"/>
      <c r="AH62" s="9"/>
      <c r="AI62" s="9"/>
    </row>
    <row r="63" spans="1:35" x14ac:dyDescent="0.2">
      <c r="T63" s="9"/>
      <c r="U63" s="9"/>
      <c r="V63" s="9"/>
      <c r="W63" s="9"/>
      <c r="X63" s="9"/>
      <c r="Y63" s="9"/>
      <c r="Z63" s="9"/>
      <c r="AA63" s="9"/>
      <c r="AB63" s="9"/>
      <c r="AC63" s="9"/>
      <c r="AD63" s="9"/>
      <c r="AE63" s="9"/>
      <c r="AF63" s="9"/>
      <c r="AG63" s="9"/>
      <c r="AH63" s="9"/>
      <c r="AI63" s="9"/>
    </row>
    <row r="64" spans="1:35" x14ac:dyDescent="0.2">
      <c r="T64" s="9"/>
      <c r="U64" s="9"/>
      <c r="V64" s="9"/>
      <c r="W64" s="9"/>
      <c r="X64" s="9"/>
      <c r="Y64" s="9"/>
      <c r="Z64" s="9"/>
      <c r="AA64" s="9"/>
      <c r="AB64" s="9"/>
      <c r="AC64" s="9"/>
      <c r="AD64" s="9"/>
      <c r="AE64" s="9"/>
      <c r="AF64" s="9"/>
      <c r="AG64" s="9"/>
      <c r="AH64" s="9"/>
      <c r="AI64" s="9"/>
    </row>
    <row r="65" spans="20:35" x14ac:dyDescent="0.2">
      <c r="T65" s="9"/>
      <c r="U65" s="9"/>
      <c r="V65" s="9"/>
      <c r="W65" s="9"/>
      <c r="X65" s="9"/>
      <c r="Y65" s="9"/>
      <c r="Z65" s="9"/>
      <c r="AA65" s="9"/>
      <c r="AB65" s="9"/>
      <c r="AC65" s="9"/>
      <c r="AD65" s="9"/>
      <c r="AE65" s="9"/>
      <c r="AF65" s="9"/>
      <c r="AG65" s="9"/>
      <c r="AH65" s="9"/>
      <c r="AI65" s="9"/>
    </row>
    <row r="66" spans="20:35" x14ac:dyDescent="0.2">
      <c r="T66" s="9"/>
      <c r="U66" s="9"/>
      <c r="V66" s="9"/>
      <c r="W66" s="9"/>
      <c r="X66" s="9"/>
      <c r="Y66" s="9"/>
      <c r="Z66" s="9"/>
      <c r="AA66" s="9"/>
      <c r="AB66" s="9"/>
      <c r="AC66" s="9"/>
      <c r="AD66" s="9"/>
      <c r="AE66" s="9"/>
      <c r="AF66" s="9"/>
      <c r="AG66" s="9"/>
      <c r="AH66" s="9"/>
      <c r="AI66" s="9"/>
    </row>
    <row r="81" spans="1:5" ht="15.75" x14ac:dyDescent="0.25">
      <c r="A81" s="50"/>
    </row>
    <row r="91" spans="1:5" ht="15.75" x14ac:dyDescent="0.25">
      <c r="A91" s="8"/>
    </row>
    <row r="92" spans="1:5" x14ac:dyDescent="0.2">
      <c r="A92" s="13"/>
    </row>
    <row r="94" spans="1:5" x14ac:dyDescent="0.2">
      <c r="A94" s="14"/>
    </row>
    <row r="96" spans="1:5" ht="15.75" x14ac:dyDescent="0.25">
      <c r="E96" s="23"/>
    </row>
    <row r="97" spans="1:3" x14ac:dyDescent="0.2">
      <c r="A97" s="13"/>
    </row>
    <row r="99" spans="1:3" x14ac:dyDescent="0.2">
      <c r="A99" s="13"/>
    </row>
    <row r="100" spans="1:3" ht="15.75" x14ac:dyDescent="0.25">
      <c r="A100" s="50"/>
    </row>
    <row r="101" spans="1:3" x14ac:dyDescent="0.2">
      <c r="A101" s="13"/>
    </row>
    <row r="102" spans="1:3" x14ac:dyDescent="0.2">
      <c r="A102" s="13"/>
    </row>
    <row r="103" spans="1:3" x14ac:dyDescent="0.2">
      <c r="A103" s="13"/>
    </row>
    <row r="104" spans="1:3" x14ac:dyDescent="0.2">
      <c r="A104" s="13"/>
      <c r="B104" s="91"/>
    </row>
    <row r="105" spans="1:3" x14ac:dyDescent="0.2">
      <c r="A105" s="13"/>
      <c r="B105" s="91"/>
    </row>
    <row r="106" spans="1:3" x14ac:dyDescent="0.2">
      <c r="A106" s="13"/>
    </row>
    <row r="107" spans="1:3" ht="15.75" x14ac:dyDescent="0.25">
      <c r="A107" s="13"/>
      <c r="B107" s="16"/>
    </row>
    <row r="108" spans="1:3" x14ac:dyDescent="0.2">
      <c r="A108" s="13"/>
      <c r="B108" s="44"/>
    </row>
    <row r="109" spans="1:3" x14ac:dyDescent="0.2">
      <c r="A109" s="13"/>
      <c r="B109" s="44"/>
    </row>
    <row r="110" spans="1:3" x14ac:dyDescent="0.2">
      <c r="A110" s="13"/>
      <c r="B110" s="88"/>
    </row>
    <row r="111" spans="1:3" x14ac:dyDescent="0.2">
      <c r="A111" s="13"/>
      <c r="B111" s="88"/>
    </row>
    <row r="112" spans="1:3" ht="15.75" x14ac:dyDescent="0.25">
      <c r="A112" s="15"/>
      <c r="B112" s="92"/>
      <c r="C112" s="8"/>
    </row>
    <row r="113" spans="1:3" x14ac:dyDescent="0.2">
      <c r="A113" s="13"/>
      <c r="B113" s="14"/>
    </row>
    <row r="114" spans="1:3" ht="15.75" x14ac:dyDescent="0.25">
      <c r="A114" s="15"/>
      <c r="B114" s="50"/>
      <c r="C114" s="8"/>
    </row>
    <row r="115" spans="1:3" ht="15.75" x14ac:dyDescent="0.25">
      <c r="A115" s="13"/>
      <c r="B115" s="16"/>
    </row>
    <row r="116" spans="1:3" x14ac:dyDescent="0.2">
      <c r="A116" s="13"/>
      <c r="B116" s="14"/>
    </row>
    <row r="117" spans="1:3" x14ac:dyDescent="0.2">
      <c r="A117" s="13"/>
      <c r="B117" s="89"/>
    </row>
    <row r="118" spans="1:3" x14ac:dyDescent="0.2">
      <c r="A118" s="13"/>
      <c r="B118" s="44"/>
    </row>
    <row r="119" spans="1:3" x14ac:dyDescent="0.2">
      <c r="A119" s="13"/>
      <c r="B119" s="44"/>
    </row>
    <row r="120" spans="1:3" x14ac:dyDescent="0.2">
      <c r="A120" s="13"/>
      <c r="B120" s="87"/>
    </row>
    <row r="121" spans="1:3" x14ac:dyDescent="0.2">
      <c r="A121" s="13"/>
    </row>
    <row r="122" spans="1:3" ht="15.75" x14ac:dyDescent="0.25">
      <c r="A122" s="50"/>
      <c r="B122" s="86"/>
    </row>
    <row r="123" spans="1:3" x14ac:dyDescent="0.2">
      <c r="A123" s="13"/>
    </row>
    <row r="124" spans="1:3" x14ac:dyDescent="0.2">
      <c r="A124" s="13"/>
      <c r="B124" s="25"/>
    </row>
    <row r="125" spans="1:3" x14ac:dyDescent="0.2">
      <c r="A125" s="13"/>
      <c r="B125" s="93"/>
    </row>
    <row r="126" spans="1:3" ht="15.75" x14ac:dyDescent="0.25">
      <c r="A126" s="15"/>
      <c r="B126" s="92"/>
      <c r="C126" s="8"/>
    </row>
    <row r="127" spans="1:3" ht="15.75" x14ac:dyDescent="0.25">
      <c r="A127" s="50"/>
    </row>
    <row r="128" spans="1:3" ht="15.75" x14ac:dyDescent="0.25">
      <c r="A128" s="15"/>
      <c r="B128" s="94"/>
      <c r="C128" s="8"/>
    </row>
    <row r="129" spans="1:3" ht="15.75" x14ac:dyDescent="0.25">
      <c r="A129" s="15"/>
      <c r="B129" s="94"/>
      <c r="C129" s="8"/>
    </row>
    <row r="130" spans="1:3" ht="15.75" x14ac:dyDescent="0.25">
      <c r="A130" s="15"/>
      <c r="B130" s="94"/>
      <c r="C130" s="8"/>
    </row>
    <row r="131" spans="1:3" ht="15.75" x14ac:dyDescent="0.25">
      <c r="A131" s="15"/>
      <c r="B131" s="94"/>
      <c r="C131" s="8"/>
    </row>
    <row r="147" spans="1:5" ht="15.75" x14ac:dyDescent="0.25">
      <c r="E147" s="23"/>
    </row>
    <row r="148" spans="1:5" ht="15.75" x14ac:dyDescent="0.25">
      <c r="A148" s="8"/>
    </row>
    <row r="150" spans="1:5" ht="15.75" x14ac:dyDescent="0.25">
      <c r="A150" s="15"/>
    </row>
    <row r="151" spans="1:5" ht="15.75" x14ac:dyDescent="0.25">
      <c r="A151" s="15"/>
      <c r="B151" s="94"/>
      <c r="C151" s="8"/>
    </row>
    <row r="152" spans="1:5" x14ac:dyDescent="0.2">
      <c r="B152" s="14"/>
    </row>
    <row r="153" spans="1:5" ht="15.75" x14ac:dyDescent="0.25">
      <c r="A153" s="15"/>
      <c r="B153" s="14"/>
    </row>
    <row r="154" spans="1:5" ht="15.75" x14ac:dyDescent="0.25">
      <c r="A154" s="15"/>
      <c r="B154" s="94"/>
      <c r="C154" s="8"/>
    </row>
    <row r="155" spans="1:5" x14ac:dyDescent="0.2">
      <c r="B155" s="14"/>
    </row>
    <row r="156" spans="1:5" ht="15.75" x14ac:dyDescent="0.25">
      <c r="A156" s="15"/>
      <c r="B156" s="14"/>
    </row>
    <row r="157" spans="1:5" ht="15.75" x14ac:dyDescent="0.25">
      <c r="A157" s="15"/>
      <c r="B157" s="94"/>
      <c r="C157" s="8"/>
    </row>
    <row r="159" spans="1:5" ht="15.75" x14ac:dyDescent="0.25">
      <c r="A159" s="15"/>
      <c r="B159" s="14"/>
    </row>
    <row r="160" spans="1:5" ht="15.75" x14ac:dyDescent="0.25">
      <c r="A160" s="15"/>
      <c r="B160" s="94"/>
      <c r="C160" s="8"/>
    </row>
    <row r="198" spans="1:5" ht="15.75" x14ac:dyDescent="0.25">
      <c r="E198" s="23"/>
    </row>
    <row r="200" spans="1:5" x14ac:dyDescent="0.2">
      <c r="A200" s="95"/>
    </row>
    <row r="201" spans="1:5" x14ac:dyDescent="0.2">
      <c r="A201" s="95"/>
    </row>
    <row r="202" spans="1:5" x14ac:dyDescent="0.2">
      <c r="A202" s="95"/>
    </row>
    <row r="203" spans="1:5" x14ac:dyDescent="0.2">
      <c r="A203" s="95"/>
    </row>
    <row r="204" spans="1:5" x14ac:dyDescent="0.2">
      <c r="A204" s="95"/>
    </row>
    <row r="205" spans="1:5" x14ac:dyDescent="0.2">
      <c r="A205" s="95"/>
    </row>
    <row r="206" spans="1:5" ht="15.75" x14ac:dyDescent="0.2">
      <c r="A206" s="96"/>
    </row>
    <row r="207" spans="1:5" x14ac:dyDescent="0.2">
      <c r="A207" s="95"/>
    </row>
    <row r="208" spans="1:5" x14ac:dyDescent="0.2">
      <c r="A208" s="95"/>
    </row>
    <row r="209" spans="1:1" x14ac:dyDescent="0.2">
      <c r="A209" s="95"/>
    </row>
    <row r="210" spans="1:1" x14ac:dyDescent="0.2">
      <c r="A210" s="95"/>
    </row>
    <row r="211" spans="1:1" x14ac:dyDescent="0.2">
      <c r="A211" s="95"/>
    </row>
    <row r="212" spans="1:1" x14ac:dyDescent="0.2">
      <c r="A212" s="95"/>
    </row>
    <row r="213" spans="1:1" x14ac:dyDescent="0.2">
      <c r="A213" s="95"/>
    </row>
    <row r="214" spans="1:1" x14ac:dyDescent="0.2">
      <c r="A214" s="95"/>
    </row>
    <row r="215" spans="1:1" x14ac:dyDescent="0.2">
      <c r="A215" s="95"/>
    </row>
    <row r="216" spans="1:1" x14ac:dyDescent="0.2">
      <c r="A216" s="95"/>
    </row>
    <row r="217" spans="1:1" x14ac:dyDescent="0.2">
      <c r="A217" s="95"/>
    </row>
    <row r="218" spans="1:1" x14ac:dyDescent="0.2">
      <c r="A218" s="95"/>
    </row>
    <row r="219" spans="1:1" x14ac:dyDescent="0.2">
      <c r="A219" s="95"/>
    </row>
    <row r="379" spans="1:1" x14ac:dyDescent="0.2">
      <c r="A379" s="95"/>
    </row>
    <row r="380" spans="1:1" x14ac:dyDescent="0.2">
      <c r="A380" s="95"/>
    </row>
    <row r="381" spans="1:1" x14ac:dyDescent="0.2">
      <c r="A381" s="95"/>
    </row>
    <row r="382" spans="1:1" x14ac:dyDescent="0.2">
      <c r="A382" s="95"/>
    </row>
    <row r="383" spans="1:1" x14ac:dyDescent="0.2">
      <c r="A383" s="95"/>
    </row>
    <row r="384" spans="1:1" x14ac:dyDescent="0.2">
      <c r="A384" s="95"/>
    </row>
    <row r="385" spans="1:1" x14ac:dyDescent="0.2">
      <c r="A385" s="95"/>
    </row>
    <row r="386" spans="1:1" x14ac:dyDescent="0.2">
      <c r="A386" s="95"/>
    </row>
    <row r="387" spans="1:1" x14ac:dyDescent="0.2">
      <c r="A387" s="95"/>
    </row>
    <row r="388" spans="1:1" x14ac:dyDescent="0.2">
      <c r="A388" s="95"/>
    </row>
    <row r="389" spans="1:1" x14ac:dyDescent="0.2">
      <c r="A389" s="95"/>
    </row>
    <row r="390" spans="1:1" x14ac:dyDescent="0.2">
      <c r="A390" s="95"/>
    </row>
    <row r="391" spans="1:1" x14ac:dyDescent="0.2">
      <c r="A391" s="95"/>
    </row>
    <row r="392" spans="1:1" x14ac:dyDescent="0.2">
      <c r="A392" s="95"/>
    </row>
    <row r="393" spans="1:1" x14ac:dyDescent="0.2">
      <c r="A393" s="95"/>
    </row>
    <row r="394" spans="1:1" x14ac:dyDescent="0.2">
      <c r="A394" s="95"/>
    </row>
    <row r="395" spans="1:1" x14ac:dyDescent="0.2">
      <c r="A395" s="95"/>
    </row>
    <row r="396" spans="1:1" x14ac:dyDescent="0.2">
      <c r="A396" s="95"/>
    </row>
    <row r="397" spans="1:1" x14ac:dyDescent="0.2">
      <c r="A397" s="95"/>
    </row>
    <row r="398" spans="1:1" x14ac:dyDescent="0.2">
      <c r="A398" s="95"/>
    </row>
    <row r="399" spans="1:1" x14ac:dyDescent="0.2">
      <c r="A399" s="95"/>
    </row>
    <row r="400" spans="1:1" x14ac:dyDescent="0.2">
      <c r="A400" s="95"/>
    </row>
    <row r="401" spans="1:1" x14ac:dyDescent="0.2">
      <c r="A401" s="95"/>
    </row>
    <row r="402" spans="1:1" x14ac:dyDescent="0.2">
      <c r="A402" s="95"/>
    </row>
    <row r="403" spans="1:1" x14ac:dyDescent="0.2">
      <c r="A403" s="95"/>
    </row>
    <row r="404" spans="1:1" x14ac:dyDescent="0.2">
      <c r="A404" s="95"/>
    </row>
    <row r="405" spans="1:1" x14ac:dyDescent="0.2">
      <c r="A405" s="95"/>
    </row>
    <row r="406" spans="1:1" x14ac:dyDescent="0.2">
      <c r="A406" s="95"/>
    </row>
  </sheetData>
  <sheetProtection sheet="1" objects="1" scenarios="1" selectLockedCells="1"/>
  <phoneticPr fontId="1" type="noConversion"/>
  <pageMargins left="0.75" right="0.75" top="1" bottom="1" header="0.5" footer="0.5"/>
  <pageSetup orientation="portrait" horizontalDpi="4294967295"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vt:lpstr>
      <vt:lpstr>Capacity</vt:lpstr>
      <vt:lpstr>Trjectory</vt:lpstr>
      <vt:lpstr>Power</vt:lpstr>
      <vt:lpstr>Head Shaft-Gear Drive</vt:lpstr>
      <vt:lpstr>Head Shaft-Chain Drive</vt:lpstr>
      <vt:lpstr>Math</vt:lpstr>
    </vt:vector>
  </TitlesOfParts>
  <Company>GTC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EGTInst</dc:creator>
  <cp:lastModifiedBy>John Andrew</cp:lastModifiedBy>
  <cp:lastPrinted>2008-10-18T10:21:56Z</cp:lastPrinted>
  <dcterms:created xsi:type="dcterms:W3CDTF">2007-04-30T14:46:00Z</dcterms:created>
  <dcterms:modified xsi:type="dcterms:W3CDTF">2022-12-01T13:33:54Z</dcterms:modified>
</cp:coreProperties>
</file>