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ti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629"/>
  <workbookPr defaultThemeVersion="124226"/>
  <mc:AlternateContent xmlns:mc="http://schemas.openxmlformats.org/markup-compatibility/2006">
    <mc:Choice Requires="x15">
      <x15ac:absPath xmlns:x15ac="http://schemas.microsoft.com/office/spreadsheetml/2010/11/ac" url="C:\Users\jandrew\Documents\MISC\AMAZON-CONTEC\ENGINEERS-PDH\"/>
    </mc:Choice>
  </mc:AlternateContent>
  <xr:revisionPtr revIDLastSave="0" documentId="13_ncr:1_{BC69CCA9-B2E2-4F3A-9727-50EF303EAC35}" xr6:coauthVersionLast="47" xr6:coauthVersionMax="47" xr10:uidLastSave="{00000000-0000-0000-0000-000000000000}"/>
  <bookViews>
    <workbookView xWindow="-110" yWindow="-110" windowWidth="38620" windowHeight="21100" xr2:uid="{00000000-000D-0000-FFFF-FFFF00000000}"/>
  </bookViews>
  <sheets>
    <sheet name="APPLICATIONS" sheetId="1" r:id="rId1"/>
    <sheet name="DRIVE CALCULATIONS" sheetId="2" r:id="rId2"/>
    <sheet name="DIESEL ENGINES" sheetId="3" r:id="rId3"/>
    <sheet name="FLUID POWER" sheetId="4" r:id="rId4"/>
    <sheet name="BUCKET ARM FORCES" sheetId="5" r:id="rId5"/>
    <sheet name="UNITS" sheetId="6" r:id="rId6"/>
  </sheets>
  <definedNames>
    <definedName name="c1470167" localSheetId="0">APPLICATIONS!$B$81</definedName>
    <definedName name="c1470242" localSheetId="0">APPLICATIONS!$B$80</definedName>
    <definedName name="c1480359" localSheetId="0">APPLICATIONS!$B$84</definedName>
    <definedName name="c1480360" localSheetId="0">APPLICATIONS!$B$86</definedName>
    <definedName name="c1480361" localSheetId="0">APPLICATIONS!$B$89</definedName>
    <definedName name="c1480527" localSheetId="0">APPLICATIONS!$B$82</definedName>
    <definedName name="c1480528" localSheetId="0">APPLICATIONS!$B$83</definedName>
    <definedName name="c1480529" localSheetId="0">APPLICATIONS!$B$88</definedName>
    <definedName name="c1480531" localSheetId="0">APPLICATIONS!$B$95</definedName>
    <definedName name="c1480642" localSheetId="0">APPLICATIONS!$B$90</definedName>
    <definedName name="c1480662" localSheetId="0">APPLICATIONS!$B$91</definedName>
    <definedName name="c1480663" localSheetId="0">APPLICATIONS!$B$93</definedName>
    <definedName name="c1480664" localSheetId="0">APPLICATIONS!$B$94</definedName>
    <definedName name="c1941521" localSheetId="0">APPLICATIONS!$B$87</definedName>
    <definedName name="c2043803" localSheetId="0">APPLICATIONS!$B$92</definedName>
    <definedName name="c2128870" localSheetId="0">APPLICATIONS!$B$85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1" i="6" l="1"/>
  <c r="L41" i="6"/>
  <c r="L39" i="6"/>
  <c r="P38" i="6"/>
  <c r="P36" i="6"/>
  <c r="C74" i="2"/>
  <c r="C52" i="2"/>
  <c r="E79" i="6" l="1"/>
  <c r="E78" i="6"/>
  <c r="E77" i="6"/>
  <c r="E76" i="6"/>
  <c r="E75" i="6"/>
  <c r="E74" i="6"/>
  <c r="E73" i="6"/>
  <c r="E72" i="6"/>
  <c r="E71" i="6"/>
  <c r="E70" i="6"/>
  <c r="E69" i="6"/>
  <c r="E68" i="6"/>
  <c r="E67" i="6"/>
  <c r="E66" i="6"/>
  <c r="E65" i="6"/>
  <c r="E64" i="6"/>
  <c r="E63" i="6"/>
  <c r="E62" i="6"/>
  <c r="E61" i="6"/>
  <c r="E60" i="6"/>
  <c r="E59" i="6"/>
  <c r="E58" i="6"/>
  <c r="E57" i="6"/>
  <c r="E56" i="6"/>
  <c r="E55" i="6"/>
  <c r="E50" i="6"/>
  <c r="E49" i="6"/>
  <c r="E48" i="6"/>
  <c r="E47" i="6"/>
  <c r="E46" i="6"/>
  <c r="E45" i="6"/>
  <c r="E44" i="6"/>
  <c r="E43" i="6"/>
  <c r="E42" i="6"/>
  <c r="E41" i="6"/>
  <c r="E40" i="6"/>
  <c r="E39" i="6"/>
  <c r="E38" i="6"/>
  <c r="E37" i="6"/>
  <c r="E36" i="6"/>
  <c r="E35" i="6"/>
  <c r="E34" i="6"/>
  <c r="E33" i="6"/>
  <c r="E32" i="6"/>
  <c r="E31" i="6"/>
  <c r="E30" i="6"/>
  <c r="E29" i="6"/>
  <c r="E28" i="6"/>
  <c r="E27" i="6"/>
  <c r="E26" i="6"/>
  <c r="F23" i="6"/>
  <c r="C23" i="6"/>
  <c r="F17" i="6"/>
  <c r="C17" i="6"/>
  <c r="F12" i="6"/>
  <c r="C12" i="6"/>
  <c r="C399" i="5"/>
  <c r="C401" i="5" s="1"/>
  <c r="C377" i="5"/>
  <c r="C391" i="5"/>
  <c r="C389" i="5"/>
  <c r="C71" i="4"/>
  <c r="C78" i="2"/>
  <c r="C76" i="2"/>
  <c r="C80" i="2" l="1"/>
  <c r="C82" i="2" s="1"/>
  <c r="C165" i="5"/>
  <c r="C163" i="5"/>
  <c r="C147" i="5"/>
  <c r="C145" i="5"/>
  <c r="C385" i="5"/>
  <c r="C383" i="5"/>
  <c r="C379" i="5"/>
  <c r="C381" i="5" s="1"/>
  <c r="C387" i="5" l="1"/>
  <c r="C290" i="5"/>
  <c r="C288" i="5"/>
  <c r="C296" i="5"/>
  <c r="C294" i="5"/>
  <c r="C286" i="5"/>
  <c r="C175" i="5"/>
  <c r="C173" i="5"/>
  <c r="C171" i="5"/>
  <c r="C169" i="5"/>
  <c r="C210" i="5"/>
  <c r="C346" i="2"/>
  <c r="C56" i="4"/>
  <c r="C54" i="4"/>
  <c r="C118" i="4"/>
  <c r="C108" i="4"/>
  <c r="C99" i="4"/>
  <c r="C89" i="4"/>
  <c r="C87" i="4"/>
  <c r="C84" i="4"/>
  <c r="C85" i="4" s="1"/>
  <c r="C83" i="4"/>
  <c r="C72" i="4"/>
  <c r="C332" i="2"/>
  <c r="C334" i="2" s="1"/>
  <c r="C313" i="2"/>
  <c r="C311" i="2"/>
  <c r="C316" i="2" s="1"/>
  <c r="C318" i="2" s="1"/>
  <c r="C298" i="2"/>
  <c r="C300" i="2" s="1"/>
  <c r="C278" i="2"/>
  <c r="C280" i="2"/>
  <c r="C265" i="2"/>
  <c r="C266" i="2" s="1"/>
  <c r="C303" i="3"/>
  <c r="C305" i="3" s="1"/>
  <c r="C173" i="3"/>
  <c r="C251" i="2"/>
  <c r="C54" i="2"/>
  <c r="C119" i="2"/>
  <c r="C115" i="2"/>
  <c r="C117" i="2" s="1"/>
  <c r="C121" i="2" s="1"/>
  <c r="C113" i="2"/>
  <c r="C56" i="2"/>
  <c r="C358" i="2"/>
  <c r="C361" i="2" s="1"/>
  <c r="C235" i="2"/>
  <c r="C234" i="2"/>
  <c r="C172" i="2"/>
  <c r="C167" i="2"/>
  <c r="C169" i="2" s="1"/>
  <c r="C58" i="2" l="1"/>
  <c r="C60" i="2" s="1"/>
  <c r="C391" i="3"/>
  <c r="C393" i="3" s="1"/>
  <c r="C123" i="2"/>
  <c r="C125" i="2" s="1"/>
  <c r="C285" i="2"/>
  <c r="C286" i="2" s="1"/>
  <c r="C237" i="2"/>
  <c r="C239" i="2" s="1"/>
  <c r="C241" i="2" s="1"/>
  <c r="C292" i="5"/>
  <c r="C298" i="5"/>
  <c r="C167" i="5"/>
  <c r="C213" i="5" s="1"/>
  <c r="C177" i="5"/>
  <c r="C179" i="5" s="1"/>
  <c r="C208" i="5"/>
  <c r="C220" i="5" s="1"/>
  <c r="C59" i="4"/>
  <c r="C62" i="4"/>
  <c r="C90" i="4"/>
  <c r="C86" i="4"/>
  <c r="C88" i="4" s="1"/>
  <c r="C175" i="3"/>
  <c r="C307" i="3"/>
  <c r="C385" i="3" s="1"/>
  <c r="C387" i="3" s="1"/>
  <c r="C319" i="3"/>
  <c r="C320" i="3" s="1"/>
  <c r="C374" i="3" s="1"/>
  <c r="C174" i="2"/>
  <c r="C176" i="2" s="1"/>
  <c r="C215" i="5" l="1"/>
  <c r="C218" i="5" s="1"/>
  <c r="C222" i="5" s="1"/>
  <c r="C225" i="5" s="1"/>
  <c r="C304" i="5"/>
  <c r="C309" i="5" s="1"/>
  <c r="C302" i="5"/>
  <c r="C307" i="5" s="1"/>
  <c r="C300" i="5"/>
  <c r="C311" i="3"/>
  <c r="C334" i="3" s="1"/>
  <c r="C335" i="3" s="1"/>
  <c r="C376" i="3" s="1"/>
  <c r="C389" i="3"/>
  <c r="C189" i="3"/>
  <c r="C190" i="3" s="1"/>
  <c r="C246" i="3" s="1"/>
  <c r="C177" i="3"/>
  <c r="C261" i="3" s="1"/>
  <c r="C263" i="3"/>
  <c r="C265" i="3" s="1"/>
  <c r="C313" i="3"/>
  <c r="C314" i="3" s="1"/>
  <c r="C324" i="3" l="1"/>
  <c r="C325" i="3" s="1"/>
  <c r="C375" i="3" s="1"/>
  <c r="C228" i="5"/>
  <c r="C233" i="5" s="1"/>
  <c r="C230" i="5"/>
  <c r="C183" i="3"/>
  <c r="C184" i="3" s="1"/>
  <c r="C257" i="3"/>
  <c r="C259" i="3" s="1"/>
  <c r="C181" i="3"/>
  <c r="C379" i="3" l="1"/>
  <c r="C382" i="3" s="1"/>
  <c r="C371" i="3"/>
  <c r="C236" i="5"/>
  <c r="C242" i="5" s="1"/>
  <c r="C204" i="3"/>
  <c r="C205" i="3" s="1"/>
  <c r="C248" i="3" s="1"/>
  <c r="C194" i="3"/>
  <c r="C195" i="3" s="1"/>
  <c r="C247" i="3" s="1"/>
  <c r="C239" i="5" l="1"/>
  <c r="C251" i="3"/>
  <c r="C254" i="3" s="1"/>
  <c r="C241" i="3"/>
  <c r="C245" i="5" l="1"/>
  <c r="B251" i="5" s="1"/>
  <c r="C247" i="5"/>
  <c r="B254" i="5" s="1"/>
</calcChain>
</file>

<file path=xl/sharedStrings.xml><?xml version="1.0" encoding="utf-8"?>
<sst xmlns="http://schemas.openxmlformats.org/spreadsheetml/2006/main" count="1452" uniqueCount="741">
  <si>
    <t>To open another, "Work Sheet Lesson" select a tab at the bottom of this spreadsheet.</t>
  </si>
  <si>
    <t xml:space="preserve">To unlock the cells of this spreadsheet: Home &gt; Format &gt; Unprotect Sheet. </t>
  </si>
  <si>
    <t xml:space="preserve">To lock the cells of this spreadsheet: Home &gt; Format &gt; Protect Sheet. </t>
  </si>
  <si>
    <t>APPLICATIONS</t>
  </si>
  <si>
    <t>http://www.cat.com/</t>
  </si>
  <si>
    <t>CAT - 730 EJECTOR ARTICULATED TRUCK</t>
  </si>
  <si>
    <t>Applications</t>
  </si>
  <si>
    <t>  </t>
  </si>
  <si>
    <t>» •  Agriculture</t>
  </si>
  <si>
    <t>Options for your beef cattle operation, dairy operation, ag input supply company or crop production operation.</t>
  </si>
  <si>
    <t>From razing and scrap handling to loading and site finishing.</t>
  </si>
  <si>
    <t>Equipment designed to fit the needs of the building construction contractor.</t>
  </si>
  <si>
    <t>Caterpillar is committed to all branches of the military and to U.S. federal government agencies.</t>
  </si>
  <si>
    <t>You stay focused on delivering the quality of work your reputation depends on.</t>
  </si>
  <si>
    <t>Equipment designed for trenchers, irrigators, chillers, fire pumps, locomotives, mining machines and more.</t>
  </si>
  <si>
    <t>Solutions to help green industry professionals increase productivity, control costs and operate your business more efficiently.</t>
  </si>
  <si>
    <t>Marine engines and technologies provide proven power and are built to last in any marine application.</t>
  </si>
  <si>
    <t>Broadest line of mining equipment in the industry that work harder, last longer and help move material at a lower cost.</t>
  </si>
  <si>
    <t>Global customer focus and market leader in gas compression, drilling, and well servicing products and systems.</t>
  </si>
  <si>
    <t>The right equipment, the right people, the right plan.</t>
  </si>
  <si>
    <t>The power to match equipment to production needs, site conditions, and environmental requirements.</t>
  </si>
  <si>
    <t>Diesel and gas generator sets to power supplies, automatic transfer switches and electrical switchgear.</t>
  </si>
  <si>
    <t>From wheel loaders to excavators, we have a machine to meet all the challenges.</t>
  </si>
  <si>
    <t>From loading at a transfer station or recycling center, handling cover at landfills or maintaining sites.</t>
  </si>
  <si>
    <t>CAT - 973C LARGE TRACTOR LOADER</t>
  </si>
  <si>
    <t>CAT - 730 EJECTOR ARTICULATED TRUCK - ENGINE</t>
  </si>
  <si>
    <t>CAT - 730 EJECTOR ARTICULATED TRUCK - TRACTION</t>
  </si>
  <si>
    <t>CAT - 730 EJECTOR ARTICULATED TRUCK - APPLICATIONS</t>
  </si>
  <si>
    <t>CAT - 730 EJECTOR ARTICULATED TRUCK - FRAME</t>
  </si>
  <si>
    <t>DRIVE CALCULATIONS</t>
  </si>
  <si>
    <t>Input</t>
  </si>
  <si>
    <t>AIR DRAG</t>
  </si>
  <si>
    <t>Calculate</t>
  </si>
  <si>
    <t>Air Drag,  D =</t>
  </si>
  <si>
    <t>Vehicle speed,  S =</t>
  </si>
  <si>
    <t>mph</t>
  </si>
  <si>
    <t>Front area,  A =</t>
  </si>
  <si>
    <t>ft^2</t>
  </si>
  <si>
    <t>Drag coefficient,  Cd =</t>
  </si>
  <si>
    <t>Vehicle speed,  V =</t>
  </si>
  <si>
    <t>1.467*S</t>
  </si>
  <si>
    <t>ft/sec</t>
  </si>
  <si>
    <t>=</t>
  </si>
  <si>
    <t>lb/cu ft</t>
  </si>
  <si>
    <t>Standard sea level air density,  d =</t>
  </si>
  <si>
    <t>Standard sea level air density,  ρ =</t>
  </si>
  <si>
    <t>d / 32.2</t>
  </si>
  <si>
    <t>slugs/cu ft</t>
  </si>
  <si>
    <t>lb</t>
  </si>
  <si>
    <t>ft/min</t>
  </si>
  <si>
    <t>Air Drag Power,  P =</t>
  </si>
  <si>
    <t>D * V / 33000</t>
  </si>
  <si>
    <t>Vehicle speed,  v =</t>
  </si>
  <si>
    <t>(1/2)*ρ*v^2*A*Cd</t>
  </si>
  <si>
    <t>v*60</t>
  </si>
  <si>
    <t>One horsepower, 33,000 ft·lbf/min</t>
  </si>
  <si>
    <t>hp</t>
  </si>
  <si>
    <t>Squared flat plate at 90 deg to air flow</t>
  </si>
  <si>
    <t>Long flat plate at 90 deg</t>
  </si>
  <si>
    <t>Cube</t>
  </si>
  <si>
    <t>Streamline body</t>
  </si>
  <si>
    <t>Cd</t>
  </si>
  <si>
    <t>Object</t>
  </si>
  <si>
    <t>0.30 to 0.35</t>
  </si>
  <si>
    <t>0.35 to 0.45</t>
  </si>
  <si>
    <t>Typical four door sedan</t>
  </si>
  <si>
    <t>Box shaped SUV</t>
  </si>
  <si>
    <t>CLUTCH TORQUE CAPACITY</t>
  </si>
  <si>
    <t>Clutch disc outside diameter, D =</t>
  </si>
  <si>
    <t>Clutch disc inside diameter, d =</t>
  </si>
  <si>
    <t>in</t>
  </si>
  <si>
    <t>ft</t>
  </si>
  <si>
    <t>((D^2 + d^2) / 2)^(1/2)</t>
  </si>
  <si>
    <t>Clutch disc radius of gyration, Rg =</t>
  </si>
  <si>
    <t>Clutch disc outside radius, R =</t>
  </si>
  <si>
    <t>Clutch disc inside radius, r =</t>
  </si>
  <si>
    <t xml:space="preserve">Coefficient of friction,  f = </t>
  </si>
  <si>
    <t>Clutch torque capacity,  T =</t>
  </si>
  <si>
    <t>lb-ft</t>
  </si>
  <si>
    <t>-</t>
  </si>
  <si>
    <t>Above maintenance information may be found at:</t>
  </si>
  <si>
    <t>TRACTOR GROUND SPEED</t>
  </si>
  <si>
    <t>rev/min</t>
  </si>
  <si>
    <t>Overall gear reduction, R =</t>
  </si>
  <si>
    <t>Track laying sprocket number of teeth, T =</t>
  </si>
  <si>
    <t>Track link length,  L =</t>
  </si>
  <si>
    <t>Tractor ground speed,  V =</t>
  </si>
  <si>
    <t xml:space="preserve"> ≈</t>
  </si>
  <si>
    <t>T * L / 12</t>
  </si>
  <si>
    <t>Feet per mile,  F =</t>
  </si>
  <si>
    <t>ft/mile</t>
  </si>
  <si>
    <t>Track sprocket pitch circle circumference, C ≈</t>
  </si>
  <si>
    <t>60* N * C / (R * 5280)</t>
  </si>
  <si>
    <t>miles/hr</t>
  </si>
  <si>
    <t>Road Surface</t>
  </si>
  <si>
    <t xml:space="preserve">Concrete, excellent </t>
  </si>
  <si>
    <t xml:space="preserve">Concrete, good </t>
  </si>
  <si>
    <t xml:space="preserve">Concrete, poor </t>
  </si>
  <si>
    <t xml:space="preserve">Asphalt, good </t>
  </si>
  <si>
    <t xml:space="preserve">Asphalt, fair </t>
  </si>
  <si>
    <t xml:space="preserve">Asphalt, poor </t>
  </si>
  <si>
    <t xml:space="preserve">Macadam, good </t>
  </si>
  <si>
    <t xml:space="preserve">Macadam, fair </t>
  </si>
  <si>
    <t xml:space="preserve">Macadam, poor </t>
  </si>
  <si>
    <t xml:space="preserve">Cobbles, ordinary </t>
  </si>
  <si>
    <t xml:space="preserve">Cobbles, poor </t>
  </si>
  <si>
    <t xml:space="preserve">Snow, 2 inch </t>
  </si>
  <si>
    <t xml:space="preserve">Snow, 4 inch </t>
  </si>
  <si>
    <t xml:space="preserve">Dirt, dry smooth </t>
  </si>
  <si>
    <t xml:space="preserve">Dirt, dry sandy </t>
  </si>
  <si>
    <t xml:space="preserve">Mud </t>
  </si>
  <si>
    <t xml:space="preserve">Sand, dry level soft </t>
  </si>
  <si>
    <t xml:space="preserve">Sand, dry dune </t>
  </si>
  <si>
    <t xml:space="preserve"> 37 to 150</t>
  </si>
  <si>
    <t xml:space="preserve"> 60 to 150</t>
  </si>
  <si>
    <t xml:space="preserve"> 160 to300</t>
  </si>
  <si>
    <t>lb/1000</t>
  </si>
  <si>
    <t>Road rolling resistance factor,  Rf =</t>
  </si>
  <si>
    <t>Rf, lb/1000</t>
  </si>
  <si>
    <t>W * Rf / 1000</t>
  </si>
  <si>
    <t xml:space="preserve">Road Surface: </t>
  </si>
  <si>
    <t>LEVEL ROAD ROLLING RESISTANCE</t>
  </si>
  <si>
    <t xml:space="preserve">Clamp load,  P = </t>
  </si>
  <si>
    <t>Gross vehicle weight,  W = W1 + W2 =</t>
  </si>
  <si>
    <t>Road level length,  L =</t>
  </si>
  <si>
    <t xml:space="preserve">ft </t>
  </si>
  <si>
    <t>57.3*Atan(E/L)</t>
  </si>
  <si>
    <t>E / L</t>
  </si>
  <si>
    <t>deg</t>
  </si>
  <si>
    <t>Vehicle draw-bar pull,  P =</t>
  </si>
  <si>
    <t>Rg</t>
  </si>
  <si>
    <t>Vehicle net power,  HPn =</t>
  </si>
  <si>
    <t>horsepower</t>
  </si>
  <si>
    <t>Road elevation increase,  E =</t>
  </si>
  <si>
    <t>Grade percent,  Gp =</t>
  </si>
  <si>
    <t>Grade angle,  Ga =</t>
  </si>
  <si>
    <t xml:space="preserve">W * Sin(Ga deg/57.3) </t>
  </si>
  <si>
    <t>Grade drive resistance,  Rg =</t>
  </si>
  <si>
    <t>Overall mechanical efficiency of drive train, e =</t>
  </si>
  <si>
    <t>Vehicle gross power,  HPg =</t>
  </si>
  <si>
    <t>HPn / e</t>
  </si>
  <si>
    <t>Vehicle ground speed,  S =</t>
  </si>
  <si>
    <t>Vehicle ground speed,  s =</t>
  </si>
  <si>
    <t>S*5280/60</t>
  </si>
  <si>
    <t>P*s / 33000</t>
  </si>
  <si>
    <t>Level road rolling resistance,  Rr =</t>
  </si>
  <si>
    <t>Rr</t>
  </si>
  <si>
    <t>See Vector Diagram below</t>
  </si>
  <si>
    <t xml:space="preserve"> </t>
  </si>
  <si>
    <t>Number of clutch discs,  n =</t>
  </si>
  <si>
    <t>P * Rg * n * f</t>
  </si>
  <si>
    <t>revs/min</t>
  </si>
  <si>
    <t>ENGINE TORQUE</t>
  </si>
  <si>
    <t>Engine crankshaft speed, N =</t>
  </si>
  <si>
    <t>Engine torque,  T =</t>
  </si>
  <si>
    <t>Engine horsepower,  HP =</t>
  </si>
  <si>
    <t>5252*HP / N</t>
  </si>
  <si>
    <t>DIESEL ENGINES</t>
  </si>
  <si>
    <t>Compression ratio,  r = V1/V2 =</t>
  </si>
  <si>
    <t>Low temperature,  t1 =</t>
  </si>
  <si>
    <t>deg C</t>
  </si>
  <si>
    <t>Low pressure,   P1 =</t>
  </si>
  <si>
    <t>kPa</t>
  </si>
  <si>
    <t>Work output,  Wout =</t>
  </si>
  <si>
    <t>kJ/kg</t>
  </si>
  <si>
    <t>Air specific heat at constant pressure, Cp =</t>
  </si>
  <si>
    <t>Air specific heat at constant volume, Cv =</t>
  </si>
  <si>
    <t>Universal gas constant,  R =</t>
  </si>
  <si>
    <t>T1 =</t>
  </si>
  <si>
    <t>t1 + 273</t>
  </si>
  <si>
    <t>deg K</t>
  </si>
  <si>
    <t>v1 = v4=</t>
  </si>
  <si>
    <t>R*T1 / P1</t>
  </si>
  <si>
    <t>m^3/kg</t>
  </si>
  <si>
    <t>v2 =</t>
  </si>
  <si>
    <t>v1 / 18</t>
  </si>
  <si>
    <t>Process 1-2 is isentropic</t>
  </si>
  <si>
    <t>k =</t>
  </si>
  <si>
    <t>T2 =</t>
  </si>
  <si>
    <t>T1*(v1 / v2)^(k-1)</t>
  </si>
  <si>
    <t>P2 =</t>
  </si>
  <si>
    <t>P1*(v1 / v2)^k</t>
  </si>
  <si>
    <t>Pa</t>
  </si>
  <si>
    <t>Mpa</t>
  </si>
  <si>
    <t>Process 3-4 is isentropic</t>
  </si>
  <si>
    <t>T4 =</t>
  </si>
  <si>
    <t>T3*(v3 / v4)^(k-1)</t>
  </si>
  <si>
    <t>T4/T3 =</t>
  </si>
  <si>
    <t>(v3 / v4)^0.4</t>
  </si>
  <si>
    <t>T4/(T3*v3^0.4) =</t>
  </si>
  <si>
    <t>(1 / v4)^0.4</t>
  </si>
  <si>
    <t>C1 =</t>
  </si>
  <si>
    <t>0 =</t>
  </si>
  <si>
    <t>C1 - T4/(T3*v3^0.4)</t>
  </si>
  <si>
    <t>Eq-1</t>
  </si>
  <si>
    <t>Process 2-3 is constant pressure</t>
  </si>
  <si>
    <t>T3 / v3 =</t>
  </si>
  <si>
    <t>T2 / v2</t>
  </si>
  <si>
    <t>C2 =</t>
  </si>
  <si>
    <t>C2 - T3 / v3</t>
  </si>
  <si>
    <t>Eq-2</t>
  </si>
  <si>
    <t>Work output per cycle</t>
  </si>
  <si>
    <t>Work output per cycle,  Wout =</t>
  </si>
  <si>
    <t>Wout =</t>
  </si>
  <si>
    <t>Cp*(T3 - T2) + Cv*(T1 - T4)</t>
  </si>
  <si>
    <t>Wout + Cp*T2 - Cv*T1 =</t>
  </si>
  <si>
    <t>Cp*T3 - Cv*T4</t>
  </si>
  <si>
    <t>(Wout + Cp*T2 - Cv*T1)/Cv =</t>
  </si>
  <si>
    <t>Cp / Cv*T3 - T4</t>
  </si>
  <si>
    <t>Wout/Cv + k*T2 - T1 =</t>
  </si>
  <si>
    <t>k*T3 + T4</t>
  </si>
  <si>
    <t>k*T3 + T4 =</t>
  </si>
  <si>
    <t xml:space="preserve">Wout / Cv + k*T2 - T1 </t>
  </si>
  <si>
    <t>k*T3 - T4 =</t>
  </si>
  <si>
    <t>C3 =</t>
  </si>
  <si>
    <t>C3 - 1.4*T3 + T4</t>
  </si>
  <si>
    <t>Eq-3</t>
  </si>
  <si>
    <t>Unknowns: T3 = ?, T4 = ?, v3 = ?</t>
  </si>
  <si>
    <t xml:space="preserve">Combine equations: 1, 2, &amp; 3 above to find: T3, T4, and v3. </t>
  </si>
  <si>
    <t>T3 =</t>
  </si>
  <si>
    <t>C2*v3</t>
  </si>
  <si>
    <t>C1*T3*v3^0.4</t>
  </si>
  <si>
    <t>T4/C1*v3^0.4</t>
  </si>
  <si>
    <t xml:space="preserve">T4/C1*v3^0.4 - C2*v3 </t>
  </si>
  <si>
    <t>Eq-1 - Eq-2</t>
  </si>
  <si>
    <t>C2*v3*C1*v3^0.4  =</t>
  </si>
  <si>
    <t>T4</t>
  </si>
  <si>
    <t>Eq-4</t>
  </si>
  <si>
    <t xml:space="preserve">1.4*T3 - C3 </t>
  </si>
  <si>
    <t xml:space="preserve">1.4*C2*v3 - C3 </t>
  </si>
  <si>
    <t>Eq-5 = T3 in Eq-2 in Eq-3</t>
  </si>
  <si>
    <t>Eq-4 = Eq-5</t>
  </si>
  <si>
    <t>1.4*C2*v3 - C3 - C2*C1*v3^1.4</t>
  </si>
  <si>
    <t>EXCEL'S GOAL SEEK METHOD</t>
  </si>
  <si>
    <t xml:space="preserve">Guess the value of v3 and use, "Goal Seek" to adjust v3 so that </t>
  </si>
  <si>
    <t>the equation 1.4*C2*v3 - C3 - C2*v3*C1*v3^0.4 will effectively equal zero.</t>
  </si>
  <si>
    <t>Click on the, "MATH TOOLS" tab below and read the "Goal Seek" method.</t>
  </si>
  <si>
    <t xml:space="preserve">2. To the right of the Data tab pick, “What-If Analysis” followed by, “Goal Seek” </t>
  </si>
  <si>
    <t>3. Type in the, "To value" box as shown below.</t>
  </si>
  <si>
    <t>Eq-6</t>
  </si>
  <si>
    <t>"Goal Seek" will iterate v3 below until the right hand side of Eq-6 equal to 0.</t>
  </si>
  <si>
    <t>Guess:  v3 =</t>
  </si>
  <si>
    <t>From above,  C1 =</t>
  </si>
  <si>
    <t>From above,  C2 =</t>
  </si>
  <si>
    <t>From above,  C3 =</t>
  </si>
  <si>
    <t>Cut-Off Ratio,  rc =</t>
  </si>
  <si>
    <t>v3 / v2</t>
  </si>
  <si>
    <t>a. Diesel cycle thermal efficiency,  ηt =</t>
  </si>
  <si>
    <t>1 - ((1 / (r^(k-1))*((rc^k - 1) / (k*(rc - 1)))))</t>
  </si>
  <si>
    <t>b. Mean Effective Pressure,  MEP =</t>
  </si>
  <si>
    <t>Wout / (v1 - v2)</t>
  </si>
  <si>
    <t>Equivalent Otto cycle compression ratio,  rOtto =</t>
  </si>
  <si>
    <t>v1 / v3</t>
  </si>
  <si>
    <t>c. Otto cycle efficiency,  ηOtto =</t>
  </si>
  <si>
    <t>1 - (1 / (rOtto^(k-1)))</t>
  </si>
  <si>
    <t>DIESEL ENGINE POWER</t>
  </si>
  <si>
    <t>Overall mechanical efficiency of drive train &amp; axle, e =</t>
  </si>
  <si>
    <t>Wheel / Road slip torque,  ST =</t>
  </si>
  <si>
    <t>Coefficient of friction: tires on road surface,  u =</t>
  </si>
  <si>
    <t>Overall gear reduction of drive train &amp; axle, R =</t>
  </si>
  <si>
    <t>(W*u*r) / (R*e)</t>
  </si>
  <si>
    <t>lb-in</t>
  </si>
  <si>
    <t>ROLLING RADIUS OF DRIVING TIRE</t>
  </si>
  <si>
    <t>Engine revolutions per minute,  N =</t>
  </si>
  <si>
    <t>88*S</t>
  </si>
  <si>
    <t>2*π*r</t>
  </si>
  <si>
    <t>Tire rolling radius circumference,  C =</t>
  </si>
  <si>
    <t>Tire rotational speed,  n =</t>
  </si>
  <si>
    <t>N / R</t>
  </si>
  <si>
    <t>Vehicle speed (mph),  S =</t>
  </si>
  <si>
    <t>Vehicle speed (fpm),  s =</t>
  </si>
  <si>
    <t>equation-1</t>
  </si>
  <si>
    <t>equation-2</t>
  </si>
  <si>
    <t>s / C</t>
  </si>
  <si>
    <t>s / (2*π*r)</t>
  </si>
  <si>
    <t>s / (2*π*n)</t>
  </si>
  <si>
    <t>n =</t>
  </si>
  <si>
    <t>Tractive force,  F =</t>
  </si>
  <si>
    <t>Gross engine torque (lb-ft),  T =</t>
  </si>
  <si>
    <t>Gross engine torque (lb-in),  t =</t>
  </si>
  <si>
    <t>(t*R*e) / r</t>
  </si>
  <si>
    <t>T * 12</t>
  </si>
  <si>
    <t>N / n</t>
  </si>
  <si>
    <t>s / (2*π*(r/12))</t>
  </si>
  <si>
    <t>DRAW BAR PULL</t>
  </si>
  <si>
    <t>Rolling radius of driving wheel,  r =</t>
  </si>
  <si>
    <t>Gross vehicle weight,  W =</t>
  </si>
  <si>
    <t>(T*R*e) / (r/12) - Rr</t>
  </si>
  <si>
    <t>FLUID POWER</t>
  </si>
  <si>
    <t>One gallon = 231 cu in</t>
  </si>
  <si>
    <t>Pressure,  P =</t>
  </si>
  <si>
    <t>psi</t>
  </si>
  <si>
    <t>lbs</t>
  </si>
  <si>
    <t>Output</t>
  </si>
  <si>
    <t>Cylinder area,  A = W / P =</t>
  </si>
  <si>
    <t>sq in</t>
  </si>
  <si>
    <t>Cylinder area,  A = 3.142 x D^2 / 4 =</t>
  </si>
  <si>
    <t>Piston extends,  x =</t>
  </si>
  <si>
    <t>Time to extend,  t =</t>
  </si>
  <si>
    <t>sec</t>
  </si>
  <si>
    <t>Piston speed,  S = 60*x / t =</t>
  </si>
  <si>
    <t>in/min</t>
  </si>
  <si>
    <t>sq-in</t>
  </si>
  <si>
    <t>cu-in</t>
  </si>
  <si>
    <t>Volume in gallons,  V = v / 231 =</t>
  </si>
  <si>
    <t>gal</t>
  </si>
  <si>
    <t>Time in minutes to extend,  T = t / 60 =</t>
  </si>
  <si>
    <t>min</t>
  </si>
  <si>
    <t>Flow rate,  GPM = V / T =</t>
  </si>
  <si>
    <t>gpm</t>
  </si>
  <si>
    <t>Pipe internal area,  pa = 3.142 x pd^2 / 4 =</t>
  </si>
  <si>
    <t>Fluid speed in pipe,  fs  = v / (12*t*A) =</t>
  </si>
  <si>
    <t>Pump displacement,   d =</t>
  </si>
  <si>
    <t>cu in / rev</t>
  </si>
  <si>
    <t>Pump speed,   RPM = GPM x 231 / d =</t>
  </si>
  <si>
    <t>rpm</t>
  </si>
  <si>
    <t xml:space="preserve">Hydraulic motor flow,  GPM = </t>
  </si>
  <si>
    <t>Hydraulic motor displacement,   d =</t>
  </si>
  <si>
    <t>Hydraulic motor speed,   RPM = GPM x 231 / d =</t>
  </si>
  <si>
    <t>%</t>
  </si>
  <si>
    <t>Pump power,  HP = 100*GPM x P / (1741 x e%) =</t>
  </si>
  <si>
    <t>Force,  F =</t>
  </si>
  <si>
    <t xml:space="preserve">Pump flow,  GPM,  Q = </t>
  </si>
  <si>
    <t>CYLINDER BORE</t>
  </si>
  <si>
    <t>Cylinder bore,  D = (4*A / 3.142 )^0.5 =</t>
  </si>
  <si>
    <t>Standard</t>
  </si>
  <si>
    <t>Cylinder</t>
  </si>
  <si>
    <t>Bores (in)</t>
  </si>
  <si>
    <t>HYDRAULIC CYLINDER EXTENDING</t>
  </si>
  <si>
    <t>Cylinder bore,  D =</t>
  </si>
  <si>
    <t>Piston rod diameter,  d =</t>
  </si>
  <si>
    <t>CYLINDER FORCE (+) EXTENDING, (-) RETRACTING</t>
  </si>
  <si>
    <t>Cylinder area extending,  Ae =</t>
  </si>
  <si>
    <t>π*D^2  /4</t>
  </si>
  <si>
    <t>in^2</t>
  </si>
  <si>
    <t>Cylinder area retracting,  Ar =</t>
  </si>
  <si>
    <t>π*(D^2 - d^2)  /4</t>
  </si>
  <si>
    <t>Cylinder force extending,  Fe =</t>
  </si>
  <si>
    <t>Cylinder force retracting,  Fr =</t>
  </si>
  <si>
    <t>CYLINDER EXTENDING</t>
  </si>
  <si>
    <t>+ P1*Ae - P2*Ar</t>
  </si>
  <si>
    <t>CYLINDER RETRACTING (P1 and P2 reverse)</t>
  </si>
  <si>
    <t>- P1*Ar - P2*Ae</t>
  </si>
  <si>
    <t>CYLINDER  HYDRAULIC  FLUID  FLOW  RATE</t>
  </si>
  <si>
    <t>Cylinder bore,  d =</t>
  </si>
  <si>
    <t xml:space="preserve">HYDRAULIC MOTOR SPEED </t>
  </si>
  <si>
    <t xml:space="preserve">HYDRAULIC MOTOR POWER </t>
  </si>
  <si>
    <t>AXLE TORQUE</t>
  </si>
  <si>
    <t>Gear engaged reduction,  Rt =</t>
  </si>
  <si>
    <t>Axle gear reduction,  Rta =</t>
  </si>
  <si>
    <t>Auxiliary transmission gear reduction,  Ra =</t>
  </si>
  <si>
    <t>Axle torque,  Ta =</t>
  </si>
  <si>
    <t>T*Rt*Rta*Ra</t>
  </si>
  <si>
    <t>Name</t>
  </si>
  <si>
    <t>HHV</t>
  </si>
  <si>
    <t>(MJ/kg)</t>
  </si>
  <si>
    <t>LHV</t>
  </si>
  <si>
    <t>HHV/LHV</t>
  </si>
  <si>
    <t>LHV/HHV</t>
  </si>
  <si>
    <t>CO</t>
  </si>
  <si>
    <t>Methane</t>
  </si>
  <si>
    <t>Propane</t>
  </si>
  <si>
    <t>Hydrogen</t>
  </si>
  <si>
    <t>BRAKE SPECIFIC FUEL CONSUMPTION</t>
  </si>
  <si>
    <t>Below is the image at: www.beavervalleysupply.com/sectione/degblades.htm</t>
  </si>
  <si>
    <t>Below is the image at: www.made-in-china.com/showroom/vansonix/produ...</t>
  </si>
  <si>
    <t>Mobile Equipment Hydraulic Cylinder above.</t>
  </si>
  <si>
    <t>BACKHOE EXAMPLE</t>
  </si>
  <si>
    <t>BUCKET ARM FORCES</t>
  </si>
  <si>
    <t>Right arm,  L1 =</t>
  </si>
  <si>
    <t>Left arm,  L2 =</t>
  </si>
  <si>
    <t>Bucket arm cylinder length, L4 =</t>
  </si>
  <si>
    <t>X1 =</t>
  </si>
  <si>
    <t>X2 =</t>
  </si>
  <si>
    <t>X3 =</t>
  </si>
  <si>
    <t>X4 =</t>
  </si>
  <si>
    <t>Pin diameters:</t>
  </si>
  <si>
    <t>D1 =</t>
  </si>
  <si>
    <t>D2 =</t>
  </si>
  <si>
    <t>D3 =</t>
  </si>
  <si>
    <t>Bucket arm cylinder bore, D =</t>
  </si>
  <si>
    <t>Bucket arm cylinder rod diameter, d =</t>
  </si>
  <si>
    <t>Bucket arm cylinder pressure,  P =</t>
  </si>
  <si>
    <t>P*(π*D^2 / 4)</t>
  </si>
  <si>
    <t>lb/in^2</t>
  </si>
  <si>
    <t>Force vector angles:</t>
  </si>
  <si>
    <t>A1 =</t>
  </si>
  <si>
    <t>A2 =</t>
  </si>
  <si>
    <t>A3 =</t>
  </si>
  <si>
    <t>A4 =</t>
  </si>
  <si>
    <t>Moments about pin 2 balance:</t>
  </si>
  <si>
    <t>F3*Cos(A4/53.7)*L2 +  F3*Sin(A4/57.3)*X2</t>
  </si>
  <si>
    <t>Vertical forces balance:</t>
  </si>
  <si>
    <t>Horizontal forces balance:</t>
  </si>
  <si>
    <t>in-lb</t>
  </si>
  <si>
    <t>F3 =</t>
  </si>
  <si>
    <t>F2 =</t>
  </si>
  <si>
    <t>Note:  Excel measures angles in radians.</t>
  </si>
  <si>
    <t>Angle in degrees / 57.3</t>
  </si>
  <si>
    <t>Vertical vector,  F3v =</t>
  </si>
  <si>
    <t>F3*Cos(A4/57.3)</t>
  </si>
  <si>
    <t>Horizontal vector,  F3h =</t>
  </si>
  <si>
    <t>F3*Sin(A4/57.3)</t>
  </si>
  <si>
    <t>Vertical vector,  Wv =</t>
  </si>
  <si>
    <t>Horizontal vector,  Wh =</t>
  </si>
  <si>
    <t>W*Sin(A3/57.3)</t>
  </si>
  <si>
    <t>W*Cos(A3/57.3)</t>
  </si>
  <si>
    <t>Vertical vector,  F1v =</t>
  </si>
  <si>
    <t>Horizontal vector,  F1h =</t>
  </si>
  <si>
    <t>F1*Cos(A1/57.3)</t>
  </si>
  <si>
    <t>F*Sin(A1/57.3)</t>
  </si>
  <si>
    <t>Rv =</t>
  </si>
  <si>
    <t>F3v + Wv + F1v</t>
  </si>
  <si>
    <t>Vector Sum of Horizontal Vectors, Rh</t>
  </si>
  <si>
    <t>Vector Sum of Vertical Vectors, Rv</t>
  </si>
  <si>
    <t>Vertical and Horizontal Vectors Replacing, F1</t>
  </si>
  <si>
    <t>Vertical and Horizontal Vectors Replacing, W</t>
  </si>
  <si>
    <t>Vertical and Horizontal Vectors Replacing, F3</t>
  </si>
  <si>
    <t>F3h + Wh + F1h</t>
  </si>
  <si>
    <t>Rh =</t>
  </si>
  <si>
    <t>(Rv^2 + Rh^2)^(1/2)</t>
  </si>
  <si>
    <t>Resultant of above Vectors, F2</t>
  </si>
  <si>
    <t>Angle of Resultant Vector F2,  A2</t>
  </si>
  <si>
    <t>Angle A2 =</t>
  </si>
  <si>
    <t>57.3*Atan(Rh / Rv)</t>
  </si>
  <si>
    <t>Check above calculations</t>
  </si>
  <si>
    <t>Vertical and Horizontal Vectors Replacing, F2</t>
  </si>
  <si>
    <t>Vertical vector,  F2v =</t>
  </si>
  <si>
    <t>F2*Cos(A2/57.3)</t>
  </si>
  <si>
    <t>Horizontal vector,  F2h =</t>
  </si>
  <si>
    <t>F2*Sin(A1257.3)</t>
  </si>
  <si>
    <t>F3v + Wv - F2v + F1v =</t>
  </si>
  <si>
    <t>Wh*X2 - Wv*L3</t>
  </si>
  <si>
    <t>Bucket arm horizontal dimensions:</t>
  </si>
  <si>
    <t>Bucket arm vertical dimensions:</t>
  </si>
  <si>
    <t>Arm plate thickness,  t =</t>
  </si>
  <si>
    <t>Approximate bucket arm weight,  W =</t>
  </si>
  <si>
    <t>Ws + Wtb</t>
  </si>
  <si>
    <t>L1*(2*X1 + X3) / (3*(X1 + X3))</t>
  </si>
  <si>
    <t>y1 =</t>
  </si>
  <si>
    <t>y2 =</t>
  </si>
  <si>
    <t>L2*(2*X4 + X3) / (3*(X4 + X3))</t>
  </si>
  <si>
    <t>y3 =</t>
  </si>
  <si>
    <t>L1*(X1 + X3)/2</t>
  </si>
  <si>
    <t>L2*(X4 + X3)/2</t>
  </si>
  <si>
    <t>A1*(y1 + y2) / (A1 + A2)</t>
  </si>
  <si>
    <t>L3 =</t>
  </si>
  <si>
    <t>Bucket Arm Force Balance</t>
  </si>
  <si>
    <t xml:space="preserve">Bucket Arm Cylinder Force </t>
  </si>
  <si>
    <t xml:space="preserve">Bucket Arm Weight and Center of Gravity </t>
  </si>
  <si>
    <t>Bucket Arm Forces</t>
  </si>
  <si>
    <t>F1v*L1 - F1h*X2</t>
  </si>
  <si>
    <t>Approx. weight of 2 bucket arm side plates,  Ws =</t>
  </si>
  <si>
    <t>Approx. weight of arm top &amp; bottom plates,  Wtb =</t>
  </si>
  <si>
    <t>y2 - y3</t>
  </si>
  <si>
    <t>F3h + Wh - F2h + F1h =</t>
  </si>
  <si>
    <t>(M1 + Mw)/(Cos(A4/53.7)*L2+Sin(A4/57.3)*X2)</t>
  </si>
  <si>
    <t>Bucket Arm Strength</t>
  </si>
  <si>
    <t>L =</t>
  </si>
  <si>
    <t>Section area,  A =</t>
  </si>
  <si>
    <t>2*X*t + 2*w*t</t>
  </si>
  <si>
    <t>Second moments of area,  Izz =</t>
  </si>
  <si>
    <t>in^4</t>
  </si>
  <si>
    <t>Compression,  P =</t>
  </si>
  <si>
    <t>Moment,  M =</t>
  </si>
  <si>
    <t>Shear, V =</t>
  </si>
  <si>
    <t>V*L</t>
  </si>
  <si>
    <t>At beam bottom maximum tensile stress,  St =</t>
  </si>
  <si>
    <t>At beam mid-section maximum shear,  S =</t>
  </si>
  <si>
    <t>H =</t>
  </si>
  <si>
    <t>B =</t>
  </si>
  <si>
    <t>b =</t>
  </si>
  <si>
    <t>h =</t>
  </si>
  <si>
    <t>(B*H^3/12) - (b*h^3/12)</t>
  </si>
  <si>
    <t>Bucket force from above,  F3 =</t>
  </si>
  <si>
    <t xml:space="preserve"> Counter-Clockwise moment due to W:  M2w =</t>
  </si>
  <si>
    <t>Allowable tensile stress,  Sta =</t>
  </si>
  <si>
    <t>Allowable shear stress,  Ssa =</t>
  </si>
  <si>
    <t>Safety Factors</t>
  </si>
  <si>
    <t>Sta / St</t>
  </si>
  <si>
    <t>Tension Safety Factor,  SFt =</t>
  </si>
  <si>
    <t>Shear Safety Factor,  SFs =</t>
  </si>
  <si>
    <t>Ssa / S</t>
  </si>
  <si>
    <t>At beam top max compressive stress, Sc =</t>
  </si>
  <si>
    <t>BUCKET ARM FORCE ANALYSIS</t>
  </si>
  <si>
    <t>Diesel Cycle Problem</t>
  </si>
  <si>
    <t>Bolt allowable shear stress, Sbs =</t>
  </si>
  <si>
    <t>kpsi</t>
  </si>
  <si>
    <t>Plate allowable tension stress, Spt =</t>
  </si>
  <si>
    <t>Plate allowable shear stress, Sps =</t>
  </si>
  <si>
    <t>Calculations</t>
  </si>
  <si>
    <t>kips</t>
  </si>
  <si>
    <t>Bolt hole diameter, Dh =</t>
  </si>
  <si>
    <t>Center plate tension strength, Pct =</t>
  </si>
  <si>
    <t>Center plate shear strength, Pps =</t>
  </si>
  <si>
    <t>Center plate bearing strength, Ppb =</t>
  </si>
  <si>
    <t>Applied load, Pa =</t>
  </si>
  <si>
    <t>Safety Factor, SF =</t>
  </si>
  <si>
    <t>PIVOT PIN STRENGTH</t>
  </si>
  <si>
    <t>B - 2*t</t>
  </si>
  <si>
    <t>H - 2*u</t>
  </si>
  <si>
    <t>Top and bottom plate thickness,  u =</t>
  </si>
  <si>
    <t>BOLTED LAP JOINT FAILURE MODES</t>
  </si>
  <si>
    <t>Center plate thickness, b =</t>
  </si>
  <si>
    <t>Joint width, X1 =</t>
  </si>
  <si>
    <t>Bolt double shear strength, Pbs =</t>
  </si>
  <si>
    <t>Center plate width, w =</t>
  </si>
  <si>
    <t>Shear dimension, y =</t>
  </si>
  <si>
    <t>Spt * b * ( w - Dh )</t>
  </si>
  <si>
    <t>Bolt diameter, D1 =</t>
  </si>
  <si>
    <t>D1 + 1/6</t>
  </si>
  <si>
    <t>Sps * b * 2 *((w-D1)/2)</t>
  </si>
  <si>
    <t>Spb * b * D1</t>
  </si>
  <si>
    <t>Spt * 2 * t * ( X1 - Dh )</t>
  </si>
  <si>
    <t>Sps * 4 * t * y</t>
  </si>
  <si>
    <t>Spb * 2 * t  * D1</t>
  </si>
  <si>
    <t>Bucket arm cylinder force angle, A1 =</t>
  </si>
  <si>
    <t>Minimum failure load above, Pmin =</t>
  </si>
  <si>
    <t>Bucket arm cylinder force extending, +F1 =</t>
  </si>
  <si>
    <t>Bucket arm cylinder force retractinging, -F1 =</t>
  </si>
  <si>
    <t>P*(π*(D - d)^2 / 4)</t>
  </si>
  <si>
    <t>Arm material density: steel=0.291, alum=.101, ρ =</t>
  </si>
  <si>
    <t xml:space="preserve">ρ*t*(2*(L1+6)*(X1 + X3)/2) + (2*(L2+6)*(X3 + X4)/2) </t>
  </si>
  <si>
    <t>Arm top &amp; bottom plate width,  b =</t>
  </si>
  <si>
    <t>ρ*t*b*2*(L1 + L2 + 14)</t>
  </si>
  <si>
    <t>Note: Pin maximum shear stress is 1.33 x average shear stress</t>
  </si>
  <si>
    <t>(Sbs * 2 * Pi* D1^2/ 4) / 1.33</t>
  </si>
  <si>
    <t>MINIMUM SAFETY FACTOR</t>
  </si>
  <si>
    <t>D8R Track-Type Tractor operating weight is 82,850 lbs.</t>
  </si>
  <si>
    <t>Vehicle gross power due to grade only,  HPg =</t>
  </si>
  <si>
    <t>Vehicle net power due to grade only,  HPgn =</t>
  </si>
  <si>
    <t>Vehicle draw-bar pull due to grade only,  Pg =</t>
  </si>
  <si>
    <t>VEHICLE GROSS WEIGHT W IS EQUAL TO EMPTY WEIGHT PLUSS PAYLOAD</t>
  </si>
  <si>
    <t>AIR DRAG POWER IN STILL AIR</t>
  </si>
  <si>
    <t>MULTIPLATE CLUTCH TORQUE CAPACITY, T</t>
  </si>
  <si>
    <t>Clutch rotational speed,  N =</t>
  </si>
  <si>
    <t>Power transmitted, P =</t>
  </si>
  <si>
    <t>2*π*N*T / 33000</t>
  </si>
  <si>
    <t>ALL WHEEL DRIVE, ENGINE TORQUE REQURED TO SLIP TIRES</t>
  </si>
  <si>
    <t>Rolling radius of driving wheels,  r =</t>
  </si>
  <si>
    <t xml:space="preserve">DRIVING WHEEL TRACTIVE FORCE </t>
  </si>
  <si>
    <t xml:space="preserve">OVERALL VEHICLE GEAR REDUCTION  </t>
  </si>
  <si>
    <t>Draw bar pull,  Pd =</t>
  </si>
  <si>
    <t>EXAMPLE:  DIESEL CYCLE EFFICIENCY</t>
  </si>
  <si>
    <t>CELLS IN THIS EXAMPLE ARE LOCKED - SEE PROBLEM BELOW THIS EXAMPLE</t>
  </si>
  <si>
    <t>PROBLEM:  DIESEL CYCLE EFFICIENCY</t>
  </si>
  <si>
    <t>Below is the image at: australia.cat.com/cda/layout?m=304236&amp;x=7&amp;f=</t>
  </si>
  <si>
    <t>CAT BACKHOE LOADER</t>
  </si>
  <si>
    <t>Rod end hydraulic pressure,  P2 =</t>
  </si>
  <si>
    <t>Head end hydraulic pressure,  P1 =</t>
  </si>
  <si>
    <t xml:space="preserve">in </t>
  </si>
  <si>
    <t xml:space="preserve">PUMP ROTATIONAL SPEED </t>
  </si>
  <si>
    <t>Motor flow,  GPM =</t>
  </si>
  <si>
    <t>Motor pressure,  P =</t>
  </si>
  <si>
    <t>Motor efficiency,  e =</t>
  </si>
  <si>
    <t>Combined vibration shock factor,   K =</t>
  </si>
  <si>
    <t>K*M*(X/2) / Izz - P/A</t>
  </si>
  <si>
    <t>K*M*(X/2) / Izz + P/A</t>
  </si>
  <si>
    <t>K*V/(16*t*Izz)*(B*(H^2 - h^2) + 2*t*h^2)</t>
  </si>
  <si>
    <t>Bucket arm cylinder tension or compression, F1 =</t>
  </si>
  <si>
    <t>Plate allowable bearing stress, Spb =</t>
  </si>
  <si>
    <t>Side plate shear strength, Pps =</t>
  </si>
  <si>
    <t>Side plate bearing strength, Ppb =</t>
  </si>
  <si>
    <t>Side plate tension strength, Pct =</t>
  </si>
  <si>
    <t>Each side plate reinforcement thickness,  t  =</t>
  </si>
  <si>
    <t>Applied load x vibration shock factor , Pvs =</t>
  </si>
  <si>
    <t>K * Pa</t>
  </si>
  <si>
    <t>Pmin / Pvs</t>
  </si>
  <si>
    <t>UNITS</t>
  </si>
  <si>
    <t>Temperature is the intensity of heat:</t>
  </si>
  <si>
    <t>Temperature is measured in: ISO degrees Centigrade, Kelvin and US degrees Fahrenheit, Rankin.</t>
  </si>
  <si>
    <t xml:space="preserve">Input </t>
  </si>
  <si>
    <t>T =</t>
  </si>
  <si>
    <t>deg F</t>
  </si>
  <si>
    <t>5*(deg F - 32)/9</t>
  </si>
  <si>
    <t>(9*deg C/5) + 32</t>
  </si>
  <si>
    <t>deg C + 273</t>
  </si>
  <si>
    <t>deg F + 460</t>
  </si>
  <si>
    <t>deg R</t>
  </si>
  <si>
    <t>CONVERT FROM ISO METRIC UNITS TO US UNITS</t>
  </si>
  <si>
    <t>INPUT QTY</t>
  </si>
  <si>
    <t>Divide by</t>
  </si>
  <si>
    <t>OBTAIN</t>
  </si>
  <si>
    <t>m</t>
  </si>
  <si>
    <t>kg</t>
  </si>
  <si>
    <t>lbm</t>
  </si>
  <si>
    <t>s</t>
  </si>
  <si>
    <t>--</t>
  </si>
  <si>
    <t>m/s</t>
  </si>
  <si>
    <t>rad/s</t>
  </si>
  <si>
    <t>N</t>
  </si>
  <si>
    <t>lbf</t>
  </si>
  <si>
    <t>J</t>
  </si>
  <si>
    <t>ft-lbf</t>
  </si>
  <si>
    <t>Btu</t>
  </si>
  <si>
    <t>Watts</t>
  </si>
  <si>
    <t>ft-lbf/sec</t>
  </si>
  <si>
    <t>Watts or J/s</t>
  </si>
  <si>
    <t>Btu/sec</t>
  </si>
  <si>
    <t>kg/s</t>
  </si>
  <si>
    <t>lbm/sec</t>
  </si>
  <si>
    <t>kJ/kg-deg K</t>
  </si>
  <si>
    <t>Btu/lbm-deg R</t>
  </si>
  <si>
    <t>Btu/lbm</t>
  </si>
  <si>
    <t>CONVERT FROM US TO METRIC UNITS</t>
  </si>
  <si>
    <t>multiply by</t>
  </si>
  <si>
    <t>W</t>
  </si>
  <si>
    <t>W or J/s</t>
  </si>
  <si>
    <t>Engine crankshaft speed,  N =</t>
  </si>
  <si>
    <t>Hydraulic pipe internal diameter,  pd =</t>
  </si>
  <si>
    <t>Piston extension volume,  v = A * x =</t>
  </si>
  <si>
    <t>From road building, mill yard and reforestation, to purpose-built machines that harvest, extract and load.</t>
  </si>
  <si>
    <t>CATAPILLAR</t>
  </si>
  <si>
    <t xml:space="preserve">M369 EARTH  MOVING  EQUIPMENT ENGINEERING SPREADSHEET </t>
  </si>
  <si>
    <r>
      <t>» </t>
    </r>
    <r>
      <rPr>
        <b/>
        <sz val="12"/>
        <color theme="1"/>
        <rFont val="Arial"/>
        <family val="2"/>
      </rPr>
      <t xml:space="preserve">•  </t>
    </r>
    <r>
      <rPr>
        <b/>
        <sz val="12"/>
        <color rgb="FF006699"/>
        <rFont val="Arial"/>
        <family val="2"/>
      </rPr>
      <t>Demolition &amp; Scrap</t>
    </r>
  </si>
  <si>
    <r>
      <t>» </t>
    </r>
    <r>
      <rPr>
        <b/>
        <sz val="12"/>
        <color theme="1"/>
        <rFont val="Arial"/>
        <family val="2"/>
      </rPr>
      <t xml:space="preserve">•  </t>
    </r>
    <r>
      <rPr>
        <b/>
        <sz val="12"/>
        <color rgb="FF006699"/>
        <rFont val="Arial"/>
        <family val="2"/>
      </rPr>
      <t>Forestry</t>
    </r>
  </si>
  <si>
    <r>
      <t>» </t>
    </r>
    <r>
      <rPr>
        <b/>
        <sz val="12"/>
        <color theme="1"/>
        <rFont val="Arial"/>
        <family val="2"/>
      </rPr>
      <t xml:space="preserve">•  </t>
    </r>
    <r>
      <rPr>
        <b/>
        <sz val="12"/>
        <color rgb="FF006699"/>
        <rFont val="Arial"/>
        <family val="2"/>
      </rPr>
      <t>General Construction</t>
    </r>
  </si>
  <si>
    <r>
      <t>» </t>
    </r>
    <r>
      <rPr>
        <b/>
        <sz val="12"/>
        <color theme="1"/>
        <rFont val="Arial"/>
        <family val="2"/>
      </rPr>
      <t xml:space="preserve">•  </t>
    </r>
    <r>
      <rPr>
        <b/>
        <sz val="12"/>
        <color rgb="FF006699"/>
        <rFont val="Arial"/>
        <family val="2"/>
      </rPr>
      <t>Governmental/Defense</t>
    </r>
  </si>
  <si>
    <r>
      <t>» </t>
    </r>
    <r>
      <rPr>
        <b/>
        <sz val="12"/>
        <color theme="1"/>
        <rFont val="Arial"/>
        <family val="2"/>
      </rPr>
      <t xml:space="preserve">•  </t>
    </r>
    <r>
      <rPr>
        <b/>
        <sz val="12"/>
        <color rgb="FF006699"/>
        <rFont val="Arial"/>
        <family val="2"/>
      </rPr>
      <t>Heavy Construction</t>
    </r>
  </si>
  <si>
    <r>
      <t>» </t>
    </r>
    <r>
      <rPr>
        <b/>
        <sz val="12"/>
        <color theme="1"/>
        <rFont val="Arial"/>
        <family val="2"/>
      </rPr>
      <t xml:space="preserve">•  </t>
    </r>
    <r>
      <rPr>
        <b/>
        <sz val="12"/>
        <color rgb="FF006699"/>
        <rFont val="Arial"/>
        <family val="2"/>
      </rPr>
      <t>Industrial</t>
    </r>
  </si>
  <si>
    <r>
      <t>» </t>
    </r>
    <r>
      <rPr>
        <b/>
        <sz val="12"/>
        <color theme="1"/>
        <rFont val="Arial"/>
        <family val="2"/>
      </rPr>
      <t xml:space="preserve">•  </t>
    </r>
    <r>
      <rPr>
        <b/>
        <sz val="12"/>
        <color rgb="FF006699"/>
        <rFont val="Arial"/>
        <family val="2"/>
      </rPr>
      <t>Landscaping</t>
    </r>
  </si>
  <si>
    <r>
      <t>» </t>
    </r>
    <r>
      <rPr>
        <b/>
        <sz val="12"/>
        <color theme="1"/>
        <rFont val="Arial"/>
        <family val="2"/>
      </rPr>
      <t xml:space="preserve">•  </t>
    </r>
    <r>
      <rPr>
        <b/>
        <sz val="12"/>
        <color rgb="FF006699"/>
        <rFont val="Arial"/>
        <family val="2"/>
      </rPr>
      <t>Marine</t>
    </r>
  </si>
  <si>
    <r>
      <t>» </t>
    </r>
    <r>
      <rPr>
        <b/>
        <sz val="12"/>
        <color theme="1"/>
        <rFont val="Arial"/>
        <family val="2"/>
      </rPr>
      <t xml:space="preserve">•  </t>
    </r>
    <r>
      <rPr>
        <b/>
        <sz val="12"/>
        <color rgb="FF006699"/>
        <rFont val="Arial"/>
        <family val="2"/>
      </rPr>
      <t>Mining</t>
    </r>
  </si>
  <si>
    <r>
      <t>» </t>
    </r>
    <r>
      <rPr>
        <b/>
        <sz val="12"/>
        <color theme="1"/>
        <rFont val="Arial"/>
        <family val="2"/>
      </rPr>
      <t xml:space="preserve">•  </t>
    </r>
    <r>
      <rPr>
        <b/>
        <sz val="12"/>
        <color rgb="FF006699"/>
        <rFont val="Arial"/>
        <family val="2"/>
      </rPr>
      <t>Oil &amp; Gas</t>
    </r>
  </si>
  <si>
    <r>
      <t>» </t>
    </r>
    <r>
      <rPr>
        <b/>
        <sz val="12"/>
        <color theme="1"/>
        <rFont val="Arial"/>
        <family val="2"/>
      </rPr>
      <t xml:space="preserve">•  </t>
    </r>
    <r>
      <rPr>
        <b/>
        <sz val="12"/>
        <color rgb="FF006699"/>
        <rFont val="Arial"/>
        <family val="2"/>
      </rPr>
      <t>Paving</t>
    </r>
  </si>
  <si>
    <r>
      <t>» </t>
    </r>
    <r>
      <rPr>
        <b/>
        <sz val="12"/>
        <color theme="1"/>
        <rFont val="Arial"/>
        <family val="2"/>
      </rPr>
      <t xml:space="preserve">•  </t>
    </r>
    <r>
      <rPr>
        <b/>
        <sz val="12"/>
        <color rgb="FF006699"/>
        <rFont val="Arial"/>
        <family val="2"/>
      </rPr>
      <t>Pipeline</t>
    </r>
  </si>
  <si>
    <r>
      <t>» </t>
    </r>
    <r>
      <rPr>
        <b/>
        <sz val="12"/>
        <color theme="1"/>
        <rFont val="Arial"/>
        <family val="2"/>
      </rPr>
      <t xml:space="preserve">•  </t>
    </r>
    <r>
      <rPr>
        <b/>
        <sz val="12"/>
        <color rgb="FF006699"/>
        <rFont val="Arial"/>
        <family val="2"/>
      </rPr>
      <t>Power Generation</t>
    </r>
  </si>
  <si>
    <r>
      <t>» </t>
    </r>
    <r>
      <rPr>
        <b/>
        <sz val="12"/>
        <color theme="1"/>
        <rFont val="Arial"/>
        <family val="2"/>
      </rPr>
      <t xml:space="preserve">•  </t>
    </r>
    <r>
      <rPr>
        <b/>
        <sz val="12"/>
        <color rgb="FF006699"/>
        <rFont val="Arial"/>
        <family val="2"/>
      </rPr>
      <t>Quarry &amp; Aggregates</t>
    </r>
  </si>
  <si>
    <r>
      <t>» </t>
    </r>
    <r>
      <rPr>
        <b/>
        <sz val="12"/>
        <color theme="1"/>
        <rFont val="Arial"/>
        <family val="2"/>
      </rPr>
      <t xml:space="preserve">•  </t>
    </r>
    <r>
      <rPr>
        <b/>
        <sz val="12"/>
        <color rgb="FF006699"/>
        <rFont val="Arial"/>
        <family val="2"/>
      </rPr>
      <t>Waste</t>
    </r>
  </si>
  <si>
    <t xml:space="preserve">John Andrew LLC </t>
  </si>
  <si>
    <t>Copyright © 12/15/2022</t>
  </si>
  <si>
    <t>END OF SECTION</t>
  </si>
  <si>
    <r>
      <t>http://www.cat.com/</t>
    </r>
    <r>
      <rPr>
        <sz val="14"/>
        <color rgb="FF000000"/>
        <rFont val="Arial"/>
        <family val="2"/>
      </rPr>
      <t xml:space="preserve"> </t>
    </r>
  </si>
  <si>
    <r>
      <t>http://www.cat.com/</t>
    </r>
    <r>
      <rPr>
        <sz val="14"/>
        <color rgb="FF000000"/>
        <rFont val="Arial"/>
        <family val="2"/>
      </rPr>
      <t xml:space="preserve">  </t>
    </r>
  </si>
  <si>
    <t xml:space="preserve">http://www.cat.com </t>
  </si>
  <si>
    <t>http://www.cat.com</t>
  </si>
  <si>
    <t xml:space="preserve">http://www.cat.com  </t>
  </si>
  <si>
    <t xml:space="preserve">EXAMPLE ONLY </t>
  </si>
  <si>
    <t xml:space="preserve">CELLS IN THIS EXAMPLE ARE LOCKED </t>
  </si>
  <si>
    <t>Goal Seek Method</t>
  </si>
  <si>
    <t>THAT WILL REDUCE GROSS POWER ABOVE FROM 300 HP TO 168 HP</t>
  </si>
  <si>
    <t xml:space="preserve">"GOAL SEEK" BELOW TO DETERMINE THE VEHICLE GROUND SPEED </t>
  </si>
  <si>
    <t>ANSWER:  20 mph</t>
  </si>
  <si>
    <t>2 - Pick drop-down menu: Data &gt; What-If Analysis &gt; To value: (200 hp) &gt; By changing cell: pick cell C71.</t>
  </si>
  <si>
    <t>1 - Pick Cell C82 containing a formula with value (335 hp).</t>
  </si>
  <si>
    <t>3 - OK - See the "Goal Seek" dialog box below.</t>
  </si>
  <si>
    <t>4 - Result: Vehicle ground speed,  S =24 mph when vehicle power is 200 hp.</t>
  </si>
  <si>
    <t>GRADE  DRIVE RESISTANCE (Rg)</t>
  </si>
  <si>
    <t>LEVEL ROAD ROLLING RESISTANCE (Rr)</t>
  </si>
  <si>
    <r>
      <t xml:space="preserve">Drag Coefficient (Cd)                                                                                                                                    </t>
    </r>
    <r>
      <rPr>
        <sz val="14"/>
        <color rgb="FF000000"/>
        <rFont val="Arial"/>
        <family val="2"/>
      </rPr>
      <t xml:space="preserve"> </t>
    </r>
  </si>
  <si>
    <r>
      <t>Q</t>
    </r>
    <r>
      <rPr>
        <b/>
        <vertAlign val="subscript"/>
        <sz val="12"/>
        <rFont val="Arial"/>
        <family val="2"/>
      </rPr>
      <t>3-4</t>
    </r>
    <r>
      <rPr>
        <b/>
        <sz val="12"/>
        <rFont val="Arial"/>
        <family val="2"/>
      </rPr>
      <t xml:space="preserve"> + Q</t>
    </r>
    <r>
      <rPr>
        <b/>
        <vertAlign val="subscript"/>
        <sz val="12"/>
        <rFont val="Arial"/>
        <family val="2"/>
      </rPr>
      <t>4-1</t>
    </r>
  </si>
  <si>
    <r>
      <t>1. ^</t>
    </r>
    <r>
      <rPr>
        <sz val="12"/>
        <color theme="1"/>
        <rFont val="Arial"/>
        <family val="2"/>
      </rPr>
      <t xml:space="preserve"> Anthracite, average</t>
    </r>
  </si>
  <si>
    <r>
      <t>2. ^</t>
    </r>
    <r>
      <rPr>
        <sz val="12"/>
        <color theme="1"/>
        <rFont val="Arial"/>
        <family val="2"/>
      </rPr>
      <t xml:space="preserve"> Groningen (The Netherlands)</t>
    </r>
  </si>
  <si>
    <r>
      <t xml:space="preserve">3. ^ </t>
    </r>
    <r>
      <rPr>
        <b/>
        <i/>
        <vertAlign val="superscript"/>
        <sz val="12"/>
        <color theme="1"/>
        <rFont val="Arial"/>
        <family val="2"/>
      </rPr>
      <t>a</t>
    </r>
    <r>
      <rPr>
        <sz val="12"/>
        <color theme="1"/>
        <rFont val="Arial"/>
        <family val="2"/>
      </rPr>
      <t xml:space="preserve"> </t>
    </r>
    <r>
      <rPr>
        <b/>
        <i/>
        <vertAlign val="superscript"/>
        <sz val="12"/>
        <color theme="1"/>
        <rFont val="Arial"/>
        <family val="2"/>
      </rPr>
      <t>b</t>
    </r>
    <r>
      <rPr>
        <sz val="12"/>
        <color theme="1"/>
        <rFont val="Arial"/>
        <family val="2"/>
      </rPr>
      <t xml:space="preserve"> Average gas station fuels</t>
    </r>
  </si>
  <si>
    <r>
      <t xml:space="preserve">Coal </t>
    </r>
    <r>
      <rPr>
        <b/>
        <vertAlign val="superscript"/>
        <sz val="14"/>
        <color theme="1"/>
        <rFont val="Arial"/>
        <family val="2"/>
      </rPr>
      <t>[note 1]</t>
    </r>
  </si>
  <si>
    <r>
      <t xml:space="preserve">Natural gas </t>
    </r>
    <r>
      <rPr>
        <b/>
        <vertAlign val="superscript"/>
        <sz val="14"/>
        <color theme="1"/>
        <rFont val="Arial"/>
        <family val="2"/>
      </rPr>
      <t>[note 2]</t>
    </r>
  </si>
  <si>
    <r>
      <t xml:space="preserve">Gasoline </t>
    </r>
    <r>
      <rPr>
        <b/>
        <vertAlign val="superscript"/>
        <sz val="14"/>
        <color theme="1"/>
        <rFont val="Arial"/>
        <family val="2"/>
      </rPr>
      <t>[note 3]</t>
    </r>
  </si>
  <si>
    <r>
      <t xml:space="preserve">Diesel </t>
    </r>
    <r>
      <rPr>
        <b/>
        <vertAlign val="superscript"/>
        <sz val="14"/>
        <color theme="1"/>
        <rFont val="Arial"/>
        <family val="2"/>
      </rPr>
      <t>[note 3]</t>
    </r>
  </si>
  <si>
    <t xml:space="preserve">CELLS IN THE PROBLEM BELOW ARE UNLOCKED </t>
  </si>
  <si>
    <t>USE THIS PROBLEM</t>
  </si>
  <si>
    <t>4. Pick the "By changing cell" (GREEN CELL) box and OK.</t>
  </si>
  <si>
    <t>1. Pick the (YELLOW CELL)  below containing Equation-6</t>
  </si>
  <si>
    <r>
      <t>Counter-Clockwise moment due to F1:  M2</t>
    </r>
    <r>
      <rPr>
        <vertAlign val="subscript"/>
        <sz val="12"/>
        <color theme="1"/>
        <rFont val="Arial"/>
        <family val="2"/>
      </rPr>
      <t>F1</t>
    </r>
    <r>
      <rPr>
        <sz val="12"/>
        <color theme="1"/>
        <rFont val="Arial"/>
        <family val="2"/>
      </rPr>
      <t xml:space="preserve"> =</t>
    </r>
  </si>
  <si>
    <r>
      <t>Clockwise moment about pin 2 due to F3:  M2</t>
    </r>
    <r>
      <rPr>
        <vertAlign val="subscript"/>
        <sz val="12"/>
        <color theme="1"/>
        <rFont val="Arial"/>
        <family val="2"/>
      </rPr>
      <t>F3</t>
    </r>
    <r>
      <rPr>
        <sz val="12"/>
        <color theme="1"/>
        <rFont val="Arial"/>
        <family val="2"/>
      </rPr>
      <t xml:space="preserve"> =</t>
    </r>
  </si>
  <si>
    <r>
      <t>M2</t>
    </r>
    <r>
      <rPr>
        <vertAlign val="subscript"/>
        <sz val="12"/>
        <color theme="1"/>
        <rFont val="Arial"/>
        <family val="2"/>
      </rPr>
      <t>F1</t>
    </r>
    <r>
      <rPr>
        <sz val="12"/>
        <color theme="1"/>
        <rFont val="Arial"/>
        <family val="2"/>
      </rPr>
      <t xml:space="preserve"> + Mw =</t>
    </r>
  </si>
  <si>
    <r>
      <t>M2</t>
    </r>
    <r>
      <rPr>
        <vertAlign val="subscript"/>
        <sz val="12"/>
        <color theme="1"/>
        <rFont val="Arial"/>
        <family val="2"/>
      </rPr>
      <t>F3</t>
    </r>
  </si>
  <si>
    <t>Bucket Arm Cylinder</t>
  </si>
  <si>
    <t>Angle in radians =</t>
  </si>
  <si>
    <t>PIN CONNECTION STRENGTH</t>
  </si>
  <si>
    <r>
      <t>m</t>
    </r>
    <r>
      <rPr>
        <b/>
        <vertAlign val="superscript"/>
        <sz val="12"/>
        <rFont val="Arial"/>
        <family val="2"/>
      </rPr>
      <t>2</t>
    </r>
  </si>
  <si>
    <r>
      <t>ft</t>
    </r>
    <r>
      <rPr>
        <b/>
        <vertAlign val="superscript"/>
        <sz val="12"/>
        <rFont val="Arial"/>
        <family val="2"/>
      </rPr>
      <t>2</t>
    </r>
  </si>
  <si>
    <r>
      <t>m</t>
    </r>
    <r>
      <rPr>
        <b/>
        <vertAlign val="superscript"/>
        <sz val="12"/>
        <rFont val="Arial"/>
        <family val="2"/>
      </rPr>
      <t>3</t>
    </r>
  </si>
  <si>
    <r>
      <t>ft</t>
    </r>
    <r>
      <rPr>
        <b/>
        <vertAlign val="superscript"/>
        <sz val="12"/>
        <rFont val="Arial"/>
        <family val="2"/>
      </rPr>
      <t>3</t>
    </r>
  </si>
  <si>
    <r>
      <t>m/s</t>
    </r>
    <r>
      <rPr>
        <b/>
        <vertAlign val="superscript"/>
        <sz val="12"/>
        <rFont val="Arial"/>
        <family val="2"/>
      </rPr>
      <t>2</t>
    </r>
  </si>
  <si>
    <r>
      <t>ft/sec</t>
    </r>
    <r>
      <rPr>
        <b/>
        <vertAlign val="superscript"/>
        <sz val="12"/>
        <rFont val="Arial"/>
        <family val="2"/>
      </rPr>
      <t>2</t>
    </r>
  </si>
  <si>
    <r>
      <t>sec</t>
    </r>
    <r>
      <rPr>
        <b/>
        <vertAlign val="superscript"/>
        <sz val="12"/>
        <rFont val="Arial"/>
        <family val="2"/>
      </rPr>
      <t>-1</t>
    </r>
  </si>
  <si>
    <r>
      <t>kg/m</t>
    </r>
    <r>
      <rPr>
        <b/>
        <vertAlign val="superscript"/>
        <sz val="12"/>
        <rFont val="Arial"/>
        <family val="2"/>
      </rPr>
      <t>3</t>
    </r>
  </si>
  <si>
    <r>
      <t>lbm/ft</t>
    </r>
    <r>
      <rPr>
        <b/>
        <vertAlign val="superscript"/>
        <sz val="12"/>
        <rFont val="Arial"/>
        <family val="2"/>
      </rPr>
      <t>3</t>
    </r>
  </si>
  <si>
    <r>
      <t>N/m</t>
    </r>
    <r>
      <rPr>
        <b/>
        <vertAlign val="superscript"/>
        <sz val="12"/>
        <rFont val="Arial"/>
        <family val="2"/>
      </rPr>
      <t>3</t>
    </r>
  </si>
  <si>
    <r>
      <t>lbf/ft</t>
    </r>
    <r>
      <rPr>
        <b/>
        <vertAlign val="superscript"/>
        <sz val="12"/>
        <rFont val="Arial"/>
        <family val="2"/>
      </rPr>
      <t>3</t>
    </r>
  </si>
  <si>
    <r>
      <t>lbf/ft</t>
    </r>
    <r>
      <rPr>
        <b/>
        <vertAlign val="superscript"/>
        <sz val="12"/>
        <rFont val="Arial"/>
        <family val="2"/>
      </rPr>
      <t>2</t>
    </r>
  </si>
  <si>
    <r>
      <t>m</t>
    </r>
    <r>
      <rPr>
        <b/>
        <vertAlign val="superscript"/>
        <sz val="12"/>
        <rFont val="Arial"/>
        <family val="2"/>
      </rPr>
      <t>3</t>
    </r>
    <r>
      <rPr>
        <b/>
        <sz val="12"/>
        <rFont val="Arial"/>
        <family val="2"/>
      </rPr>
      <t>/s</t>
    </r>
  </si>
  <si>
    <r>
      <t>ft</t>
    </r>
    <r>
      <rPr>
        <b/>
        <vertAlign val="superscript"/>
        <sz val="12"/>
        <rFont val="Arial"/>
        <family val="2"/>
      </rPr>
      <t>3</t>
    </r>
    <r>
      <rPr>
        <b/>
        <sz val="12"/>
        <rFont val="Arial"/>
        <family val="2"/>
      </rPr>
      <t>/sec</t>
    </r>
  </si>
  <si>
    <r>
      <t>m</t>
    </r>
    <r>
      <rPr>
        <b/>
        <vertAlign val="superscript"/>
        <sz val="12"/>
        <rFont val="Arial"/>
        <family val="2"/>
      </rPr>
      <t>3</t>
    </r>
    <r>
      <rPr>
        <b/>
        <sz val="12"/>
        <rFont val="Arial"/>
        <family val="2"/>
      </rPr>
      <t>/kg</t>
    </r>
  </si>
  <si>
    <r>
      <t>ft</t>
    </r>
    <r>
      <rPr>
        <b/>
        <vertAlign val="superscript"/>
        <sz val="12"/>
        <rFont val="Arial"/>
        <family val="2"/>
      </rPr>
      <t>3</t>
    </r>
    <r>
      <rPr>
        <b/>
        <sz val="12"/>
        <rFont val="Arial"/>
        <family val="2"/>
      </rPr>
      <t>/lbm</t>
    </r>
  </si>
  <si>
    <r>
      <t>M = Mega = 10</t>
    </r>
    <r>
      <rPr>
        <b/>
        <vertAlign val="superscript"/>
        <sz val="12"/>
        <rFont val="Arial"/>
        <family val="2"/>
      </rPr>
      <t>6</t>
    </r>
  </si>
  <si>
    <r>
      <t>k = kilo = 10</t>
    </r>
    <r>
      <rPr>
        <b/>
        <vertAlign val="superscript"/>
        <sz val="12"/>
        <rFont val="Arial"/>
        <family val="2"/>
      </rPr>
      <t>3</t>
    </r>
  </si>
  <si>
    <t>MATH TOOLS</t>
  </si>
  <si>
    <t xml:space="preserve">Unlock a worksheet with "Unprotect" </t>
  </si>
  <si>
    <t>Step-1</t>
  </si>
  <si>
    <t xml:space="preserve">HOME </t>
  </si>
  <si>
    <t>Step-2</t>
  </si>
  <si>
    <t xml:space="preserve">Format </t>
  </si>
  <si>
    <t>Step-3</t>
  </si>
  <si>
    <t>Unprotect Sheet</t>
  </si>
  <si>
    <t>Step-4</t>
  </si>
  <si>
    <t>OK</t>
  </si>
  <si>
    <t xml:space="preserve">Lock a worksheet with "Protect Sheet" </t>
  </si>
  <si>
    <t>Protect Sheet Box Opens</t>
  </si>
  <si>
    <t>Step-5</t>
  </si>
  <si>
    <t>NEW EXCEL</t>
  </si>
  <si>
    <t>OLD EXCEL</t>
  </si>
  <si>
    <t>Step-6</t>
  </si>
  <si>
    <t>Step-7</t>
  </si>
  <si>
    <t>Protect Sheet</t>
  </si>
  <si>
    <t>Password is not required.</t>
  </si>
  <si>
    <t>Check the "Protect Sheet" two boxes right &gt;&gt;</t>
  </si>
  <si>
    <t>Select Unlocked Cells</t>
  </si>
  <si>
    <t>Format Cells</t>
  </si>
  <si>
    <t>Step</t>
  </si>
  <si>
    <t>Enter</t>
  </si>
  <si>
    <t>Follow Steps&gt;&gt;</t>
  </si>
  <si>
    <t xml:space="preserve">GOAL SEEK </t>
  </si>
  <si>
    <t>Format</t>
  </si>
  <si>
    <t>V =</t>
  </si>
  <si>
    <t>llbs</t>
  </si>
  <si>
    <t>Horizontal force, H =</t>
  </si>
  <si>
    <t>TAN(A) =</t>
  </si>
  <si>
    <t>V/H</t>
  </si>
  <si>
    <t>Number</t>
  </si>
  <si>
    <t>Vertical force, V =</t>
  </si>
  <si>
    <t>number</t>
  </si>
  <si>
    <t>Decimal Places</t>
  </si>
  <si>
    <t>Calculation</t>
  </si>
  <si>
    <t>Angle  A =</t>
  </si>
  <si>
    <t>ATAN(V/H)</t>
  </si>
  <si>
    <t>Resultant force, R =</t>
  </si>
  <si>
    <t>( H^2 + V^2 )^(1/2)</t>
  </si>
  <si>
    <t>radians</t>
  </si>
  <si>
    <t>A radians =</t>
  </si>
  <si>
    <t xml:space="preserve">57.3*A </t>
  </si>
  <si>
    <t>degrees</t>
  </si>
  <si>
    <t>Angle, A =</t>
  </si>
  <si>
    <t>57.30 * ATAN(V / H)</t>
  </si>
  <si>
    <t>57.3*A</t>
  </si>
  <si>
    <t>GOAL SEEK method</t>
  </si>
  <si>
    <t>Step-1  Select the green cell C38 containing a formula.</t>
  </si>
  <si>
    <t>Step-2  Select: DATA  &gt; What-If Analysis &gt; Goal Seek</t>
  </si>
  <si>
    <t>Step-3  To value: 14, for example</t>
  </si>
  <si>
    <t>Step-4  Pick cell containing value to be changed by Excel: C34 or C35 &gt; OK</t>
  </si>
  <si>
    <t>Select &gt; OK and "Goal Seek Status'&gt;&gt; will open &gt; OK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</si>
</sst>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0.000000"/>
    <numFmt numFmtId="165" formatCode="0.0"/>
    <numFmt numFmtId="166" formatCode="0.000"/>
    <numFmt numFmtId="167" formatCode="0.0%"/>
    <numFmt numFmtId="168" formatCode="0.0000"/>
    <numFmt numFmtId="169" formatCode="0.00000"/>
  </numFmts>
  <fonts count="41" x14ac:knownFonts="1">
    <font>
      <sz val="10"/>
      <color theme="1"/>
      <name val="Arial"/>
      <family val="2"/>
    </font>
    <font>
      <b/>
      <sz val="12"/>
      <color rgb="FF0070C0"/>
      <name val="Arial"/>
      <family val="2"/>
    </font>
    <font>
      <u/>
      <sz val="10"/>
      <color theme="10"/>
      <name val="Arial"/>
      <family val="2"/>
    </font>
    <font>
      <b/>
      <sz val="12"/>
      <color theme="1"/>
      <name val="Arial"/>
      <family val="2"/>
    </font>
    <font>
      <b/>
      <sz val="14"/>
      <color theme="1"/>
      <name val="Arial"/>
      <family val="2"/>
    </font>
    <font>
      <b/>
      <sz val="12"/>
      <color rgb="FF000000"/>
      <name val="Arial"/>
      <family val="2"/>
    </font>
    <font>
      <sz val="12"/>
      <color rgb="FF000000"/>
      <name val="Arial"/>
      <family val="2"/>
    </font>
    <font>
      <sz val="10"/>
      <color theme="1"/>
      <name val="Arial"/>
      <family val="2"/>
    </font>
    <font>
      <b/>
      <sz val="12"/>
      <name val="Arial"/>
      <family val="2"/>
    </font>
    <font>
      <sz val="10"/>
      <name val="Arial"/>
      <family val="2"/>
    </font>
    <font>
      <b/>
      <sz val="12"/>
      <color indexed="10"/>
      <name val="Arial"/>
      <family val="2"/>
    </font>
    <font>
      <b/>
      <sz val="14"/>
      <name val="Arial"/>
      <family val="2"/>
    </font>
    <font>
      <sz val="12"/>
      <color theme="1"/>
      <name val="Arial"/>
      <family val="2"/>
    </font>
    <font>
      <sz val="12"/>
      <name val="Arial"/>
      <family val="2"/>
    </font>
    <font>
      <b/>
      <u/>
      <sz val="12"/>
      <name val="Arial"/>
      <family val="2"/>
    </font>
    <font>
      <b/>
      <u/>
      <sz val="12"/>
      <color rgb="FF000000"/>
      <name val="Calibri"/>
      <family val="2"/>
    </font>
    <font>
      <u/>
      <sz val="12"/>
      <color theme="10"/>
      <name val="Arial"/>
      <family val="2"/>
    </font>
    <font>
      <b/>
      <sz val="12"/>
      <color rgb="FFFFFFFF"/>
      <name val="Arial"/>
      <family val="2"/>
    </font>
    <font>
      <b/>
      <sz val="12"/>
      <color rgb="FF888888"/>
      <name val="Arial"/>
      <family val="2"/>
    </font>
    <font>
      <b/>
      <sz val="12"/>
      <color rgb="FF006699"/>
      <name val="Arial"/>
      <family val="2"/>
    </font>
    <font>
      <sz val="12"/>
      <color rgb="FF000000"/>
      <name val="Calibri"/>
      <family val="2"/>
    </font>
    <font>
      <b/>
      <sz val="16"/>
      <name val="Arial"/>
      <family val="2"/>
    </font>
    <font>
      <sz val="14"/>
      <color theme="1"/>
      <name val="Arial"/>
      <family val="2"/>
    </font>
    <font>
      <b/>
      <sz val="16"/>
      <color theme="1"/>
      <name val="Arial"/>
      <family val="2"/>
    </font>
    <font>
      <u/>
      <sz val="14"/>
      <color rgb="FF000000"/>
      <name val="Arial"/>
      <family val="2"/>
    </font>
    <font>
      <sz val="14"/>
      <color rgb="FF000000"/>
      <name val="Arial"/>
      <family val="2"/>
    </font>
    <font>
      <u/>
      <sz val="14"/>
      <color theme="10"/>
      <name val="Arial"/>
      <family val="2"/>
    </font>
    <font>
      <b/>
      <sz val="12"/>
      <color rgb="FFFF0000"/>
      <name val="Arial"/>
      <family val="2"/>
    </font>
    <font>
      <sz val="12"/>
      <color rgb="FF333333"/>
      <name val="Verdana"/>
      <family val="2"/>
    </font>
    <font>
      <b/>
      <sz val="14"/>
      <color rgb="FF000000"/>
      <name val="Arial"/>
      <family val="2"/>
    </font>
    <font>
      <b/>
      <vertAlign val="subscript"/>
      <sz val="12"/>
      <name val="Arial"/>
      <family val="2"/>
    </font>
    <font>
      <b/>
      <i/>
      <vertAlign val="superscript"/>
      <sz val="12"/>
      <color theme="1"/>
      <name val="Arial"/>
      <family val="2"/>
    </font>
    <font>
      <b/>
      <vertAlign val="superscript"/>
      <sz val="14"/>
      <color theme="1"/>
      <name val="Arial"/>
      <family val="2"/>
    </font>
    <font>
      <b/>
      <u/>
      <sz val="14"/>
      <color theme="10"/>
      <name val="Arial"/>
      <family val="2"/>
    </font>
    <font>
      <b/>
      <u/>
      <sz val="12"/>
      <color theme="1"/>
      <name val="Arial"/>
      <family val="2"/>
    </font>
    <font>
      <u/>
      <sz val="12"/>
      <color theme="1"/>
      <name val="Arial"/>
      <family val="2"/>
    </font>
    <font>
      <vertAlign val="subscript"/>
      <sz val="12"/>
      <color theme="1"/>
      <name val="Arial"/>
      <family val="2"/>
    </font>
    <font>
      <sz val="12"/>
      <color rgb="FFFF0000"/>
      <name val="Arial"/>
      <family val="2"/>
    </font>
    <font>
      <b/>
      <vertAlign val="superscript"/>
      <sz val="12"/>
      <name val="Arial"/>
      <family val="2"/>
    </font>
    <font>
      <sz val="12"/>
      <color indexed="10"/>
      <name val="Arial"/>
      <family val="2"/>
    </font>
    <font>
      <b/>
      <sz val="12"/>
      <color indexed="12"/>
      <name val="Arial"/>
      <family val="2"/>
    </font>
  </fonts>
  <fills count="13">
    <fill>
      <patternFill patternType="none"/>
    </fill>
    <fill>
      <patternFill patternType="gray125"/>
    </fill>
    <fill>
      <patternFill patternType="solid">
        <fgColor rgb="FF666666"/>
        <bgColor indexed="64"/>
      </patternFill>
    </fill>
    <fill>
      <patternFill patternType="solid">
        <fgColor rgb="FFEEEEEE"/>
        <bgColor indexed="64"/>
      </patternFill>
    </fill>
    <fill>
      <patternFill patternType="solid">
        <fgColor rgb="FFFFFFFF"/>
        <bgColor indexed="64"/>
      </patternFill>
    </fill>
    <fill>
      <patternFill patternType="solid">
        <fgColor theme="4" tint="0.79998168889431442"/>
        <bgColor indexed="64"/>
      </patternFill>
    </fill>
    <fill>
      <patternFill patternType="solid">
        <fgColor indexed="13"/>
        <bgColor indexed="64"/>
      </patternFill>
    </fill>
    <fill>
      <patternFill patternType="solid">
        <fgColor indexed="11"/>
        <bgColor indexed="64"/>
      </patternFill>
    </fill>
    <fill>
      <patternFill patternType="solid">
        <fgColor theme="0"/>
        <bgColor indexed="64"/>
      </patternFill>
    </fill>
    <fill>
      <patternFill patternType="solid">
        <fgColor rgb="FFFFFF00"/>
        <bgColor indexed="64"/>
      </patternFill>
    </fill>
    <fill>
      <patternFill patternType="solid">
        <fgColor rgb="FF92D050"/>
        <bgColor indexed="64"/>
      </patternFill>
    </fill>
    <fill>
      <patternFill patternType="solid">
        <fgColor indexed="40"/>
        <bgColor indexed="64"/>
      </patternFill>
    </fill>
    <fill>
      <patternFill patternType="solid">
        <fgColor rgb="FFFFC000"/>
        <bgColor indexed="64"/>
      </patternFill>
    </fill>
  </fills>
  <borders count="18">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rgb="FFCCCCCC"/>
      </bottom>
      <diagonal/>
    </border>
    <border>
      <left/>
      <right style="medium">
        <color indexed="64"/>
      </right>
      <top/>
      <bottom style="medium">
        <color rgb="FFCCCCCC"/>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style="medium">
        <color indexed="64"/>
      </right>
      <top style="medium">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bottom/>
      <diagonal/>
    </border>
  </borders>
  <cellStyleXfs count="4">
    <xf numFmtId="0" fontId="0" fillId="0" borderId="0"/>
    <xf numFmtId="0" fontId="2" fillId="0" borderId="0" applyNumberFormat="0" applyFill="0" applyBorder="0" applyAlignment="0" applyProtection="0">
      <alignment vertical="top"/>
      <protection locked="0"/>
    </xf>
    <xf numFmtId="9" fontId="7" fillId="0" borderId="0" applyFont="0" applyFill="0" applyBorder="0" applyAlignment="0" applyProtection="0"/>
    <xf numFmtId="0" fontId="9" fillId="0" borderId="0"/>
  </cellStyleXfs>
  <cellXfs count="383">
    <xf numFmtId="0" fontId="0" fillId="0" borderId="0" xfId="0"/>
    <xf numFmtId="0" fontId="3" fillId="0" borderId="0" xfId="0" applyFont="1"/>
    <xf numFmtId="0" fontId="1" fillId="0" borderId="0" xfId="0" applyFont="1" applyAlignment="1">
      <alignment horizontal="left"/>
    </xf>
    <xf numFmtId="0" fontId="3" fillId="0" borderId="0" xfId="0" applyFont="1" applyAlignment="1">
      <alignment horizontal="left"/>
    </xf>
    <xf numFmtId="0" fontId="3" fillId="0" borderId="10" xfId="0" applyFont="1" applyBorder="1" applyAlignment="1">
      <alignment horizontal="center"/>
    </xf>
    <xf numFmtId="0" fontId="3" fillId="5" borderId="0" xfId="0" applyFont="1" applyFill="1" applyAlignment="1">
      <alignment horizontal="left"/>
    </xf>
    <xf numFmtId="0" fontId="8" fillId="0" borderId="0" xfId="0" applyFont="1" applyAlignment="1" applyProtection="1">
      <alignment horizontal="left"/>
    </xf>
    <xf numFmtId="0" fontId="8" fillId="0" borderId="0" xfId="0" applyFont="1" applyAlignment="1">
      <alignment horizontal="left"/>
    </xf>
    <xf numFmtId="0" fontId="8" fillId="0" borderId="0" xfId="0" applyFont="1" applyFill="1" applyBorder="1" applyAlignment="1">
      <alignment horizontal="left"/>
    </xf>
    <xf numFmtId="0" fontId="8" fillId="0" borderId="0" xfId="0" applyFont="1" applyBorder="1" applyAlignment="1">
      <alignment horizontal="left"/>
    </xf>
    <xf numFmtId="0" fontId="3" fillId="0" borderId="0" xfId="0" applyFont="1" applyBorder="1"/>
    <xf numFmtId="0" fontId="3" fillId="0" borderId="0" xfId="0" applyFont="1" applyBorder="1" applyAlignment="1">
      <alignment horizontal="left"/>
    </xf>
    <xf numFmtId="0" fontId="8" fillId="0" borderId="0" xfId="0" applyFont="1" applyBorder="1" applyAlignment="1" applyProtection="1">
      <alignment horizontal="left"/>
      <protection locked="0"/>
    </xf>
    <xf numFmtId="0" fontId="3" fillId="0" borderId="0" xfId="0" applyFont="1" applyAlignment="1" applyProtection="1">
      <alignment horizontal="left"/>
      <protection locked="0"/>
    </xf>
    <xf numFmtId="0" fontId="4" fillId="0" borderId="0" xfId="0" applyFont="1" applyProtection="1"/>
    <xf numFmtId="0" fontId="3" fillId="0" borderId="0" xfId="0" applyFont="1" applyProtection="1"/>
    <xf numFmtId="0" fontId="8" fillId="0" borderId="0" xfId="0" applyFont="1"/>
    <xf numFmtId="0" fontId="8" fillId="0" borderId="0" xfId="3" applyFont="1" applyAlignment="1">
      <alignment horizontal="left"/>
    </xf>
    <xf numFmtId="0" fontId="10" fillId="0" borderId="11" xfId="0" applyFont="1" applyBorder="1" applyAlignment="1">
      <alignment horizontal="center"/>
    </xf>
    <xf numFmtId="0" fontId="8" fillId="0" borderId="10" xfId="0" applyFont="1" applyBorder="1" applyAlignment="1">
      <alignment horizontal="center"/>
    </xf>
    <xf numFmtId="0" fontId="8" fillId="0" borderId="15" xfId="0" applyFont="1" applyBorder="1" applyAlignment="1">
      <alignment horizontal="center"/>
    </xf>
    <xf numFmtId="0" fontId="8" fillId="0" borderId="13" xfId="0" applyFont="1" applyBorder="1" applyAlignment="1">
      <alignment horizontal="center"/>
    </xf>
    <xf numFmtId="0" fontId="8" fillId="0" borderId="0" xfId="3" applyFont="1" applyBorder="1" applyAlignment="1">
      <alignment horizontal="left"/>
    </xf>
    <xf numFmtId="0" fontId="8" fillId="0" borderId="0" xfId="0" applyFont="1" applyBorder="1" applyAlignment="1">
      <alignment horizontal="center"/>
    </xf>
    <xf numFmtId="0" fontId="11" fillId="0" borderId="0" xfId="0" applyFont="1" applyProtection="1"/>
    <xf numFmtId="0" fontId="12" fillId="0" borderId="0" xfId="0" applyFont="1"/>
    <xf numFmtId="0" fontId="12" fillId="0" borderId="0" xfId="0" applyFont="1" applyProtection="1"/>
    <xf numFmtId="0" fontId="12" fillId="0" borderId="0" xfId="0" applyFont="1" applyProtection="1">
      <protection locked="0"/>
    </xf>
    <xf numFmtId="0" fontId="13" fillId="0" borderId="0" xfId="0" applyFont="1" applyAlignment="1" applyProtection="1">
      <alignment horizontal="left"/>
    </xf>
    <xf numFmtId="0" fontId="14" fillId="0" borderId="0" xfId="0" applyFont="1" applyBorder="1" applyAlignment="1">
      <alignment horizontal="left"/>
    </xf>
    <xf numFmtId="14" fontId="12" fillId="0" borderId="0" xfId="0" applyNumberFormat="1" applyFont="1" applyProtection="1"/>
    <xf numFmtId="0" fontId="15" fillId="0" borderId="0" xfId="0" applyFont="1" applyProtection="1"/>
    <xf numFmtId="0" fontId="12" fillId="8" borderId="0" xfId="0" applyFont="1" applyFill="1" applyProtection="1"/>
    <xf numFmtId="0" fontId="12" fillId="0" borderId="0" xfId="0" applyFont="1" applyFill="1" applyProtection="1">
      <protection locked="0"/>
    </xf>
    <xf numFmtId="0" fontId="12" fillId="8" borderId="0" xfId="0" applyFont="1" applyFill="1"/>
    <xf numFmtId="0" fontId="16" fillId="0" borderId="0" xfId="1" applyFont="1" applyAlignment="1" applyProtection="1"/>
    <xf numFmtId="0" fontId="17" fillId="2" borderId="1" xfId="0" applyFont="1" applyFill="1" applyBorder="1" applyAlignment="1" applyProtection="1">
      <alignment horizontal="left" vertical="top" wrapText="1"/>
    </xf>
    <xf numFmtId="0" fontId="17" fillId="2" borderId="2" xfId="0" applyFont="1" applyFill="1" applyBorder="1" applyAlignment="1" applyProtection="1">
      <alignment horizontal="left" vertical="top" wrapText="1"/>
    </xf>
    <xf numFmtId="0" fontId="16" fillId="3" borderId="3" xfId="1" applyFont="1" applyFill="1" applyBorder="1" applyAlignment="1" applyProtection="1">
      <alignment vertical="top" wrapText="1"/>
    </xf>
    <xf numFmtId="0" fontId="12" fillId="3" borderId="4" xfId="0" applyFont="1" applyFill="1" applyBorder="1" applyAlignment="1" applyProtection="1">
      <alignment vertical="top" wrapText="1"/>
    </xf>
    <xf numFmtId="0" fontId="18" fillId="4" borderId="3" xfId="0" applyFont="1" applyFill="1" applyBorder="1" applyAlignment="1" applyProtection="1">
      <alignment vertical="top" wrapText="1"/>
    </xf>
    <xf numFmtId="0" fontId="12" fillId="4" borderId="4" xfId="0" applyFont="1" applyFill="1" applyBorder="1" applyAlignment="1" applyProtection="1">
      <alignment vertical="top" wrapText="1"/>
    </xf>
    <xf numFmtId="0" fontId="18" fillId="3" borderId="3" xfId="0" applyFont="1" applyFill="1" applyBorder="1" applyAlignment="1" applyProtection="1">
      <alignment vertical="top" wrapText="1"/>
    </xf>
    <xf numFmtId="0" fontId="18" fillId="4" borderId="5" xfId="0" applyFont="1" applyFill="1" applyBorder="1" applyAlignment="1" applyProtection="1">
      <alignment vertical="top" wrapText="1"/>
    </xf>
    <xf numFmtId="0" fontId="12" fillId="4" borderId="6" xfId="0" applyFont="1" applyFill="1" applyBorder="1" applyAlignment="1" applyProtection="1">
      <alignment vertical="top" wrapText="1"/>
    </xf>
    <xf numFmtId="0" fontId="17" fillId="0" borderId="0" xfId="0" applyFont="1" applyFill="1" applyAlignment="1">
      <alignment horizontal="left" vertical="top" wrapText="1"/>
    </xf>
    <xf numFmtId="0" fontId="20" fillId="0" borderId="0" xfId="0" applyFont="1"/>
    <xf numFmtId="0" fontId="21" fillId="0" borderId="0" xfId="0" applyFont="1" applyProtection="1"/>
    <xf numFmtId="0" fontId="13" fillId="0" borderId="0" xfId="0" applyFont="1" applyProtection="1">
      <protection locked="0"/>
    </xf>
    <xf numFmtId="0" fontId="13" fillId="0" borderId="0" xfId="0" applyFont="1"/>
    <xf numFmtId="0" fontId="22" fillId="0" borderId="0" xfId="0" applyFont="1" applyProtection="1">
      <protection locked="0"/>
    </xf>
    <xf numFmtId="0" fontId="23" fillId="0" borderId="0" xfId="0" applyFont="1" applyProtection="1"/>
    <xf numFmtId="0" fontId="12" fillId="0" borderId="0" xfId="0" applyFont="1" applyAlignment="1" applyProtection="1">
      <alignment horizontal="left"/>
      <protection locked="0"/>
    </xf>
    <xf numFmtId="0" fontId="24" fillId="0" borderId="0" xfId="0" applyFont="1"/>
    <xf numFmtId="0" fontId="12" fillId="0" borderId="13" xfId="0" applyFont="1" applyBorder="1" applyProtection="1">
      <protection locked="0"/>
    </xf>
    <xf numFmtId="0" fontId="12" fillId="0" borderId="15" xfId="0" applyFont="1" applyBorder="1" applyProtection="1">
      <protection locked="0"/>
    </xf>
    <xf numFmtId="0" fontId="24" fillId="0" borderId="10" xfId="0" applyFont="1" applyBorder="1" applyProtection="1">
      <protection locked="0"/>
    </xf>
    <xf numFmtId="0" fontId="16" fillId="0" borderId="10" xfId="1" applyFont="1" applyBorder="1" applyAlignment="1" applyProtection="1">
      <protection locked="0"/>
    </xf>
    <xf numFmtId="0" fontId="12" fillId="0" borderId="15" xfId="0" applyFont="1" applyBorder="1" applyAlignment="1" applyProtection="1">
      <alignment horizontal="left"/>
      <protection locked="0"/>
    </xf>
    <xf numFmtId="0" fontId="12" fillId="0" borderId="13" xfId="0" applyFont="1" applyBorder="1" applyAlignment="1" applyProtection="1">
      <alignment horizontal="left"/>
      <protection locked="0"/>
    </xf>
    <xf numFmtId="0" fontId="16" fillId="0" borderId="11" xfId="1" applyFont="1" applyBorder="1" applyAlignment="1" applyProtection="1">
      <protection locked="0"/>
    </xf>
    <xf numFmtId="0" fontId="22" fillId="8" borderId="0" xfId="0" applyFont="1" applyFill="1" applyProtection="1"/>
    <xf numFmtId="0" fontId="26" fillId="0" borderId="10" xfId="1" applyFont="1" applyBorder="1" applyAlignment="1" applyProtection="1">
      <protection locked="0"/>
    </xf>
    <xf numFmtId="0" fontId="22" fillId="0" borderId="0" xfId="0" applyFont="1" applyProtection="1"/>
    <xf numFmtId="0" fontId="26" fillId="0" borderId="11" xfId="1" applyFont="1" applyBorder="1" applyAlignment="1" applyProtection="1">
      <protection locked="0"/>
    </xf>
    <xf numFmtId="0" fontId="22" fillId="0" borderId="15" xfId="0" applyFont="1" applyBorder="1" applyProtection="1">
      <protection locked="0"/>
    </xf>
    <xf numFmtId="0" fontId="22" fillId="0" borderId="0" xfId="0" applyFont="1"/>
    <xf numFmtId="0" fontId="26" fillId="0" borderId="10" xfId="1" applyFont="1" applyBorder="1" applyAlignment="1" applyProtection="1">
      <alignment horizontal="left"/>
      <protection locked="0"/>
    </xf>
    <xf numFmtId="0" fontId="12" fillId="0" borderId="0" xfId="0" applyFont="1" applyAlignment="1" applyProtection="1">
      <alignment horizontal="left"/>
    </xf>
    <xf numFmtId="0" fontId="26" fillId="0" borderId="11" xfId="1" applyFont="1" applyBorder="1" applyAlignment="1" applyProtection="1">
      <alignment horizontal="left"/>
      <protection locked="0"/>
    </xf>
    <xf numFmtId="0" fontId="22" fillId="0" borderId="15" xfId="0" applyFont="1" applyBorder="1" applyAlignment="1" applyProtection="1">
      <alignment horizontal="left"/>
      <protection locked="0"/>
    </xf>
    <xf numFmtId="0" fontId="22" fillId="0" borderId="13" xfId="0" applyFont="1" applyBorder="1" applyProtection="1">
      <protection locked="0"/>
    </xf>
    <xf numFmtId="0" fontId="12" fillId="0" borderId="0" xfId="0" applyFont="1" applyBorder="1"/>
    <xf numFmtId="0" fontId="12" fillId="0" borderId="0" xfId="0" applyFont="1" applyAlignment="1">
      <alignment horizontal="left"/>
    </xf>
    <xf numFmtId="0" fontId="12" fillId="0" borderId="0" xfId="0" applyFont="1" applyAlignment="1" applyProtection="1">
      <alignment horizontal="right"/>
      <protection locked="0"/>
    </xf>
    <xf numFmtId="0" fontId="13" fillId="0" borderId="0" xfId="0" applyFont="1" applyAlignment="1" applyProtection="1">
      <alignment horizontal="left"/>
      <protection locked="0"/>
    </xf>
    <xf numFmtId="0" fontId="12" fillId="0" borderId="0" xfId="0" applyFont="1" applyAlignment="1">
      <alignment horizontal="right"/>
    </xf>
    <xf numFmtId="0" fontId="12" fillId="5" borderId="0" xfId="0" applyFont="1" applyFill="1"/>
    <xf numFmtId="0" fontId="12" fillId="5" borderId="0" xfId="0" applyFont="1" applyFill="1" applyAlignment="1">
      <alignment horizontal="right"/>
    </xf>
    <xf numFmtId="0" fontId="12" fillId="5" borderId="0" xfId="0" applyFont="1" applyFill="1" applyAlignment="1">
      <alignment horizontal="left"/>
    </xf>
    <xf numFmtId="0" fontId="12" fillId="0" borderId="8" xfId="0" applyFont="1" applyBorder="1" applyAlignment="1">
      <alignment horizontal="right"/>
    </xf>
    <xf numFmtId="0" fontId="12" fillId="0" borderId="8" xfId="0" applyFont="1" applyBorder="1" applyAlignment="1">
      <alignment horizontal="left"/>
    </xf>
    <xf numFmtId="0" fontId="16" fillId="0" borderId="0" xfId="1" applyFont="1" applyAlignment="1" applyProtection="1">
      <protection locked="0"/>
    </xf>
    <xf numFmtId="0" fontId="12" fillId="0" borderId="9" xfId="0" applyFont="1" applyBorder="1" applyAlignment="1">
      <alignment horizontal="right"/>
    </xf>
    <xf numFmtId="0" fontId="12" fillId="0" borderId="9" xfId="0" applyFont="1" applyBorder="1" applyAlignment="1">
      <alignment horizontal="left"/>
    </xf>
    <xf numFmtId="0" fontId="27" fillId="0" borderId="0" xfId="0" applyFont="1" applyAlignment="1">
      <alignment horizontal="center"/>
    </xf>
    <xf numFmtId="0" fontId="12" fillId="0" borderId="0" xfId="0" applyFont="1" applyBorder="1" applyAlignment="1" applyProtection="1">
      <alignment horizontal="right"/>
      <protection locked="0"/>
    </xf>
    <xf numFmtId="0" fontId="27" fillId="0" borderId="0" xfId="0" applyFont="1" applyBorder="1" applyAlignment="1" applyProtection="1">
      <alignment horizontal="center"/>
      <protection locked="0"/>
    </xf>
    <xf numFmtId="0" fontId="12" fillId="0" borderId="0" xfId="0" applyFont="1" applyBorder="1" applyProtection="1">
      <protection locked="0"/>
    </xf>
    <xf numFmtId="0" fontId="12" fillId="0" borderId="0" xfId="0" applyFont="1" applyBorder="1" applyAlignment="1" applyProtection="1">
      <alignment horizontal="left"/>
      <protection locked="0"/>
    </xf>
    <xf numFmtId="0" fontId="6" fillId="0" borderId="0" xfId="0" applyFont="1" applyAlignment="1">
      <alignment horizontal="right"/>
    </xf>
    <xf numFmtId="0" fontId="12" fillId="0" borderId="7" xfId="0" applyFont="1" applyBorder="1" applyAlignment="1" applyProtection="1">
      <alignment horizontal="left"/>
      <protection locked="0"/>
    </xf>
    <xf numFmtId="0" fontId="12" fillId="0" borderId="0" xfId="0" applyFont="1" applyFill="1" applyBorder="1" applyAlignment="1">
      <alignment horizontal="left"/>
    </xf>
    <xf numFmtId="0" fontId="6" fillId="0" borderId="0" xfId="0" applyFont="1" applyBorder="1" applyAlignment="1" applyProtection="1">
      <alignment horizontal="right"/>
      <protection locked="0"/>
    </xf>
    <xf numFmtId="0" fontId="12" fillId="0" borderId="0" xfId="0" applyFont="1" applyFill="1" applyBorder="1" applyAlignment="1" applyProtection="1">
      <alignment horizontal="left"/>
      <protection locked="0"/>
    </xf>
    <xf numFmtId="0" fontId="12" fillId="0" borderId="8" xfId="0" applyFont="1" applyBorder="1" applyAlignment="1" applyProtection="1">
      <alignment horizontal="left"/>
      <protection locked="0"/>
    </xf>
    <xf numFmtId="2" fontId="12" fillId="0" borderId="8" xfId="0" applyNumberFormat="1" applyFont="1" applyBorder="1" applyAlignment="1" applyProtection="1">
      <alignment horizontal="left"/>
      <protection locked="0"/>
    </xf>
    <xf numFmtId="2" fontId="12" fillId="0" borderId="0" xfId="0" applyNumberFormat="1" applyFont="1" applyBorder="1" applyAlignment="1" applyProtection="1">
      <alignment horizontal="left"/>
      <protection locked="0"/>
    </xf>
    <xf numFmtId="165" fontId="12" fillId="0" borderId="0" xfId="0" applyNumberFormat="1" applyFont="1" applyBorder="1" applyAlignment="1" applyProtection="1">
      <alignment horizontal="left"/>
      <protection locked="0"/>
    </xf>
    <xf numFmtId="0" fontId="5" fillId="0" borderId="0" xfId="0" applyFont="1" applyAlignment="1">
      <alignment horizontal="right"/>
    </xf>
    <xf numFmtId="0" fontId="5" fillId="0" borderId="0" xfId="0" applyFont="1" applyBorder="1" applyAlignment="1" applyProtection="1">
      <alignment horizontal="right"/>
      <protection locked="0"/>
    </xf>
    <xf numFmtId="0" fontId="3" fillId="0" borderId="0" xfId="0" applyFont="1" applyBorder="1" applyAlignment="1" applyProtection="1">
      <alignment horizontal="left"/>
      <protection locked="0"/>
    </xf>
    <xf numFmtId="0" fontId="3" fillId="0" borderId="0" xfId="0" applyFont="1" applyAlignment="1">
      <alignment horizontal="right"/>
    </xf>
    <xf numFmtId="1" fontId="3" fillId="0" borderId="0" xfId="0" applyNumberFormat="1" applyFont="1" applyAlignment="1">
      <alignment horizontal="left"/>
    </xf>
    <xf numFmtId="0" fontId="3" fillId="0" borderId="0" xfId="0" applyFont="1" applyBorder="1" applyAlignment="1" applyProtection="1">
      <alignment horizontal="right"/>
      <protection locked="0"/>
    </xf>
    <xf numFmtId="1" fontId="3" fillId="0" borderId="0" xfId="0" applyNumberFormat="1" applyFont="1" applyBorder="1" applyAlignment="1" applyProtection="1">
      <alignment horizontal="left"/>
      <protection locked="0"/>
    </xf>
    <xf numFmtId="0" fontId="3" fillId="0" borderId="0" xfId="0" applyFont="1" applyBorder="1" applyProtection="1">
      <protection locked="0"/>
    </xf>
    <xf numFmtId="165" fontId="3" fillId="0" borderId="0" xfId="0" applyNumberFormat="1" applyFont="1" applyAlignment="1">
      <alignment horizontal="left"/>
    </xf>
    <xf numFmtId="165" fontId="3" fillId="0" borderId="0" xfId="0" applyNumberFormat="1" applyFont="1" applyBorder="1" applyAlignment="1" applyProtection="1">
      <alignment horizontal="left"/>
      <protection locked="0"/>
    </xf>
    <xf numFmtId="165" fontId="12" fillId="0" borderId="7" xfId="0" applyNumberFormat="1" applyFont="1" applyBorder="1" applyAlignment="1" applyProtection="1">
      <alignment horizontal="left"/>
      <protection locked="0"/>
    </xf>
    <xf numFmtId="0" fontId="12" fillId="0" borderId="9" xfId="0" applyFont="1" applyBorder="1" applyAlignment="1" applyProtection="1">
      <alignment horizontal="left"/>
      <protection locked="0"/>
    </xf>
    <xf numFmtId="167" fontId="3" fillId="0" borderId="0" xfId="2" applyNumberFormat="1" applyFont="1" applyAlignment="1">
      <alignment horizontal="left"/>
    </xf>
    <xf numFmtId="2" fontId="3" fillId="0" borderId="0" xfId="0" applyNumberFormat="1" applyFont="1" applyAlignment="1">
      <alignment horizontal="left"/>
    </xf>
    <xf numFmtId="0" fontId="12" fillId="0" borderId="0" xfId="0" applyFont="1" applyBorder="1" applyAlignment="1">
      <alignment horizontal="right"/>
    </xf>
    <xf numFmtId="0" fontId="27" fillId="0" borderId="0" xfId="0" applyFont="1" applyBorder="1" applyAlignment="1">
      <alignment horizontal="center"/>
    </xf>
    <xf numFmtId="0" fontId="12" fillId="0" borderId="0" xfId="0" applyFont="1" applyBorder="1" applyAlignment="1">
      <alignment horizontal="left"/>
    </xf>
    <xf numFmtId="0" fontId="3" fillId="0" borderId="11" xfId="0" applyFont="1" applyBorder="1" applyAlignment="1">
      <alignment horizontal="right"/>
    </xf>
    <xf numFmtId="0" fontId="12" fillId="0" borderId="12" xfId="0" applyFont="1" applyBorder="1" applyAlignment="1">
      <alignment horizontal="right"/>
    </xf>
    <xf numFmtId="0" fontId="12" fillId="0" borderId="8" xfId="0" applyFont="1" applyBorder="1" applyAlignment="1">
      <alignment horizontal="center"/>
    </xf>
    <xf numFmtId="0" fontId="6" fillId="0" borderId="11" xfId="0" applyFont="1" applyBorder="1" applyAlignment="1">
      <alignment horizontal="right"/>
    </xf>
    <xf numFmtId="0" fontId="12" fillId="0" borderId="10" xfId="0" applyFont="1" applyBorder="1" applyAlignment="1">
      <alignment horizontal="center"/>
    </xf>
    <xf numFmtId="0" fontId="12" fillId="0" borderId="11" xfId="0" applyFont="1" applyBorder="1" applyAlignment="1">
      <alignment horizontal="right"/>
    </xf>
    <xf numFmtId="2" fontId="12" fillId="0" borderId="10" xfId="0" applyNumberFormat="1" applyFont="1" applyBorder="1" applyAlignment="1">
      <alignment horizontal="center"/>
    </xf>
    <xf numFmtId="2" fontId="12" fillId="0" borderId="8" xfId="0" applyNumberFormat="1" applyFont="1" applyBorder="1" applyAlignment="1">
      <alignment horizontal="center"/>
    </xf>
    <xf numFmtId="2" fontId="12" fillId="0" borderId="9" xfId="0" applyNumberFormat="1" applyFont="1" applyBorder="1" applyAlignment="1" applyProtection="1">
      <alignment horizontal="left"/>
      <protection locked="0"/>
    </xf>
    <xf numFmtId="0" fontId="5" fillId="0" borderId="0" xfId="0" applyFont="1" applyAlignment="1">
      <alignment horizontal="left"/>
    </xf>
    <xf numFmtId="164" fontId="3" fillId="0" borderId="0" xfId="0" applyNumberFormat="1" applyFont="1" applyAlignment="1">
      <alignment horizontal="left"/>
    </xf>
    <xf numFmtId="0" fontId="3" fillId="0" borderId="0" xfId="0" quotePrefix="1" applyFont="1" applyAlignment="1">
      <alignment horizontal="right"/>
    </xf>
    <xf numFmtId="0" fontId="28" fillId="0" borderId="0" xfId="0" applyFont="1" applyAlignment="1">
      <alignment horizontal="left"/>
    </xf>
    <xf numFmtId="0" fontId="20" fillId="0" borderId="0" xfId="0" applyFont="1" applyAlignment="1">
      <alignment horizontal="right"/>
    </xf>
    <xf numFmtId="166" fontId="3" fillId="0" borderId="0" xfId="0" applyNumberFormat="1" applyFont="1" applyAlignment="1">
      <alignment horizontal="left"/>
    </xf>
    <xf numFmtId="1" fontId="12" fillId="0" borderId="7" xfId="0" applyNumberFormat="1" applyFont="1" applyBorder="1" applyAlignment="1" applyProtection="1">
      <alignment horizontal="left"/>
      <protection locked="0"/>
    </xf>
    <xf numFmtId="1" fontId="12" fillId="0" borderId="8" xfId="0" applyNumberFormat="1" applyFont="1" applyBorder="1" applyAlignment="1" applyProtection="1">
      <alignment horizontal="left"/>
      <protection locked="0"/>
    </xf>
    <xf numFmtId="0" fontId="3" fillId="0" borderId="0" xfId="0" applyFont="1" applyProtection="1">
      <protection locked="0"/>
    </xf>
    <xf numFmtId="165" fontId="3" fillId="0" borderId="0" xfId="0" applyNumberFormat="1" applyFont="1" applyBorder="1" applyAlignment="1">
      <alignment horizontal="left"/>
    </xf>
    <xf numFmtId="166" fontId="12" fillId="0" borderId="0" xfId="0" applyNumberFormat="1" applyFont="1" applyBorder="1" applyAlignment="1">
      <alignment horizontal="left"/>
    </xf>
    <xf numFmtId="0" fontId="11" fillId="0" borderId="0" xfId="0" applyFont="1" applyAlignment="1">
      <alignment horizontal="left"/>
    </xf>
    <xf numFmtId="0" fontId="21" fillId="0" borderId="0" xfId="0" applyFont="1" applyAlignment="1">
      <alignment horizontal="left"/>
    </xf>
    <xf numFmtId="0" fontId="1" fillId="8" borderId="0" xfId="0" applyFont="1" applyFill="1" applyAlignment="1">
      <alignment horizontal="left"/>
    </xf>
    <xf numFmtId="0" fontId="13" fillId="8" borderId="0" xfId="0" applyFont="1" applyFill="1" applyAlignment="1" applyProtection="1">
      <alignment horizontal="left"/>
      <protection locked="0"/>
    </xf>
    <xf numFmtId="0" fontId="3" fillId="8" borderId="0" xfId="0" applyFont="1" applyFill="1" applyAlignment="1">
      <alignment horizontal="left"/>
    </xf>
    <xf numFmtId="0" fontId="12" fillId="8" borderId="0" xfId="0" applyFont="1" applyFill="1" applyAlignment="1">
      <alignment horizontal="left"/>
    </xf>
    <xf numFmtId="0" fontId="12" fillId="8" borderId="0" xfId="0" applyFont="1" applyFill="1" applyAlignment="1">
      <alignment horizontal="right"/>
    </xf>
    <xf numFmtId="0" fontId="27" fillId="8" borderId="0" xfId="0" applyFont="1" applyFill="1" applyAlignment="1">
      <alignment horizontal="center"/>
    </xf>
    <xf numFmtId="0" fontId="12" fillId="8" borderId="1" xfId="0" applyFont="1" applyFill="1" applyBorder="1" applyAlignment="1" applyProtection="1">
      <alignment horizontal="left"/>
    </xf>
    <xf numFmtId="0" fontId="12" fillId="8" borderId="13" xfId="0" applyFont="1" applyFill="1" applyBorder="1" applyProtection="1"/>
    <xf numFmtId="0" fontId="6" fillId="8" borderId="0" xfId="0" applyFont="1" applyFill="1" applyAlignment="1">
      <alignment horizontal="right"/>
    </xf>
    <xf numFmtId="0" fontId="12" fillId="8" borderId="7" xfId="0" applyFont="1" applyFill="1" applyBorder="1" applyAlignment="1" applyProtection="1">
      <alignment horizontal="left"/>
    </xf>
    <xf numFmtId="0" fontId="12" fillId="8" borderId="0" xfId="0" applyFont="1" applyFill="1" applyBorder="1" applyAlignment="1" applyProtection="1">
      <alignment horizontal="left"/>
    </xf>
    <xf numFmtId="0" fontId="12" fillId="8" borderId="8" xfId="0" applyFont="1" applyFill="1" applyBorder="1" applyAlignment="1" applyProtection="1">
      <alignment horizontal="left"/>
    </xf>
    <xf numFmtId="2" fontId="12" fillId="8" borderId="8" xfId="0" applyNumberFormat="1" applyFont="1" applyFill="1" applyBorder="1" applyAlignment="1" applyProtection="1">
      <alignment horizontal="left"/>
    </xf>
    <xf numFmtId="0" fontId="27" fillId="8" borderId="0" xfId="0" applyFont="1" applyFill="1" applyAlignment="1" applyProtection="1">
      <alignment horizontal="center"/>
    </xf>
    <xf numFmtId="0" fontId="5" fillId="8" borderId="0" xfId="0" applyFont="1" applyFill="1" applyAlignment="1">
      <alignment horizontal="right"/>
    </xf>
    <xf numFmtId="0" fontId="3" fillId="8" borderId="0" xfId="0" applyFont="1" applyFill="1" applyAlignment="1" applyProtection="1">
      <alignment horizontal="left"/>
    </xf>
    <xf numFmtId="0" fontId="3" fillId="8" borderId="0" xfId="0" applyFont="1" applyFill="1" applyAlignment="1">
      <alignment horizontal="right"/>
    </xf>
    <xf numFmtId="1" fontId="3" fillId="8" borderId="0" xfId="0" applyNumberFormat="1" applyFont="1" applyFill="1" applyAlignment="1" applyProtection="1">
      <alignment horizontal="left"/>
    </xf>
    <xf numFmtId="0" fontId="3" fillId="8" borderId="0" xfId="0" applyFont="1" applyFill="1" applyProtection="1"/>
    <xf numFmtId="165" fontId="3" fillId="8" borderId="0" xfId="0" applyNumberFormat="1" applyFont="1" applyFill="1" applyAlignment="1" applyProtection="1">
      <alignment horizontal="left"/>
    </xf>
    <xf numFmtId="0" fontId="12" fillId="8" borderId="0" xfId="0" applyFont="1" applyFill="1" applyAlignment="1" applyProtection="1">
      <alignment horizontal="left"/>
    </xf>
    <xf numFmtId="0" fontId="4" fillId="8" borderId="0" xfId="0" applyFont="1" applyFill="1" applyAlignment="1">
      <alignment horizontal="left"/>
    </xf>
    <xf numFmtId="0" fontId="4" fillId="0" borderId="10" xfId="0" applyFont="1" applyBorder="1" applyAlignment="1">
      <alignment horizontal="center"/>
    </xf>
    <xf numFmtId="0" fontId="4" fillId="0" borderId="0" xfId="0" applyFont="1" applyAlignment="1">
      <alignment horizontal="left"/>
    </xf>
    <xf numFmtId="0" fontId="4" fillId="0" borderId="0" xfId="0" applyFont="1" applyAlignment="1">
      <alignment horizontal="right"/>
    </xf>
    <xf numFmtId="0" fontId="4" fillId="8" borderId="0" xfId="0" applyFont="1" applyFill="1"/>
    <xf numFmtId="0" fontId="12" fillId="8" borderId="1" xfId="0" applyFont="1" applyFill="1" applyBorder="1" applyAlignment="1" applyProtection="1">
      <alignment horizontal="left"/>
      <protection locked="0"/>
    </xf>
    <xf numFmtId="0" fontId="12" fillId="8" borderId="7" xfId="0" applyFont="1" applyFill="1" applyBorder="1" applyAlignment="1" applyProtection="1">
      <alignment horizontal="left"/>
      <protection locked="0"/>
    </xf>
    <xf numFmtId="2" fontId="12" fillId="8" borderId="8" xfId="0" applyNumberFormat="1" applyFont="1" applyFill="1" applyBorder="1" applyAlignment="1" applyProtection="1">
      <alignment horizontal="left"/>
      <protection locked="0"/>
    </xf>
    <xf numFmtId="0" fontId="12" fillId="8" borderId="13" xfId="0" applyFont="1" applyFill="1" applyBorder="1" applyProtection="1">
      <protection locked="0"/>
    </xf>
    <xf numFmtId="1" fontId="3" fillId="8" borderId="10" xfId="0" applyNumberFormat="1" applyFont="1" applyFill="1" applyBorder="1" applyAlignment="1" applyProtection="1">
      <alignment horizontal="left"/>
      <protection locked="0"/>
    </xf>
    <xf numFmtId="1" fontId="12" fillId="8" borderId="10" xfId="0" applyNumberFormat="1" applyFont="1" applyFill="1" applyBorder="1" applyAlignment="1" applyProtection="1">
      <alignment horizontal="left"/>
      <protection locked="0"/>
    </xf>
    <xf numFmtId="0" fontId="4" fillId="0" borderId="0" xfId="0" applyFont="1" applyProtection="1">
      <protection locked="0"/>
    </xf>
    <xf numFmtId="3" fontId="12" fillId="8" borderId="8" xfId="0" applyNumberFormat="1" applyFont="1" applyFill="1" applyBorder="1" applyAlignment="1" applyProtection="1">
      <alignment horizontal="left"/>
    </xf>
    <xf numFmtId="1" fontId="12" fillId="8" borderId="10" xfId="0" applyNumberFormat="1" applyFont="1" applyFill="1" applyBorder="1" applyAlignment="1" applyProtection="1">
      <alignment horizontal="left"/>
    </xf>
    <xf numFmtId="0" fontId="3" fillId="0" borderId="0" xfId="0" applyFont="1" applyBorder="1" applyAlignment="1">
      <alignment horizontal="right"/>
    </xf>
    <xf numFmtId="0" fontId="29" fillId="0" borderId="0" xfId="0" applyFont="1"/>
    <xf numFmtId="0" fontId="4" fillId="0" borderId="0" xfId="0" applyFont="1"/>
    <xf numFmtId="0" fontId="12" fillId="0" borderId="0" xfId="0" applyFont="1" applyAlignment="1" applyProtection="1">
      <alignment horizontal="right"/>
    </xf>
    <xf numFmtId="0" fontId="12" fillId="0" borderId="0" xfId="0" applyFont="1" applyFill="1" applyBorder="1"/>
    <xf numFmtId="0" fontId="8" fillId="0" borderId="0" xfId="0" applyFont="1" applyFill="1" applyBorder="1" applyAlignment="1">
      <alignment horizontal="right"/>
    </xf>
    <xf numFmtId="168" fontId="8" fillId="0" borderId="0" xfId="0" applyNumberFormat="1" applyFont="1" applyFill="1" applyBorder="1" applyAlignment="1">
      <alignment horizontal="left"/>
    </xf>
    <xf numFmtId="0" fontId="12" fillId="0" borderId="0" xfId="0" applyFont="1" applyFill="1" applyBorder="1" applyAlignment="1">
      <alignment horizontal="right"/>
    </xf>
    <xf numFmtId="0" fontId="8" fillId="0" borderId="0" xfId="0" applyFont="1" applyFill="1" applyBorder="1"/>
    <xf numFmtId="1" fontId="8" fillId="0" borderId="0" xfId="0" applyNumberFormat="1" applyFont="1" applyFill="1" applyBorder="1" applyAlignment="1">
      <alignment horizontal="left"/>
    </xf>
    <xf numFmtId="0" fontId="10" fillId="0" borderId="0" xfId="0" applyFont="1" applyAlignment="1">
      <alignment horizontal="center"/>
    </xf>
    <xf numFmtId="0" fontId="12" fillId="0" borderId="0" xfId="0" applyFont="1" applyFill="1" applyAlignment="1" applyProtection="1">
      <alignment horizontal="right"/>
    </xf>
    <xf numFmtId="0" fontId="12" fillId="0" borderId="7" xfId="0" applyFont="1" applyFill="1" applyBorder="1" applyAlignment="1" applyProtection="1">
      <alignment horizontal="left"/>
      <protection locked="0"/>
    </xf>
    <xf numFmtId="0" fontId="12" fillId="0" borderId="8" xfId="0" applyFont="1" applyFill="1" applyBorder="1" applyAlignment="1" applyProtection="1">
      <alignment horizontal="left"/>
      <protection locked="0"/>
    </xf>
    <xf numFmtId="0" fontId="12" fillId="0" borderId="9" xfId="0" applyFont="1" applyFill="1" applyBorder="1" applyAlignment="1" applyProtection="1">
      <alignment horizontal="left"/>
      <protection locked="0"/>
    </xf>
    <xf numFmtId="0" fontId="8" fillId="0" borderId="0" xfId="0" applyFont="1" applyAlignment="1">
      <alignment horizontal="right"/>
    </xf>
    <xf numFmtId="2" fontId="8" fillId="0" borderId="0" xfId="0" applyNumberFormat="1" applyFont="1" applyBorder="1" applyAlignment="1">
      <alignment horizontal="left"/>
    </xf>
    <xf numFmtId="0" fontId="8" fillId="0" borderId="0" xfId="0" applyFont="1" applyBorder="1"/>
    <xf numFmtId="168" fontId="8" fillId="0" borderId="0" xfId="0" applyNumberFormat="1" applyFont="1" applyAlignment="1">
      <alignment horizontal="left"/>
    </xf>
    <xf numFmtId="169" fontId="8" fillId="0" borderId="0" xfId="0" applyNumberFormat="1" applyFont="1" applyAlignment="1">
      <alignment horizontal="left"/>
    </xf>
    <xf numFmtId="2" fontId="8" fillId="0" borderId="0" xfId="0" applyNumberFormat="1" applyFont="1" applyAlignment="1">
      <alignment horizontal="left"/>
    </xf>
    <xf numFmtId="1" fontId="8" fillId="0" borderId="0" xfId="0" applyNumberFormat="1" applyFont="1" applyAlignment="1">
      <alignment horizontal="left"/>
    </xf>
    <xf numFmtId="0" fontId="8" fillId="0" borderId="0" xfId="0" applyFont="1" applyAlignment="1">
      <alignment horizontal="center"/>
    </xf>
    <xf numFmtId="0" fontId="12" fillId="0" borderId="0" xfId="0" applyFont="1" applyAlignment="1">
      <alignment horizontal="center"/>
    </xf>
    <xf numFmtId="168" fontId="12" fillId="0" borderId="0" xfId="0" applyNumberFormat="1" applyFont="1"/>
    <xf numFmtId="0" fontId="8" fillId="0" borderId="0" xfId="0" applyFont="1" applyBorder="1" applyAlignment="1">
      <alignment horizontal="right"/>
    </xf>
    <xf numFmtId="166" fontId="8" fillId="6" borderId="10" xfId="0" applyNumberFormat="1" applyFont="1" applyFill="1" applyBorder="1" applyAlignment="1" applyProtection="1">
      <alignment horizontal="left"/>
      <protection locked="0"/>
    </xf>
    <xf numFmtId="0" fontId="8" fillId="0" borderId="14" xfId="0" applyFont="1" applyBorder="1" applyAlignment="1">
      <alignment horizontal="right"/>
    </xf>
    <xf numFmtId="168" fontId="8" fillId="7" borderId="10" xfId="0" applyNumberFormat="1" applyFont="1" applyFill="1" applyBorder="1" applyAlignment="1" applyProtection="1">
      <alignment horizontal="left"/>
      <protection locked="0"/>
    </xf>
    <xf numFmtId="0" fontId="8" fillId="0" borderId="14" xfId="0" applyFont="1" applyBorder="1"/>
    <xf numFmtId="0" fontId="12" fillId="0" borderId="14" xfId="0" applyFont="1" applyBorder="1" applyAlignment="1">
      <alignment horizontal="right"/>
    </xf>
    <xf numFmtId="1" fontId="8" fillId="0" borderId="14" xfId="0" applyNumberFormat="1" applyFont="1" applyBorder="1" applyAlignment="1">
      <alignment horizontal="left"/>
    </xf>
    <xf numFmtId="166" fontId="8" fillId="0" borderId="0" xfId="0" applyNumberFormat="1" applyFont="1" applyAlignment="1">
      <alignment horizontal="left"/>
    </xf>
    <xf numFmtId="167" fontId="8" fillId="0" borderId="0" xfId="2" applyNumberFormat="1" applyFont="1" applyAlignment="1">
      <alignment horizontal="left"/>
    </xf>
    <xf numFmtId="0" fontId="16" fillId="0" borderId="7" xfId="1" applyFont="1" applyBorder="1" applyAlignment="1" applyProtection="1">
      <alignment horizontal="center" vertical="center" wrapText="1"/>
    </xf>
    <xf numFmtId="0" fontId="3" fillId="0" borderId="7" xfId="0" applyFont="1" applyBorder="1" applyAlignment="1">
      <alignment horizontal="center" vertical="center" wrapText="1"/>
    </xf>
    <xf numFmtId="0" fontId="16" fillId="0" borderId="9" xfId="1" applyFont="1" applyBorder="1" applyAlignment="1" applyProtection="1">
      <alignment horizontal="center" vertical="center" wrapText="1"/>
    </xf>
    <xf numFmtId="0" fontId="12" fillId="0" borderId="8" xfId="0" applyFont="1" applyBorder="1" applyAlignment="1">
      <alignment horizontal="center" wrapText="1"/>
    </xf>
    <xf numFmtId="0" fontId="12" fillId="0" borderId="9" xfId="0" applyFont="1" applyBorder="1" applyAlignment="1">
      <alignment horizontal="center" wrapText="1"/>
    </xf>
    <xf numFmtId="0" fontId="12" fillId="0" borderId="0" xfId="0" applyFont="1" applyFill="1"/>
    <xf numFmtId="0" fontId="12" fillId="0" borderId="0" xfId="0" applyFont="1" applyBorder="1" applyAlignment="1">
      <alignment horizontal="center"/>
    </xf>
    <xf numFmtId="0" fontId="8" fillId="0" borderId="0" xfId="3" applyFont="1" applyBorder="1" applyAlignment="1">
      <alignment horizontal="right"/>
    </xf>
    <xf numFmtId="0" fontId="10" fillId="0" borderId="0" xfId="3" applyFont="1" applyBorder="1" applyAlignment="1">
      <alignment horizontal="center"/>
    </xf>
    <xf numFmtId="0" fontId="8" fillId="0" borderId="0" xfId="3" applyFont="1" applyBorder="1"/>
    <xf numFmtId="0" fontId="8" fillId="0" borderId="0" xfId="3" applyFont="1" applyBorder="1" applyAlignment="1" applyProtection="1">
      <alignment horizontal="center"/>
      <protection locked="0"/>
    </xf>
    <xf numFmtId="0" fontId="8" fillId="0" borderId="0" xfId="3" applyFont="1" applyBorder="1" applyAlignment="1">
      <alignment horizontal="center"/>
    </xf>
    <xf numFmtId="165" fontId="8" fillId="0" borderId="0" xfId="3" applyNumberFormat="1" applyFont="1" applyBorder="1" applyAlignment="1">
      <alignment horizontal="center"/>
    </xf>
    <xf numFmtId="0" fontId="13" fillId="0" borderId="0" xfId="3" applyFont="1" applyBorder="1"/>
    <xf numFmtId="0" fontId="8" fillId="0" borderId="0" xfId="0" applyFont="1" applyBorder="1" applyAlignment="1" applyProtection="1">
      <alignment horizontal="center"/>
      <protection locked="0"/>
    </xf>
    <xf numFmtId="1" fontId="8" fillId="0" borderId="0" xfId="0" applyNumberFormat="1" applyFont="1" applyBorder="1" applyAlignment="1" applyProtection="1">
      <alignment horizontal="center"/>
      <protection locked="0"/>
    </xf>
    <xf numFmtId="168" fontId="8" fillId="0" borderId="0" xfId="0" applyNumberFormat="1" applyFont="1" applyBorder="1" applyAlignment="1">
      <alignment horizontal="center"/>
    </xf>
    <xf numFmtId="0" fontId="8" fillId="0" borderId="0" xfId="0" quotePrefix="1" applyFont="1" applyBorder="1" applyAlignment="1">
      <alignment horizontal="center"/>
    </xf>
    <xf numFmtId="2" fontId="8" fillId="0" borderId="0" xfId="0" applyNumberFormat="1" applyFont="1" applyBorder="1" applyAlignment="1">
      <alignment horizontal="center"/>
    </xf>
    <xf numFmtId="169" fontId="8" fillId="0" borderId="0" xfId="0" applyNumberFormat="1" applyFont="1" applyBorder="1" applyAlignment="1">
      <alignment horizontal="center"/>
    </xf>
    <xf numFmtId="166" fontId="8" fillId="0" borderId="0" xfId="0" applyNumberFormat="1" applyFont="1" applyBorder="1" applyAlignment="1">
      <alignment horizontal="center"/>
    </xf>
    <xf numFmtId="0" fontId="8" fillId="0" borderId="0" xfId="0" applyFont="1" applyFill="1" applyBorder="1" applyAlignment="1">
      <alignment horizontal="center"/>
    </xf>
    <xf numFmtId="166" fontId="8" fillId="0" borderId="0" xfId="0" applyNumberFormat="1" applyFont="1" applyFill="1" applyBorder="1" applyAlignment="1">
      <alignment horizontal="center"/>
    </xf>
    <xf numFmtId="1" fontId="8" fillId="0" borderId="0" xfId="0" applyNumberFormat="1" applyFont="1" applyBorder="1" applyAlignment="1">
      <alignment horizontal="center"/>
    </xf>
    <xf numFmtId="0" fontId="10" fillId="0" borderId="0" xfId="0" applyFont="1" applyBorder="1" applyAlignment="1" applyProtection="1">
      <alignment horizontal="center"/>
      <protection locked="0"/>
    </xf>
    <xf numFmtId="0" fontId="8" fillId="0" borderId="0" xfId="0" applyFont="1" applyBorder="1" applyAlignment="1" applyProtection="1">
      <alignment horizontal="right"/>
      <protection locked="0"/>
    </xf>
    <xf numFmtId="0" fontId="8" fillId="0" borderId="0" xfId="0" applyFont="1" applyBorder="1" applyProtection="1">
      <protection locked="0"/>
    </xf>
    <xf numFmtId="2" fontId="8" fillId="0" borderId="0" xfId="0" applyNumberFormat="1" applyFont="1" applyBorder="1" applyAlignment="1" applyProtection="1">
      <alignment horizontal="left"/>
      <protection locked="0"/>
    </xf>
    <xf numFmtId="1" fontId="8" fillId="0" borderId="0" xfId="0" applyNumberFormat="1" applyFont="1" applyBorder="1" applyAlignment="1">
      <alignment horizontal="left"/>
    </xf>
    <xf numFmtId="0" fontId="8" fillId="8" borderId="0" xfId="0" applyFont="1" applyFill="1"/>
    <xf numFmtId="0" fontId="8" fillId="8" borderId="0" xfId="3" applyFont="1" applyFill="1" applyBorder="1" applyAlignment="1">
      <alignment horizontal="left"/>
    </xf>
    <xf numFmtId="0" fontId="12" fillId="8" borderId="0" xfId="0" applyFont="1" applyFill="1" applyBorder="1"/>
    <xf numFmtId="0" fontId="8" fillId="8" borderId="0" xfId="3" applyFont="1" applyFill="1" applyBorder="1" applyAlignment="1">
      <alignment horizontal="right"/>
    </xf>
    <xf numFmtId="0" fontId="8" fillId="8" borderId="0" xfId="0" applyFont="1" applyFill="1" applyBorder="1" applyAlignment="1">
      <alignment horizontal="left"/>
    </xf>
    <xf numFmtId="0" fontId="8" fillId="8" borderId="0" xfId="0" applyFont="1" applyFill="1" applyBorder="1" applyAlignment="1">
      <alignment horizontal="center"/>
    </xf>
    <xf numFmtId="0" fontId="10" fillId="8" borderId="0" xfId="0" applyFont="1" applyFill="1" applyBorder="1" applyAlignment="1">
      <alignment horizontal="center"/>
    </xf>
    <xf numFmtId="0" fontId="8" fillId="8" borderId="0" xfId="0" applyFont="1" applyFill="1" applyBorder="1" applyAlignment="1" applyProtection="1">
      <alignment horizontal="center"/>
      <protection locked="0"/>
    </xf>
    <xf numFmtId="0" fontId="12" fillId="8" borderId="0" xfId="0" applyFont="1" applyFill="1" applyBorder="1" applyAlignment="1" applyProtection="1">
      <alignment horizontal="center"/>
      <protection locked="0"/>
    </xf>
    <xf numFmtId="0" fontId="11" fillId="0" borderId="0" xfId="0" applyFont="1" applyAlignment="1" applyProtection="1">
      <alignment horizontal="left"/>
    </xf>
    <xf numFmtId="0" fontId="8" fillId="8" borderId="0" xfId="0" applyFont="1" applyFill="1" applyAlignment="1" applyProtection="1">
      <alignment horizontal="left"/>
    </xf>
    <xf numFmtId="0" fontId="10" fillId="8" borderId="0" xfId="0" applyFont="1" applyFill="1" applyAlignment="1" applyProtection="1">
      <alignment horizontal="center"/>
    </xf>
    <xf numFmtId="0" fontId="12" fillId="8" borderId="0" xfId="0" applyFont="1" applyFill="1" applyAlignment="1" applyProtection="1">
      <alignment horizontal="right"/>
    </xf>
    <xf numFmtId="0" fontId="12" fillId="8" borderId="9" xfId="0" applyFont="1" applyFill="1" applyBorder="1" applyAlignment="1" applyProtection="1">
      <alignment horizontal="left"/>
    </xf>
    <xf numFmtId="0" fontId="12" fillId="8" borderId="0" xfId="0" applyFont="1" applyFill="1" applyBorder="1" applyAlignment="1" applyProtection="1">
      <alignment horizontal="right"/>
    </xf>
    <xf numFmtId="0" fontId="12" fillId="8" borderId="0" xfId="0" applyFont="1" applyFill="1" applyBorder="1" applyProtection="1"/>
    <xf numFmtId="0" fontId="8" fillId="8" borderId="0" xfId="0" applyFont="1" applyFill="1" applyAlignment="1" applyProtection="1">
      <alignment horizontal="right"/>
    </xf>
    <xf numFmtId="2" fontId="8" fillId="8" borderId="0" xfId="0" applyNumberFormat="1" applyFont="1" applyFill="1" applyBorder="1" applyAlignment="1" applyProtection="1">
      <alignment horizontal="left"/>
    </xf>
    <xf numFmtId="0" fontId="8" fillId="8" borderId="0" xfId="0" applyFont="1" applyFill="1" applyBorder="1" applyProtection="1"/>
    <xf numFmtId="0" fontId="8" fillId="8" borderId="0" xfId="0" applyFont="1" applyFill="1" applyBorder="1" applyAlignment="1" applyProtection="1">
      <alignment horizontal="left"/>
    </xf>
    <xf numFmtId="0" fontId="8" fillId="8" borderId="0" xfId="0" applyFont="1" applyFill="1" applyProtection="1"/>
    <xf numFmtId="168" fontId="8" fillId="8" borderId="0" xfId="0" applyNumberFormat="1" applyFont="1" applyFill="1" applyAlignment="1" applyProtection="1">
      <alignment horizontal="left"/>
    </xf>
    <xf numFmtId="169" fontId="8" fillId="8" borderId="0" xfId="0" applyNumberFormat="1" applyFont="1" applyFill="1" applyAlignment="1" applyProtection="1">
      <alignment horizontal="left"/>
    </xf>
    <xf numFmtId="2" fontId="8" fillId="8" borderId="0" xfId="0" applyNumberFormat="1" applyFont="1" applyFill="1" applyAlignment="1" applyProtection="1">
      <alignment horizontal="left"/>
    </xf>
    <xf numFmtId="1" fontId="8" fillId="8" borderId="0" xfId="0" applyNumberFormat="1" applyFont="1" applyFill="1" applyAlignment="1" applyProtection="1">
      <alignment horizontal="left"/>
    </xf>
    <xf numFmtId="0" fontId="8" fillId="8" borderId="0" xfId="0" applyFont="1" applyFill="1" applyAlignment="1" applyProtection="1">
      <alignment horizontal="center"/>
    </xf>
    <xf numFmtId="0" fontId="12" fillId="8" borderId="0" xfId="0" applyFont="1" applyFill="1" applyAlignment="1" applyProtection="1">
      <alignment horizontal="center"/>
    </xf>
    <xf numFmtId="168" fontId="12" fillId="8" borderId="0" xfId="0" applyNumberFormat="1" applyFont="1" applyFill="1" applyProtection="1"/>
    <xf numFmtId="0" fontId="8" fillId="8" borderId="0" xfId="0" applyFont="1" applyFill="1" applyBorder="1" applyAlignment="1" applyProtection="1">
      <alignment horizontal="center"/>
    </xf>
    <xf numFmtId="0" fontId="8" fillId="8" borderId="0" xfId="0" applyFont="1" applyFill="1" applyBorder="1" applyAlignment="1" applyProtection="1">
      <alignment horizontal="right"/>
    </xf>
    <xf numFmtId="0" fontId="8" fillId="8" borderId="14" xfId="0" applyFont="1" applyFill="1" applyBorder="1" applyAlignment="1" applyProtection="1">
      <alignment horizontal="right"/>
    </xf>
    <xf numFmtId="0" fontId="8" fillId="8" borderId="14" xfId="0" applyFont="1" applyFill="1" applyBorder="1" applyProtection="1"/>
    <xf numFmtId="0" fontId="12" fillId="8" borderId="14" xfId="0" applyFont="1" applyFill="1" applyBorder="1" applyAlignment="1" applyProtection="1">
      <alignment horizontal="right"/>
    </xf>
    <xf numFmtId="1" fontId="8" fillId="8" borderId="14" xfId="0" applyNumberFormat="1" applyFont="1" applyFill="1" applyBorder="1" applyAlignment="1" applyProtection="1">
      <alignment horizontal="left"/>
    </xf>
    <xf numFmtId="165" fontId="8" fillId="8" borderId="14" xfId="0" applyNumberFormat="1" applyFont="1" applyFill="1" applyBorder="1" applyAlignment="1" applyProtection="1">
      <alignment horizontal="left"/>
    </xf>
    <xf numFmtId="166" fontId="8" fillId="8" borderId="0" xfId="0" applyNumberFormat="1" applyFont="1" applyFill="1" applyAlignment="1" applyProtection="1">
      <alignment horizontal="left"/>
    </xf>
    <xf numFmtId="167" fontId="8" fillId="8" borderId="0" xfId="2" applyNumberFormat="1" applyFont="1" applyFill="1" applyAlignment="1" applyProtection="1">
      <alignment horizontal="left"/>
    </xf>
    <xf numFmtId="0" fontId="11" fillId="8" borderId="0" xfId="0" applyFont="1" applyFill="1" applyAlignment="1" applyProtection="1">
      <alignment horizontal="left"/>
    </xf>
    <xf numFmtId="0" fontId="3" fillId="0" borderId="9" xfId="0" applyFont="1" applyBorder="1" applyAlignment="1">
      <alignment horizontal="center" vertical="center" wrapText="1"/>
    </xf>
    <xf numFmtId="0" fontId="4" fillId="0" borderId="0" xfId="0" applyFont="1" applyAlignment="1">
      <alignment horizontal="right" vertical="center" wrapText="1"/>
    </xf>
    <xf numFmtId="0" fontId="4" fillId="0" borderId="0" xfId="0" applyFont="1" applyAlignment="1">
      <alignment horizontal="right" wrapText="1"/>
    </xf>
    <xf numFmtId="0" fontId="33" fillId="0" borderId="0" xfId="1" applyFont="1" applyAlignment="1" applyProtection="1">
      <alignment horizontal="right" wrapText="1"/>
    </xf>
    <xf numFmtId="166" fontId="8" fillId="9" borderId="10" xfId="0" applyNumberFormat="1" applyFont="1" applyFill="1" applyBorder="1" applyAlignment="1" applyProtection="1">
      <alignment horizontal="left"/>
      <protection locked="0"/>
    </xf>
    <xf numFmtId="168" fontId="8" fillId="10" borderId="10" xfId="0" applyNumberFormat="1" applyFont="1" applyFill="1" applyBorder="1" applyAlignment="1" applyProtection="1">
      <alignment horizontal="left"/>
      <protection locked="0"/>
    </xf>
    <xf numFmtId="0" fontId="3" fillId="0" borderId="7" xfId="0" applyFont="1" applyBorder="1" applyAlignment="1">
      <alignment horizontal="center"/>
    </xf>
    <xf numFmtId="0" fontId="13" fillId="0" borderId="0" xfId="0" applyFont="1" applyAlignment="1">
      <alignment horizontal="right"/>
    </xf>
    <xf numFmtId="0" fontId="3" fillId="0" borderId="8" xfId="0" applyFont="1" applyBorder="1" applyAlignment="1">
      <alignment horizontal="center"/>
    </xf>
    <xf numFmtId="0" fontId="3" fillId="0" borderId="9" xfId="0" applyFont="1" applyBorder="1" applyAlignment="1">
      <alignment horizontal="center"/>
    </xf>
    <xf numFmtId="0" fontId="3" fillId="0" borderId="0" xfId="0" quotePrefix="1" applyFont="1" applyAlignment="1">
      <alignment horizontal="left"/>
    </xf>
    <xf numFmtId="2" fontId="12" fillId="0" borderId="9" xfId="0" applyNumberFormat="1" applyFont="1" applyBorder="1" applyAlignment="1">
      <alignment horizontal="center"/>
    </xf>
    <xf numFmtId="1" fontId="3" fillId="0" borderId="0" xfId="0" quotePrefix="1" applyNumberFormat="1" applyFont="1" applyAlignment="1">
      <alignment horizontal="left"/>
    </xf>
    <xf numFmtId="0" fontId="3" fillId="0" borderId="0" xfId="0" applyFont="1" applyBorder="1" applyAlignment="1">
      <alignment horizontal="center"/>
    </xf>
    <xf numFmtId="2" fontId="12" fillId="0" borderId="0" xfId="0" applyNumberFormat="1" applyFont="1" applyBorder="1" applyAlignment="1">
      <alignment horizontal="center"/>
    </xf>
    <xf numFmtId="0" fontId="27" fillId="0" borderId="0" xfId="0" applyFont="1" applyAlignment="1">
      <alignment horizontal="left"/>
    </xf>
    <xf numFmtId="2" fontId="12" fillId="0" borderId="0" xfId="0" applyNumberFormat="1" applyFont="1" applyAlignment="1">
      <alignment horizontal="left"/>
    </xf>
    <xf numFmtId="166" fontId="12" fillId="0" borderId="0" xfId="0" applyNumberFormat="1" applyFont="1" applyAlignment="1">
      <alignment horizontal="left"/>
    </xf>
    <xf numFmtId="166" fontId="13" fillId="0" borderId="0" xfId="0" applyNumberFormat="1" applyFont="1" applyAlignment="1">
      <alignment horizontal="left"/>
    </xf>
    <xf numFmtId="0" fontId="16" fillId="0" borderId="0" xfId="1" applyFont="1" applyAlignment="1" applyProtection="1">
      <alignment horizontal="left"/>
      <protection locked="0"/>
    </xf>
    <xf numFmtId="165" fontId="8" fillId="0" borderId="0" xfId="0" applyNumberFormat="1" applyFont="1" applyAlignment="1">
      <alignment horizontal="left"/>
    </xf>
    <xf numFmtId="2" fontId="12" fillId="0" borderId="0" xfId="0" applyNumberFormat="1" applyFont="1" applyBorder="1" applyAlignment="1">
      <alignment horizontal="left"/>
    </xf>
    <xf numFmtId="168" fontId="12" fillId="0" borderId="0" xfId="0" applyNumberFormat="1" applyFont="1" applyBorder="1" applyAlignment="1">
      <alignment horizontal="left"/>
    </xf>
    <xf numFmtId="1" fontId="12" fillId="0" borderId="0" xfId="0" applyNumberFormat="1" applyFont="1" applyBorder="1" applyAlignment="1">
      <alignment horizontal="left"/>
    </xf>
    <xf numFmtId="0" fontId="3" fillId="8" borderId="0" xfId="0" applyFont="1" applyFill="1" applyBorder="1"/>
    <xf numFmtId="165" fontId="12" fillId="0" borderId="0" xfId="0" applyNumberFormat="1" applyFont="1" applyBorder="1" applyAlignment="1">
      <alignment horizontal="left"/>
    </xf>
    <xf numFmtId="1" fontId="12" fillId="0" borderId="0" xfId="0" applyNumberFormat="1" applyFont="1" applyBorder="1" applyAlignment="1">
      <alignment horizontal="right"/>
    </xf>
    <xf numFmtId="1" fontId="12" fillId="0" borderId="0" xfId="0" applyNumberFormat="1" applyFont="1" applyBorder="1"/>
    <xf numFmtId="0" fontId="12" fillId="0" borderId="0" xfId="0" quotePrefix="1" applyFont="1" applyBorder="1" applyAlignment="1">
      <alignment horizontal="left"/>
    </xf>
    <xf numFmtId="1" fontId="12" fillId="0" borderId="0" xfId="0" applyNumberFormat="1" applyFont="1" applyAlignment="1">
      <alignment horizontal="left"/>
    </xf>
    <xf numFmtId="0" fontId="11" fillId="0" borderId="0" xfId="0" applyFont="1" applyBorder="1" applyAlignment="1">
      <alignment horizontal="left"/>
    </xf>
    <xf numFmtId="0" fontId="34" fillId="0" borderId="0" xfId="0" applyFont="1" applyBorder="1" applyAlignment="1">
      <alignment horizontal="left"/>
    </xf>
    <xf numFmtId="0" fontId="35" fillId="0" borderId="0" xfId="0" applyFont="1" applyBorder="1" applyAlignment="1">
      <alignment horizontal="left"/>
    </xf>
    <xf numFmtId="2" fontId="12" fillId="0" borderId="7" xfId="0" applyNumberFormat="1" applyFont="1" applyBorder="1" applyAlignment="1" applyProtection="1">
      <alignment horizontal="left"/>
      <protection locked="0"/>
    </xf>
    <xf numFmtId="166" fontId="12" fillId="0" borderId="8" xfId="0" applyNumberFormat="1" applyFont="1" applyBorder="1" applyAlignment="1" applyProtection="1">
      <alignment horizontal="left"/>
      <protection locked="0"/>
    </xf>
    <xf numFmtId="168" fontId="12" fillId="0" borderId="0" xfId="0" applyNumberFormat="1" applyFont="1" applyAlignment="1">
      <alignment horizontal="left"/>
    </xf>
    <xf numFmtId="165" fontId="12" fillId="0" borderId="0" xfId="0" applyNumberFormat="1" applyFont="1" applyAlignment="1">
      <alignment horizontal="left"/>
    </xf>
    <xf numFmtId="1" fontId="12" fillId="0" borderId="0" xfId="0" applyNumberFormat="1" applyFont="1" applyAlignment="1">
      <alignment horizontal="right"/>
    </xf>
    <xf numFmtId="1" fontId="12" fillId="0" borderId="0" xfId="0" applyNumberFormat="1" applyFont="1"/>
    <xf numFmtId="0" fontId="12" fillId="0" borderId="0" xfId="0" quotePrefix="1" applyFont="1" applyAlignment="1">
      <alignment horizontal="left"/>
    </xf>
    <xf numFmtId="1" fontId="12" fillId="0" borderId="8" xfId="0" applyNumberFormat="1" applyFont="1" applyFill="1" applyBorder="1" applyAlignment="1" applyProtection="1">
      <alignment horizontal="left"/>
      <protection locked="0"/>
    </xf>
    <xf numFmtId="2" fontId="12" fillId="0" borderId="9" xfId="0" applyNumberFormat="1" applyFont="1" applyFill="1" applyBorder="1" applyAlignment="1" applyProtection="1">
      <alignment horizontal="left"/>
      <protection locked="0"/>
    </xf>
    <xf numFmtId="165" fontId="12" fillId="0" borderId="8" xfId="0" applyNumberFormat="1" applyFont="1" applyBorder="1" applyAlignment="1" applyProtection="1">
      <alignment horizontal="left"/>
      <protection locked="0"/>
    </xf>
    <xf numFmtId="166" fontId="12" fillId="0" borderId="0" xfId="0" applyNumberFormat="1" applyFont="1" applyBorder="1" applyAlignment="1" applyProtection="1">
      <alignment horizontal="left"/>
      <protection locked="0"/>
    </xf>
    <xf numFmtId="166" fontId="13" fillId="0" borderId="8" xfId="0" applyNumberFormat="1" applyFont="1" applyBorder="1" applyAlignment="1" applyProtection="1">
      <alignment horizontal="left"/>
      <protection locked="0"/>
    </xf>
    <xf numFmtId="166" fontId="13" fillId="0" borderId="0" xfId="0" applyNumberFormat="1" applyFont="1" applyBorder="1" applyAlignment="1" applyProtection="1">
      <alignment horizontal="left"/>
      <protection locked="0"/>
    </xf>
    <xf numFmtId="166" fontId="12" fillId="0" borderId="9" xfId="0" applyNumberFormat="1" applyFont="1" applyFill="1" applyBorder="1" applyAlignment="1" applyProtection="1">
      <alignment horizontal="left"/>
      <protection locked="0"/>
    </xf>
    <xf numFmtId="166" fontId="12" fillId="0" borderId="0" xfId="0" applyNumberFormat="1" applyFont="1" applyFill="1" applyBorder="1" applyAlignment="1" applyProtection="1">
      <alignment horizontal="left"/>
      <protection locked="0"/>
    </xf>
    <xf numFmtId="0" fontId="3" fillId="0" borderId="0" xfId="0" applyFont="1" applyFill="1" applyBorder="1" applyAlignment="1">
      <alignment horizontal="left"/>
    </xf>
    <xf numFmtId="0" fontId="8" fillId="0" borderId="0" xfId="0" quotePrefix="1" applyFont="1" applyAlignment="1">
      <alignment horizontal="right"/>
    </xf>
    <xf numFmtId="0" fontId="12" fillId="0" borderId="0" xfId="0" quotePrefix="1" applyFont="1" applyAlignment="1">
      <alignment horizontal="right"/>
    </xf>
    <xf numFmtId="2" fontId="8" fillId="0" borderId="7" xfId="0" applyNumberFormat="1" applyFont="1" applyBorder="1" applyAlignment="1" applyProtection="1">
      <alignment horizontal="left"/>
      <protection locked="0"/>
    </xf>
    <xf numFmtId="0" fontId="3" fillId="0" borderId="9" xfId="0" applyFont="1" applyBorder="1" applyAlignment="1" applyProtection="1">
      <alignment horizontal="left"/>
      <protection locked="0"/>
    </xf>
    <xf numFmtId="0" fontId="37" fillId="0" borderId="0" xfId="0" applyFont="1"/>
    <xf numFmtId="0" fontId="4" fillId="0" borderId="0" xfId="0" applyFont="1" applyAlignment="1" applyProtection="1">
      <alignment horizontal="left"/>
      <protection locked="0"/>
    </xf>
    <xf numFmtId="0" fontId="2" fillId="8" borderId="10" xfId="1" applyFill="1" applyBorder="1" applyAlignment="1" applyProtection="1">
      <protection locked="0"/>
    </xf>
    <xf numFmtId="0" fontId="11" fillId="0" borderId="0" xfId="3" applyFont="1" applyAlignment="1">
      <alignment horizontal="left"/>
    </xf>
    <xf numFmtId="0" fontId="8" fillId="0" borderId="0" xfId="3" applyFont="1" applyAlignment="1">
      <alignment horizontal="right"/>
    </xf>
    <xf numFmtId="0" fontId="10" fillId="0" borderId="0" xfId="3" applyFont="1" applyAlignment="1">
      <alignment horizontal="center"/>
    </xf>
    <xf numFmtId="0" fontId="8" fillId="0" borderId="0" xfId="3" applyFont="1"/>
    <xf numFmtId="0" fontId="8" fillId="0" borderId="10" xfId="3" applyFont="1" applyBorder="1" applyAlignment="1" applyProtection="1">
      <alignment horizontal="center"/>
      <protection locked="0"/>
    </xf>
    <xf numFmtId="0" fontId="8" fillId="0" borderId="0" xfId="3" applyFont="1" applyAlignment="1">
      <alignment horizontal="center"/>
    </xf>
    <xf numFmtId="165" fontId="8" fillId="0" borderId="0" xfId="3" applyNumberFormat="1" applyFont="1" applyAlignment="1">
      <alignment horizontal="center"/>
    </xf>
    <xf numFmtId="0" fontId="13" fillId="0" borderId="0" xfId="3" applyFont="1"/>
    <xf numFmtId="0" fontId="8" fillId="0" borderId="10" xfId="0" applyFont="1" applyBorder="1" applyAlignment="1" applyProtection="1">
      <alignment horizontal="center"/>
      <protection locked="0"/>
    </xf>
    <xf numFmtId="0" fontId="8" fillId="0" borderId="0" xfId="0" applyFont="1" applyAlignment="1" applyProtection="1">
      <alignment horizontal="center"/>
      <protection locked="0"/>
    </xf>
    <xf numFmtId="1" fontId="8" fillId="0" borderId="0" xfId="0" applyNumberFormat="1" applyFont="1" applyAlignment="1" applyProtection="1">
      <alignment horizontal="center"/>
      <protection locked="0"/>
    </xf>
    <xf numFmtId="0" fontId="8" fillId="0" borderId="1" xfId="0" applyFont="1" applyBorder="1" applyAlignment="1" applyProtection="1">
      <alignment horizontal="center"/>
      <protection locked="0"/>
    </xf>
    <xf numFmtId="0" fontId="8" fillId="0" borderId="7" xfId="0" applyFont="1" applyBorder="1" applyAlignment="1">
      <alignment horizontal="center"/>
    </xf>
    <xf numFmtId="0" fontId="8" fillId="0" borderId="16" xfId="0" applyFont="1" applyBorder="1" applyAlignment="1">
      <alignment horizontal="center"/>
    </xf>
    <xf numFmtId="168" fontId="8" fillId="0" borderId="7" xfId="0" applyNumberFormat="1" applyFont="1" applyBorder="1" applyAlignment="1">
      <alignment horizontal="center"/>
    </xf>
    <xf numFmtId="0" fontId="8" fillId="0" borderId="2" xfId="0" applyFont="1" applyBorder="1" applyAlignment="1">
      <alignment horizontal="center"/>
    </xf>
    <xf numFmtId="0" fontId="8" fillId="0" borderId="12" xfId="0" applyFont="1" applyBorder="1" applyAlignment="1" applyProtection="1">
      <alignment horizontal="center"/>
      <protection locked="0"/>
    </xf>
    <xf numFmtId="0" fontId="8" fillId="0" borderId="8" xfId="0" applyFont="1" applyBorder="1" applyAlignment="1">
      <alignment horizontal="center"/>
    </xf>
    <xf numFmtId="168" fontId="8" fillId="0" borderId="8" xfId="0" applyNumberFormat="1" applyFont="1" applyBorder="1" applyAlignment="1">
      <alignment horizontal="center"/>
    </xf>
    <xf numFmtId="0" fontId="8" fillId="0" borderId="17" xfId="0" applyFont="1" applyBorder="1" applyAlignment="1">
      <alignment horizontal="center"/>
    </xf>
    <xf numFmtId="2" fontId="8" fillId="0" borderId="8" xfId="0" applyNumberFormat="1" applyFont="1" applyBorder="1" applyAlignment="1">
      <alignment horizontal="center"/>
    </xf>
    <xf numFmtId="169" fontId="8" fillId="0" borderId="8" xfId="0" applyNumberFormat="1" applyFont="1" applyBorder="1" applyAlignment="1">
      <alignment horizontal="center"/>
    </xf>
    <xf numFmtId="166" fontId="8" fillId="0" borderId="8" xfId="0" applyNumberFormat="1" applyFont="1" applyBorder="1" applyAlignment="1">
      <alignment horizontal="center"/>
    </xf>
    <xf numFmtId="0" fontId="8" fillId="0" borderId="8" xfId="0" applyFont="1" applyFill="1" applyBorder="1" applyAlignment="1">
      <alignment horizontal="center"/>
    </xf>
    <xf numFmtId="0" fontId="8" fillId="0" borderId="17" xfId="0" applyFont="1" applyFill="1" applyBorder="1" applyAlignment="1">
      <alignment horizontal="center"/>
    </xf>
    <xf numFmtId="0" fontId="8" fillId="0" borderId="5" xfId="0" applyFont="1" applyFill="1" applyBorder="1" applyAlignment="1" applyProtection="1">
      <alignment horizontal="center"/>
      <protection locked="0"/>
    </xf>
    <xf numFmtId="0" fontId="8" fillId="0" borderId="9" xfId="0" applyFont="1" applyFill="1" applyBorder="1" applyAlignment="1">
      <alignment horizontal="center"/>
    </xf>
    <xf numFmtId="0" fontId="8" fillId="0" borderId="14" xfId="0" applyFont="1" applyFill="1" applyBorder="1" applyAlignment="1">
      <alignment horizontal="center"/>
    </xf>
    <xf numFmtId="166" fontId="8" fillId="0" borderId="9" xfId="0" applyNumberFormat="1" applyFont="1" applyFill="1" applyBorder="1" applyAlignment="1">
      <alignment horizontal="center"/>
    </xf>
    <xf numFmtId="0" fontId="8" fillId="0" borderId="6" xfId="0" applyFont="1" applyFill="1" applyBorder="1" applyAlignment="1">
      <alignment horizontal="center"/>
    </xf>
    <xf numFmtId="0" fontId="12" fillId="0" borderId="0" xfId="0" applyFont="1" applyAlignment="1" applyProtection="1">
      <alignment horizontal="center"/>
      <protection locked="0"/>
    </xf>
    <xf numFmtId="1" fontId="8" fillId="0" borderId="8" xfId="0" applyNumberFormat="1" applyFont="1" applyBorder="1" applyAlignment="1">
      <alignment horizontal="center"/>
    </xf>
    <xf numFmtId="1" fontId="8" fillId="0" borderId="9" xfId="0" applyNumberFormat="1" applyFont="1" applyBorder="1" applyAlignment="1">
      <alignment horizontal="center"/>
    </xf>
    <xf numFmtId="2" fontId="8" fillId="0" borderId="0" xfId="0" applyNumberFormat="1" applyFont="1" applyAlignment="1" applyProtection="1">
      <alignment horizontal="center"/>
      <protection locked="0"/>
    </xf>
    <xf numFmtId="0" fontId="8" fillId="0" borderId="0" xfId="0" applyFont="1" applyAlignment="1" applyProtection="1">
      <alignment horizontal="right"/>
      <protection locked="0"/>
    </xf>
    <xf numFmtId="0" fontId="12" fillId="0" borderId="0" xfId="0" quotePrefix="1" applyFont="1" applyAlignment="1" applyProtection="1">
      <alignment horizontal="right"/>
      <protection locked="0"/>
    </xf>
    <xf numFmtId="168" fontId="8" fillId="0" borderId="0" xfId="0" applyNumberFormat="1" applyFont="1" applyAlignment="1" applyProtection="1">
      <alignment horizontal="center"/>
      <protection locked="0"/>
    </xf>
    <xf numFmtId="164" fontId="8"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0" fontId="3" fillId="0" borderId="0" xfId="0" applyFont="1" applyAlignment="1" applyProtection="1">
      <alignment horizontal="right"/>
      <protection locked="0"/>
    </xf>
    <xf numFmtId="2" fontId="3" fillId="0" borderId="0" xfId="0" applyNumberFormat="1" applyFont="1" applyAlignment="1" applyProtection="1">
      <alignment horizontal="left"/>
      <protection locked="0"/>
    </xf>
    <xf numFmtId="2" fontId="8" fillId="11" borderId="10" xfId="0" applyNumberFormat="1" applyFont="1" applyFill="1" applyBorder="1" applyAlignment="1" applyProtection="1">
      <alignment horizontal="left"/>
      <protection locked="0"/>
    </xf>
    <xf numFmtId="2" fontId="8" fillId="6" borderId="10" xfId="0" applyNumberFormat="1" applyFont="1" applyFill="1" applyBorder="1" applyAlignment="1" applyProtection="1">
      <alignment horizontal="left"/>
      <protection locked="0"/>
    </xf>
    <xf numFmtId="168" fontId="3" fillId="0" borderId="0" xfId="0" applyNumberFormat="1" applyFont="1" applyAlignment="1" applyProtection="1">
      <alignment horizontal="left"/>
      <protection locked="0"/>
    </xf>
    <xf numFmtId="168" fontId="3" fillId="0" borderId="0" xfId="0" applyNumberFormat="1" applyFont="1" applyAlignment="1">
      <alignment horizontal="left"/>
    </xf>
    <xf numFmtId="165" fontId="8" fillId="7" borderId="10" xfId="0" applyNumberFormat="1" applyFont="1" applyFill="1" applyBorder="1" applyAlignment="1" applyProtection="1">
      <alignment horizontal="left"/>
      <protection locked="0"/>
    </xf>
    <xf numFmtId="2" fontId="8" fillId="12" borderId="10" xfId="0" applyNumberFormat="1" applyFont="1" applyFill="1" applyBorder="1" applyAlignment="1" applyProtection="1">
      <alignment horizontal="left"/>
      <protection locked="0"/>
    </xf>
    <xf numFmtId="0" fontId="40" fillId="0" borderId="0" xfId="0" applyFont="1" applyAlignment="1">
      <alignment horizontal="left"/>
    </xf>
    <xf numFmtId="1" fontId="10" fillId="0" borderId="0" xfId="0" applyNumberFormat="1" applyFont="1" applyAlignment="1" applyProtection="1">
      <alignment horizontal="center"/>
      <protection locked="0"/>
    </xf>
    <xf numFmtId="0" fontId="8" fillId="0" borderId="0" xfId="0" applyFont="1" applyAlignment="1" applyProtection="1">
      <alignment horizontal="left"/>
      <protection locked="0"/>
    </xf>
    <xf numFmtId="15" fontId="13" fillId="0" borderId="0" xfId="0" applyNumberFormat="1" applyFont="1" applyProtection="1">
      <protection locked="0"/>
    </xf>
    <xf numFmtId="0" fontId="39" fillId="0" borderId="0" xfId="0" applyFont="1" applyAlignment="1" applyProtection="1">
      <alignment horizontal="left"/>
      <protection locked="0"/>
    </xf>
    <xf numFmtId="0" fontId="21" fillId="0" borderId="0" xfId="0" applyFont="1" applyAlignment="1" applyProtection="1">
      <alignment horizontal="left"/>
    </xf>
  </cellXfs>
  <cellStyles count="4">
    <cellStyle name="Hyperlink" xfId="1" builtinId="8"/>
    <cellStyle name="Normal" xfId="0" builtinId="0"/>
    <cellStyle name="Normal_ENTHALPY" xfId="3" xr:uid="{00000000-0005-0000-0000-00000200000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png"/><Relationship Id="rId5" Type="http://schemas.openxmlformats.org/officeDocument/2006/relationships/image" Target="../media/image5.jpeg"/><Relationship Id="rId10" Type="http://schemas.openxmlformats.org/officeDocument/2006/relationships/image" Target="../media/image10.png"/><Relationship Id="rId4" Type="http://schemas.openxmlformats.org/officeDocument/2006/relationships/image" Target="../media/image4.jpe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3" Type="http://schemas.openxmlformats.org/officeDocument/2006/relationships/image" Target="../media/image14.jpeg"/><Relationship Id="rId2" Type="http://schemas.openxmlformats.org/officeDocument/2006/relationships/image" Target="../media/image13.jpeg"/><Relationship Id="rId1" Type="http://schemas.openxmlformats.org/officeDocument/2006/relationships/image" Target="../media/image12.jpeg"/><Relationship Id="rId5" Type="http://schemas.openxmlformats.org/officeDocument/2006/relationships/image" Target="../media/image16.png"/><Relationship Id="rId4" Type="http://schemas.openxmlformats.org/officeDocument/2006/relationships/image" Target="../media/image15.jpeg"/></Relationships>
</file>

<file path=xl/drawings/_rels/drawing3.xml.rels><?xml version="1.0" encoding="UTF-8" standalone="yes"?>
<Relationships xmlns="http://schemas.openxmlformats.org/package/2006/relationships"><Relationship Id="rId3" Type="http://schemas.openxmlformats.org/officeDocument/2006/relationships/image" Target="../media/image19.png"/><Relationship Id="rId2" Type="http://schemas.openxmlformats.org/officeDocument/2006/relationships/image" Target="../media/image18.jpeg"/><Relationship Id="rId1" Type="http://schemas.openxmlformats.org/officeDocument/2006/relationships/image" Target="../media/image17.jpeg"/><Relationship Id="rId4" Type="http://schemas.openxmlformats.org/officeDocument/2006/relationships/image" Target="../media/image20.png"/></Relationships>
</file>

<file path=xl/drawings/_rels/drawing4.xml.rels><?xml version="1.0" encoding="UTF-8" standalone="yes"?>
<Relationships xmlns="http://schemas.openxmlformats.org/package/2006/relationships"><Relationship Id="rId2" Type="http://schemas.openxmlformats.org/officeDocument/2006/relationships/image" Target="../media/image22.jpeg"/><Relationship Id="rId1" Type="http://schemas.openxmlformats.org/officeDocument/2006/relationships/image" Target="../media/image21.jpeg"/></Relationships>
</file>

<file path=xl/drawings/_rels/drawing5.xml.rels><?xml version="1.0" encoding="UTF-8" standalone="yes"?>
<Relationships xmlns="http://schemas.openxmlformats.org/package/2006/relationships"><Relationship Id="rId8" Type="http://schemas.openxmlformats.org/officeDocument/2006/relationships/image" Target="../media/image30.jpeg"/><Relationship Id="rId3" Type="http://schemas.openxmlformats.org/officeDocument/2006/relationships/image" Target="../media/image25.jpeg"/><Relationship Id="rId7" Type="http://schemas.openxmlformats.org/officeDocument/2006/relationships/image" Target="../media/image29.jpeg"/><Relationship Id="rId2" Type="http://schemas.openxmlformats.org/officeDocument/2006/relationships/image" Target="../media/image24.jpeg"/><Relationship Id="rId1" Type="http://schemas.openxmlformats.org/officeDocument/2006/relationships/image" Target="../media/image23.jpeg"/><Relationship Id="rId6" Type="http://schemas.openxmlformats.org/officeDocument/2006/relationships/image" Target="../media/image28.jpeg"/><Relationship Id="rId5" Type="http://schemas.openxmlformats.org/officeDocument/2006/relationships/image" Target="../media/image27.jpeg"/><Relationship Id="rId4" Type="http://schemas.openxmlformats.org/officeDocument/2006/relationships/image" Target="../media/image26.jpeg"/><Relationship Id="rId9" Type="http://schemas.openxmlformats.org/officeDocument/2006/relationships/image" Target="../media/image31.jpeg"/></Relationships>
</file>

<file path=xl/drawings/_rels/drawing6.xml.rels><?xml version="1.0" encoding="UTF-8" standalone="yes"?>
<Relationships xmlns="http://schemas.openxmlformats.org/package/2006/relationships"><Relationship Id="rId3" Type="http://schemas.openxmlformats.org/officeDocument/2006/relationships/image" Target="../media/image34.jpg"/><Relationship Id="rId7" Type="http://schemas.openxmlformats.org/officeDocument/2006/relationships/image" Target="../media/image38.jpg"/><Relationship Id="rId2" Type="http://schemas.openxmlformats.org/officeDocument/2006/relationships/image" Target="../media/image33.tif"/><Relationship Id="rId1" Type="http://schemas.openxmlformats.org/officeDocument/2006/relationships/image" Target="../media/image32.tif"/><Relationship Id="rId6" Type="http://schemas.openxmlformats.org/officeDocument/2006/relationships/image" Target="../media/image37.jpg"/><Relationship Id="rId5" Type="http://schemas.openxmlformats.org/officeDocument/2006/relationships/image" Target="../media/image36.jpg"/><Relationship Id="rId4" Type="http://schemas.openxmlformats.org/officeDocument/2006/relationships/image" Target="../media/image35.jpg"/></Relationships>
</file>

<file path=xl/drawings/drawing1.xml><?xml version="1.0" encoding="utf-8"?>
<xdr:wsDr xmlns:xdr="http://schemas.openxmlformats.org/drawingml/2006/spreadsheetDrawing" xmlns:a="http://schemas.openxmlformats.org/drawingml/2006/main">
  <xdr:twoCellAnchor>
    <xdr:from>
      <xdr:col>8</xdr:col>
      <xdr:colOff>368301</xdr:colOff>
      <xdr:row>16</xdr:row>
      <xdr:rowOff>133350</xdr:rowOff>
    </xdr:from>
    <xdr:to>
      <xdr:col>13</xdr:col>
      <xdr:colOff>171450</xdr:colOff>
      <xdr:row>49</xdr:row>
      <xdr:rowOff>146050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8267701" y="3371850"/>
          <a:ext cx="3257549" cy="6508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b="1">
            <a:solidFill>
              <a:srgbClr val="0070C0"/>
            </a:solidFill>
            <a:latin typeface="Arial" pitchFamily="34" charset="0"/>
            <a:ea typeface="+mn-ea"/>
            <a:cs typeface="Arial" pitchFamily="34" charset="0"/>
          </a:endParaRPr>
        </a:p>
        <a:p>
          <a:pPr algn="ctr"/>
          <a:r>
            <a:rPr lang="en-US" sz="1400" b="1">
              <a:solidFill>
                <a:sysClr val="windowText" lastClr="000000"/>
              </a:solidFill>
              <a:latin typeface="Arial" pitchFamily="34" charset="0"/>
              <a:ea typeface="+mn-ea"/>
              <a:cs typeface="Arial" pitchFamily="34" charset="0"/>
            </a:rPr>
            <a:t>Course Outline</a:t>
          </a:r>
        </a:p>
        <a:p>
          <a:endParaRPr lang="en-US" sz="1200" b="1">
            <a:solidFill>
              <a:srgbClr val="0070C0"/>
            </a:solidFill>
            <a:latin typeface="Arial" pitchFamily="34" charset="0"/>
            <a:ea typeface="+mn-ea"/>
            <a:cs typeface="Arial" pitchFamily="34" charset="0"/>
          </a:endParaRPr>
        </a:p>
        <a:p>
          <a:r>
            <a:rPr lang="en-US" sz="1200">
              <a:solidFill>
                <a:schemeClr val="dk1"/>
              </a:solidFill>
              <a:latin typeface="Arial" panose="020B0604020202020204" pitchFamily="34" charset="0"/>
              <a:ea typeface="+mn-ea"/>
              <a:cs typeface="Arial" panose="020B0604020202020204" pitchFamily="34" charset="0"/>
            </a:rPr>
            <a:t>Step-by-step illustrated examples show how to use the spread sheet tools to optimize earth</a:t>
          </a:r>
          <a:r>
            <a:rPr lang="en-US" sz="1200" baseline="0">
              <a:solidFill>
                <a:schemeClr val="dk1"/>
              </a:solidFill>
              <a:latin typeface="Arial" panose="020B0604020202020204" pitchFamily="34" charset="0"/>
              <a:ea typeface="+mn-ea"/>
              <a:cs typeface="Arial" panose="020B0604020202020204" pitchFamily="34" charset="0"/>
            </a:rPr>
            <a:t> moving equipment drive calculations</a:t>
          </a:r>
          <a:r>
            <a:rPr lang="en-US" sz="1200">
              <a:solidFill>
                <a:schemeClr val="dk1"/>
              </a:solidFill>
              <a:latin typeface="Arial" panose="020B0604020202020204" pitchFamily="34" charset="0"/>
              <a:ea typeface="+mn-ea"/>
              <a:cs typeface="Arial" panose="020B0604020202020204" pitchFamily="34" charset="0"/>
            </a:rPr>
            <a:t>. This course is divided into 5 sections.</a:t>
          </a:r>
        </a:p>
        <a:p>
          <a:endParaRPr lang="en-US" sz="1200">
            <a:latin typeface="Arial" panose="020B0604020202020204" pitchFamily="34" charset="0"/>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1. Applications</a:t>
          </a:r>
          <a:endParaRPr lang="en-US" sz="1200">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2. Drive Calculations</a:t>
          </a:r>
          <a:endParaRPr lang="en-US" sz="1200">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3. Diesel Engines</a:t>
          </a:r>
          <a:endParaRPr lang="en-US" sz="1200">
            <a:solidFill>
              <a:schemeClr val="dk1"/>
            </a:solidFill>
            <a:latin typeface="Arial" panose="020B0604020202020204" pitchFamily="34" charset="0"/>
            <a:ea typeface="+mn-ea"/>
            <a:cs typeface="Arial" panose="020B0604020202020204" pitchFamily="34" charset="0"/>
          </a:endParaRPr>
        </a:p>
        <a:p>
          <a:r>
            <a:rPr lang="en-US" sz="1200" b="1">
              <a:solidFill>
                <a:schemeClr val="dk1"/>
              </a:solidFill>
              <a:latin typeface="Arial" panose="020B0604020202020204" pitchFamily="34" charset="0"/>
              <a:ea typeface="+mn-ea"/>
              <a:cs typeface="Arial" panose="020B0604020202020204" pitchFamily="34" charset="0"/>
            </a:rPr>
            <a:t>4. Fluid Power                                                                                                         5. Bucket Arm Forces</a:t>
          </a:r>
          <a:endParaRPr lang="en-US" sz="1200">
            <a:solidFill>
              <a:schemeClr val="dk1"/>
            </a:solidFill>
            <a:latin typeface="Arial" panose="020B0604020202020204" pitchFamily="34" charset="0"/>
            <a:ea typeface="+mn-ea"/>
            <a:cs typeface="Arial" panose="020B0604020202020204" pitchFamily="34" charset="0"/>
          </a:endParaRPr>
        </a:p>
        <a:p>
          <a:pPr algn="ctr"/>
          <a:r>
            <a:rPr lang="en-US" sz="1200" b="1">
              <a:solidFill>
                <a:schemeClr val="dk1"/>
              </a:solidFill>
              <a:latin typeface="Arial" panose="020B0604020202020204" pitchFamily="34" charset="0"/>
              <a:ea typeface="+mn-ea"/>
              <a:cs typeface="Arial" panose="020B0604020202020204" pitchFamily="34" charset="0"/>
            </a:rPr>
            <a:t>                                                                                                                       </a:t>
          </a:r>
          <a:r>
            <a:rPr lang="en-US" sz="1400" b="1">
              <a:solidFill>
                <a:sysClr val="windowText" lastClr="000000"/>
              </a:solidFill>
              <a:latin typeface="Arial" pitchFamily="34" charset="0"/>
              <a:ea typeface="+mn-ea"/>
              <a:cs typeface="Arial" pitchFamily="34" charset="0"/>
            </a:rPr>
            <a:t>Objectives   </a:t>
          </a:r>
          <a:r>
            <a:rPr lang="en-US" sz="1200" b="1">
              <a:solidFill>
                <a:sysClr val="windowText" lastClr="000000"/>
              </a:solidFill>
              <a:latin typeface="Arial" panose="020B0604020202020204" pitchFamily="34" charset="0"/>
              <a:ea typeface="+mn-ea"/>
              <a:cs typeface="Arial" panose="020B0604020202020204" pitchFamily="34" charset="0"/>
            </a:rPr>
            <a:t>       </a:t>
          </a:r>
          <a:r>
            <a:rPr lang="en-US" sz="1200" b="1">
              <a:solidFill>
                <a:schemeClr val="dk1"/>
              </a:solidFill>
              <a:latin typeface="Arial" panose="020B0604020202020204" pitchFamily="34" charset="0"/>
              <a:ea typeface="+mn-ea"/>
              <a:cs typeface="Arial" panose="020B0604020202020204" pitchFamily="34" charset="0"/>
            </a:rPr>
            <a:t>                                                                                                     </a:t>
          </a:r>
          <a:r>
            <a:rPr lang="en-US" sz="1200">
              <a:solidFill>
                <a:schemeClr val="dk1"/>
              </a:solidFill>
              <a:latin typeface="Arial" panose="020B0604020202020204" pitchFamily="34" charset="0"/>
              <a:ea typeface="+mn-ea"/>
              <a:cs typeface="Arial" panose="020B0604020202020204" pitchFamily="34" charset="0"/>
            </a:rPr>
            <a:t>Use this</a:t>
          </a:r>
          <a:r>
            <a:rPr lang="en-US" sz="1200" baseline="0">
              <a:solidFill>
                <a:schemeClr val="dk1"/>
              </a:solidFill>
              <a:latin typeface="Arial" panose="020B0604020202020204" pitchFamily="34" charset="0"/>
              <a:ea typeface="+mn-ea"/>
              <a:cs typeface="Arial" panose="020B0604020202020204" pitchFamily="34" charset="0"/>
            </a:rPr>
            <a:t> course</a:t>
          </a:r>
          <a:r>
            <a:rPr lang="en-US" sz="1200">
              <a:solidFill>
                <a:schemeClr val="dk1"/>
              </a:solidFill>
              <a:latin typeface="Arial" panose="020B0604020202020204" pitchFamily="34" charset="0"/>
              <a:ea typeface="+mn-ea"/>
              <a:cs typeface="Arial" panose="020B0604020202020204" pitchFamily="34" charset="0"/>
            </a:rPr>
            <a:t> to:</a:t>
          </a:r>
          <a:endParaRPr lang="en-US" sz="1200">
            <a:latin typeface="Arial" panose="020B0604020202020204" pitchFamily="34" charset="0"/>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 </a:t>
          </a:r>
          <a:endParaRPr lang="en-US" sz="1200">
            <a:latin typeface="Arial" panose="020B0604020202020204" pitchFamily="34" charset="0"/>
            <a:cs typeface="Arial" panose="020B0604020202020204" pitchFamily="34" charset="0"/>
          </a:endParaRPr>
        </a:p>
        <a:p>
          <a:pPr eaLnBrk="1" fontAlgn="auto" latinLnBrk="0" hangingPunct="1"/>
          <a:r>
            <a:rPr lang="en-US" sz="1200">
              <a:solidFill>
                <a:schemeClr val="dk1"/>
              </a:solidFill>
              <a:latin typeface="Arial" panose="020B0604020202020204" pitchFamily="34" charset="0"/>
              <a:ea typeface="+mn-ea"/>
              <a:cs typeface="Arial" panose="020B0604020202020204" pitchFamily="34" charset="0"/>
            </a:rPr>
            <a:t>1.   examine earth moving equipment  applications.                                         </a:t>
          </a:r>
        </a:p>
        <a:p>
          <a:pPr eaLnBrk="1" fontAlgn="auto" latinLnBrk="0" hangingPunct="1"/>
          <a:r>
            <a:rPr lang="en-US" sz="1200">
              <a:solidFill>
                <a:schemeClr val="dk1"/>
              </a:solidFill>
              <a:latin typeface="Arial" panose="020B0604020202020204" pitchFamily="34" charset="0"/>
              <a:ea typeface="+mn-ea"/>
              <a:cs typeface="Arial" panose="020B0604020202020204" pitchFamily="34" charset="0"/>
            </a:rPr>
            <a:t> 2.   consider wheel and tractor design features.                                                 </a:t>
          </a:r>
        </a:p>
        <a:p>
          <a:pPr eaLnBrk="1" fontAlgn="auto" latinLnBrk="0" hangingPunct="1"/>
          <a:r>
            <a:rPr lang="en-US" sz="1200">
              <a:solidFill>
                <a:schemeClr val="dk1"/>
              </a:solidFill>
              <a:latin typeface="Arial" panose="020B0604020202020204" pitchFamily="34" charset="0"/>
              <a:ea typeface="+mn-ea"/>
              <a:cs typeface="Arial" panose="020B0604020202020204" pitchFamily="34" charset="0"/>
            </a:rPr>
            <a:t>3.   link to the Caterpillar home web page.</a:t>
          </a:r>
        </a:p>
        <a:p>
          <a:r>
            <a:rPr lang="en-US" sz="1200">
              <a:solidFill>
                <a:schemeClr val="dk1"/>
              </a:solidFill>
              <a:latin typeface="Arial" panose="020B0604020202020204" pitchFamily="34" charset="0"/>
              <a:ea typeface="+mn-ea"/>
              <a:cs typeface="Arial" panose="020B0604020202020204" pitchFamily="34" charset="0"/>
            </a:rPr>
            <a:t>4.   </a:t>
          </a:r>
          <a:r>
            <a:rPr lang="en-US" sz="1200" baseline="0">
              <a:solidFill>
                <a:schemeClr val="dk1"/>
              </a:solidFill>
              <a:latin typeface="Arial" panose="020B0604020202020204" pitchFamily="34" charset="0"/>
              <a:ea typeface="+mn-ea"/>
              <a:cs typeface="Arial" panose="020B0604020202020204" pitchFamily="34" charset="0"/>
            </a:rPr>
            <a:t>solve </a:t>
          </a:r>
          <a:r>
            <a:rPr lang="en-US" sz="1200">
              <a:solidFill>
                <a:schemeClr val="dk1"/>
              </a:solidFill>
              <a:latin typeface="Arial" panose="020B0604020202020204" pitchFamily="34" charset="0"/>
              <a:ea typeface="+mn-ea"/>
              <a:cs typeface="Arial" panose="020B0604020202020204" pitchFamily="34" charset="0"/>
            </a:rPr>
            <a:t>typical earth moving equipment drive calculations.</a:t>
          </a:r>
          <a:endParaRPr lang="en-US" sz="1200">
            <a:latin typeface="Arial" panose="020B0604020202020204" pitchFamily="34" charset="0"/>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5.   analyze diesel engine performance.</a:t>
          </a:r>
          <a:endParaRPr lang="en-US" sz="1200">
            <a:latin typeface="Arial" panose="020B0604020202020204" pitchFamily="34" charset="0"/>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6.   calculate vehicle road rolling resistance.</a:t>
          </a:r>
          <a:endParaRPr lang="en-US" sz="1200">
            <a:latin typeface="Arial" panose="020B0604020202020204" pitchFamily="34" charset="0"/>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7. </a:t>
          </a:r>
          <a:r>
            <a:rPr lang="en-US" sz="1200" baseline="0">
              <a:solidFill>
                <a:schemeClr val="dk1"/>
              </a:solidFill>
              <a:latin typeface="Arial" panose="020B0604020202020204" pitchFamily="34" charset="0"/>
              <a:ea typeface="+mn-ea"/>
              <a:cs typeface="Arial" panose="020B0604020202020204" pitchFamily="34" charset="0"/>
            </a:rPr>
            <a:t>  determine</a:t>
          </a:r>
          <a:r>
            <a:rPr lang="en-US" sz="1200">
              <a:solidFill>
                <a:schemeClr val="dk1"/>
              </a:solidFill>
              <a:latin typeface="Arial" panose="020B0604020202020204" pitchFamily="34" charset="0"/>
              <a:ea typeface="+mn-ea"/>
              <a:cs typeface="Arial" panose="020B0604020202020204" pitchFamily="34" charset="0"/>
            </a:rPr>
            <a:t> rolling radius and tracktive force.                                                      </a:t>
          </a:r>
        </a:p>
        <a:p>
          <a:r>
            <a:rPr lang="en-US" sz="1200">
              <a:solidFill>
                <a:schemeClr val="dk1"/>
              </a:solidFill>
              <a:latin typeface="Arial" panose="020B0604020202020204" pitchFamily="34" charset="0"/>
              <a:ea typeface="+mn-ea"/>
              <a:cs typeface="Arial" panose="020B0604020202020204" pitchFamily="34" charset="0"/>
            </a:rPr>
            <a:t>8.   find multi-plate clutch torque capacity.</a:t>
          </a:r>
          <a:endParaRPr lang="en-US" sz="1200">
            <a:latin typeface="Arial" panose="020B0604020202020204" pitchFamily="34" charset="0"/>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9. </a:t>
          </a:r>
          <a:r>
            <a:rPr lang="en-US" sz="1200" baseline="0">
              <a:solidFill>
                <a:schemeClr val="dk1"/>
              </a:solidFill>
              <a:latin typeface="Arial" panose="020B0604020202020204" pitchFamily="34" charset="0"/>
              <a:ea typeface="+mn-ea"/>
              <a:cs typeface="Arial" panose="020B0604020202020204" pitchFamily="34" charset="0"/>
            </a:rPr>
            <a:t>  perform hydraulic cylinder and pump calculations.</a:t>
          </a:r>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10. calculate the strength of backhoe bucket arms.</a:t>
          </a:r>
          <a:endParaRPr lang="en-US" sz="1200">
            <a:latin typeface="Arial" panose="020B0604020202020204" pitchFamily="34" charset="0"/>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12. use Excel’s “Goal Seek” to optimize engineering</a:t>
          </a:r>
          <a:r>
            <a:rPr lang="en-US" sz="1200" baseline="0">
              <a:solidFill>
                <a:schemeClr val="dk1"/>
              </a:solidFill>
              <a:latin typeface="Arial" panose="020B0604020202020204" pitchFamily="34" charset="0"/>
              <a:ea typeface="+mn-ea"/>
              <a:cs typeface="Arial" panose="020B0604020202020204" pitchFamily="34" charset="0"/>
            </a:rPr>
            <a:t> calculations</a:t>
          </a:r>
          <a:r>
            <a:rPr lang="en-US" sz="1200">
              <a:solidFill>
                <a:schemeClr val="dk1"/>
              </a:solidFill>
              <a:latin typeface="Arial" panose="020B0604020202020204" pitchFamily="34" charset="0"/>
              <a:ea typeface="+mn-ea"/>
              <a:cs typeface="Arial" panose="020B0604020202020204" pitchFamily="34" charset="0"/>
            </a:rPr>
            <a:t>.</a:t>
          </a:r>
          <a:endParaRPr lang="en-US" sz="1200">
            <a:latin typeface="Arial" panose="020B0604020202020204" pitchFamily="34" charset="0"/>
            <a:cs typeface="Arial" panose="020B0604020202020204" pitchFamily="34" charset="0"/>
          </a:endParaRPr>
        </a:p>
        <a:p>
          <a:endParaRPr lang="en-US" sz="1100">
            <a:solidFill>
              <a:schemeClr val="dk1"/>
            </a:solidFill>
            <a:latin typeface="+mn-lt"/>
            <a:ea typeface="+mn-ea"/>
            <a:cs typeface="+mn-cs"/>
          </a:endParaRPr>
        </a:p>
      </xdr:txBody>
    </xdr:sp>
    <xdr:clientData/>
  </xdr:twoCellAnchor>
  <xdr:twoCellAnchor>
    <xdr:from>
      <xdr:col>1</xdr:col>
      <xdr:colOff>161924</xdr:colOff>
      <xdr:row>54</xdr:row>
      <xdr:rowOff>127001</xdr:rowOff>
    </xdr:from>
    <xdr:to>
      <xdr:col>4</xdr:col>
      <xdr:colOff>142875</xdr:colOff>
      <xdr:row>75</xdr:row>
      <xdr:rowOff>57151</xdr:rowOff>
    </xdr:to>
    <xdr:sp macro="" textlink="">
      <xdr:nvSpPr>
        <xdr:cNvPr id="18" name="TextBox 17">
          <a:extLst>
            <a:ext uri="{FF2B5EF4-FFF2-40B4-BE49-F238E27FC236}">
              <a16:creationId xmlns:a16="http://schemas.microsoft.com/office/drawing/2014/main" id="{00000000-0008-0000-0000-000012000000}"/>
            </a:ext>
          </a:extLst>
        </xdr:cNvPr>
        <xdr:cNvSpPr txBox="1"/>
      </xdr:nvSpPr>
      <xdr:spPr>
        <a:xfrm>
          <a:off x="758824" y="10960101"/>
          <a:ext cx="5054601" cy="4064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latin typeface="Arial" panose="020B0604020202020204" pitchFamily="34" charset="0"/>
            <a:cs typeface="Arial" panose="020B0604020202020204" pitchFamily="34" charset="0"/>
          </a:endParaRPr>
        </a:p>
        <a:p>
          <a:pPr marL="0" marR="0" lvl="0" indent="0" algn="ctr" defTabSz="914400" eaLnBrk="1" fontAlgn="auto" latinLnBrk="0" hangingPunct="1">
            <a:lnSpc>
              <a:spcPct val="100000"/>
            </a:lnSpc>
            <a:spcBef>
              <a:spcPts val="0"/>
            </a:spcBef>
            <a:spcAft>
              <a:spcPts val="0"/>
            </a:spcAft>
            <a:buClrTx/>
            <a:buSzTx/>
            <a:buFontTx/>
            <a:buNone/>
            <a:tabLst/>
            <a:defRPr/>
          </a:pPr>
          <a:r>
            <a:rPr lang="en-US" sz="1400" b="1">
              <a:latin typeface="Arial" panose="020B0604020202020204" pitchFamily="34" charset="0"/>
              <a:cs typeface="Arial" panose="020B0604020202020204" pitchFamily="34" charset="0"/>
            </a:rPr>
            <a:t>CATAPLILLER  INDUSTRY LEADER                                                                                                                   HIGH STANDARDS</a:t>
          </a:r>
        </a:p>
        <a:p>
          <a:pPr marL="0" marR="0" lvl="0" indent="0" algn="l" defTabSz="914400" eaLnBrk="1" fontAlgn="auto" latinLnBrk="0" hangingPunct="1">
            <a:lnSpc>
              <a:spcPct val="100000"/>
            </a:lnSpc>
            <a:spcBef>
              <a:spcPts val="0"/>
            </a:spcBef>
            <a:spcAft>
              <a:spcPts val="0"/>
            </a:spcAft>
            <a:buClrTx/>
            <a:buSzTx/>
            <a:buFontTx/>
            <a:buNone/>
            <a:tabLst/>
            <a:defRPr/>
          </a:pPr>
          <a:br>
            <a:rPr lang="en-US" sz="1200">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"For more than 80 years, Caterpillar has been building the world’s infrastructure and, in partnership with our network of Cat</a:t>
          </a:r>
          <a:r>
            <a:rPr lang="en-US" sz="1200" baseline="30000">
              <a:latin typeface="Arial" panose="020B0604020202020204" pitchFamily="34" charset="0"/>
              <a:cs typeface="Arial" panose="020B0604020202020204" pitchFamily="34" charset="0"/>
            </a:rPr>
            <a:t>®</a:t>
          </a:r>
          <a:r>
            <a:rPr lang="en-US" sz="1200">
              <a:latin typeface="Arial" panose="020B0604020202020204" pitchFamily="34" charset="0"/>
              <a:cs typeface="Arial" panose="020B0604020202020204" pitchFamily="34" charset="0"/>
            </a:rPr>
            <a:t> dealers worldwide, has helped drive positive and sustainable change on every continent.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a:latin typeface="Arial" panose="020B0604020202020204" pitchFamily="34" charset="0"/>
              <a:cs typeface="Arial" panose="020B0604020202020204" pitchFamily="34" charset="0"/>
            </a:rPr>
            <a:t>We are a global company, with hundreds of locations worldwide to serve and support our customer base, and respond quickly to their needs.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a:latin typeface="Arial" panose="020B0604020202020204" pitchFamily="34" charset="0"/>
              <a:cs typeface="Arial" panose="020B0604020202020204" pitchFamily="34" charset="0"/>
            </a:rPr>
            <a:t>The Caterpillar equipment product line, consisting of more than 300 machines, sets the standard for our industry - one that is increasingly customer--focused. </a:t>
          </a:r>
        </a:p>
        <a:p>
          <a:pPr marL="0" marR="0" lvl="0" indent="0" algn="l" defTabSz="914400" eaLnBrk="1" fontAlgn="auto" latinLnBrk="0" hangingPunct="1">
            <a:lnSpc>
              <a:spcPct val="100000"/>
            </a:lnSpc>
            <a:spcBef>
              <a:spcPts val="0"/>
            </a:spcBef>
            <a:spcAft>
              <a:spcPts val="0"/>
            </a:spcAft>
            <a:buClrTx/>
            <a:buSzTx/>
            <a:buFontTx/>
            <a:buNone/>
            <a:tabLst/>
            <a:defRPr/>
          </a:pPr>
          <a:endParaRPr lang="en-US" sz="1200">
            <a:latin typeface="Arial" panose="020B0604020202020204" pitchFamily="34" charset="0"/>
            <a:cs typeface="Arial" panose="020B0604020202020204" pitchFamily="34" charset="0"/>
          </a:endParaRPr>
        </a:p>
        <a:p>
          <a:pPr marL="0" marR="0" lvl="0" indent="0" algn="l" defTabSz="914400" eaLnBrk="1" fontAlgn="auto" latinLnBrk="0" hangingPunct="1">
            <a:lnSpc>
              <a:spcPct val="100000"/>
            </a:lnSpc>
            <a:spcBef>
              <a:spcPts val="0"/>
            </a:spcBef>
            <a:spcAft>
              <a:spcPts val="0"/>
            </a:spcAft>
            <a:buClrTx/>
            <a:buSzTx/>
            <a:buFontTx/>
            <a:buNone/>
            <a:tabLst/>
            <a:defRPr/>
          </a:pPr>
          <a:r>
            <a:rPr lang="en-US" sz="1200">
              <a:latin typeface="Arial" panose="020B0604020202020204" pitchFamily="34" charset="0"/>
              <a:cs typeface="Arial" panose="020B0604020202020204" pitchFamily="34" charset="0"/>
            </a:rPr>
            <a:t>We plan to remain the leader and continue to help you meet your needs with our equipment, with the best distribution and product support system in any capital goods industry and the continual introduction and updating of products."  (</a:t>
          </a:r>
          <a:r>
            <a:rPr lang="en-US" sz="1200" b="1" i="0" u="none" strike="noStrike">
              <a:solidFill>
                <a:schemeClr val="dk1"/>
              </a:solidFill>
              <a:effectLst/>
              <a:latin typeface="Arial" panose="020B0604020202020204" pitchFamily="34" charset="0"/>
              <a:ea typeface="+mn-ea"/>
              <a:cs typeface="Arial" panose="020B0604020202020204" pitchFamily="34" charset="0"/>
            </a:rPr>
            <a:t>http://www.cat.com/</a:t>
          </a:r>
          <a:r>
            <a:rPr lang="en-US" sz="1200">
              <a:latin typeface="Arial" panose="020B0604020202020204" pitchFamily="34" charset="0"/>
              <a:cs typeface="Arial" panose="020B0604020202020204" pitchFamily="34" charset="0"/>
            </a:rPr>
            <a:t> )</a:t>
          </a:r>
        </a:p>
      </xdr:txBody>
    </xdr:sp>
    <xdr:clientData/>
  </xdr:twoCellAnchor>
  <xdr:twoCellAnchor editAs="oneCell">
    <xdr:from>
      <xdr:col>4</xdr:col>
      <xdr:colOff>647700</xdr:colOff>
      <xdr:row>55</xdr:row>
      <xdr:rowOff>107950</xdr:rowOff>
    </xdr:from>
    <xdr:to>
      <xdr:col>12</xdr:col>
      <xdr:colOff>95250</xdr:colOff>
      <xdr:row>66</xdr:row>
      <xdr:rowOff>117475</xdr:rowOff>
    </xdr:to>
    <xdr:pic>
      <xdr:nvPicPr>
        <xdr:cNvPr id="19" name="Picture 18" descr="CAT-3.jpg">
          <a:extLst>
            <a:ext uri="{FF2B5EF4-FFF2-40B4-BE49-F238E27FC236}">
              <a16:creationId xmlns:a16="http://schemas.microsoft.com/office/drawing/2014/main" id="{00000000-0008-0000-0000-000013000000}"/>
            </a:ext>
          </a:extLst>
        </xdr:cNvPr>
        <xdr:cNvPicPr>
          <a:picLocks noChangeAspect="1"/>
        </xdr:cNvPicPr>
      </xdr:nvPicPr>
      <xdr:blipFill>
        <a:blip xmlns:r="http://schemas.openxmlformats.org/officeDocument/2006/relationships" r:embed="rId1" cstate="print"/>
        <a:stretch>
          <a:fillRect/>
        </a:stretch>
      </xdr:blipFill>
      <xdr:spPr>
        <a:xfrm>
          <a:off x="6318250" y="11176000"/>
          <a:ext cx="4330700" cy="2174875"/>
        </a:xfrm>
        <a:prstGeom prst="rect">
          <a:avLst/>
        </a:prstGeom>
      </xdr:spPr>
    </xdr:pic>
    <xdr:clientData/>
  </xdr:twoCellAnchor>
  <xdr:twoCellAnchor editAs="oneCell">
    <xdr:from>
      <xdr:col>5</xdr:col>
      <xdr:colOff>809625</xdr:colOff>
      <xdr:row>71</xdr:row>
      <xdr:rowOff>95250</xdr:rowOff>
    </xdr:from>
    <xdr:to>
      <xdr:col>11</xdr:col>
      <xdr:colOff>76200</xdr:colOff>
      <xdr:row>81</xdr:row>
      <xdr:rowOff>542471</xdr:rowOff>
    </xdr:to>
    <xdr:pic>
      <xdr:nvPicPr>
        <xdr:cNvPr id="20" name="Picture 19" descr="CAT-4.jpg">
          <a:extLst>
            <a:ext uri="{FF2B5EF4-FFF2-40B4-BE49-F238E27FC236}">
              <a16:creationId xmlns:a16="http://schemas.microsoft.com/office/drawing/2014/main" id="{00000000-0008-0000-0000-000014000000}"/>
            </a:ext>
          </a:extLst>
        </xdr:cNvPr>
        <xdr:cNvPicPr>
          <a:picLocks noChangeAspect="1"/>
        </xdr:cNvPicPr>
      </xdr:nvPicPr>
      <xdr:blipFill>
        <a:blip xmlns:r="http://schemas.openxmlformats.org/officeDocument/2006/relationships" r:embed="rId2" cstate="print"/>
        <a:stretch>
          <a:fillRect/>
        </a:stretch>
      </xdr:blipFill>
      <xdr:spPr>
        <a:xfrm>
          <a:off x="1133475" y="68322825"/>
          <a:ext cx="3219450" cy="3326946"/>
        </a:xfrm>
        <a:prstGeom prst="rect">
          <a:avLst/>
        </a:prstGeom>
      </xdr:spPr>
    </xdr:pic>
    <xdr:clientData/>
  </xdr:twoCellAnchor>
  <xdr:twoCellAnchor editAs="oneCell">
    <xdr:from>
      <xdr:col>6</xdr:col>
      <xdr:colOff>76200</xdr:colOff>
      <xdr:row>81</xdr:row>
      <xdr:rowOff>787399</xdr:rowOff>
    </xdr:from>
    <xdr:to>
      <xdr:col>11</xdr:col>
      <xdr:colOff>190500</xdr:colOff>
      <xdr:row>85</xdr:row>
      <xdr:rowOff>571814</xdr:rowOff>
    </xdr:to>
    <xdr:pic>
      <xdr:nvPicPr>
        <xdr:cNvPr id="21" name="Picture 20" descr="CAT-5.jpg">
          <a:extLst>
            <a:ext uri="{FF2B5EF4-FFF2-40B4-BE49-F238E27FC236}">
              <a16:creationId xmlns:a16="http://schemas.microsoft.com/office/drawing/2014/main" id="{00000000-0008-0000-0000-000015000000}"/>
            </a:ext>
          </a:extLst>
        </xdr:cNvPr>
        <xdr:cNvPicPr>
          <a:picLocks noChangeAspect="1"/>
        </xdr:cNvPicPr>
      </xdr:nvPicPr>
      <xdr:blipFill>
        <a:blip xmlns:r="http://schemas.openxmlformats.org/officeDocument/2006/relationships" r:embed="rId3" cstate="print"/>
        <a:stretch>
          <a:fillRect/>
        </a:stretch>
      </xdr:blipFill>
      <xdr:spPr>
        <a:xfrm>
          <a:off x="6889750" y="17767299"/>
          <a:ext cx="3340100" cy="2368865"/>
        </a:xfrm>
        <a:prstGeom prst="rect">
          <a:avLst/>
        </a:prstGeom>
      </xdr:spPr>
    </xdr:pic>
    <xdr:clientData/>
  </xdr:twoCellAnchor>
  <xdr:twoCellAnchor>
    <xdr:from>
      <xdr:col>0</xdr:col>
      <xdr:colOff>555626</xdr:colOff>
      <xdr:row>98</xdr:row>
      <xdr:rowOff>69850</xdr:rowOff>
    </xdr:from>
    <xdr:to>
      <xdr:col>3</xdr:col>
      <xdr:colOff>111125</xdr:colOff>
      <xdr:row>163</xdr:row>
      <xdr:rowOff>120650</xdr:rowOff>
    </xdr:to>
    <xdr:sp macro="" textlink="">
      <xdr:nvSpPr>
        <xdr:cNvPr id="22" name="TextBox 21">
          <a:extLst>
            <a:ext uri="{FF2B5EF4-FFF2-40B4-BE49-F238E27FC236}">
              <a16:creationId xmlns:a16="http://schemas.microsoft.com/office/drawing/2014/main" id="{00000000-0008-0000-0000-000016000000}"/>
            </a:ext>
          </a:extLst>
        </xdr:cNvPr>
        <xdr:cNvSpPr txBox="1"/>
      </xdr:nvSpPr>
      <xdr:spPr>
        <a:xfrm>
          <a:off x="555626" y="26758900"/>
          <a:ext cx="4616449" cy="128460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b="1" baseline="0">
            <a:solidFill>
              <a:schemeClr val="dk1"/>
            </a:solidFill>
            <a:latin typeface="+mn-lt"/>
            <a:ea typeface="+mn-ea"/>
            <a:cs typeface="+mn-cs"/>
          </a:endParaRPr>
        </a:p>
        <a:p>
          <a:pPr algn="ctr"/>
          <a:r>
            <a:rPr lang="en-US" sz="1400" b="1" baseline="0">
              <a:solidFill>
                <a:schemeClr val="dk1"/>
              </a:solidFill>
              <a:latin typeface="Arial" panose="020B0604020202020204" pitchFamily="34" charset="0"/>
              <a:ea typeface="+mn-ea"/>
              <a:cs typeface="Arial" panose="020B0604020202020204" pitchFamily="34" charset="0"/>
            </a:rPr>
            <a:t>"CAT - 730 EJECTOR ARTICULATED TRUCK"</a:t>
          </a:r>
          <a:endParaRPr lang="en-US" sz="1400" baseline="0">
            <a:solidFill>
              <a:schemeClr val="dk1"/>
            </a:solidFill>
            <a:latin typeface="Arial" panose="020B0604020202020204" pitchFamily="34" charset="0"/>
            <a:ea typeface="+mn-ea"/>
            <a:cs typeface="Arial" panose="020B0604020202020204" pitchFamily="34" charset="0"/>
          </a:endParaRP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"Weights</a:t>
          </a:r>
        </a:p>
        <a:p>
          <a:r>
            <a:rPr lang="en-US" sz="1200" baseline="0">
              <a:solidFill>
                <a:schemeClr val="dk1"/>
              </a:solidFill>
              <a:latin typeface="Arial" panose="020B0604020202020204" pitchFamily="34" charset="0"/>
              <a:ea typeface="+mn-ea"/>
              <a:cs typeface="Arial" panose="020B0604020202020204" pitchFamily="34" charset="0"/>
            </a:rPr>
            <a:t>Rated Payload 28.1 tones 31 tons</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Body Capacities</a:t>
          </a:r>
        </a:p>
        <a:p>
          <a:r>
            <a:rPr lang="en-US" sz="1200" baseline="0">
              <a:solidFill>
                <a:schemeClr val="dk1"/>
              </a:solidFill>
              <a:latin typeface="Arial" panose="020B0604020202020204" pitchFamily="34" charset="0"/>
              <a:ea typeface="+mn-ea"/>
              <a:cs typeface="Arial" panose="020B0604020202020204" pitchFamily="34" charset="0"/>
            </a:rPr>
            <a:t>Heaped SAE 2:1 16.9 m3 22.1 yd^3</a:t>
          </a:r>
        </a:p>
        <a:p>
          <a:r>
            <a:rPr lang="en-US" sz="1200" baseline="0">
              <a:solidFill>
                <a:schemeClr val="dk1"/>
              </a:solidFill>
              <a:latin typeface="Arial" panose="020B0604020202020204" pitchFamily="34" charset="0"/>
              <a:ea typeface="+mn-ea"/>
              <a:cs typeface="Arial" panose="020B0604020202020204" pitchFamily="34" charset="0"/>
            </a:rPr>
            <a:t>Struck 13.5 m3 17.7 yd^3                                                                            </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Transmission</a:t>
          </a:r>
        </a:p>
        <a:p>
          <a:r>
            <a:rPr lang="en-US" sz="1200" baseline="0">
              <a:solidFill>
                <a:schemeClr val="dk1"/>
              </a:solidFill>
              <a:latin typeface="Arial" panose="020B0604020202020204" pitchFamily="34" charset="0"/>
              <a:ea typeface="+mn-ea"/>
              <a:cs typeface="Arial" panose="020B0604020202020204" pitchFamily="34" charset="0"/>
            </a:rPr>
            <a:t>Forward 1 8 km/h 5 mph</a:t>
          </a:r>
        </a:p>
        <a:p>
          <a:r>
            <a:rPr lang="en-US" sz="1200" baseline="0">
              <a:solidFill>
                <a:schemeClr val="dk1"/>
              </a:solidFill>
              <a:latin typeface="Arial" panose="020B0604020202020204" pitchFamily="34" charset="0"/>
              <a:ea typeface="+mn-ea"/>
              <a:cs typeface="Arial" panose="020B0604020202020204" pitchFamily="34" charset="0"/>
            </a:rPr>
            <a:t>Forward 2 14 km/h 9 mph</a:t>
          </a:r>
        </a:p>
        <a:p>
          <a:r>
            <a:rPr lang="en-US" sz="1200" baseline="0">
              <a:solidFill>
                <a:schemeClr val="dk1"/>
              </a:solidFill>
              <a:latin typeface="Arial" panose="020B0604020202020204" pitchFamily="34" charset="0"/>
              <a:ea typeface="+mn-ea"/>
              <a:cs typeface="Arial" panose="020B0604020202020204" pitchFamily="34" charset="0"/>
            </a:rPr>
            <a:t>Forward 3 22 km/h 14 mph</a:t>
          </a:r>
        </a:p>
        <a:p>
          <a:r>
            <a:rPr lang="en-US" sz="1200" baseline="0">
              <a:solidFill>
                <a:schemeClr val="dk1"/>
              </a:solidFill>
              <a:latin typeface="Arial" panose="020B0604020202020204" pitchFamily="34" charset="0"/>
              <a:ea typeface="+mn-ea"/>
              <a:cs typeface="Arial" panose="020B0604020202020204" pitchFamily="34" charset="0"/>
            </a:rPr>
            <a:t>Forward 4 34 km/h 21 mph</a:t>
          </a:r>
        </a:p>
        <a:p>
          <a:r>
            <a:rPr lang="en-US" sz="1200" baseline="0">
              <a:solidFill>
                <a:schemeClr val="dk1"/>
              </a:solidFill>
              <a:latin typeface="Arial" panose="020B0604020202020204" pitchFamily="34" charset="0"/>
              <a:ea typeface="+mn-ea"/>
              <a:cs typeface="Arial" panose="020B0604020202020204" pitchFamily="34" charset="0"/>
            </a:rPr>
            <a:t>Forward 5 47 km/h 29 mph</a:t>
          </a:r>
        </a:p>
        <a:p>
          <a:r>
            <a:rPr lang="en-US" sz="1200" baseline="0">
              <a:solidFill>
                <a:schemeClr val="dk1"/>
              </a:solidFill>
              <a:latin typeface="Arial" panose="020B0604020202020204" pitchFamily="34" charset="0"/>
              <a:ea typeface="+mn-ea"/>
              <a:cs typeface="Arial" panose="020B0604020202020204" pitchFamily="34" charset="0"/>
            </a:rPr>
            <a:t>Forward 6 55 km/h 34 mph</a:t>
          </a:r>
        </a:p>
        <a:p>
          <a:r>
            <a:rPr lang="en-US" sz="1200" baseline="0">
              <a:solidFill>
                <a:schemeClr val="dk1"/>
              </a:solidFill>
              <a:latin typeface="Arial" panose="020B0604020202020204" pitchFamily="34" charset="0"/>
              <a:ea typeface="+mn-ea"/>
              <a:cs typeface="Arial" panose="020B0604020202020204" pitchFamily="34" charset="0"/>
            </a:rPr>
            <a:t>Reverse 1 8 km/h 5 mph                                                                                  </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Sound Levels</a:t>
          </a:r>
        </a:p>
        <a:p>
          <a:r>
            <a:rPr lang="en-US" sz="1200" baseline="0">
              <a:solidFill>
                <a:schemeClr val="dk1"/>
              </a:solidFill>
              <a:latin typeface="Arial" panose="020B0604020202020204" pitchFamily="34" charset="0"/>
              <a:ea typeface="+mn-ea"/>
              <a:cs typeface="Arial" panose="020B0604020202020204" pitchFamily="34" charset="0"/>
            </a:rPr>
            <a:t>Interior Cab 76 dB(A)</a:t>
          </a:r>
        </a:p>
        <a:p>
          <a:r>
            <a:rPr lang="en-US" sz="1200" baseline="0">
              <a:solidFill>
                <a:schemeClr val="dk1"/>
              </a:solidFill>
              <a:latin typeface="Arial" panose="020B0604020202020204" pitchFamily="34" charset="0"/>
              <a:ea typeface="+mn-ea"/>
              <a:cs typeface="Arial" panose="020B0604020202020204" pitchFamily="34" charset="0"/>
            </a:rPr>
            <a:t>• The operator sound exposure Leg (equivalent sound pressure level) measured according to the work cycle procedures specified in ANSI/SAE J1166 OCT 98 is 76 dB(A), for the cab offered by Caterpillar, when properly installed and maintained and tested with the doors and windows closed.</a:t>
          </a:r>
        </a:p>
        <a:p>
          <a:r>
            <a:rPr lang="en-US" sz="1200" baseline="0">
              <a:solidFill>
                <a:schemeClr val="dk1"/>
              </a:solidFill>
              <a:latin typeface="Arial" panose="020B0604020202020204" pitchFamily="34" charset="0"/>
              <a:ea typeface="+mn-ea"/>
              <a:cs typeface="Arial" panose="020B0604020202020204" pitchFamily="34" charset="0"/>
            </a:rPr>
            <a:t>• Hearing protection may be needed when operating with an open operator station and cab (when not properly maintained or doors/windows open) for extend d periods or in noisy environments.                  </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Operating Weights</a:t>
          </a:r>
        </a:p>
        <a:p>
          <a:r>
            <a:rPr lang="en-US" sz="1200" baseline="0">
              <a:solidFill>
                <a:schemeClr val="dk1"/>
              </a:solidFill>
              <a:latin typeface="Arial" panose="020B0604020202020204" pitchFamily="34" charset="0"/>
              <a:ea typeface="+mn-ea"/>
              <a:cs typeface="Arial" panose="020B0604020202020204" pitchFamily="34" charset="0"/>
            </a:rPr>
            <a:t>Front Axle – Empty 13 980 kg 30,821 lb</a:t>
          </a:r>
        </a:p>
        <a:p>
          <a:r>
            <a:rPr lang="en-US" sz="1200" baseline="0">
              <a:solidFill>
                <a:schemeClr val="dk1"/>
              </a:solidFill>
              <a:latin typeface="Arial" panose="020B0604020202020204" pitchFamily="34" charset="0"/>
              <a:ea typeface="+mn-ea"/>
              <a:cs typeface="Arial" panose="020B0604020202020204" pitchFamily="34" charset="0"/>
            </a:rPr>
            <a:t>Center Axle – Empty 5960 kg 13,140 lb</a:t>
          </a:r>
        </a:p>
        <a:p>
          <a:r>
            <a:rPr lang="en-US" sz="1200" baseline="0">
              <a:solidFill>
                <a:schemeClr val="dk1"/>
              </a:solidFill>
              <a:latin typeface="Arial" panose="020B0604020202020204" pitchFamily="34" charset="0"/>
              <a:ea typeface="+mn-ea"/>
              <a:cs typeface="Arial" panose="020B0604020202020204" pitchFamily="34" charset="0"/>
            </a:rPr>
            <a:t>Rear Axle – Empty 5610 kg 12,368 lb</a:t>
          </a:r>
        </a:p>
        <a:p>
          <a:r>
            <a:rPr lang="en-US" sz="1200" baseline="0">
              <a:solidFill>
                <a:schemeClr val="dk1"/>
              </a:solidFill>
              <a:latin typeface="Arial" panose="020B0604020202020204" pitchFamily="34" charset="0"/>
              <a:ea typeface="+mn-ea"/>
              <a:cs typeface="Arial" panose="020B0604020202020204" pitchFamily="34" charset="0"/>
            </a:rPr>
            <a:t>Total – Empty 25 550 kg 56,328 lb</a:t>
          </a:r>
        </a:p>
        <a:p>
          <a:r>
            <a:rPr lang="en-US" sz="1200" baseline="0">
              <a:solidFill>
                <a:schemeClr val="dk1"/>
              </a:solidFill>
              <a:latin typeface="Arial" panose="020B0604020202020204" pitchFamily="34" charset="0"/>
              <a:ea typeface="+mn-ea"/>
              <a:cs typeface="Arial" panose="020B0604020202020204" pitchFamily="34" charset="0"/>
            </a:rPr>
            <a:t>Front Axle – Rated Load 900 kg 1,984 lb</a:t>
          </a:r>
        </a:p>
        <a:p>
          <a:r>
            <a:rPr lang="en-US" sz="1200" baseline="0">
              <a:solidFill>
                <a:schemeClr val="dk1"/>
              </a:solidFill>
              <a:latin typeface="Arial" panose="020B0604020202020204" pitchFamily="34" charset="0"/>
              <a:ea typeface="+mn-ea"/>
              <a:cs typeface="Arial" panose="020B0604020202020204" pitchFamily="34" charset="0"/>
            </a:rPr>
            <a:t>Center Axle – Rated Load 13 610 kg 30,005 lb</a:t>
          </a:r>
        </a:p>
        <a:p>
          <a:r>
            <a:rPr lang="en-US" sz="1200" baseline="0">
              <a:solidFill>
                <a:schemeClr val="dk1"/>
              </a:solidFill>
              <a:latin typeface="Arial" panose="020B0604020202020204" pitchFamily="34" charset="0"/>
              <a:ea typeface="+mn-ea"/>
              <a:cs typeface="Arial" panose="020B0604020202020204" pitchFamily="34" charset="0"/>
            </a:rPr>
            <a:t>Rear Axle –Rated Load 13 610 kg 30,005 lb</a:t>
          </a:r>
        </a:p>
        <a:p>
          <a:r>
            <a:rPr lang="en-US" sz="1200" baseline="0">
              <a:solidFill>
                <a:schemeClr val="dk1"/>
              </a:solidFill>
              <a:latin typeface="Arial" panose="020B0604020202020204" pitchFamily="34" charset="0"/>
              <a:ea typeface="+mn-ea"/>
              <a:cs typeface="Arial" panose="020B0604020202020204" pitchFamily="34" charset="0"/>
            </a:rPr>
            <a:t>Total – Rated Load 28 120 kg 61,994 lb</a:t>
          </a:r>
        </a:p>
        <a:p>
          <a:r>
            <a:rPr lang="en-US" sz="1200" baseline="0">
              <a:solidFill>
                <a:schemeClr val="dk1"/>
              </a:solidFill>
              <a:latin typeface="Arial" panose="020B0604020202020204" pitchFamily="34" charset="0"/>
              <a:ea typeface="+mn-ea"/>
              <a:cs typeface="Arial" panose="020B0604020202020204" pitchFamily="34" charset="0"/>
            </a:rPr>
            <a:t>Front Axle – Loaded 14 880 kg 32,805 lb</a:t>
          </a:r>
        </a:p>
        <a:p>
          <a:r>
            <a:rPr lang="en-US" sz="1200" baseline="0">
              <a:solidFill>
                <a:schemeClr val="dk1"/>
              </a:solidFill>
              <a:latin typeface="Arial" panose="020B0604020202020204" pitchFamily="34" charset="0"/>
              <a:ea typeface="+mn-ea"/>
              <a:cs typeface="Arial" panose="020B0604020202020204" pitchFamily="34" charset="0"/>
            </a:rPr>
            <a:t>Center Axle – Loaded 19 570 kg 43,144 lb</a:t>
          </a:r>
        </a:p>
        <a:p>
          <a:r>
            <a:rPr lang="en-US" sz="1200" baseline="0">
              <a:solidFill>
                <a:schemeClr val="dk1"/>
              </a:solidFill>
              <a:latin typeface="Arial" panose="020B0604020202020204" pitchFamily="34" charset="0"/>
              <a:ea typeface="+mn-ea"/>
              <a:cs typeface="Arial" panose="020B0604020202020204" pitchFamily="34" charset="0"/>
            </a:rPr>
            <a:t>Rear Axle – Loaded 19 220 kg 42,373 lb</a:t>
          </a:r>
        </a:p>
        <a:p>
          <a:r>
            <a:rPr lang="en-US" sz="1200" baseline="0">
              <a:solidFill>
                <a:schemeClr val="dk1"/>
              </a:solidFill>
              <a:latin typeface="Arial" panose="020B0604020202020204" pitchFamily="34" charset="0"/>
              <a:ea typeface="+mn-ea"/>
              <a:cs typeface="Arial" panose="020B0604020202020204" pitchFamily="34" charset="0"/>
            </a:rPr>
            <a:t>Total – Loaded 53 670 kg 118,322 lb                                                             </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Body Plate Thickness</a:t>
          </a:r>
        </a:p>
        <a:p>
          <a:r>
            <a:rPr lang="en-US" sz="1200" baseline="0">
              <a:solidFill>
                <a:schemeClr val="dk1"/>
              </a:solidFill>
              <a:latin typeface="Arial" panose="020B0604020202020204" pitchFamily="34" charset="0"/>
              <a:ea typeface="+mn-ea"/>
              <a:cs typeface="Arial" panose="020B0604020202020204" pitchFamily="34" charset="0"/>
            </a:rPr>
            <a:t>Front 6 mm 0.24 in</a:t>
          </a:r>
        </a:p>
        <a:p>
          <a:r>
            <a:rPr lang="en-US" sz="1200" baseline="0">
              <a:solidFill>
                <a:schemeClr val="dk1"/>
              </a:solidFill>
              <a:latin typeface="Arial" panose="020B0604020202020204" pitchFamily="34" charset="0"/>
              <a:ea typeface="+mn-ea"/>
              <a:cs typeface="Arial" panose="020B0604020202020204" pitchFamily="34" charset="0"/>
            </a:rPr>
            <a:t>Side 6 mm 0.24 in</a:t>
          </a:r>
        </a:p>
        <a:p>
          <a:r>
            <a:rPr lang="en-US" sz="1200" baseline="0">
              <a:solidFill>
                <a:schemeClr val="dk1"/>
              </a:solidFill>
              <a:latin typeface="Arial" panose="020B0604020202020204" pitchFamily="34" charset="0"/>
              <a:ea typeface="+mn-ea"/>
              <a:cs typeface="Arial" panose="020B0604020202020204" pitchFamily="34" charset="0"/>
            </a:rPr>
            <a:t>Base 9 mm 0.35 in                                                                                          </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Service Refill Capacities</a:t>
          </a:r>
        </a:p>
        <a:p>
          <a:r>
            <a:rPr lang="en-US" sz="1200" baseline="0">
              <a:solidFill>
                <a:schemeClr val="dk1"/>
              </a:solidFill>
              <a:latin typeface="Arial" panose="020B0604020202020204" pitchFamily="34" charset="0"/>
              <a:ea typeface="+mn-ea"/>
              <a:cs typeface="Arial" panose="020B0604020202020204" pitchFamily="34" charset="0"/>
            </a:rPr>
            <a:t>Fuel Tank 355 L 94 gal</a:t>
          </a:r>
        </a:p>
        <a:p>
          <a:r>
            <a:rPr lang="en-US" sz="1200" baseline="0">
              <a:solidFill>
                <a:schemeClr val="dk1"/>
              </a:solidFill>
              <a:latin typeface="Arial" panose="020B0604020202020204" pitchFamily="34" charset="0"/>
              <a:ea typeface="+mn-ea"/>
              <a:cs typeface="Arial" panose="020B0604020202020204" pitchFamily="34" charset="0"/>
            </a:rPr>
            <a:t>Cooling System 67 L 18 gal</a:t>
          </a:r>
        </a:p>
        <a:p>
          <a:r>
            <a:rPr lang="en-US" sz="1200" baseline="0">
              <a:solidFill>
                <a:schemeClr val="dk1"/>
              </a:solidFill>
              <a:latin typeface="Arial" panose="020B0604020202020204" pitchFamily="34" charset="0"/>
              <a:ea typeface="+mn-ea"/>
              <a:cs typeface="Arial" panose="020B0604020202020204" pitchFamily="34" charset="0"/>
            </a:rPr>
            <a:t>Hydraulic System 175 L 46.5 gal</a:t>
          </a:r>
        </a:p>
        <a:p>
          <a:r>
            <a:rPr lang="en-US" sz="1200" baseline="0">
              <a:solidFill>
                <a:schemeClr val="dk1"/>
              </a:solidFill>
              <a:latin typeface="Arial" panose="020B0604020202020204" pitchFamily="34" charset="0"/>
              <a:ea typeface="+mn-ea"/>
              <a:cs typeface="Arial" panose="020B0604020202020204" pitchFamily="34" charset="0"/>
            </a:rPr>
            <a:t>Engine Crankcase 41 L 11 gal</a:t>
          </a:r>
        </a:p>
        <a:p>
          <a:r>
            <a:rPr lang="en-US" sz="1200" baseline="0">
              <a:solidFill>
                <a:schemeClr val="dk1"/>
              </a:solidFill>
              <a:latin typeface="Arial" panose="020B0604020202020204" pitchFamily="34" charset="0"/>
              <a:ea typeface="+mn-ea"/>
              <a:cs typeface="Arial" panose="020B0604020202020204" pitchFamily="34" charset="0"/>
            </a:rPr>
            <a:t>Transmission 36 L 9.5 gal</a:t>
          </a:r>
        </a:p>
        <a:p>
          <a:r>
            <a:rPr lang="en-US" sz="1200" baseline="0">
              <a:solidFill>
                <a:schemeClr val="dk1"/>
              </a:solidFill>
              <a:latin typeface="Arial" panose="020B0604020202020204" pitchFamily="34" charset="0"/>
              <a:ea typeface="+mn-ea"/>
              <a:cs typeface="Arial" panose="020B0604020202020204" pitchFamily="34" charset="0"/>
            </a:rPr>
            <a:t>Final Drives/Differential 164 L 43.3 gal</a:t>
          </a:r>
        </a:p>
        <a:p>
          <a:r>
            <a:rPr lang="en-US" sz="1200" baseline="0">
              <a:solidFill>
                <a:schemeClr val="dk1"/>
              </a:solidFill>
              <a:latin typeface="Arial" panose="020B0604020202020204" pitchFamily="34" charset="0"/>
              <a:ea typeface="+mn-ea"/>
              <a:cs typeface="Arial" panose="020B0604020202020204" pitchFamily="34" charset="0"/>
            </a:rPr>
            <a:t>Output Transfer Gear Box 18 L 4.8 gal</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Ejector Cycle Times</a:t>
          </a:r>
        </a:p>
        <a:p>
          <a:r>
            <a:rPr lang="en-US" sz="1200" baseline="0">
              <a:solidFill>
                <a:schemeClr val="dk1"/>
              </a:solidFill>
              <a:latin typeface="Arial" panose="020B0604020202020204" pitchFamily="34" charset="0"/>
              <a:ea typeface="+mn-ea"/>
              <a:cs typeface="Arial" panose="020B0604020202020204" pitchFamily="34" charset="0"/>
            </a:rPr>
            <a:t>Eject Time 12 Seconds</a:t>
          </a:r>
        </a:p>
        <a:p>
          <a:r>
            <a:rPr lang="en-US" sz="1200" baseline="0">
              <a:solidFill>
                <a:schemeClr val="dk1"/>
              </a:solidFill>
              <a:latin typeface="Arial" panose="020B0604020202020204" pitchFamily="34" charset="0"/>
              <a:ea typeface="+mn-ea"/>
              <a:cs typeface="Arial" panose="020B0604020202020204" pitchFamily="34" charset="0"/>
            </a:rPr>
            <a:t>Retract Time 15 Seconds</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Standards</a:t>
          </a:r>
        </a:p>
        <a:p>
          <a:r>
            <a:rPr lang="en-US" sz="1200" baseline="0">
              <a:solidFill>
                <a:schemeClr val="dk1"/>
              </a:solidFill>
              <a:latin typeface="Arial" panose="020B0604020202020204" pitchFamily="34" charset="0"/>
              <a:ea typeface="+mn-ea"/>
              <a:cs typeface="Arial" panose="020B0604020202020204" pitchFamily="34" charset="0"/>
            </a:rPr>
            <a:t>Brakes ISO 3450 – 1996</a:t>
          </a:r>
        </a:p>
        <a:p>
          <a:r>
            <a:rPr lang="en-US" sz="1200" baseline="0">
              <a:solidFill>
                <a:schemeClr val="dk1"/>
              </a:solidFill>
              <a:latin typeface="Arial" panose="020B0604020202020204" pitchFamily="34" charset="0"/>
              <a:ea typeface="+mn-ea"/>
              <a:cs typeface="Arial" panose="020B0604020202020204" pitchFamily="34" charset="0"/>
            </a:rPr>
            <a:t>Cab/FOPS ISO 3449 Level II –2005</a:t>
          </a:r>
        </a:p>
        <a:p>
          <a:r>
            <a:rPr lang="en-US" sz="1200" baseline="0">
              <a:solidFill>
                <a:schemeClr val="dk1"/>
              </a:solidFill>
              <a:latin typeface="Arial" panose="020B0604020202020204" pitchFamily="34" charset="0"/>
              <a:ea typeface="+mn-ea"/>
              <a:cs typeface="Arial" panose="020B0604020202020204" pitchFamily="34" charset="0"/>
            </a:rPr>
            <a:t>Cab/ROPS ISO 3471 – 2008</a:t>
          </a:r>
        </a:p>
        <a:p>
          <a:r>
            <a:rPr lang="en-US" sz="1200" baseline="0">
              <a:solidFill>
                <a:schemeClr val="dk1"/>
              </a:solidFill>
              <a:latin typeface="Arial" panose="020B0604020202020204" pitchFamily="34" charset="0"/>
              <a:ea typeface="+mn-ea"/>
              <a:cs typeface="Arial" panose="020B0604020202020204" pitchFamily="34" charset="0"/>
            </a:rPr>
            <a:t>Steering ISO 5010 – 2007"</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400" b="0" i="0" u="sng">
              <a:solidFill>
                <a:schemeClr val="dk1"/>
              </a:solidFill>
              <a:effectLst/>
              <a:latin typeface="Arial" panose="020B0604020202020204" pitchFamily="34" charset="0"/>
              <a:ea typeface="+mn-ea"/>
              <a:cs typeface="Arial" panose="020B0604020202020204" pitchFamily="34" charset="0"/>
            </a:rPr>
            <a:t>http://www.cat.com/</a:t>
          </a:r>
          <a:r>
            <a:rPr lang="en-US" sz="1400">
              <a:solidFill>
                <a:schemeClr val="dk1"/>
              </a:solidFill>
              <a:effectLst/>
              <a:latin typeface="Arial" panose="020B0604020202020204" pitchFamily="34" charset="0"/>
              <a:ea typeface="+mn-ea"/>
              <a:cs typeface="Arial" panose="020B0604020202020204" pitchFamily="34" charset="0"/>
            </a:rPr>
            <a:t> </a:t>
          </a:r>
          <a:endParaRPr lang="en-US" sz="1400">
            <a:latin typeface="Arial" panose="020B0604020202020204" pitchFamily="34" charset="0"/>
            <a:cs typeface="Arial" panose="020B0604020202020204" pitchFamily="34" charset="0"/>
          </a:endParaRPr>
        </a:p>
      </xdr:txBody>
    </xdr:sp>
    <xdr:clientData/>
  </xdr:twoCellAnchor>
  <xdr:twoCellAnchor editAs="oneCell">
    <xdr:from>
      <xdr:col>1</xdr:col>
      <xdr:colOff>34925</xdr:colOff>
      <xdr:row>208</xdr:row>
      <xdr:rowOff>177800</xdr:rowOff>
    </xdr:from>
    <xdr:to>
      <xdr:col>5</xdr:col>
      <xdr:colOff>168275</xdr:colOff>
      <xdr:row>227</xdr:row>
      <xdr:rowOff>142875</xdr:rowOff>
    </xdr:to>
    <xdr:pic>
      <xdr:nvPicPr>
        <xdr:cNvPr id="23" name="Picture 22" descr="CAT-6 TRACTOR.jpg">
          <a:extLst>
            <a:ext uri="{FF2B5EF4-FFF2-40B4-BE49-F238E27FC236}">
              <a16:creationId xmlns:a16="http://schemas.microsoft.com/office/drawing/2014/main" id="{00000000-0008-0000-0000-000017000000}"/>
            </a:ext>
          </a:extLst>
        </xdr:cNvPr>
        <xdr:cNvPicPr>
          <a:picLocks noChangeAspect="1"/>
        </xdr:cNvPicPr>
      </xdr:nvPicPr>
      <xdr:blipFill>
        <a:blip xmlns:r="http://schemas.openxmlformats.org/officeDocument/2006/relationships" r:embed="rId4" cstate="print"/>
        <a:stretch>
          <a:fillRect/>
        </a:stretch>
      </xdr:blipFill>
      <xdr:spPr>
        <a:xfrm>
          <a:off x="631825" y="48552100"/>
          <a:ext cx="5962650" cy="3705225"/>
        </a:xfrm>
        <a:prstGeom prst="rect">
          <a:avLst/>
        </a:prstGeom>
      </xdr:spPr>
    </xdr:pic>
    <xdr:clientData/>
  </xdr:twoCellAnchor>
  <xdr:twoCellAnchor>
    <xdr:from>
      <xdr:col>1</xdr:col>
      <xdr:colOff>1</xdr:colOff>
      <xdr:row>230</xdr:row>
      <xdr:rowOff>142876</xdr:rowOff>
    </xdr:from>
    <xdr:to>
      <xdr:col>4</xdr:col>
      <xdr:colOff>9526</xdr:colOff>
      <xdr:row>273</xdr:row>
      <xdr:rowOff>6350</xdr:rowOff>
    </xdr:to>
    <xdr:sp macro="" textlink="">
      <xdr:nvSpPr>
        <xdr:cNvPr id="24" name="TextBox 23">
          <a:extLst>
            <a:ext uri="{FF2B5EF4-FFF2-40B4-BE49-F238E27FC236}">
              <a16:creationId xmlns:a16="http://schemas.microsoft.com/office/drawing/2014/main" id="{00000000-0008-0000-0000-000018000000}"/>
            </a:ext>
          </a:extLst>
        </xdr:cNvPr>
        <xdr:cNvSpPr txBox="1"/>
      </xdr:nvSpPr>
      <xdr:spPr>
        <a:xfrm>
          <a:off x="596901" y="53114576"/>
          <a:ext cx="5083175" cy="83661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b="1" i="1" baseline="0">
            <a:solidFill>
              <a:schemeClr val="dk1"/>
            </a:solidFill>
            <a:latin typeface="+mn-lt"/>
            <a:ea typeface="+mn-ea"/>
            <a:cs typeface="+mn-cs"/>
          </a:endParaRPr>
        </a:p>
        <a:p>
          <a:pPr algn="ctr"/>
          <a:r>
            <a:rPr lang="en-US" sz="1400" b="1" i="1" baseline="0">
              <a:solidFill>
                <a:schemeClr val="dk1"/>
              </a:solidFill>
              <a:latin typeface="Arial" panose="020B0604020202020204" pitchFamily="34" charset="0"/>
              <a:ea typeface="+mn-ea"/>
              <a:cs typeface="Arial" panose="020B0604020202020204" pitchFamily="34" charset="0"/>
            </a:rPr>
            <a:t>"CAT - 973C LARGE TRACTOR LOADER"    </a:t>
          </a:r>
        </a:p>
        <a:p>
          <a:pPr algn="ctr"/>
          <a:r>
            <a:rPr lang="en-US" sz="1400" b="1" i="1" baseline="0">
              <a:solidFill>
                <a:schemeClr val="dk1"/>
              </a:solidFill>
              <a:latin typeface="Arial" panose="020B0604020202020204" pitchFamily="34" charset="0"/>
              <a:ea typeface="+mn-ea"/>
              <a:cs typeface="Arial" panose="020B0604020202020204" pitchFamily="34" charset="0"/>
            </a:rPr>
            <a:t>above                                                                                 Performance.</a:t>
          </a:r>
        </a:p>
        <a:p>
          <a:pPr algn="ctr"/>
          <a:endParaRPr lang="en-US" sz="1400" b="1" i="1" baseline="0">
            <a:solidFill>
              <a:schemeClr val="dk1"/>
            </a:solidFill>
            <a:latin typeface="Arial" panose="020B0604020202020204" pitchFamily="34" charset="0"/>
            <a:ea typeface="+mn-ea"/>
            <a:cs typeface="Arial" panose="020B0604020202020204" pitchFamily="34" charset="0"/>
          </a:endParaRPr>
        </a:p>
        <a:p>
          <a:r>
            <a:rPr lang="en-US" sz="1200" i="1" baseline="0">
              <a:solidFill>
                <a:schemeClr val="dk1"/>
              </a:solidFill>
              <a:latin typeface="Arial" panose="020B0604020202020204" pitchFamily="34" charset="0"/>
              <a:ea typeface="+mn-ea"/>
              <a:cs typeface="Arial" panose="020B0604020202020204" pitchFamily="34" charset="0"/>
            </a:rPr>
            <a:t>A machine designed to be productive over a wide range of tough applications — from heavy clearing to high-volume truck loading, from the slag pits of steel mills to big city landfills.  </a:t>
          </a:r>
        </a:p>
        <a:p>
          <a:r>
            <a:rPr lang="en-US" sz="1200" i="1" baseline="0">
              <a:solidFill>
                <a:schemeClr val="dk1"/>
              </a:solidFill>
              <a:latin typeface="Arial" panose="020B0604020202020204" pitchFamily="34" charset="0"/>
              <a:ea typeface="+mn-ea"/>
              <a:cs typeface="Arial" panose="020B0604020202020204" pitchFamily="34" charset="0"/>
            </a:rPr>
            <a:t>                                                                                                                 </a:t>
          </a:r>
          <a:r>
            <a:rPr lang="en-US" sz="1200" b="1" i="1" baseline="0">
              <a:solidFill>
                <a:schemeClr val="dk1"/>
              </a:solidFill>
              <a:latin typeface="Arial" panose="020B0604020202020204" pitchFamily="34" charset="0"/>
              <a:ea typeface="+mn-ea"/>
              <a:cs typeface="Arial" panose="020B0604020202020204" pitchFamily="34" charset="0"/>
            </a:rPr>
            <a:t>The 973C </a:t>
          </a:r>
          <a:r>
            <a:rPr lang="en-US" sz="1200" i="1" baseline="0">
              <a:solidFill>
                <a:schemeClr val="dk1"/>
              </a:solidFill>
              <a:latin typeface="Arial" panose="020B0604020202020204" pitchFamily="34" charset="0"/>
              <a:ea typeface="+mn-ea"/>
              <a:cs typeface="Arial" panose="020B0604020202020204" pitchFamily="34" charset="0"/>
            </a:rPr>
            <a:t>not only can master the toughest excavation but can also finish grade</a:t>
          </a:r>
        </a:p>
        <a:p>
          <a:endParaRPr lang="en-US" sz="1200" i="1" baseline="0">
            <a:solidFill>
              <a:schemeClr val="dk1"/>
            </a:solidFill>
            <a:latin typeface="Arial" panose="020B0604020202020204" pitchFamily="34" charset="0"/>
            <a:ea typeface="+mn-ea"/>
            <a:cs typeface="Arial" panose="020B0604020202020204" pitchFamily="34" charset="0"/>
          </a:endParaRPr>
        </a:p>
        <a:p>
          <a:r>
            <a:rPr lang="en-US" sz="1200" i="1" baseline="0">
              <a:solidFill>
                <a:schemeClr val="dk1"/>
              </a:solidFill>
              <a:latin typeface="Arial" panose="020B0604020202020204" pitchFamily="34" charset="0"/>
              <a:ea typeface="+mn-ea"/>
              <a:cs typeface="Arial" panose="020B0604020202020204" pitchFamily="34" charset="0"/>
            </a:rPr>
            <a:t>with delicate precision. Reliable, durable, rugged construction, self-diagnosis of electrical and power train systems, and easy maintenance help ensure extended service life.</a:t>
          </a:r>
        </a:p>
        <a:p>
          <a:endParaRPr lang="en-US" sz="1200" i="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Special Application Arrangements</a:t>
          </a:r>
        </a:p>
        <a:p>
          <a:r>
            <a:rPr lang="en-US" sz="1200" baseline="0">
              <a:solidFill>
                <a:schemeClr val="dk1"/>
              </a:solidFill>
              <a:latin typeface="Arial" panose="020B0604020202020204" pitchFamily="34" charset="0"/>
              <a:ea typeface="+mn-ea"/>
              <a:cs typeface="Arial" panose="020B0604020202020204" pitchFamily="34" charset="0"/>
            </a:rPr>
            <a:t>Special arrangements – Waste Handling / Demolition, Steel Mill, Wide Gauge and more, are available or can be designed on request to allow the 973C to work in the toughest conditions. </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Undercarriage</a:t>
          </a:r>
        </a:p>
        <a:p>
          <a:r>
            <a:rPr lang="en-US" sz="1200" baseline="0">
              <a:solidFill>
                <a:schemeClr val="dk1"/>
              </a:solidFill>
              <a:latin typeface="Arial" panose="020B0604020202020204" pitchFamily="34" charset="0"/>
              <a:ea typeface="+mn-ea"/>
              <a:cs typeface="Arial" panose="020B0604020202020204" pitchFamily="34" charset="0"/>
            </a:rPr>
            <a:t>Improved traction, increased machine stability and reduced frame impact are benefits of the Cat oscillating undercarriage. The Cat sealed and lubricated track reduces pin and internal bushing wear, reduces component friction and track noise, extending track life.                                                                                         </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Caterpillar Monitoring System (CMS)</a:t>
          </a:r>
        </a:p>
        <a:p>
          <a:r>
            <a:rPr lang="en-US" sz="1200" baseline="0">
              <a:solidFill>
                <a:schemeClr val="dk1"/>
              </a:solidFill>
              <a:latin typeface="Arial" panose="020B0604020202020204" pitchFamily="34" charset="0"/>
              <a:ea typeface="+mn-ea"/>
              <a:cs typeface="Arial" panose="020B0604020202020204" pitchFamily="34" charset="0"/>
            </a:rPr>
            <a:t>The Caterpillar Monitoring System with flashable memory, monitors the hydrostatic and electrical systems and provides the operator instant feedback on the machine conditions. </a:t>
          </a:r>
          <a:endParaRPr lang="en-US" sz="1200" b="1" baseline="0">
            <a:solidFill>
              <a:schemeClr val="dk1"/>
            </a:solidFill>
            <a:latin typeface="Arial" panose="020B0604020202020204" pitchFamily="34" charset="0"/>
            <a:ea typeface="+mn-ea"/>
            <a:cs typeface="Arial" panose="020B0604020202020204" pitchFamily="34" charset="0"/>
          </a:endParaRP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Hydrostatic Drive</a:t>
          </a:r>
        </a:p>
        <a:p>
          <a:r>
            <a:rPr lang="en-US" sz="1200" baseline="0">
              <a:solidFill>
                <a:schemeClr val="dk1"/>
              </a:solidFill>
              <a:latin typeface="Arial" panose="020B0604020202020204" pitchFamily="34" charset="0"/>
              <a:ea typeface="+mn-ea"/>
              <a:cs typeface="Arial" panose="020B0604020202020204" pitchFamily="34" charset="0"/>
            </a:rPr>
            <a:t>The hydrostatic drive with electronic control provides precise modulation for quick, smooth operation and superior maneuverability. Shorter cycle times, high efficiency, and excellent maneuverability result in increased productivity. </a:t>
          </a:r>
          <a:endParaRPr lang="en-US" sz="1200" b="1" baseline="0">
            <a:solidFill>
              <a:schemeClr val="dk1"/>
            </a:solidFill>
            <a:latin typeface="Arial" panose="020B0604020202020204" pitchFamily="34" charset="0"/>
            <a:ea typeface="+mn-ea"/>
            <a:cs typeface="Arial" panose="020B0604020202020204" pitchFamily="34" charset="0"/>
          </a:endParaRP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Engine</a:t>
          </a:r>
        </a:p>
        <a:p>
          <a:r>
            <a:rPr lang="en-US" sz="1200" baseline="0">
              <a:solidFill>
                <a:schemeClr val="dk1"/>
              </a:solidFill>
              <a:latin typeface="Arial" panose="020B0604020202020204" pitchFamily="34" charset="0"/>
              <a:ea typeface="+mn-ea"/>
              <a:cs typeface="Arial" panose="020B0604020202020204" pitchFamily="34" charset="0"/>
            </a:rPr>
            <a:t>The new Cat® C9 ATAAC diesel engine retains the reliability, durability and performance of it’s predecessor, while adding the benefits of Caterpillar® ACERT™ Technology for compliance with the stringent Tier 3/Stage IIIA emission standards."</a:t>
          </a:r>
        </a:p>
        <a:p>
          <a:endParaRPr lang="en-US" sz="1400" baseline="0">
            <a:solidFill>
              <a:schemeClr val="dk1"/>
            </a:solidFill>
            <a:latin typeface="Arial" panose="020B0604020202020204" pitchFamily="34" charset="0"/>
            <a:ea typeface="+mn-ea"/>
            <a:cs typeface="Arial" panose="020B0604020202020204" pitchFamily="34" charset="0"/>
          </a:endParaRPr>
        </a:p>
        <a:p>
          <a:r>
            <a:rPr lang="en-US" sz="1400" baseline="0">
              <a:solidFill>
                <a:schemeClr val="dk1"/>
              </a:solidFill>
              <a:latin typeface="Arial" panose="020B0604020202020204" pitchFamily="34" charset="0"/>
              <a:ea typeface="+mn-ea"/>
              <a:cs typeface="Arial" panose="020B0604020202020204" pitchFamily="34" charset="0"/>
            </a:rPr>
            <a:t> </a:t>
          </a:r>
          <a:r>
            <a:rPr lang="en-US" sz="1400" b="0" i="0" u="sng" strike="noStrike">
              <a:solidFill>
                <a:schemeClr val="dk1"/>
              </a:solidFill>
              <a:effectLst/>
              <a:latin typeface="Arial" panose="020B0604020202020204" pitchFamily="34" charset="0"/>
              <a:ea typeface="+mn-ea"/>
              <a:cs typeface="Arial" panose="020B0604020202020204" pitchFamily="34" charset="0"/>
            </a:rPr>
            <a:t>http://www.cat.com/</a:t>
          </a:r>
          <a:r>
            <a:rPr lang="en-US" sz="1400" b="0" i="0" u="none" strike="noStrike">
              <a:solidFill>
                <a:schemeClr val="dk1"/>
              </a:solidFill>
              <a:effectLst/>
              <a:latin typeface="Arial" panose="020B0604020202020204" pitchFamily="34" charset="0"/>
              <a:ea typeface="+mn-ea"/>
              <a:cs typeface="Arial" panose="020B0604020202020204" pitchFamily="34" charset="0"/>
            </a:rPr>
            <a:t> </a:t>
          </a:r>
          <a:r>
            <a:rPr lang="en-US" sz="1400">
              <a:latin typeface="Arial" panose="020B0604020202020204" pitchFamily="34" charset="0"/>
              <a:cs typeface="Arial" panose="020B0604020202020204" pitchFamily="34" charset="0"/>
            </a:rPr>
            <a:t> </a:t>
          </a:r>
        </a:p>
      </xdr:txBody>
    </xdr:sp>
    <xdr:clientData/>
  </xdr:twoCellAnchor>
  <xdr:twoCellAnchor>
    <xdr:from>
      <xdr:col>3</xdr:col>
      <xdr:colOff>457200</xdr:colOff>
      <xdr:row>98</xdr:row>
      <xdr:rowOff>44450</xdr:rowOff>
    </xdr:from>
    <xdr:to>
      <xdr:col>11</xdr:col>
      <xdr:colOff>266699</xdr:colOff>
      <xdr:row>139</xdr:row>
      <xdr:rowOff>88900</xdr:rowOff>
    </xdr:to>
    <xdr:sp macro="" textlink="">
      <xdr:nvSpPr>
        <xdr:cNvPr id="25" name="TextBox 24">
          <a:extLst>
            <a:ext uri="{FF2B5EF4-FFF2-40B4-BE49-F238E27FC236}">
              <a16:creationId xmlns:a16="http://schemas.microsoft.com/office/drawing/2014/main" id="{00000000-0008-0000-0000-000019000000}"/>
            </a:ext>
          </a:extLst>
        </xdr:cNvPr>
        <xdr:cNvSpPr txBox="1"/>
      </xdr:nvSpPr>
      <xdr:spPr>
        <a:xfrm>
          <a:off x="5518150" y="26733500"/>
          <a:ext cx="4787899" cy="81153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b="1" baseline="0">
            <a:solidFill>
              <a:schemeClr val="dk1"/>
            </a:solidFill>
            <a:latin typeface="+mn-lt"/>
            <a:ea typeface="+mn-ea"/>
            <a:cs typeface="+mn-cs"/>
          </a:endParaRPr>
        </a:p>
        <a:p>
          <a:pPr algn="ctr"/>
          <a:r>
            <a:rPr lang="en-US" sz="1200" b="1" baseline="0">
              <a:solidFill>
                <a:schemeClr val="dk1"/>
              </a:solidFill>
              <a:latin typeface="Arial" panose="020B0604020202020204" pitchFamily="34" charset="0"/>
              <a:ea typeface="+mn-ea"/>
              <a:cs typeface="Arial" panose="020B0604020202020204" pitchFamily="34" charset="0"/>
            </a:rPr>
            <a:t>"CAT - 730 EJECTOR ARTICULATED TRUCK - ENGINE"                                   </a:t>
          </a:r>
        </a:p>
        <a:p>
          <a:pPr algn="ctr"/>
          <a:r>
            <a:rPr lang="en-US" sz="1200" b="1" baseline="0">
              <a:solidFill>
                <a:schemeClr val="dk1"/>
              </a:solidFill>
              <a:latin typeface="Arial" panose="020B0604020202020204" pitchFamily="34" charset="0"/>
              <a:ea typeface="+mn-ea"/>
              <a:cs typeface="Arial" panose="020B0604020202020204" pitchFamily="34" charset="0"/>
            </a:rPr>
            <a:t>ACERT Technology</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"The </a:t>
          </a:r>
          <a:r>
            <a:rPr lang="en-US" sz="1200" b="1" baseline="0">
              <a:solidFill>
                <a:schemeClr val="dk1"/>
              </a:solidFill>
              <a:latin typeface="Arial" panose="020B0604020202020204" pitchFamily="34" charset="0"/>
              <a:ea typeface="+mn-ea"/>
              <a:cs typeface="Arial" panose="020B0604020202020204" pitchFamily="34" charset="0"/>
            </a:rPr>
            <a:t>Cat® C11 ACERT™ </a:t>
          </a:r>
          <a:r>
            <a:rPr lang="en-US" sz="1200" baseline="0">
              <a:solidFill>
                <a:schemeClr val="dk1"/>
              </a:solidFill>
              <a:latin typeface="Arial" panose="020B0604020202020204" pitchFamily="34" charset="0"/>
              <a:ea typeface="+mn-ea"/>
              <a:cs typeface="Arial" panose="020B0604020202020204" pitchFamily="34" charset="0"/>
            </a:rPr>
            <a:t>engine introduces a series of evolutionary, incremental improvements that provide breakthrough engine technology built on systems and components developed by Caterpillar with proven reliability.</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Advanced Diesel Engine Management (ADEM) A4 Engine Controller</a:t>
          </a:r>
        </a:p>
        <a:p>
          <a:r>
            <a:rPr lang="en-US" sz="1200" baseline="0">
              <a:solidFill>
                <a:schemeClr val="dk1"/>
              </a:solidFill>
              <a:latin typeface="Arial" panose="020B0604020202020204" pitchFamily="34" charset="0"/>
              <a:ea typeface="+mn-ea"/>
              <a:cs typeface="Arial" panose="020B0604020202020204" pitchFamily="34" charset="0"/>
            </a:rPr>
            <a:t>The </a:t>
          </a:r>
          <a:r>
            <a:rPr lang="en-US" sz="1200" b="1" baseline="0">
              <a:solidFill>
                <a:schemeClr val="dk1"/>
              </a:solidFill>
              <a:latin typeface="Arial" panose="020B0604020202020204" pitchFamily="34" charset="0"/>
              <a:ea typeface="+mn-ea"/>
              <a:cs typeface="Arial" panose="020B0604020202020204" pitchFamily="34" charset="0"/>
            </a:rPr>
            <a:t>ADEM™ A4 </a:t>
          </a:r>
          <a:r>
            <a:rPr lang="en-US" sz="1200" baseline="0">
              <a:solidFill>
                <a:schemeClr val="dk1"/>
              </a:solidFill>
              <a:latin typeface="Arial" panose="020B0604020202020204" pitchFamily="34" charset="0"/>
              <a:ea typeface="+mn-ea"/>
              <a:cs typeface="Arial" panose="020B0604020202020204" pitchFamily="34" charset="0"/>
            </a:rPr>
            <a:t>electronic control module manages fuel delivery and provides flexible fuel mapping, allowing the engine to respond quickly to varying application needs.</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Fuel Delivery</a:t>
          </a:r>
        </a:p>
        <a:p>
          <a:r>
            <a:rPr lang="en-US" sz="1200" baseline="0">
              <a:solidFill>
                <a:schemeClr val="dk1"/>
              </a:solidFill>
              <a:latin typeface="Arial" panose="020B0604020202020204" pitchFamily="34" charset="0"/>
              <a:ea typeface="+mn-ea"/>
              <a:cs typeface="Arial" panose="020B0604020202020204" pitchFamily="34" charset="0"/>
            </a:rPr>
            <a:t>Multiple injection fuel delivery involves a high degree of precision. Precisely shaping the combustion cycle lowers combustion chamber temperatures, generating fewer emissions and optimizing fuel combustion. This translates into more work output for your fuel cost.</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Noise Reduction Technologies</a:t>
          </a:r>
        </a:p>
        <a:p>
          <a:r>
            <a:rPr lang="en-US" sz="1200" baseline="0">
              <a:solidFill>
                <a:schemeClr val="dk1"/>
              </a:solidFill>
              <a:latin typeface="Arial" panose="020B0604020202020204" pitchFamily="34" charset="0"/>
              <a:ea typeface="+mn-ea"/>
              <a:cs typeface="Arial" panose="020B0604020202020204" pitchFamily="34" charset="0"/>
            </a:rPr>
            <a:t>Noise reduction has been achieved through design changes to the isolated top cover, oil pan, multiple injection strategy, insulated timing case cover, sculpted crankcase and gear train refinements.</a:t>
          </a:r>
          <a:endParaRPr lang="en-US" sz="1200">
            <a:latin typeface="Arial" panose="020B0604020202020204" pitchFamily="34" charset="0"/>
            <a:cs typeface="Arial" panose="020B0604020202020204" pitchFamily="34" charset="0"/>
          </a:endParaRP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Engine Model Cat® C11 ACERT™</a:t>
          </a:r>
          <a:endParaRPr lang="en-US" sz="1200" b="1">
            <a:latin typeface="Arial" panose="020B0604020202020204" pitchFamily="34" charset="0"/>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Gross Power –SAE J1995,  242 kW 325 hp</a:t>
          </a:r>
          <a:endParaRPr lang="en-US" sz="1200">
            <a:latin typeface="Arial" panose="020B0604020202020204" pitchFamily="34" charset="0"/>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Bore 130 mm 5.1 in</a:t>
          </a:r>
          <a:endParaRPr lang="en-US" sz="1200">
            <a:latin typeface="Arial" panose="020B0604020202020204" pitchFamily="34" charset="0"/>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Stroke 140 mm 5.5 in</a:t>
          </a:r>
          <a:endParaRPr lang="en-US" sz="1200">
            <a:latin typeface="Arial" panose="020B0604020202020204" pitchFamily="34" charset="0"/>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Displacement 11.15 L 680 in3</a:t>
          </a:r>
        </a:p>
        <a:p>
          <a:endParaRPr lang="en-US" sz="1200">
            <a:latin typeface="Arial" panose="020B0604020202020204" pitchFamily="34" charset="0"/>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 The power ratings apply at rated speed of 1,800 rpm when tested under the conditions for the specified standard.</a:t>
          </a:r>
        </a:p>
        <a:p>
          <a:endParaRPr lang="en-US" sz="1200">
            <a:latin typeface="Arial" panose="020B0604020202020204" pitchFamily="34" charset="0"/>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 The net power advertised is the power available at the flywheel when the engine is equipped with alternator, air cleaner, muffler and fan at minimum speed.</a:t>
          </a:r>
        </a:p>
        <a:p>
          <a:endParaRPr lang="en-US" sz="1200">
            <a:latin typeface="Arial" panose="020B0604020202020204" pitchFamily="34" charset="0"/>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 Net power when the fan is at maximum speed is 225 kW (302 hp) per the SAE reference conditions.</a:t>
          </a:r>
        </a:p>
        <a:p>
          <a:endParaRPr lang="en-US" sz="1200">
            <a:latin typeface="Arial" panose="020B0604020202020204" pitchFamily="34" charset="0"/>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 The 730 Ejector meets EPA Tier 3/EU Stage 3a emission specifications for the U.S. and Europe through 2010."</a:t>
          </a:r>
        </a:p>
        <a:p>
          <a:r>
            <a:rPr lang="en-US" sz="1400" b="0" i="0" u="sng">
              <a:solidFill>
                <a:schemeClr val="dk1"/>
              </a:solidFill>
              <a:effectLst/>
              <a:latin typeface="Arial" panose="020B0604020202020204" pitchFamily="34" charset="0"/>
              <a:ea typeface="+mn-ea"/>
              <a:cs typeface="Arial" panose="020B0604020202020204" pitchFamily="34" charset="0"/>
            </a:rPr>
            <a:t>http://www.cat.com/</a:t>
          </a:r>
          <a:r>
            <a:rPr lang="en-US" sz="1400">
              <a:solidFill>
                <a:schemeClr val="dk1"/>
              </a:solidFill>
              <a:effectLst/>
              <a:latin typeface="Arial" panose="020B0604020202020204" pitchFamily="34" charset="0"/>
              <a:ea typeface="+mn-ea"/>
              <a:cs typeface="Arial" panose="020B0604020202020204" pitchFamily="34" charset="0"/>
            </a:rPr>
            <a:t> </a:t>
          </a:r>
          <a:endParaRPr lang="en-US" sz="1400">
            <a:latin typeface="Arial" panose="020B0604020202020204" pitchFamily="34" charset="0"/>
            <a:cs typeface="Arial" panose="020B0604020202020204" pitchFamily="34" charset="0"/>
          </a:endParaRPr>
        </a:p>
      </xdr:txBody>
    </xdr:sp>
    <xdr:clientData/>
  </xdr:twoCellAnchor>
  <xdr:twoCellAnchor editAs="oneCell">
    <xdr:from>
      <xdr:col>5</xdr:col>
      <xdr:colOff>279400</xdr:colOff>
      <xdr:row>87</xdr:row>
      <xdr:rowOff>146050</xdr:rowOff>
    </xdr:from>
    <xdr:to>
      <xdr:col>12</xdr:col>
      <xdr:colOff>349250</xdr:colOff>
      <xdr:row>93</xdr:row>
      <xdr:rowOff>168275</xdr:rowOff>
    </xdr:to>
    <xdr:pic>
      <xdr:nvPicPr>
        <xdr:cNvPr id="26" name="Picture 25" descr="CAT-1A ENGINE.jpg">
          <a:extLst>
            <a:ext uri="{FF2B5EF4-FFF2-40B4-BE49-F238E27FC236}">
              <a16:creationId xmlns:a16="http://schemas.microsoft.com/office/drawing/2014/main" id="{00000000-0008-0000-0000-00001A000000}"/>
            </a:ext>
          </a:extLst>
        </xdr:cNvPr>
        <xdr:cNvPicPr>
          <a:picLocks noChangeAspect="1"/>
        </xdr:cNvPicPr>
      </xdr:nvPicPr>
      <xdr:blipFill>
        <a:blip xmlns:r="http://schemas.openxmlformats.org/officeDocument/2006/relationships" r:embed="rId5" cstate="print"/>
        <a:stretch>
          <a:fillRect/>
        </a:stretch>
      </xdr:blipFill>
      <xdr:spPr>
        <a:xfrm>
          <a:off x="6705600" y="21272500"/>
          <a:ext cx="4197350" cy="3800475"/>
        </a:xfrm>
        <a:prstGeom prst="rect">
          <a:avLst/>
        </a:prstGeom>
      </xdr:spPr>
    </xdr:pic>
    <xdr:clientData/>
  </xdr:twoCellAnchor>
  <xdr:twoCellAnchor editAs="oneCell">
    <xdr:from>
      <xdr:col>3</xdr:col>
      <xdr:colOff>587375</xdr:colOff>
      <xdr:row>142</xdr:row>
      <xdr:rowOff>0</xdr:rowOff>
    </xdr:from>
    <xdr:to>
      <xdr:col>11</xdr:col>
      <xdr:colOff>120650</xdr:colOff>
      <xdr:row>163</xdr:row>
      <xdr:rowOff>114300</xdr:rowOff>
    </xdr:to>
    <xdr:pic>
      <xdr:nvPicPr>
        <xdr:cNvPr id="27" name="Picture 26" descr="CAT-1B SUSPENSION.jpg">
          <a:extLst>
            <a:ext uri="{FF2B5EF4-FFF2-40B4-BE49-F238E27FC236}">
              <a16:creationId xmlns:a16="http://schemas.microsoft.com/office/drawing/2014/main" id="{00000000-0008-0000-0000-00001B000000}"/>
            </a:ext>
          </a:extLst>
        </xdr:cNvPr>
        <xdr:cNvPicPr>
          <a:picLocks noChangeAspect="1"/>
        </xdr:cNvPicPr>
      </xdr:nvPicPr>
      <xdr:blipFill>
        <a:blip xmlns:r="http://schemas.openxmlformats.org/officeDocument/2006/relationships" r:embed="rId6" cstate="print"/>
        <a:stretch>
          <a:fillRect/>
        </a:stretch>
      </xdr:blipFill>
      <xdr:spPr>
        <a:xfrm>
          <a:off x="5648325" y="35350450"/>
          <a:ext cx="4511675" cy="4248150"/>
        </a:xfrm>
        <a:prstGeom prst="rect">
          <a:avLst/>
        </a:prstGeom>
      </xdr:spPr>
    </xdr:pic>
    <xdr:clientData/>
  </xdr:twoCellAnchor>
  <xdr:twoCellAnchor>
    <xdr:from>
      <xdr:col>1</xdr:col>
      <xdr:colOff>1</xdr:colOff>
      <xdr:row>166</xdr:row>
      <xdr:rowOff>0</xdr:rowOff>
    </xdr:from>
    <xdr:to>
      <xdr:col>3</xdr:col>
      <xdr:colOff>152400</xdr:colOff>
      <xdr:row>204</xdr:row>
      <xdr:rowOff>177800</xdr:rowOff>
    </xdr:to>
    <xdr:sp macro="" textlink="">
      <xdr:nvSpPr>
        <xdr:cNvPr id="28" name="TextBox 27">
          <a:extLst>
            <a:ext uri="{FF2B5EF4-FFF2-40B4-BE49-F238E27FC236}">
              <a16:creationId xmlns:a16="http://schemas.microsoft.com/office/drawing/2014/main" id="{00000000-0008-0000-0000-00001C000000}"/>
            </a:ext>
          </a:extLst>
        </xdr:cNvPr>
        <xdr:cNvSpPr txBox="1"/>
      </xdr:nvSpPr>
      <xdr:spPr>
        <a:xfrm>
          <a:off x="596901" y="40074850"/>
          <a:ext cx="4616449" cy="76581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b="1" baseline="0">
            <a:solidFill>
              <a:schemeClr val="dk1"/>
            </a:solidFill>
            <a:latin typeface="+mn-lt"/>
            <a:ea typeface="+mn-ea"/>
            <a:cs typeface="+mn-cs"/>
          </a:endParaRPr>
        </a:p>
        <a:p>
          <a:pPr algn="ctr"/>
          <a:r>
            <a:rPr lang="en-US" sz="1400" b="1" baseline="0">
              <a:solidFill>
                <a:schemeClr val="dk1"/>
              </a:solidFill>
              <a:latin typeface="Arial" panose="020B0604020202020204" pitchFamily="34" charset="0"/>
              <a:ea typeface="+mn-ea"/>
              <a:cs typeface="Arial" panose="020B0604020202020204" pitchFamily="34" charset="0"/>
            </a:rPr>
            <a:t>"CAT - 730 EJECTOR ARTICULATED TRUCK" </a:t>
          </a:r>
        </a:p>
        <a:p>
          <a:pPr algn="ctr"/>
          <a:r>
            <a:rPr lang="en-US" sz="1200" b="1" baseline="0">
              <a:solidFill>
                <a:schemeClr val="dk1"/>
              </a:solidFill>
              <a:latin typeface="Arial" panose="020B0604020202020204" pitchFamily="34" charset="0"/>
              <a:ea typeface="+mn-ea"/>
              <a:cs typeface="Arial" panose="020B0604020202020204" pitchFamily="34" charset="0"/>
            </a:rPr>
            <a:t>                                  </a:t>
          </a:r>
        </a:p>
        <a:p>
          <a:r>
            <a:rPr lang="en-US" sz="1200" b="1" baseline="0">
              <a:solidFill>
                <a:schemeClr val="dk1"/>
              </a:solidFill>
              <a:latin typeface="Arial" panose="020B0604020202020204" pitchFamily="34" charset="0"/>
              <a:ea typeface="+mn-ea"/>
              <a:cs typeface="Arial" panose="020B0604020202020204" pitchFamily="34" charset="0"/>
            </a:rPr>
            <a:t>"Front Suspension</a:t>
          </a:r>
        </a:p>
        <a:p>
          <a:r>
            <a:rPr lang="en-US" sz="1200" baseline="0">
              <a:solidFill>
                <a:schemeClr val="dk1"/>
              </a:solidFill>
              <a:latin typeface="Arial" panose="020B0604020202020204" pitchFamily="34" charset="0"/>
              <a:ea typeface="+mn-ea"/>
              <a:cs typeface="Arial" panose="020B0604020202020204" pitchFamily="34" charset="0"/>
            </a:rPr>
            <a:t>The three-point front suspension oscillates ±6° to provide</a:t>
          </a:r>
        </a:p>
        <a:p>
          <a:r>
            <a:rPr lang="en-US" sz="1200" baseline="0">
              <a:solidFill>
                <a:schemeClr val="dk1"/>
              </a:solidFill>
              <a:latin typeface="Arial" panose="020B0604020202020204" pitchFamily="34" charset="0"/>
              <a:ea typeface="+mn-ea"/>
              <a:cs typeface="Arial" panose="020B0604020202020204" pitchFamily="34" charset="0"/>
            </a:rPr>
            <a:t>a smooth ride, allowing the operator to travel at speed over</a:t>
          </a:r>
        </a:p>
        <a:p>
          <a:r>
            <a:rPr lang="en-US" sz="1200" baseline="0">
              <a:solidFill>
                <a:schemeClr val="dk1"/>
              </a:solidFill>
              <a:latin typeface="Arial" panose="020B0604020202020204" pitchFamily="34" charset="0"/>
              <a:ea typeface="+mn-ea"/>
              <a:cs typeface="Arial" panose="020B0604020202020204" pitchFamily="34" charset="0"/>
            </a:rPr>
            <a:t>rough terrain and softening impact loads on structures and</a:t>
          </a:r>
        </a:p>
        <a:p>
          <a:r>
            <a:rPr lang="en-US" sz="1200" baseline="0">
              <a:solidFill>
                <a:schemeClr val="dk1"/>
              </a:solidFill>
              <a:latin typeface="Arial" panose="020B0604020202020204" pitchFamily="34" charset="0"/>
              <a:ea typeface="+mn-ea"/>
              <a:cs typeface="Arial" panose="020B0604020202020204" pitchFamily="34" charset="0"/>
            </a:rPr>
            <a:t>components. Large bore, low pressure cylinders are purpose</a:t>
          </a:r>
        </a:p>
        <a:p>
          <a:r>
            <a:rPr lang="en-US" sz="1200" baseline="0">
              <a:solidFill>
                <a:schemeClr val="dk1"/>
              </a:solidFill>
              <a:latin typeface="Arial" panose="020B0604020202020204" pitchFamily="34" charset="0"/>
              <a:ea typeface="+mn-ea"/>
              <a:cs typeface="Arial" panose="020B0604020202020204" pitchFamily="34" charset="0"/>
            </a:rPr>
            <a:t>designed for tough applications and offer a soft, smooth ride.</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A-Frame Construction</a:t>
          </a:r>
        </a:p>
        <a:p>
          <a:r>
            <a:rPr lang="en-US" sz="1200" baseline="0">
              <a:solidFill>
                <a:schemeClr val="dk1"/>
              </a:solidFill>
              <a:latin typeface="Arial" panose="020B0604020202020204" pitchFamily="34" charset="0"/>
              <a:ea typeface="+mn-ea"/>
              <a:cs typeface="Arial" panose="020B0604020202020204" pitchFamily="34" charset="0"/>
            </a:rPr>
            <a:t>The front suspension uses an oscillating A-frame with</a:t>
          </a:r>
        </a:p>
        <a:p>
          <a:r>
            <a:rPr lang="en-US" sz="1200" baseline="0">
              <a:solidFill>
                <a:schemeClr val="dk1"/>
              </a:solidFill>
              <a:latin typeface="Arial" panose="020B0604020202020204" pitchFamily="34" charset="0"/>
              <a:ea typeface="+mn-ea"/>
              <a:cs typeface="Arial" panose="020B0604020202020204" pitchFamily="34" charset="0"/>
            </a:rPr>
            <a:t>a lateral tie rod to control axle sideways movement.</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Rear Suspension</a:t>
          </a:r>
        </a:p>
        <a:p>
          <a:r>
            <a:rPr lang="en-US" sz="1200" baseline="0">
              <a:solidFill>
                <a:schemeClr val="dk1"/>
              </a:solidFill>
              <a:latin typeface="Arial" panose="020B0604020202020204" pitchFamily="34" charset="0"/>
              <a:ea typeface="+mn-ea"/>
              <a:cs typeface="Arial" panose="020B0604020202020204" pitchFamily="34" charset="0"/>
            </a:rPr>
            <a:t>Features a walking beam geometry with Caterpillar designed</a:t>
          </a:r>
        </a:p>
        <a:p>
          <a:r>
            <a:rPr lang="en-US" sz="1200" baseline="0">
              <a:solidFill>
                <a:schemeClr val="dk1"/>
              </a:solidFill>
              <a:latin typeface="Arial" panose="020B0604020202020204" pitchFamily="34" charset="0"/>
              <a:ea typeface="+mn-ea"/>
              <a:cs typeface="Arial" panose="020B0604020202020204" pitchFamily="34" charset="0"/>
            </a:rPr>
            <a:t>rear suspension mounts which provide a reliable and stable</a:t>
          </a:r>
        </a:p>
        <a:p>
          <a:r>
            <a:rPr lang="en-US" sz="1200" baseline="0">
              <a:solidFill>
                <a:schemeClr val="dk1"/>
              </a:solidFill>
              <a:latin typeface="Arial" panose="020B0604020202020204" pitchFamily="34" charset="0"/>
              <a:ea typeface="+mn-ea"/>
              <a:cs typeface="Arial" panose="020B0604020202020204" pitchFamily="34" charset="0"/>
            </a:rPr>
            <a:t>ride for excellent load retention.</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Traction Control</a:t>
          </a:r>
        </a:p>
        <a:p>
          <a:r>
            <a:rPr lang="en-US" sz="1200" baseline="0">
              <a:solidFill>
                <a:schemeClr val="dk1"/>
              </a:solidFill>
              <a:latin typeface="Arial" panose="020B0604020202020204" pitchFamily="34" charset="0"/>
              <a:ea typeface="+mn-ea"/>
              <a:cs typeface="Arial" panose="020B0604020202020204" pitchFamily="34" charset="0"/>
            </a:rPr>
            <a:t>The traction control system is comprised of a wet</a:t>
          </a:r>
        </a:p>
        <a:p>
          <a:r>
            <a:rPr lang="en-US" sz="1200" baseline="0">
              <a:solidFill>
                <a:schemeClr val="dk1"/>
              </a:solidFill>
              <a:latin typeface="Arial" panose="020B0604020202020204" pitchFamily="34" charset="0"/>
              <a:ea typeface="+mn-ea"/>
              <a:cs typeface="Arial" panose="020B0604020202020204" pitchFamily="34" charset="0"/>
            </a:rPr>
            <a:t>clutched inter-axle differential and wet clutched cross-axle</a:t>
          </a:r>
        </a:p>
        <a:p>
          <a:r>
            <a:rPr lang="en-US" sz="1200" baseline="0">
              <a:solidFill>
                <a:schemeClr val="dk1"/>
              </a:solidFill>
              <a:latin typeface="Arial" panose="020B0604020202020204" pitchFamily="34" charset="0"/>
              <a:ea typeface="+mn-ea"/>
              <a:cs typeface="Arial" panose="020B0604020202020204" pitchFamily="34" charset="0"/>
            </a:rPr>
            <a:t>differentials. All differentials can be engaged and disengaged</a:t>
          </a:r>
        </a:p>
        <a:p>
          <a:r>
            <a:rPr lang="en-US" sz="1200" baseline="0">
              <a:solidFill>
                <a:schemeClr val="dk1"/>
              </a:solidFill>
              <a:latin typeface="Arial" panose="020B0604020202020204" pitchFamily="34" charset="0"/>
              <a:ea typeface="+mn-ea"/>
              <a:cs typeface="Arial" panose="020B0604020202020204" pitchFamily="34" charset="0"/>
            </a:rPr>
            <a:t>“on-the-go” for maximum versatility. When used together,</a:t>
          </a:r>
        </a:p>
        <a:p>
          <a:r>
            <a:rPr lang="en-US" sz="1200" baseline="0">
              <a:solidFill>
                <a:schemeClr val="dk1"/>
              </a:solidFill>
              <a:latin typeface="Arial" panose="020B0604020202020204" pitchFamily="34" charset="0"/>
              <a:ea typeface="+mn-ea"/>
              <a:cs typeface="Arial" panose="020B0604020202020204" pitchFamily="34" charset="0"/>
            </a:rPr>
            <a:t>the differentials provide 100 percent driveline locking.</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Inter-Axle Differential Lock</a:t>
          </a:r>
        </a:p>
        <a:p>
          <a:r>
            <a:rPr lang="en-US" sz="1200" baseline="0">
              <a:solidFill>
                <a:schemeClr val="dk1"/>
              </a:solidFill>
              <a:latin typeface="Arial" panose="020B0604020202020204" pitchFamily="34" charset="0"/>
              <a:ea typeface="+mn-ea"/>
              <a:cs typeface="Arial" panose="020B0604020202020204" pitchFamily="34" charset="0"/>
            </a:rPr>
            <a:t>Locks all three axles in unison and modifies torque</a:t>
          </a:r>
        </a:p>
        <a:p>
          <a:r>
            <a:rPr lang="en-US" sz="1200" baseline="0">
              <a:solidFill>
                <a:schemeClr val="dk1"/>
              </a:solidFill>
              <a:latin typeface="Arial" panose="020B0604020202020204" pitchFamily="34" charset="0"/>
              <a:ea typeface="+mn-ea"/>
              <a:cs typeface="Arial" panose="020B0604020202020204" pitchFamily="34" charset="0"/>
            </a:rPr>
            <a:t>distribution for excellent traction in poor underfoot</a:t>
          </a:r>
        </a:p>
        <a:p>
          <a:r>
            <a:rPr lang="en-US" sz="1200" baseline="0">
              <a:solidFill>
                <a:schemeClr val="dk1"/>
              </a:solidFill>
              <a:latin typeface="Arial" panose="020B0604020202020204" pitchFamily="34" charset="0"/>
              <a:ea typeface="+mn-ea"/>
              <a:cs typeface="Arial" panose="020B0604020202020204" pitchFamily="34" charset="0"/>
            </a:rPr>
            <a:t>conditions and on grades. It is operated by a switch located</a:t>
          </a:r>
        </a:p>
        <a:p>
          <a:r>
            <a:rPr lang="en-US" sz="1200" baseline="0">
              <a:solidFill>
                <a:schemeClr val="dk1"/>
              </a:solidFill>
              <a:latin typeface="Arial" panose="020B0604020202020204" pitchFamily="34" charset="0"/>
              <a:ea typeface="+mn-ea"/>
              <a:cs typeface="Arial" panose="020B0604020202020204" pitchFamily="34" charset="0"/>
            </a:rPr>
            <a:t>at the footrest.</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Cross-Axle Differential Locks</a:t>
          </a:r>
        </a:p>
        <a:p>
          <a:r>
            <a:rPr lang="en-US" sz="1200" baseline="0">
              <a:solidFill>
                <a:schemeClr val="dk1"/>
              </a:solidFill>
              <a:latin typeface="Arial" panose="020B0604020202020204" pitchFamily="34" charset="0"/>
              <a:ea typeface="+mn-ea"/>
              <a:cs typeface="Arial" panose="020B0604020202020204" pitchFamily="34" charset="0"/>
            </a:rPr>
            <a:t>Provides full driveline locking – all three axles and all</a:t>
          </a:r>
        </a:p>
        <a:p>
          <a:r>
            <a:rPr lang="en-US" sz="1200" baseline="0">
              <a:solidFill>
                <a:schemeClr val="dk1"/>
              </a:solidFill>
              <a:latin typeface="Arial" panose="020B0604020202020204" pitchFamily="34" charset="0"/>
              <a:ea typeface="+mn-ea"/>
              <a:cs typeface="Arial" panose="020B0604020202020204" pitchFamily="34" charset="0"/>
            </a:rPr>
            <a:t>six wheels – for maximum performance in the most adverse</a:t>
          </a:r>
        </a:p>
        <a:p>
          <a:r>
            <a:rPr lang="en-US" sz="1200" baseline="0">
              <a:solidFill>
                <a:schemeClr val="dk1"/>
              </a:solidFill>
              <a:latin typeface="Arial" panose="020B0604020202020204" pitchFamily="34" charset="0"/>
              <a:ea typeface="+mn-ea"/>
              <a:cs typeface="Arial" panose="020B0604020202020204" pitchFamily="34" charset="0"/>
            </a:rPr>
            <a:t>conditions. Acts in unison with the inter-axle differential</a:t>
          </a:r>
        </a:p>
        <a:p>
          <a:r>
            <a:rPr lang="en-US" sz="1200" baseline="0">
              <a:solidFill>
                <a:schemeClr val="dk1"/>
              </a:solidFill>
              <a:latin typeface="Arial" panose="020B0604020202020204" pitchFamily="34" charset="0"/>
              <a:ea typeface="+mn-ea"/>
              <a:cs typeface="Arial" panose="020B0604020202020204" pitchFamily="34" charset="0"/>
            </a:rPr>
            <a:t>lock when the foot switch is actuated and the dash-mounted</a:t>
          </a:r>
        </a:p>
        <a:p>
          <a:r>
            <a:rPr lang="en-US" sz="1200" baseline="0">
              <a:solidFill>
                <a:schemeClr val="dk1"/>
              </a:solidFill>
              <a:latin typeface="Arial" panose="020B0604020202020204" pitchFamily="34" charset="0"/>
              <a:ea typeface="+mn-ea"/>
              <a:cs typeface="Arial" panose="020B0604020202020204" pitchFamily="34" charset="0"/>
            </a:rPr>
            <a:t>switch is selected.</a:t>
          </a:r>
        </a:p>
        <a:p>
          <a:endParaRPr lang="en-US" sz="1200" b="1"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Mounting Points</a:t>
          </a:r>
        </a:p>
        <a:p>
          <a:r>
            <a:rPr lang="en-US" sz="1200" baseline="0">
              <a:solidFill>
                <a:schemeClr val="dk1"/>
              </a:solidFill>
              <a:latin typeface="Arial" panose="020B0604020202020204" pitchFamily="34" charset="0"/>
              <a:ea typeface="+mn-ea"/>
              <a:cs typeface="Arial" panose="020B0604020202020204" pitchFamily="34" charset="0"/>
            </a:rPr>
            <a:t>Suspension mounting points are integrated into the axle</a:t>
          </a:r>
        </a:p>
        <a:p>
          <a:r>
            <a:rPr lang="en-US" sz="1200" baseline="0">
              <a:solidFill>
                <a:schemeClr val="dk1"/>
              </a:solidFill>
              <a:latin typeface="Arial" panose="020B0604020202020204" pitchFamily="34" charset="0"/>
              <a:ea typeface="+mn-ea"/>
              <a:cs typeface="Arial" panose="020B0604020202020204" pitchFamily="34" charset="0"/>
            </a:rPr>
            <a:t>housing, increasing reliability." </a:t>
          </a:r>
          <a:r>
            <a:rPr lang="en-US" sz="1400" baseline="0">
              <a:solidFill>
                <a:schemeClr val="dk1"/>
              </a:solidFill>
              <a:latin typeface="Arial" panose="020B0604020202020204" pitchFamily="34" charset="0"/>
              <a:ea typeface="+mn-ea"/>
              <a:cs typeface="Arial" panose="020B0604020202020204" pitchFamily="34" charset="0"/>
            </a:rPr>
            <a:t> </a:t>
          </a:r>
          <a:r>
            <a:rPr lang="en-US" sz="1400" b="0" i="0" u="sng" strike="noStrike">
              <a:solidFill>
                <a:schemeClr val="dk1"/>
              </a:solidFill>
              <a:effectLst/>
              <a:latin typeface="Arial" panose="020B0604020202020204" pitchFamily="34" charset="0"/>
              <a:ea typeface="+mn-ea"/>
              <a:cs typeface="Arial" panose="020B0604020202020204" pitchFamily="34" charset="0"/>
              <a:hlinkClick xmlns:r="http://schemas.openxmlformats.org/officeDocument/2006/relationships" r:id=""/>
            </a:rPr>
            <a:t>http://www.cat.com/</a:t>
          </a:r>
          <a:r>
            <a:rPr lang="en-US" sz="1400">
              <a:latin typeface="Arial" panose="020B0604020202020204" pitchFamily="34" charset="0"/>
              <a:cs typeface="Arial" panose="020B0604020202020204" pitchFamily="34" charset="0"/>
            </a:rPr>
            <a:t> </a:t>
          </a:r>
        </a:p>
      </xdr:txBody>
    </xdr:sp>
    <xdr:clientData/>
  </xdr:twoCellAnchor>
  <xdr:twoCellAnchor editAs="oneCell">
    <xdr:from>
      <xdr:col>7</xdr:col>
      <xdr:colOff>641350</xdr:colOff>
      <xdr:row>214</xdr:row>
      <xdr:rowOff>12700</xdr:rowOff>
    </xdr:from>
    <xdr:to>
      <xdr:col>14</xdr:col>
      <xdr:colOff>447675</xdr:colOff>
      <xdr:row>226</xdr:row>
      <xdr:rowOff>60325</xdr:rowOff>
    </xdr:to>
    <xdr:pic>
      <xdr:nvPicPr>
        <xdr:cNvPr id="29" name="Picture 28" descr="CAT-1C FRAME.jpg">
          <a:extLst>
            <a:ext uri="{FF2B5EF4-FFF2-40B4-BE49-F238E27FC236}">
              <a16:creationId xmlns:a16="http://schemas.microsoft.com/office/drawing/2014/main" id="{00000000-0008-0000-0000-00001D000000}"/>
            </a:ext>
          </a:extLst>
        </xdr:cNvPr>
        <xdr:cNvPicPr>
          <a:picLocks noChangeAspect="1"/>
        </xdr:cNvPicPr>
      </xdr:nvPicPr>
      <xdr:blipFill>
        <a:blip xmlns:r="http://schemas.openxmlformats.org/officeDocument/2006/relationships" r:embed="rId7" cstate="print"/>
        <a:stretch>
          <a:fillRect/>
        </a:stretch>
      </xdr:blipFill>
      <xdr:spPr>
        <a:xfrm>
          <a:off x="7823200" y="49568100"/>
          <a:ext cx="4587875" cy="2409825"/>
        </a:xfrm>
        <a:prstGeom prst="rect">
          <a:avLst/>
        </a:prstGeom>
      </xdr:spPr>
    </xdr:pic>
    <xdr:clientData/>
  </xdr:twoCellAnchor>
  <xdr:twoCellAnchor>
    <xdr:from>
      <xdr:col>4</xdr:col>
      <xdr:colOff>47624</xdr:colOff>
      <xdr:row>166</xdr:row>
      <xdr:rowOff>31748</xdr:rowOff>
    </xdr:from>
    <xdr:to>
      <xdr:col>11</xdr:col>
      <xdr:colOff>317499</xdr:colOff>
      <xdr:row>205</xdr:row>
      <xdr:rowOff>120650</xdr:rowOff>
    </xdr:to>
    <xdr:sp macro="" textlink="">
      <xdr:nvSpPr>
        <xdr:cNvPr id="30" name="TextBox 29">
          <a:extLst>
            <a:ext uri="{FF2B5EF4-FFF2-40B4-BE49-F238E27FC236}">
              <a16:creationId xmlns:a16="http://schemas.microsoft.com/office/drawing/2014/main" id="{00000000-0008-0000-0000-00001E000000}"/>
            </a:ext>
          </a:extLst>
        </xdr:cNvPr>
        <xdr:cNvSpPr txBox="1"/>
      </xdr:nvSpPr>
      <xdr:spPr>
        <a:xfrm>
          <a:off x="5718174" y="40297098"/>
          <a:ext cx="4638675" cy="776605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200" b="1" baseline="0">
            <a:solidFill>
              <a:schemeClr val="dk1"/>
            </a:solidFill>
            <a:latin typeface="+mn-lt"/>
            <a:ea typeface="+mn-ea"/>
            <a:cs typeface="+mn-cs"/>
          </a:endParaRPr>
        </a:p>
        <a:p>
          <a:pPr algn="ctr"/>
          <a:r>
            <a:rPr lang="en-US" sz="1400" b="1" baseline="0">
              <a:solidFill>
                <a:schemeClr val="dk1"/>
              </a:solidFill>
              <a:latin typeface="Arial" panose="020B0604020202020204" pitchFamily="34" charset="0"/>
              <a:ea typeface="+mn-ea"/>
              <a:cs typeface="Arial" panose="020B0604020202020204" pitchFamily="34" charset="0"/>
            </a:rPr>
            <a:t>"CAT - 730 EJECTOR ARTICULATED </a:t>
          </a:r>
        </a:p>
        <a:p>
          <a:pPr algn="ctr"/>
          <a:r>
            <a:rPr lang="en-US" sz="1400" b="1" baseline="0">
              <a:solidFill>
                <a:schemeClr val="dk1"/>
              </a:solidFill>
              <a:latin typeface="Arial" panose="020B0604020202020204" pitchFamily="34" charset="0"/>
              <a:ea typeface="+mn-ea"/>
              <a:cs typeface="Arial" panose="020B0604020202020204" pitchFamily="34" charset="0"/>
            </a:rPr>
            <a:t>TRUCK - FRAME"                                           </a:t>
          </a:r>
        </a:p>
        <a:p>
          <a:pPr algn="ctr"/>
          <a:r>
            <a:rPr lang="en-US" sz="1400" b="1" baseline="0">
              <a:solidFill>
                <a:schemeClr val="dk1"/>
              </a:solidFill>
              <a:latin typeface="Arial" panose="020B0604020202020204" pitchFamily="34" charset="0"/>
              <a:ea typeface="+mn-ea"/>
              <a:cs typeface="Arial" panose="020B0604020202020204" pitchFamily="34" charset="0"/>
            </a:rPr>
            <a:t>Front Frame</a:t>
          </a:r>
        </a:p>
        <a:p>
          <a:pPr algn="ctr"/>
          <a:endParaRPr lang="en-US" sz="1200" b="0" baseline="0">
            <a:solidFill>
              <a:schemeClr val="dk1"/>
            </a:solidFill>
            <a:latin typeface="Arial" panose="020B0604020202020204" pitchFamily="34" charset="0"/>
            <a:ea typeface="+mn-ea"/>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"The front frame design features a large box section and wide, stiff frame beams to handle torque loads.</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The divergent frame design decreases stress in the hitch area and optimizes suspension geometry.</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200" baseline="0">
              <a:solidFill>
                <a:schemeClr val="dk1"/>
              </a:solidFill>
              <a:latin typeface="Arial" panose="020B0604020202020204" pitchFamily="34" charset="0"/>
              <a:ea typeface="+mn-ea"/>
              <a:cs typeface="Arial" panose="020B0604020202020204" pitchFamily="34" charset="0"/>
            </a:rPr>
            <a:t>The frame design makes maximum use of robotic welding for increased durability.</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Rear Frame</a:t>
          </a:r>
        </a:p>
        <a:p>
          <a:r>
            <a:rPr lang="en-US" sz="1200" baseline="0">
              <a:solidFill>
                <a:schemeClr val="dk1"/>
              </a:solidFill>
              <a:latin typeface="Arial" panose="020B0604020202020204" pitchFamily="34" charset="0"/>
              <a:ea typeface="+mn-ea"/>
              <a:cs typeface="Arial" panose="020B0604020202020204" pitchFamily="34" charset="0"/>
            </a:rPr>
            <a:t>Twin-box construction minimizes stress concentrations and provides low weight with long service life.</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Suspension</a:t>
          </a:r>
        </a:p>
        <a:p>
          <a:r>
            <a:rPr lang="en-US" sz="1200" baseline="0">
              <a:solidFill>
                <a:schemeClr val="dk1"/>
              </a:solidFill>
              <a:latin typeface="Arial" panose="020B0604020202020204" pitchFamily="34" charset="0"/>
              <a:ea typeface="+mn-ea"/>
              <a:cs typeface="Arial" panose="020B0604020202020204" pitchFamily="34" charset="0"/>
            </a:rPr>
            <a:t>The three-point oscillating axle front suspension provides unparalleled ride quality. It also protects the truck from adverse road conditions by absorbing shock loads that would reach the frame.</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Articulating/Oscillating Hitch</a:t>
          </a:r>
        </a:p>
        <a:p>
          <a:r>
            <a:rPr lang="en-US" sz="1200" baseline="0">
              <a:solidFill>
                <a:schemeClr val="dk1"/>
              </a:solidFill>
              <a:latin typeface="Arial" panose="020B0604020202020204" pitchFamily="34" charset="0"/>
              <a:ea typeface="+mn-ea"/>
              <a:cs typeface="Arial" panose="020B0604020202020204" pitchFamily="34" charset="0"/>
            </a:rPr>
            <a:t>The articulating hitch provides the truck with steering articulation, and the oscillation ensures all-wheel ground contact in rough terrain.</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Hitch Construction</a:t>
          </a:r>
        </a:p>
        <a:p>
          <a:r>
            <a:rPr lang="en-US" sz="1200" baseline="0">
              <a:solidFill>
                <a:schemeClr val="dk1"/>
              </a:solidFill>
              <a:latin typeface="Arial" panose="020B0604020202020204" pitchFamily="34" charset="0"/>
              <a:ea typeface="+mn-ea"/>
              <a:cs typeface="Arial" panose="020B0604020202020204" pitchFamily="34" charset="0"/>
            </a:rPr>
            <a:t>Two-piece construction features a durable cast steel head bolted to a hard-wearing forged steel tube.</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Service Brakes</a:t>
          </a:r>
        </a:p>
        <a:p>
          <a:r>
            <a:rPr lang="en-US" sz="1200" baseline="0">
              <a:solidFill>
                <a:schemeClr val="dk1"/>
              </a:solidFill>
              <a:latin typeface="Arial" panose="020B0604020202020204" pitchFamily="34" charset="0"/>
              <a:ea typeface="+mn-ea"/>
              <a:cs typeface="Arial" panose="020B0604020202020204" pitchFamily="34" charset="0"/>
            </a:rPr>
            <a:t>Dual-circuit, all wheel braking system. Full power hydraulic system actuates self cleaning caliper disc brakes with independent front and rear circuits and accumulators.</a:t>
          </a:r>
        </a:p>
        <a:p>
          <a:endParaRPr lang="en-US" sz="1200" baseline="0">
            <a:solidFill>
              <a:schemeClr val="dk1"/>
            </a:solidFill>
            <a:latin typeface="Arial" panose="020B0604020202020204" pitchFamily="34" charset="0"/>
            <a:ea typeface="+mn-ea"/>
            <a:cs typeface="Arial" panose="020B0604020202020204" pitchFamily="34" charset="0"/>
          </a:endParaRPr>
        </a:p>
        <a:p>
          <a:r>
            <a:rPr lang="en-US" sz="1200" b="1" baseline="0">
              <a:solidFill>
                <a:schemeClr val="dk1"/>
              </a:solidFill>
              <a:latin typeface="Arial" panose="020B0604020202020204" pitchFamily="34" charset="0"/>
              <a:ea typeface="+mn-ea"/>
              <a:cs typeface="Arial" panose="020B0604020202020204" pitchFamily="34" charset="0"/>
            </a:rPr>
            <a:t>Parking Brake</a:t>
          </a:r>
        </a:p>
        <a:p>
          <a:r>
            <a:rPr lang="en-US" sz="1200" baseline="0">
              <a:solidFill>
                <a:schemeClr val="dk1"/>
              </a:solidFill>
              <a:latin typeface="Arial" panose="020B0604020202020204" pitchFamily="34" charset="0"/>
              <a:ea typeface="+mn-ea"/>
              <a:cs typeface="Arial" panose="020B0604020202020204" pitchFamily="34" charset="0"/>
            </a:rPr>
            <a:t>Located on the center axle in an elevated position out of the dirt and designed to deliver higher heat capacity and abuse resistance." </a:t>
          </a:r>
          <a:r>
            <a:rPr lang="en-US" sz="1100" baseline="0">
              <a:solidFill>
                <a:schemeClr val="dk1"/>
              </a:solidFill>
              <a:effectLst/>
              <a:latin typeface="+mn-lt"/>
              <a:ea typeface="+mn-ea"/>
              <a:cs typeface="+mn-cs"/>
            </a:rPr>
            <a:t> </a:t>
          </a:r>
          <a:r>
            <a:rPr lang="en-US" sz="1400" b="0" i="0" u="sng">
              <a:solidFill>
                <a:schemeClr val="dk1"/>
              </a:solidFill>
              <a:effectLst/>
              <a:latin typeface="Arial" panose="020B0604020202020204" pitchFamily="34" charset="0"/>
              <a:ea typeface="+mn-ea"/>
              <a:cs typeface="Arial" panose="020B0604020202020204" pitchFamily="34" charset="0"/>
            </a:rPr>
            <a:t>http://www.cat.com/</a:t>
          </a:r>
          <a:r>
            <a:rPr lang="en-US" sz="1400">
              <a:solidFill>
                <a:schemeClr val="dk1"/>
              </a:solidFill>
              <a:effectLst/>
              <a:latin typeface="Arial" panose="020B0604020202020204" pitchFamily="34" charset="0"/>
              <a:ea typeface="+mn-ea"/>
              <a:cs typeface="Arial" panose="020B0604020202020204" pitchFamily="34" charset="0"/>
            </a:rPr>
            <a:t> </a:t>
          </a:r>
          <a:endParaRPr lang="en-US" sz="1200">
            <a:latin typeface="Arial" panose="020B0604020202020204" pitchFamily="34" charset="0"/>
            <a:cs typeface="Arial" panose="020B0604020202020204" pitchFamily="34" charset="0"/>
          </a:endParaRPr>
        </a:p>
      </xdr:txBody>
    </xdr:sp>
    <xdr:clientData/>
  </xdr:twoCellAnchor>
  <xdr:twoCellAnchor editAs="oneCell">
    <xdr:from>
      <xdr:col>4</xdr:col>
      <xdr:colOff>742950</xdr:colOff>
      <xdr:row>233</xdr:row>
      <xdr:rowOff>47625</xdr:rowOff>
    </xdr:from>
    <xdr:to>
      <xdr:col>13</xdr:col>
      <xdr:colOff>238125</xdr:colOff>
      <xdr:row>249</xdr:row>
      <xdr:rowOff>53975</xdr:rowOff>
    </xdr:to>
    <xdr:pic>
      <xdr:nvPicPr>
        <xdr:cNvPr id="31" name="Picture 30" descr="TRACK-1.jpg">
          <a:extLst>
            <a:ext uri="{FF2B5EF4-FFF2-40B4-BE49-F238E27FC236}">
              <a16:creationId xmlns:a16="http://schemas.microsoft.com/office/drawing/2014/main" id="{00000000-0008-0000-0000-00001F000000}"/>
            </a:ext>
          </a:extLst>
        </xdr:cNvPr>
        <xdr:cNvPicPr>
          <a:picLocks noChangeAspect="1"/>
        </xdr:cNvPicPr>
      </xdr:nvPicPr>
      <xdr:blipFill>
        <a:blip xmlns:r="http://schemas.openxmlformats.org/officeDocument/2006/relationships" r:embed="rId8" cstate="print"/>
        <a:stretch>
          <a:fillRect/>
        </a:stretch>
      </xdr:blipFill>
      <xdr:spPr>
        <a:xfrm>
          <a:off x="6413500" y="53343175"/>
          <a:ext cx="5178425" cy="3155950"/>
        </a:xfrm>
        <a:prstGeom prst="rect">
          <a:avLst/>
        </a:prstGeom>
      </xdr:spPr>
    </xdr:pic>
    <xdr:clientData/>
  </xdr:twoCellAnchor>
  <xdr:twoCellAnchor>
    <xdr:from>
      <xdr:col>5</xdr:col>
      <xdr:colOff>19050</xdr:colOff>
      <xdr:row>250</xdr:row>
      <xdr:rowOff>180975</xdr:rowOff>
    </xdr:from>
    <xdr:to>
      <xdr:col>13</xdr:col>
      <xdr:colOff>101600</xdr:colOff>
      <xdr:row>292</xdr:row>
      <xdr:rowOff>88900</xdr:rowOff>
    </xdr:to>
    <xdr:sp macro="" textlink="">
      <xdr:nvSpPr>
        <xdr:cNvPr id="32" name="TextBox 31">
          <a:extLst>
            <a:ext uri="{FF2B5EF4-FFF2-40B4-BE49-F238E27FC236}">
              <a16:creationId xmlns:a16="http://schemas.microsoft.com/office/drawing/2014/main" id="{00000000-0008-0000-0000-000020000000}"/>
            </a:ext>
          </a:extLst>
        </xdr:cNvPr>
        <xdr:cNvSpPr txBox="1"/>
      </xdr:nvSpPr>
      <xdr:spPr>
        <a:xfrm>
          <a:off x="6445250" y="56822975"/>
          <a:ext cx="5010150" cy="81756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solidFill>
              <a:srgbClr val="0070C0"/>
            </a:solidFill>
          </a:endParaRPr>
        </a:p>
        <a:p>
          <a:pPr algn="ctr"/>
          <a:r>
            <a:rPr lang="en-US" sz="1400" b="1">
              <a:solidFill>
                <a:sysClr val="windowText" lastClr="000000"/>
              </a:solidFill>
              <a:latin typeface="Arial" panose="020B0604020202020204" pitchFamily="34" charset="0"/>
              <a:cs typeface="Arial" panose="020B0604020202020204" pitchFamily="34" charset="0"/>
            </a:rPr>
            <a:t>"Track-Type Tractor Construction and Operation"  </a:t>
          </a:r>
        </a:p>
        <a:p>
          <a:endParaRPr lang="en-US" sz="1200" b="1">
            <a:solidFill>
              <a:srgbClr val="0070C0"/>
            </a:solidFill>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"Modern tracks are built from modular chain links which compose together a closed chain. These chain links are often broad and made of manganese alloy steel for high strength, hardness, and abrasion resistance.</a:t>
          </a:r>
          <a:r>
            <a:rPr lang="en-US" sz="1200" baseline="30000">
              <a:latin typeface="Arial" panose="020B0604020202020204" pitchFamily="34" charset="0"/>
              <a:cs typeface="Arial" panose="020B0604020202020204" pitchFamily="34" charset="0"/>
            </a:rPr>
            <a:t> </a:t>
          </a:r>
          <a:r>
            <a:rPr lang="en-US" sz="1200" baseline="0">
              <a:latin typeface="Arial" panose="020B0604020202020204" pitchFamily="34" charset="0"/>
              <a:cs typeface="Arial" panose="020B0604020202020204" pitchFamily="34" charset="0"/>
            </a:rPr>
            <a:t>                                                     </a:t>
          </a:r>
        </a:p>
        <a:p>
          <a:endParaRPr lang="en-US" sz="1200" baseline="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links are jointed by a hinge. This allows the track to be flexible and wrap around the set of wheels to make the endless loop.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vehicle's weight is transferred to the bottom length of track by a number of road wheels, or sets of wheels called bogies.  </a:t>
          </a:r>
          <a:r>
            <a:rPr lang="en-US" sz="1200" baseline="0">
              <a:latin typeface="Arial" panose="020B0604020202020204" pitchFamily="34" charset="0"/>
              <a:cs typeface="Arial" panose="020B0604020202020204" pitchFamily="34" charset="0"/>
            </a:rPr>
            <a:t>                                                                        </a:t>
          </a:r>
        </a:p>
        <a:p>
          <a:endParaRPr lang="en-US" sz="1200" baseline="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Road wheels are typically mounted on some form of suspension to cushion the ride over rough ground. Suspension design in military vehicles is a major area of development; the very early designs were often completely unsprung.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Transfer of power to the track is accomplished by a drive wheel , or </a:t>
          </a:r>
          <a:r>
            <a:rPr lang="en-US" sz="1200" i="1">
              <a:latin typeface="Arial" panose="020B0604020202020204" pitchFamily="34" charset="0"/>
              <a:cs typeface="Arial" panose="020B0604020202020204" pitchFamily="34" charset="0"/>
            </a:rPr>
            <a:t>drive sprocket </a:t>
          </a:r>
          <a:r>
            <a:rPr lang="en-US" sz="1200">
              <a:latin typeface="Arial" panose="020B0604020202020204" pitchFamily="34" charset="0"/>
              <a:cs typeface="Arial" panose="020B0604020202020204" pitchFamily="34" charset="0"/>
            </a:rPr>
            <a:t>driven by the motor and engaging with holes in the track links or with pegs on them to drive the track."                                                                                               </a:t>
          </a:r>
        </a:p>
        <a:p>
          <a:endParaRPr lang="en-US" sz="1200" b="1">
            <a:solidFill>
              <a:srgbClr val="0070C0"/>
            </a:solidFill>
            <a:latin typeface="Arial" panose="020B0604020202020204" pitchFamily="34" charset="0"/>
            <a:cs typeface="Arial" panose="020B0604020202020204" pitchFamily="34" charset="0"/>
          </a:endParaRPr>
        </a:p>
        <a:p>
          <a:pPr algn="ctr"/>
          <a:r>
            <a:rPr lang="en-US" sz="1400" b="1">
              <a:solidFill>
                <a:sysClr val="windowText" lastClr="000000"/>
              </a:solidFill>
              <a:latin typeface="Arial" panose="020B0604020202020204" pitchFamily="34" charset="0"/>
              <a:cs typeface="Arial" panose="020B0604020202020204" pitchFamily="34" charset="0"/>
            </a:rPr>
            <a:t>"Advantages"    </a:t>
          </a:r>
          <a:r>
            <a:rPr lang="en-US" sz="1400" b="1">
              <a:latin typeface="Arial" panose="020B0604020202020204" pitchFamily="34" charset="0"/>
              <a:cs typeface="Arial" panose="020B0604020202020204" pitchFamily="34" charset="0"/>
            </a:rPr>
            <a:t>   </a:t>
          </a:r>
        </a:p>
        <a:p>
          <a:pPr algn="l"/>
          <a:r>
            <a:rPr lang="en-US" sz="1200" b="1">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Tracked vehicles have better mobility than </a:t>
          </a:r>
          <a:r>
            <a:rPr lang="en-US" sz="1200" u="none">
              <a:latin typeface="Arial" panose="020B0604020202020204" pitchFamily="34" charset="0"/>
              <a:cs typeface="Arial" panose="020B0604020202020204" pitchFamily="34" charset="0"/>
            </a:rPr>
            <a:t>pneumatic tires </a:t>
          </a:r>
          <a:r>
            <a:rPr lang="en-US" sz="1200">
              <a:latin typeface="Arial" panose="020B0604020202020204" pitchFamily="34" charset="0"/>
              <a:cs typeface="Arial" panose="020B0604020202020204" pitchFamily="34" charset="0"/>
            </a:rPr>
            <a:t>over rough terrain. They smooth out the bumps, glide over small obstacles and they are capable of crossing trenches or breaks in the terrain. </a:t>
          </a:r>
        </a:p>
        <a:p>
          <a:pPr algn="l"/>
          <a:r>
            <a:rPr lang="en-US" sz="1200">
              <a:latin typeface="Arial" panose="020B0604020202020204" pitchFamily="34" charset="0"/>
              <a:cs typeface="Arial" panose="020B0604020202020204" pitchFamily="34" charset="0"/>
            </a:rPr>
            <a:t>Riding in a fast tracked vehicle feels like riding in a boat over heavy swells.                                                                                    </a:t>
          </a:r>
        </a:p>
        <a:p>
          <a:pPr algn="l"/>
          <a:endParaRPr lang="en-US" sz="1200">
            <a:latin typeface="Arial" panose="020B0604020202020204" pitchFamily="34" charset="0"/>
            <a:cs typeface="Arial" panose="020B0604020202020204" pitchFamily="34" charset="0"/>
          </a:endParaRPr>
        </a:p>
        <a:p>
          <a:pPr algn="l"/>
          <a:r>
            <a:rPr lang="en-US" sz="1200">
              <a:latin typeface="Arial" panose="020B0604020202020204" pitchFamily="34" charset="0"/>
              <a:cs typeface="Arial" panose="020B0604020202020204" pitchFamily="34" charset="0"/>
            </a:rPr>
            <a:t>Tracks are tougher than tires since they cannot be punctured or torn. Tracks are much less likely to get stuck in soft ground, mud, or snow since they distribute the weight of the vehicle over a larger contact area, decreasing its ground pressure." </a:t>
          </a:r>
        </a:p>
        <a:p>
          <a:pPr algn="l"/>
          <a:endParaRPr lang="en-US" sz="1200" b="1">
            <a:solidFill>
              <a:srgbClr val="0070C0"/>
            </a:solidFill>
            <a:latin typeface="Arial" panose="020B0604020202020204" pitchFamily="34" charset="0"/>
            <a:cs typeface="Arial" panose="020B0604020202020204" pitchFamily="34" charset="0"/>
          </a:endParaRPr>
        </a:p>
        <a:p>
          <a:pPr algn="ctr"/>
          <a:r>
            <a:rPr lang="en-US" sz="1400" b="1">
              <a:solidFill>
                <a:sysClr val="windowText" lastClr="000000"/>
              </a:solidFill>
              <a:latin typeface="Arial" panose="020B0604020202020204" pitchFamily="34" charset="0"/>
              <a:cs typeface="Arial" panose="020B0604020202020204" pitchFamily="34" charset="0"/>
            </a:rPr>
            <a:t>"Disadvantages"</a:t>
          </a:r>
          <a:r>
            <a:rPr lang="en-US" sz="1400" b="1">
              <a:solidFill>
                <a:srgbClr val="0070C0"/>
              </a:solidFill>
              <a:latin typeface="Arial" panose="020B0604020202020204" pitchFamily="34" charset="0"/>
              <a:cs typeface="Arial" panose="020B0604020202020204" pitchFamily="34" charset="0"/>
            </a:rPr>
            <a:t> </a:t>
          </a:r>
        </a:p>
        <a:p>
          <a:pPr algn="l"/>
          <a:r>
            <a:rPr lang="en-US" sz="1200" b="1">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The disadvantages of tracks are lower top speed, much greater mechanical complexity, and the damage that their all-steel versions cause to what passes beneath them: they can severely damage hard terrain like asphalt</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pavement, but deal less damage to lawns and farm fields than wheeled  vehicles."</a:t>
          </a:r>
        </a:p>
      </xdr:txBody>
    </xdr:sp>
    <xdr:clientData/>
  </xdr:twoCellAnchor>
  <xdr:twoCellAnchor>
    <xdr:from>
      <xdr:col>7</xdr:col>
      <xdr:colOff>715106</xdr:colOff>
      <xdr:row>6</xdr:row>
      <xdr:rowOff>141654</xdr:rowOff>
    </xdr:from>
    <xdr:to>
      <xdr:col>14</xdr:col>
      <xdr:colOff>507999</xdr:colOff>
      <xdr:row>14</xdr:row>
      <xdr:rowOff>165100</xdr:rowOff>
    </xdr:to>
    <xdr:sp macro="" textlink="">
      <xdr:nvSpPr>
        <xdr:cNvPr id="4" name="TextBox 3">
          <a:extLst>
            <a:ext uri="{FF2B5EF4-FFF2-40B4-BE49-F238E27FC236}">
              <a16:creationId xmlns:a16="http://schemas.microsoft.com/office/drawing/2014/main" id="{BB697515-B25A-439A-B7D0-68A1D9B1A13E}"/>
            </a:ext>
          </a:extLst>
        </xdr:cNvPr>
        <xdr:cNvSpPr txBox="1"/>
      </xdr:nvSpPr>
      <xdr:spPr>
        <a:xfrm>
          <a:off x="7896956" y="1411654"/>
          <a:ext cx="4574443" cy="162364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dk1"/>
              </a:solidFill>
              <a:effectLst/>
              <a:latin typeface="Arial" panose="020B0604020202020204" pitchFamily="34" charset="0"/>
              <a:ea typeface="+mn-ea"/>
              <a:cs typeface="Arial" panose="020B0604020202020204" pitchFamily="34" charset="0"/>
            </a:rPr>
            <a:t>DISCLAIMER: The materials contained in the online course are not intended as a representation or warranty on the part of John</a:t>
          </a:r>
          <a:r>
            <a:rPr lang="en-US" sz="1200" baseline="0">
              <a:solidFill>
                <a:schemeClr val="dk1"/>
              </a:solidFill>
              <a:effectLst/>
              <a:latin typeface="Arial" panose="020B0604020202020204" pitchFamily="34" charset="0"/>
              <a:ea typeface="+mn-ea"/>
              <a:cs typeface="Arial" panose="020B0604020202020204" pitchFamily="34" charset="0"/>
            </a:rPr>
            <a:t> Andrew LLC</a:t>
          </a:r>
          <a:r>
            <a:rPr lang="en-US" sz="1200">
              <a:solidFill>
                <a:schemeClr val="dk1"/>
              </a:solidFill>
              <a:effectLst/>
              <a:latin typeface="Arial" panose="020B0604020202020204" pitchFamily="34" charset="0"/>
              <a:ea typeface="+mn-ea"/>
              <a:cs typeface="Arial" panose="020B0604020202020204" pitchFamily="34" charset="0"/>
            </a:rPr>
            <a:t> or any other person/organization named herein. The materials are for general information only. They are not a substitute for competent professional advice. Application of this information to a specific project should be reviewed by a registered professional engineer. Anyone making use of the information set forth herein does so at their own risk and assumes any and all resulting liability arising therefrom. </a:t>
          </a:r>
        </a:p>
        <a:p>
          <a:r>
            <a:rPr lang="en-US" sz="1200">
              <a:solidFill>
                <a:schemeClr val="dk1"/>
              </a:solidFill>
              <a:effectLst/>
              <a:latin typeface="Arial" panose="020B0604020202020204" pitchFamily="34" charset="0"/>
              <a:ea typeface="+mn-ea"/>
              <a:cs typeface="Arial" panose="020B0604020202020204" pitchFamily="34" charset="0"/>
            </a:rPr>
            <a:t> </a:t>
          </a:r>
        </a:p>
        <a:p>
          <a:endParaRPr lang="en-US" sz="1100"/>
        </a:p>
      </xdr:txBody>
    </xdr:sp>
    <xdr:clientData/>
  </xdr:twoCellAnchor>
  <xdr:twoCellAnchor editAs="oneCell">
    <xdr:from>
      <xdr:col>0</xdr:col>
      <xdr:colOff>577850</xdr:colOff>
      <xdr:row>12</xdr:row>
      <xdr:rowOff>19050</xdr:rowOff>
    </xdr:from>
    <xdr:to>
      <xdr:col>8</xdr:col>
      <xdr:colOff>4253</xdr:colOff>
      <xdr:row>31</xdr:row>
      <xdr:rowOff>38100</xdr:rowOff>
    </xdr:to>
    <xdr:pic>
      <xdr:nvPicPr>
        <xdr:cNvPr id="5" name="Picture 4">
          <a:extLst>
            <a:ext uri="{FF2B5EF4-FFF2-40B4-BE49-F238E27FC236}">
              <a16:creationId xmlns:a16="http://schemas.microsoft.com/office/drawing/2014/main" id="{1498EE81-E8E6-A11C-4AB5-2789E52D1E96}"/>
            </a:ext>
          </a:extLst>
        </xdr:cNvPr>
        <xdr:cNvPicPr>
          <a:picLocks noChangeAspect="1"/>
        </xdr:cNvPicPr>
      </xdr:nvPicPr>
      <xdr:blipFill>
        <a:blip xmlns:r="http://schemas.openxmlformats.org/officeDocument/2006/relationships" r:embed="rId9"/>
        <a:stretch>
          <a:fillRect/>
        </a:stretch>
      </xdr:blipFill>
      <xdr:spPr>
        <a:xfrm>
          <a:off x="577850" y="2470150"/>
          <a:ext cx="7325803" cy="3759200"/>
        </a:xfrm>
        <a:prstGeom prst="rect">
          <a:avLst/>
        </a:prstGeom>
      </xdr:spPr>
    </xdr:pic>
    <xdr:clientData/>
  </xdr:twoCellAnchor>
  <xdr:twoCellAnchor editAs="oneCell">
    <xdr:from>
      <xdr:col>0</xdr:col>
      <xdr:colOff>501650</xdr:colOff>
      <xdr:row>32</xdr:row>
      <xdr:rowOff>76200</xdr:rowOff>
    </xdr:from>
    <xdr:to>
      <xdr:col>7</xdr:col>
      <xdr:colOff>641301</xdr:colOff>
      <xdr:row>51</xdr:row>
      <xdr:rowOff>107950</xdr:rowOff>
    </xdr:to>
    <xdr:pic>
      <xdr:nvPicPr>
        <xdr:cNvPr id="6" name="Picture 5">
          <a:extLst>
            <a:ext uri="{FF2B5EF4-FFF2-40B4-BE49-F238E27FC236}">
              <a16:creationId xmlns:a16="http://schemas.microsoft.com/office/drawing/2014/main" id="{A65E5EDB-F258-E363-F608-A895456F869F}"/>
            </a:ext>
          </a:extLst>
        </xdr:cNvPr>
        <xdr:cNvPicPr>
          <a:picLocks noChangeAspect="1"/>
        </xdr:cNvPicPr>
      </xdr:nvPicPr>
      <xdr:blipFill>
        <a:blip xmlns:r="http://schemas.openxmlformats.org/officeDocument/2006/relationships" r:embed="rId10"/>
        <a:stretch>
          <a:fillRect/>
        </a:stretch>
      </xdr:blipFill>
      <xdr:spPr>
        <a:xfrm>
          <a:off x="501650" y="6489700"/>
          <a:ext cx="7321501" cy="3771900"/>
        </a:xfrm>
        <a:prstGeom prst="rect">
          <a:avLst/>
        </a:prstGeom>
      </xdr:spPr>
    </xdr:pic>
    <xdr:clientData/>
  </xdr:twoCellAnchor>
  <xdr:twoCellAnchor editAs="oneCell">
    <xdr:from>
      <xdr:col>0</xdr:col>
      <xdr:colOff>596899</xdr:colOff>
      <xdr:row>10</xdr:row>
      <xdr:rowOff>38100</xdr:rowOff>
    </xdr:from>
    <xdr:to>
      <xdr:col>1</xdr:col>
      <xdr:colOff>1157040</xdr:colOff>
      <xdr:row>11</xdr:row>
      <xdr:rowOff>215911</xdr:rowOff>
    </xdr:to>
    <xdr:pic>
      <xdr:nvPicPr>
        <xdr:cNvPr id="7" name="Picture 6">
          <a:extLst>
            <a:ext uri="{FF2B5EF4-FFF2-40B4-BE49-F238E27FC236}">
              <a16:creationId xmlns:a16="http://schemas.microsoft.com/office/drawing/2014/main" id="{DBA39CBC-161F-CD98-ED2C-B824BB27AF14}"/>
            </a:ext>
          </a:extLst>
        </xdr:cNvPr>
        <xdr:cNvPicPr>
          <a:picLocks noChangeAspect="1"/>
        </xdr:cNvPicPr>
      </xdr:nvPicPr>
      <xdr:blipFill>
        <a:blip xmlns:r="http://schemas.openxmlformats.org/officeDocument/2006/relationships" r:embed="rId11"/>
        <a:stretch>
          <a:fillRect/>
        </a:stretch>
      </xdr:blipFill>
      <xdr:spPr>
        <a:xfrm>
          <a:off x="596899" y="2095500"/>
          <a:ext cx="1157041" cy="37466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28575</xdr:colOff>
      <xdr:row>206</xdr:row>
      <xdr:rowOff>184151</xdr:rowOff>
    </xdr:from>
    <xdr:to>
      <xdr:col>3</xdr:col>
      <xdr:colOff>219075</xdr:colOff>
      <xdr:row>222</xdr:row>
      <xdr:rowOff>82550</xdr:rowOff>
    </xdr:to>
    <xdr:sp macro="" textlink="">
      <xdr:nvSpPr>
        <xdr:cNvPr id="2" name="TextBox 1">
          <a:extLst>
            <a:ext uri="{FF2B5EF4-FFF2-40B4-BE49-F238E27FC236}">
              <a16:creationId xmlns:a16="http://schemas.microsoft.com/office/drawing/2014/main" id="{00000000-0008-0000-0100-000002000000}"/>
            </a:ext>
          </a:extLst>
        </xdr:cNvPr>
        <xdr:cNvSpPr txBox="1"/>
      </xdr:nvSpPr>
      <xdr:spPr>
        <a:xfrm>
          <a:off x="625475" y="41484551"/>
          <a:ext cx="5289550" cy="30479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b="1"/>
        </a:p>
        <a:p>
          <a:pPr algn="ctr"/>
          <a:r>
            <a:rPr lang="en-US" sz="1400" b="1">
              <a:latin typeface="Arial" panose="020B0604020202020204" pitchFamily="34" charset="0"/>
              <a:cs typeface="Arial" panose="020B0604020202020204" pitchFamily="34" charset="0"/>
            </a:rPr>
            <a:t>Perfection Clutch - Company Headquarters</a:t>
          </a:r>
        </a:p>
        <a:p>
          <a:br>
            <a:rPr lang="en-US" sz="1200">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100 Perfection Way</a:t>
          </a:r>
          <a:br>
            <a:rPr lang="en-US" sz="1200">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Timmonsville, SC 29161</a:t>
          </a:r>
          <a:br>
            <a:rPr lang="en-US" sz="1200">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USA</a:t>
          </a:r>
          <a:br>
            <a:rPr lang="en-US" sz="1200">
              <a:latin typeface="Arial" panose="020B0604020202020204" pitchFamily="34" charset="0"/>
              <a:cs typeface="Arial" panose="020B0604020202020204" pitchFamily="34" charset="0"/>
            </a:rPr>
          </a:br>
          <a:r>
            <a:rPr lang="en-US" sz="1200">
              <a:latin typeface="Arial" panose="020B0604020202020204" pitchFamily="34" charset="0"/>
              <a:cs typeface="Arial" panose="020B0604020202020204" pitchFamily="34" charset="0"/>
            </a:rPr>
            <a:t>Phone:</a:t>
          </a:r>
          <a:r>
            <a:rPr lang="en-US" sz="1200" baseline="0">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800-258-8312                                            http://www.perfectionclutch.com/contact.html </a:t>
          </a:r>
          <a:br>
            <a:rPr lang="en-US" sz="1200">
              <a:latin typeface="Arial" panose="020B0604020202020204" pitchFamily="34" charset="0"/>
              <a:cs typeface="Arial" panose="020B0604020202020204" pitchFamily="34" charset="0"/>
            </a:rPr>
          </a:br>
          <a:r>
            <a:rPr lang="en-US" sz="1200" i="0">
              <a:solidFill>
                <a:schemeClr val="dk1"/>
              </a:solidFill>
              <a:latin typeface="Arial" panose="020B0604020202020204" pitchFamily="34" charset="0"/>
              <a:ea typeface="+mn-ea"/>
              <a:cs typeface="Arial" panose="020B0604020202020204" pitchFamily="34" charset="0"/>
            </a:rPr>
            <a:t>In general, the following numbers can be used for Perfection Clutch and ZOOM Performance Clutch Products:</a:t>
          </a:r>
          <a:br>
            <a:rPr lang="en-US" sz="1200" i="0">
              <a:solidFill>
                <a:schemeClr val="dk1"/>
              </a:solidFill>
              <a:latin typeface="Arial" panose="020B0604020202020204" pitchFamily="34" charset="0"/>
              <a:ea typeface="+mn-ea"/>
              <a:cs typeface="Arial" panose="020B0604020202020204" pitchFamily="34" charset="0"/>
            </a:rPr>
          </a:br>
          <a:br>
            <a:rPr lang="en-US" sz="1200" i="0">
              <a:solidFill>
                <a:schemeClr val="dk1"/>
              </a:solidFill>
              <a:latin typeface="Arial" panose="020B0604020202020204" pitchFamily="34" charset="0"/>
              <a:ea typeface="+mn-ea"/>
              <a:cs typeface="Arial" panose="020B0604020202020204" pitchFamily="34" charset="0"/>
            </a:rPr>
          </a:br>
          <a:r>
            <a:rPr lang="en-US" sz="1200" i="0">
              <a:solidFill>
                <a:schemeClr val="dk1"/>
              </a:solidFill>
              <a:latin typeface="Arial" panose="020B0604020202020204" pitchFamily="34" charset="0"/>
              <a:ea typeface="+mn-ea"/>
              <a:cs typeface="Arial" panose="020B0604020202020204" pitchFamily="34" charset="0"/>
            </a:rPr>
            <a:t>Stock Organic Facing Material = 0.25</a:t>
          </a:r>
          <a:br>
            <a:rPr lang="en-US" sz="1200" i="0">
              <a:solidFill>
                <a:schemeClr val="dk1"/>
              </a:solidFill>
              <a:latin typeface="Arial" panose="020B0604020202020204" pitchFamily="34" charset="0"/>
              <a:ea typeface="+mn-ea"/>
              <a:cs typeface="Arial" panose="020B0604020202020204" pitchFamily="34" charset="0"/>
            </a:rPr>
          </a:br>
          <a:r>
            <a:rPr lang="en-US" sz="1200" i="0">
              <a:solidFill>
                <a:schemeClr val="dk1"/>
              </a:solidFill>
              <a:latin typeface="Arial" panose="020B0604020202020204" pitchFamily="34" charset="0"/>
              <a:ea typeface="+mn-ea"/>
              <a:cs typeface="Arial" panose="020B0604020202020204" pitchFamily="34" charset="0"/>
            </a:rPr>
            <a:t>Carbon/Kevlar Material = 0.28</a:t>
          </a:r>
          <a:br>
            <a:rPr lang="en-US" sz="1200" i="0">
              <a:solidFill>
                <a:schemeClr val="dk1"/>
              </a:solidFill>
              <a:latin typeface="Arial" panose="020B0604020202020204" pitchFamily="34" charset="0"/>
              <a:ea typeface="+mn-ea"/>
              <a:cs typeface="Arial" panose="020B0604020202020204" pitchFamily="34" charset="0"/>
            </a:rPr>
          </a:br>
          <a:r>
            <a:rPr lang="en-US" sz="1200" i="0">
              <a:solidFill>
                <a:schemeClr val="dk1"/>
              </a:solidFill>
              <a:latin typeface="Arial" panose="020B0604020202020204" pitchFamily="34" charset="0"/>
              <a:ea typeface="+mn-ea"/>
              <a:cs typeface="Arial" panose="020B0604020202020204" pitchFamily="34" charset="0"/>
            </a:rPr>
            <a:t>Kevlar Material = 0.36</a:t>
          </a:r>
          <a:br>
            <a:rPr lang="en-US" sz="1200" i="0">
              <a:solidFill>
                <a:schemeClr val="dk1"/>
              </a:solidFill>
              <a:latin typeface="Arial" panose="020B0604020202020204" pitchFamily="34" charset="0"/>
              <a:ea typeface="+mn-ea"/>
              <a:cs typeface="Arial" panose="020B0604020202020204" pitchFamily="34" charset="0"/>
            </a:rPr>
          </a:br>
          <a:r>
            <a:rPr lang="en-US" sz="1200" i="0">
              <a:solidFill>
                <a:schemeClr val="dk1"/>
              </a:solidFill>
              <a:latin typeface="Arial" panose="020B0604020202020204" pitchFamily="34" charset="0"/>
              <a:ea typeface="+mn-ea"/>
              <a:cs typeface="Arial" panose="020B0604020202020204" pitchFamily="34" charset="0"/>
            </a:rPr>
            <a:t>Ceramic Material = 0.38</a:t>
          </a:r>
          <a:br>
            <a:rPr lang="en-US" sz="1200" i="0">
              <a:solidFill>
                <a:schemeClr val="dk1"/>
              </a:solidFill>
              <a:latin typeface="Arial" panose="020B0604020202020204" pitchFamily="34" charset="0"/>
              <a:ea typeface="+mn-ea"/>
              <a:cs typeface="Arial" panose="020B0604020202020204" pitchFamily="34" charset="0"/>
            </a:rPr>
          </a:br>
          <a:r>
            <a:rPr lang="en-US" sz="1200" i="0">
              <a:solidFill>
                <a:schemeClr val="dk1"/>
              </a:solidFill>
              <a:latin typeface="Arial" panose="020B0604020202020204" pitchFamily="34" charset="0"/>
              <a:ea typeface="+mn-ea"/>
              <a:cs typeface="Arial" panose="020B0604020202020204" pitchFamily="34" charset="0"/>
            </a:rPr>
            <a:t> Steel Material = .40                                                                                                             </a:t>
          </a:r>
          <a:br>
            <a:rPr lang="en-US" sz="1200" i="0">
              <a:solidFill>
                <a:schemeClr val="dk1"/>
              </a:solidFill>
              <a:latin typeface="Arial" panose="020B0604020202020204" pitchFamily="34" charset="0"/>
              <a:ea typeface="+mn-ea"/>
              <a:cs typeface="Arial" panose="020B0604020202020204" pitchFamily="34" charset="0"/>
            </a:rPr>
          </a:br>
          <a:endParaRPr lang="en-US" sz="1200">
            <a:latin typeface="Arial" panose="020B0604020202020204" pitchFamily="34" charset="0"/>
            <a:cs typeface="Arial" panose="020B0604020202020204" pitchFamily="34" charset="0"/>
          </a:endParaRPr>
        </a:p>
      </xdr:txBody>
    </xdr:sp>
    <xdr:clientData/>
  </xdr:twoCellAnchor>
  <xdr:twoCellAnchor editAs="oneCell">
    <xdr:from>
      <xdr:col>1</xdr:col>
      <xdr:colOff>581025</xdr:colOff>
      <xdr:row>181</xdr:row>
      <xdr:rowOff>95250</xdr:rowOff>
    </xdr:from>
    <xdr:to>
      <xdr:col>2</xdr:col>
      <xdr:colOff>1166606</xdr:colOff>
      <xdr:row>203</xdr:row>
      <xdr:rowOff>190500</xdr:rowOff>
    </xdr:to>
    <xdr:pic>
      <xdr:nvPicPr>
        <xdr:cNvPr id="4" name="Picture 3" descr="CAT CLUTCH-1.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952500" y="7391400"/>
          <a:ext cx="3933825" cy="4514850"/>
        </a:xfrm>
        <a:prstGeom prst="rect">
          <a:avLst/>
        </a:prstGeom>
      </xdr:spPr>
    </xdr:pic>
    <xdr:clientData/>
  </xdr:twoCellAnchor>
  <xdr:twoCellAnchor>
    <xdr:from>
      <xdr:col>0</xdr:col>
      <xdr:colOff>412750</xdr:colOff>
      <xdr:row>16</xdr:row>
      <xdr:rowOff>184150</xdr:rowOff>
    </xdr:from>
    <xdr:to>
      <xdr:col>1</xdr:col>
      <xdr:colOff>3251200</xdr:colOff>
      <xdr:row>31</xdr:row>
      <xdr:rowOff>6350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412750" y="5753100"/>
          <a:ext cx="3435350" cy="2787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1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Road Rolling Resistance (Rr) of wheeled vehicles is the force, acting parallel to a road surface and at the road surface, required to maintain a constant vehicle speed.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This</a:t>
          </a:r>
          <a:r>
            <a:rPr lang="en-US" sz="1200" baseline="0">
              <a:latin typeface="Arial" panose="020B0604020202020204" pitchFamily="34" charset="0"/>
              <a:cs typeface="Arial" panose="020B0604020202020204" pitchFamily="34" charset="0"/>
            </a:rPr>
            <a:t> case is</a:t>
          </a:r>
          <a:r>
            <a:rPr lang="en-US" sz="1200">
              <a:latin typeface="Arial" panose="020B0604020202020204" pitchFamily="34" charset="0"/>
              <a:cs typeface="Arial" panose="020B0604020202020204" pitchFamily="34" charset="0"/>
            </a:rPr>
            <a:t> zero acceleration.                                           </a:t>
          </a:r>
        </a:p>
        <a:p>
          <a:endParaRPr lang="en-US" sz="1200">
            <a:latin typeface="Arial" panose="020B0604020202020204" pitchFamily="34" charset="0"/>
            <a:cs typeface="Arial" panose="020B0604020202020204" pitchFamily="34" charset="0"/>
          </a:endParaRPr>
        </a:p>
        <a:p>
          <a:r>
            <a:rPr lang="en-US" sz="1200">
              <a:latin typeface="Arial" panose="020B0604020202020204" pitchFamily="34" charset="0"/>
              <a:cs typeface="Arial" panose="020B0604020202020204" pitchFamily="34" charset="0"/>
            </a:rPr>
            <a:t>The table,</a:t>
          </a:r>
          <a:r>
            <a:rPr lang="en-US" sz="1200" baseline="0">
              <a:latin typeface="Arial" panose="020B0604020202020204" pitchFamily="34" charset="0"/>
              <a:cs typeface="Arial" panose="020B0604020202020204" pitchFamily="34" charset="0"/>
            </a:rPr>
            <a:t> right, provides typical values for the </a:t>
          </a:r>
          <a:r>
            <a:rPr lang="en-US" sz="1200" baseline="0">
              <a:solidFill>
                <a:schemeClr val="dk1"/>
              </a:solidFill>
              <a:latin typeface="Arial" panose="020B0604020202020204" pitchFamily="34" charset="0"/>
              <a:ea typeface="+mn-ea"/>
              <a:cs typeface="Arial" panose="020B0604020202020204" pitchFamily="34" charset="0"/>
            </a:rPr>
            <a:t>r</a:t>
          </a:r>
          <a:r>
            <a:rPr lang="en-US" sz="1200">
              <a:solidFill>
                <a:schemeClr val="dk1"/>
              </a:solidFill>
              <a:latin typeface="Arial" panose="020B0604020202020204" pitchFamily="34" charset="0"/>
              <a:ea typeface="+mn-ea"/>
              <a:cs typeface="Arial" panose="020B0604020202020204" pitchFamily="34" charset="0"/>
            </a:rPr>
            <a:t>oad rolling resistance expressed in pounds per thousand</a:t>
          </a:r>
          <a:r>
            <a:rPr lang="en-US" sz="1200" baseline="0">
              <a:solidFill>
                <a:schemeClr val="dk1"/>
              </a:solidFill>
              <a:latin typeface="Arial" panose="020B0604020202020204" pitchFamily="34" charset="0"/>
              <a:ea typeface="+mn-ea"/>
              <a:cs typeface="Arial" panose="020B0604020202020204" pitchFamily="34" charset="0"/>
            </a:rPr>
            <a:t> pounds </a:t>
          </a:r>
          <a:r>
            <a:rPr lang="en-US" sz="1200">
              <a:solidFill>
                <a:schemeClr val="dk1"/>
              </a:solidFill>
              <a:latin typeface="Arial" panose="020B0604020202020204" pitchFamily="34" charset="0"/>
              <a:ea typeface="+mn-ea"/>
              <a:cs typeface="Arial" panose="020B0604020202020204" pitchFamily="34" charset="0"/>
            </a:rPr>
            <a:t> of vehicle</a:t>
          </a:r>
          <a:r>
            <a:rPr lang="en-US" sz="1200" baseline="0">
              <a:solidFill>
                <a:schemeClr val="dk1"/>
              </a:solidFill>
              <a:latin typeface="Arial" panose="020B0604020202020204" pitchFamily="34" charset="0"/>
              <a:ea typeface="+mn-ea"/>
              <a:cs typeface="Arial" panose="020B0604020202020204" pitchFamily="34" charset="0"/>
            </a:rPr>
            <a:t> gross weight </a:t>
          </a:r>
          <a:r>
            <a:rPr lang="en-US" sz="1200">
              <a:solidFill>
                <a:schemeClr val="dk1"/>
              </a:solidFill>
              <a:latin typeface="Arial" panose="020B0604020202020204" pitchFamily="34" charset="0"/>
              <a:ea typeface="+mn-ea"/>
              <a:cs typeface="Arial" panose="020B0604020202020204" pitchFamily="34" charset="0"/>
            </a:rPr>
            <a:t> traveling on a range of road surfaces</a:t>
          </a:r>
          <a:r>
            <a:rPr lang="en-US" sz="1200" baseline="0">
              <a:solidFill>
                <a:schemeClr val="dk1"/>
              </a:solidFill>
              <a:latin typeface="Arial" panose="020B0604020202020204" pitchFamily="34" charset="0"/>
              <a:ea typeface="+mn-ea"/>
              <a:cs typeface="Arial" panose="020B0604020202020204" pitchFamily="34" charset="0"/>
            </a:rPr>
            <a:t> </a:t>
          </a:r>
          <a:r>
            <a:rPr lang="en-US" sz="1200">
              <a:solidFill>
                <a:schemeClr val="dk1"/>
              </a:solidFill>
              <a:latin typeface="Arial" panose="020B0604020202020204" pitchFamily="34" charset="0"/>
              <a:ea typeface="+mn-ea"/>
              <a:cs typeface="Arial" panose="020B0604020202020204" pitchFamily="34" charset="0"/>
            </a:rPr>
            <a:t>.                                                Input values  below and</a:t>
          </a:r>
          <a:r>
            <a:rPr lang="en-US" sz="1200" baseline="0">
              <a:solidFill>
                <a:schemeClr val="dk1"/>
              </a:solidFill>
              <a:latin typeface="Arial" panose="020B0604020202020204" pitchFamily="34" charset="0"/>
              <a:ea typeface="+mn-ea"/>
              <a:cs typeface="Arial" panose="020B0604020202020204" pitchFamily="34" charset="0"/>
            </a:rPr>
            <a:t> the spreadsheet will perform the calculations.</a:t>
          </a:r>
          <a:endParaRPr lang="en-US" sz="1200">
            <a:latin typeface="Arial" panose="020B0604020202020204" pitchFamily="34" charset="0"/>
            <a:cs typeface="Arial" panose="020B0604020202020204" pitchFamily="34" charset="0"/>
          </a:endParaRPr>
        </a:p>
      </xdr:txBody>
    </xdr:sp>
    <xdr:clientData/>
  </xdr:twoCellAnchor>
  <xdr:twoCellAnchor editAs="oneCell">
    <xdr:from>
      <xdr:col>1</xdr:col>
      <xdr:colOff>895350</xdr:colOff>
      <xdr:row>4</xdr:row>
      <xdr:rowOff>85725</xdr:rowOff>
    </xdr:from>
    <xdr:to>
      <xdr:col>2</xdr:col>
      <xdr:colOff>1363456</xdr:colOff>
      <xdr:row>14</xdr:row>
      <xdr:rowOff>88900</xdr:rowOff>
    </xdr:to>
    <xdr:pic>
      <xdr:nvPicPr>
        <xdr:cNvPr id="6" name="Picture 5" descr="ARTICULATED TRUCK-1.jpg">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print"/>
        <a:stretch>
          <a:fillRect/>
        </a:stretch>
      </xdr:blipFill>
      <xdr:spPr>
        <a:xfrm>
          <a:off x="1181100" y="19688175"/>
          <a:ext cx="3762375" cy="2009775"/>
        </a:xfrm>
        <a:prstGeom prst="rect">
          <a:avLst/>
        </a:prstGeom>
      </xdr:spPr>
    </xdr:pic>
    <xdr:clientData/>
  </xdr:twoCellAnchor>
  <xdr:twoCellAnchor editAs="oneCell">
    <xdr:from>
      <xdr:col>1</xdr:col>
      <xdr:colOff>822325</xdr:colOff>
      <xdr:row>125</xdr:row>
      <xdr:rowOff>180975</xdr:rowOff>
    </xdr:from>
    <xdr:to>
      <xdr:col>2</xdr:col>
      <xdr:colOff>1309481</xdr:colOff>
      <xdr:row>144</xdr:row>
      <xdr:rowOff>193675</xdr:rowOff>
    </xdr:to>
    <xdr:pic>
      <xdr:nvPicPr>
        <xdr:cNvPr id="8" name="Picture 7" descr="ARTICULATED TRUCK-3.jpg">
          <a:extLst>
            <a:ext uri="{FF2B5EF4-FFF2-40B4-BE49-F238E27FC236}">
              <a16:creationId xmlns:a16="http://schemas.microsoft.com/office/drawing/2014/main" id="{00000000-0008-0000-0100-000008000000}"/>
            </a:ext>
          </a:extLst>
        </xdr:cNvPr>
        <xdr:cNvPicPr>
          <a:picLocks noChangeAspect="1"/>
        </xdr:cNvPicPr>
      </xdr:nvPicPr>
      <xdr:blipFill>
        <a:blip xmlns:r="http://schemas.openxmlformats.org/officeDocument/2006/relationships" r:embed="rId3" cstate="print"/>
        <a:stretch>
          <a:fillRect/>
        </a:stretch>
      </xdr:blipFill>
      <xdr:spPr>
        <a:xfrm>
          <a:off x="1419225" y="25333325"/>
          <a:ext cx="3998706" cy="3752850"/>
        </a:xfrm>
        <a:prstGeom prst="rect">
          <a:avLst/>
        </a:prstGeom>
      </xdr:spPr>
    </xdr:pic>
    <xdr:clientData/>
  </xdr:twoCellAnchor>
  <xdr:twoCellAnchor editAs="oneCell">
    <xdr:from>
      <xdr:col>1</xdr:col>
      <xdr:colOff>695324</xdr:colOff>
      <xdr:row>87</xdr:row>
      <xdr:rowOff>0</xdr:rowOff>
    </xdr:from>
    <xdr:to>
      <xdr:col>2</xdr:col>
      <xdr:colOff>1436175</xdr:colOff>
      <xdr:row>100</xdr:row>
      <xdr:rowOff>165100</xdr:rowOff>
    </xdr:to>
    <xdr:pic>
      <xdr:nvPicPr>
        <xdr:cNvPr id="9" name="Picture 8" descr="ARTICULATED TRUCK-2.jpg">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4" cstate="print"/>
        <a:stretch>
          <a:fillRect/>
        </a:stretch>
      </xdr:blipFill>
      <xdr:spPr>
        <a:xfrm>
          <a:off x="1292224" y="17627600"/>
          <a:ext cx="4252401" cy="2724150"/>
        </a:xfrm>
        <a:prstGeom prst="rect">
          <a:avLst/>
        </a:prstGeom>
      </xdr:spPr>
    </xdr:pic>
    <xdr:clientData/>
  </xdr:twoCellAnchor>
  <xdr:twoCellAnchor editAs="oneCell">
    <xdr:from>
      <xdr:col>5</xdr:col>
      <xdr:colOff>228600</xdr:colOff>
      <xdr:row>73</xdr:row>
      <xdr:rowOff>127000</xdr:rowOff>
    </xdr:from>
    <xdr:to>
      <xdr:col>7</xdr:col>
      <xdr:colOff>812910</xdr:colOff>
      <xdr:row>81</xdr:row>
      <xdr:rowOff>171534</xdr:rowOff>
    </xdr:to>
    <xdr:pic>
      <xdr:nvPicPr>
        <xdr:cNvPr id="12" name="Picture 11">
          <a:extLst>
            <a:ext uri="{FF2B5EF4-FFF2-40B4-BE49-F238E27FC236}">
              <a16:creationId xmlns:a16="http://schemas.microsoft.com/office/drawing/2014/main" id="{768E0952-8EF0-2C2F-58A9-7FDDB9194D5D}"/>
            </a:ext>
          </a:extLst>
        </xdr:cNvPr>
        <xdr:cNvPicPr>
          <a:picLocks noChangeAspect="1"/>
        </xdr:cNvPicPr>
      </xdr:nvPicPr>
      <xdr:blipFill>
        <a:blip xmlns:r="http://schemas.openxmlformats.org/officeDocument/2006/relationships" r:embed="rId5"/>
        <a:stretch>
          <a:fillRect/>
        </a:stretch>
      </xdr:blipFill>
      <xdr:spPr>
        <a:xfrm>
          <a:off x="7620000" y="15347950"/>
          <a:ext cx="2133710" cy="162568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387351</xdr:colOff>
      <xdr:row>5</xdr:row>
      <xdr:rowOff>31750</xdr:rowOff>
    </xdr:from>
    <xdr:to>
      <xdr:col>3</xdr:col>
      <xdr:colOff>19051</xdr:colOff>
      <xdr:row>21</xdr:row>
      <xdr:rowOff>152400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882651" y="1104900"/>
          <a:ext cx="3517900" cy="3270250"/>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Air Standard Diesel Cycle</a:t>
          </a:r>
        </a:p>
        <a:p>
          <a:pPr algn="ctr" rtl="0">
            <a:defRPr sz="1000"/>
          </a:pPr>
          <a:endParaRPr lang="en-US" sz="14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 piston in the cylinder of a diesel engine compresses the air above ignition temperature without the need for a spark.</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Most diesel powered automobile engines have compression ratios of, 13.5 to 17.5:1 designed to run on No.6 heavy fuel oil, natural gas, and light distillate fuel oils.</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Emissions from diesel engines include: nitrogen oxides, unburned hydrocarbons </a:t>
          </a:r>
        </a:p>
        <a:p>
          <a:pPr algn="l" rtl="0">
            <a:defRPr sz="1000"/>
          </a:pPr>
          <a:r>
            <a:rPr lang="en-US" sz="1200" b="0" i="0" u="none" strike="noStrike" baseline="0">
              <a:solidFill>
                <a:srgbClr val="000000"/>
              </a:solidFill>
              <a:latin typeface="Arial"/>
              <a:cs typeface="Arial"/>
            </a:rPr>
            <a:t>( polycyclic aromatic hydrocarbons), and carbon monoxide as do gasoline engines.</a:t>
          </a:r>
        </a:p>
        <a:p>
          <a:pPr algn="l" rtl="0">
            <a:defRPr sz="1000"/>
          </a:pPr>
          <a:endParaRPr lang="en-US" sz="1200" b="0" i="0" u="none" strike="noStrike" baseline="0">
            <a:solidFill>
              <a:srgbClr val="000000"/>
            </a:solidFill>
            <a:latin typeface="Arial"/>
            <a:cs typeface="Arial"/>
          </a:endParaRPr>
        </a:p>
        <a:p>
          <a:pPr algn="l" rtl="0">
            <a:defRPr sz="1000"/>
          </a:pPr>
          <a:endParaRPr lang="en-US" sz="1000" b="0" i="0" u="none" strike="noStrike" baseline="0">
            <a:solidFill>
              <a:srgbClr val="000000"/>
            </a:solidFill>
            <a:latin typeface="Arial"/>
            <a:cs typeface="Arial"/>
          </a:endParaRPr>
        </a:p>
      </xdr:txBody>
    </xdr:sp>
    <xdr:clientData/>
  </xdr:twoCellAnchor>
  <xdr:twoCellAnchor>
    <xdr:from>
      <xdr:col>1</xdr:col>
      <xdr:colOff>346075</xdr:colOff>
      <xdr:row>23</xdr:row>
      <xdr:rowOff>88899</xdr:rowOff>
    </xdr:from>
    <xdr:to>
      <xdr:col>5</xdr:col>
      <xdr:colOff>107950</xdr:colOff>
      <xdr:row>85</xdr:row>
      <xdr:rowOff>165100</xdr:rowOff>
    </xdr:to>
    <xdr:sp macro="" textlink="">
      <xdr:nvSpPr>
        <xdr:cNvPr id="3" name="Text Box 3">
          <a:extLst>
            <a:ext uri="{FF2B5EF4-FFF2-40B4-BE49-F238E27FC236}">
              <a16:creationId xmlns:a16="http://schemas.microsoft.com/office/drawing/2014/main" id="{00000000-0008-0000-0200-000003000000}"/>
            </a:ext>
          </a:extLst>
        </xdr:cNvPr>
        <xdr:cNvSpPr txBox="1">
          <a:spLocks noChangeArrowheads="1"/>
        </xdr:cNvSpPr>
      </xdr:nvSpPr>
      <xdr:spPr bwMode="auto">
        <a:xfrm>
          <a:off x="841375" y="4705349"/>
          <a:ext cx="5095875" cy="12280901"/>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ctr" rtl="0">
            <a:defRPr sz="1000"/>
          </a:pPr>
          <a:endParaRPr lang="en-US" sz="14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panose="020B0604020202020204" pitchFamily="34" charset="0"/>
              <a:cs typeface="Arial" panose="020B0604020202020204" pitchFamily="34" charset="0"/>
            </a:rPr>
            <a:t>Air Standard Diesel Cycle, continued</a:t>
          </a:r>
        </a:p>
        <a:p>
          <a:pPr algn="l" rtl="0">
            <a:defRPr sz="1000"/>
          </a:pPr>
          <a:endParaRPr lang="en-US" sz="1200" b="0" i="0" u="none" strike="noStrike" baseline="0">
            <a:solidFill>
              <a:srgbClr val="000000"/>
            </a:solidFill>
            <a:latin typeface="Arial" panose="020B0604020202020204" pitchFamily="34" charset="0"/>
            <a:cs typeface="Arial" panose="020B0604020202020204" pitchFamily="34" charset="0"/>
          </a:endParaRPr>
        </a:p>
        <a:p>
          <a:pPr rtl="0" fontAlgn="base"/>
          <a:r>
            <a:rPr lang="en-US" sz="1200" b="0" i="0" u="none" strike="noStrike" baseline="0">
              <a:solidFill>
                <a:srgbClr val="000000"/>
              </a:solidFill>
              <a:latin typeface="Arial" panose="020B0604020202020204" pitchFamily="34" charset="0"/>
              <a:cs typeface="Arial" panose="020B0604020202020204" pitchFamily="34" charset="0"/>
            </a:rPr>
            <a:t>The air standard diesel cycle is ideal but not practical. This power cycle has the highest theoretical efficiency and is used to compare efficiencies of practical diesel engines.                                                                                                                                       </a:t>
          </a:r>
        </a:p>
        <a:p>
          <a:pPr rtl="0" fontAlgn="base"/>
          <a:endParaRPr lang="en-US" sz="1400" b="0" i="0" u="none" strike="noStrike" baseline="0">
            <a:solidFill>
              <a:srgbClr val="000000"/>
            </a:solidFill>
            <a:latin typeface="Arial" panose="020B0604020202020204" pitchFamily="34" charset="0"/>
            <a:ea typeface="+mn-ea"/>
            <a:cs typeface="Arial" panose="020B0604020202020204" pitchFamily="34" charset="0"/>
          </a:endParaRPr>
        </a:p>
        <a:p>
          <a:pPr rtl="0" fontAlgn="base"/>
          <a:r>
            <a:rPr lang="en-US" sz="1400" b="1" i="0" baseline="0">
              <a:latin typeface="Arial" panose="020B0604020202020204" pitchFamily="34" charset="0"/>
              <a:ea typeface="+mn-ea"/>
              <a:cs typeface="Arial" panose="020B0604020202020204" pitchFamily="34" charset="0"/>
            </a:rPr>
            <a:t>Btu</a:t>
          </a:r>
          <a:endParaRPr lang="en-US" sz="14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A British Thermal Unit (BTU) is the amount of heat energy needed to raise the temperature of one pound of water by one degree F at standard temperature and pressure.  </a:t>
          </a:r>
          <a:endParaRPr lang="en-US" sz="1200">
            <a:latin typeface="Arial" panose="020B0604020202020204" pitchFamily="34" charset="0"/>
            <a:cs typeface="Arial" panose="020B0604020202020204" pitchFamily="34" charset="0"/>
          </a:endParaRPr>
        </a:p>
        <a:p>
          <a:pPr rtl="0" fontAlgn="base"/>
          <a:endParaRPr lang="en-US" sz="12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This is the standard measurement used to state the amount of energy that a fuel has as well as the amount of output of any heat generating device. </a:t>
          </a:r>
          <a:endParaRPr lang="en-US" sz="1200">
            <a:latin typeface="Arial" panose="020B0604020202020204" pitchFamily="34" charset="0"/>
            <a:cs typeface="Arial" panose="020B0604020202020204" pitchFamily="34" charset="0"/>
          </a:endParaRPr>
        </a:p>
        <a:p>
          <a:pPr rtl="0" fontAlgn="base"/>
          <a:r>
            <a:rPr lang="en-US" sz="1400" b="1" i="0" baseline="0">
              <a:latin typeface="Arial" panose="020B0604020202020204" pitchFamily="34" charset="0"/>
              <a:ea typeface="+mn-ea"/>
              <a:cs typeface="Arial" panose="020B0604020202020204" pitchFamily="34" charset="0"/>
            </a:rPr>
            <a:t>                                                                                                                                                   Isothermal Process</a:t>
          </a:r>
          <a:endParaRPr lang="en-US" sz="1400" b="0" i="0" baseline="0">
            <a:latin typeface="Arial" panose="020B0604020202020204" pitchFamily="34" charset="0"/>
            <a:ea typeface="+mn-ea"/>
            <a:cs typeface="Arial" panose="020B0604020202020204" pitchFamily="34" charset="0"/>
          </a:endParaRPr>
        </a:p>
        <a:p>
          <a:r>
            <a:rPr lang="en-US" sz="1200" b="0" i="0" baseline="0">
              <a:latin typeface="Arial" panose="020B0604020202020204" pitchFamily="34" charset="0"/>
              <a:ea typeface="+mn-ea"/>
              <a:cs typeface="Arial" panose="020B0604020202020204" pitchFamily="34" charset="0"/>
            </a:rPr>
            <a:t>An isothermal process is a change of a system, in which the temperature remains constant: </a:t>
          </a:r>
          <a:r>
            <a:rPr lang="el-GR" sz="1200" b="0" i="0" baseline="0">
              <a:latin typeface="Arial" panose="020B0604020202020204" pitchFamily="34" charset="0"/>
              <a:ea typeface="+mn-ea"/>
              <a:cs typeface="Arial" panose="020B0604020202020204" pitchFamily="34" charset="0"/>
            </a:rPr>
            <a:t>Δ</a:t>
          </a:r>
          <a:r>
            <a:rPr lang="en-US" sz="1200" b="0" i="0" baseline="0">
              <a:latin typeface="Arial" panose="020B0604020202020204" pitchFamily="34" charset="0"/>
              <a:ea typeface="+mn-ea"/>
              <a:cs typeface="Arial" panose="020B0604020202020204" pitchFamily="34" charset="0"/>
            </a:rPr>
            <a:t>T = 0. This typically occurs when a system is in contact with an outside thermal reservoir (heat bath), and the change occurs slowly enough to allow the system to continually adjust to the temperature of the reservoir through heat exchange. Wikipedia   </a:t>
          </a:r>
        </a:p>
        <a:p>
          <a:r>
            <a:rPr lang="en-US" sz="1200" b="0" i="0" baseline="0">
              <a:latin typeface="Arial" panose="020B0604020202020204" pitchFamily="34" charset="0"/>
              <a:ea typeface="+mn-ea"/>
              <a:cs typeface="Arial" panose="020B0604020202020204" pitchFamily="34" charset="0"/>
            </a:rPr>
            <a:t>                                                                                                                       </a:t>
          </a:r>
          <a:r>
            <a:rPr lang="en-US" sz="1400" b="1" i="0" baseline="0">
              <a:latin typeface="Arial" panose="020B0604020202020204" pitchFamily="34" charset="0"/>
              <a:ea typeface="+mn-ea"/>
              <a:cs typeface="Arial" panose="020B0604020202020204" pitchFamily="34" charset="0"/>
            </a:rPr>
            <a:t>Enthalpy</a:t>
          </a:r>
          <a:r>
            <a:rPr lang="en-US" sz="1400" b="0" i="0" baseline="0">
              <a:latin typeface="Arial" panose="020B0604020202020204" pitchFamily="34" charset="0"/>
              <a:ea typeface="+mn-ea"/>
              <a:cs typeface="Arial" panose="020B0604020202020204" pitchFamily="34" charset="0"/>
            </a:rPr>
            <a:t> </a:t>
          </a:r>
          <a:r>
            <a:rPr lang="en-US" sz="1400" b="1" i="0" baseline="0">
              <a:latin typeface="Arial" panose="020B0604020202020204" pitchFamily="34" charset="0"/>
              <a:ea typeface="+mn-ea"/>
              <a:cs typeface="Arial" panose="020B0604020202020204" pitchFamily="34" charset="0"/>
            </a:rPr>
            <a:t>(h)</a:t>
          </a:r>
          <a:endParaRPr lang="en-US" sz="1200" b="1">
            <a:latin typeface="Arial" panose="020B0604020202020204" pitchFamily="34" charset="0"/>
            <a:cs typeface="Arial" panose="020B0604020202020204" pitchFamily="34" charset="0"/>
          </a:endParaRPr>
        </a:p>
        <a:p>
          <a:pPr rtl="0" fontAlgn="base"/>
          <a:r>
            <a:rPr lang="en-US" sz="1200" b="0" i="0">
              <a:effectLst/>
              <a:latin typeface="Arial" panose="020B0604020202020204" pitchFamily="34" charset="0"/>
              <a:ea typeface="+mn-ea"/>
              <a:cs typeface="Arial" panose="020B0604020202020204" pitchFamily="34" charset="0"/>
            </a:rPr>
            <a:t>A thermodynamic quantity equivalent to the total heat content of a system. It is equal to the internal energy of the system plus the product of pressure and volume.</a:t>
          </a:r>
        </a:p>
        <a:p>
          <a:pPr rtl="0" fontAlgn="base"/>
          <a:endParaRPr lang="en-US" sz="1100" b="0" i="0" baseline="0">
            <a:effectLst/>
            <a:latin typeface="+mn-lt"/>
            <a:ea typeface="+mn-ea"/>
            <a:cs typeface="+mn-cs"/>
          </a:endParaRPr>
        </a:p>
        <a:p>
          <a:pPr rtl="0" fontAlgn="base"/>
          <a:r>
            <a:rPr lang="en-US" sz="1400" b="1" i="0" baseline="0">
              <a:latin typeface="Arial" panose="020B0604020202020204" pitchFamily="34" charset="0"/>
              <a:ea typeface="+mn-ea"/>
              <a:cs typeface="Arial" panose="020B0604020202020204" pitchFamily="34" charset="0"/>
            </a:rPr>
            <a:t>Entropy</a:t>
          </a:r>
          <a:endParaRPr lang="en-US" sz="1400" b="0" i="0" baseline="0">
            <a:latin typeface="Arial" panose="020B0604020202020204" pitchFamily="34" charset="0"/>
            <a:ea typeface="+mn-ea"/>
            <a:cs typeface="Arial" panose="020B0604020202020204" pitchFamily="34" charset="0"/>
          </a:endParaRPr>
        </a:p>
        <a:p>
          <a:r>
            <a:rPr lang="en-US" sz="1100" b="0" i="0">
              <a:effectLst/>
              <a:latin typeface="+mn-lt"/>
              <a:ea typeface="+mn-ea"/>
              <a:cs typeface="+mn-cs"/>
            </a:rPr>
            <a:t> </a:t>
          </a:r>
          <a:r>
            <a:rPr lang="en-US" sz="1200" b="0" i="0">
              <a:effectLst/>
              <a:latin typeface="Arial" panose="020B0604020202020204" pitchFamily="34" charset="0"/>
              <a:ea typeface="+mn-ea"/>
              <a:cs typeface="Arial" panose="020B0604020202020204" pitchFamily="34" charset="0"/>
            </a:rPr>
            <a:t>Thermodynamic quantity representing the </a:t>
          </a:r>
          <a:r>
            <a:rPr lang="en-US" sz="1200" b="0" i="0" u="sng">
              <a:effectLst/>
              <a:latin typeface="Arial" panose="020B0604020202020204" pitchFamily="34" charset="0"/>
              <a:ea typeface="+mn-ea"/>
              <a:cs typeface="Arial" panose="020B0604020202020204" pitchFamily="34" charset="0"/>
            </a:rPr>
            <a:t>unavailability</a:t>
          </a:r>
          <a:r>
            <a:rPr lang="en-US" sz="1200" b="0" i="0">
              <a:effectLst/>
              <a:latin typeface="Arial" panose="020B0604020202020204" pitchFamily="34" charset="0"/>
              <a:ea typeface="+mn-ea"/>
              <a:cs typeface="Arial" panose="020B0604020202020204" pitchFamily="34" charset="0"/>
            </a:rPr>
            <a:t> of a system's thermal energy for conversion into mechanical work, often interpreted as the degree of disorder or </a:t>
          </a:r>
          <a:r>
            <a:rPr lang="en-US" sz="1200" b="0" i="0" u="sng">
              <a:effectLst/>
              <a:latin typeface="Arial" panose="020B0604020202020204" pitchFamily="34" charset="0"/>
              <a:ea typeface="+mn-ea"/>
              <a:cs typeface="Arial" panose="020B0604020202020204" pitchFamily="34" charset="0"/>
            </a:rPr>
            <a:t>randomness</a:t>
          </a:r>
          <a:r>
            <a:rPr lang="en-US" sz="1200" b="0" i="0">
              <a:effectLst/>
              <a:latin typeface="Arial" panose="020B0604020202020204" pitchFamily="34" charset="0"/>
              <a:ea typeface="+mn-ea"/>
              <a:cs typeface="Arial" panose="020B0604020202020204" pitchFamily="34" charset="0"/>
            </a:rPr>
            <a:t> in the system.</a:t>
          </a:r>
        </a:p>
        <a:p>
          <a:r>
            <a:rPr lang="en-US" sz="1200" b="0" i="0">
              <a:effectLst/>
              <a:latin typeface="Arial" panose="020B0604020202020204" pitchFamily="34" charset="0"/>
              <a:ea typeface="+mn-ea"/>
              <a:cs typeface="Arial" panose="020B0604020202020204" pitchFamily="34" charset="0"/>
            </a:rPr>
            <a:t>"the second law of thermodynamics says that entropy always increases with time"</a:t>
          </a:r>
        </a:p>
        <a:p>
          <a:pPr rtl="0" fontAlgn="base"/>
          <a:endParaRPr lang="en-US" sz="1200" b="0" i="0" baseline="0">
            <a:latin typeface="Arial" panose="020B0604020202020204" pitchFamily="34" charset="0"/>
            <a:ea typeface="+mn-ea"/>
            <a:cs typeface="Arial" panose="020B0604020202020204" pitchFamily="34" charset="0"/>
          </a:endParaRPr>
        </a:p>
        <a:p>
          <a:r>
            <a:rPr lang="en-US" sz="1200" b="0" i="0" baseline="0">
              <a:latin typeface="Arial" panose="020B0604020202020204" pitchFamily="34" charset="0"/>
              <a:ea typeface="+mn-ea"/>
              <a:cs typeface="Arial" panose="020B0604020202020204" pitchFamily="34" charset="0"/>
            </a:rPr>
            <a:t>In classical thermodynamics, the entropy is defined only for a system in thermodynamic equilibrium. </a:t>
          </a:r>
          <a:endParaRPr lang="en-US" sz="1200" b="0" i="0" u="none" strike="noStrike" baseline="0">
            <a:solidFill>
              <a:srgbClr val="000000"/>
            </a:solidFill>
            <a:latin typeface="Arial" panose="020B0604020202020204" pitchFamily="34" charset="0"/>
            <a:cs typeface="Arial" panose="020B0604020202020204" pitchFamily="34" charset="0"/>
          </a:endParaRPr>
        </a:p>
        <a:p>
          <a:pPr rtl="0" fontAlgn="base"/>
          <a:r>
            <a:rPr lang="en-US" sz="1200" b="1" i="0" baseline="0">
              <a:latin typeface="Arial" panose="020B0604020202020204" pitchFamily="34" charset="0"/>
              <a:ea typeface="+mn-ea"/>
              <a:cs typeface="Arial" panose="020B0604020202020204" pitchFamily="34" charset="0"/>
            </a:rPr>
            <a:t>                                                                                                                                              </a:t>
          </a:r>
          <a:r>
            <a:rPr lang="en-US" sz="1400" b="1" i="0" baseline="0">
              <a:latin typeface="Arial" panose="020B0604020202020204" pitchFamily="34" charset="0"/>
              <a:ea typeface="+mn-ea"/>
              <a:cs typeface="Arial" panose="020B0604020202020204" pitchFamily="34" charset="0"/>
            </a:rPr>
            <a:t>Isobaric Process</a:t>
          </a:r>
          <a:endParaRPr lang="en-US" sz="14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An isobaric process is a thermodynamic process in which the pressure remains constant. </a:t>
          </a:r>
          <a:endParaRPr lang="en-US" sz="1200">
            <a:latin typeface="Arial" panose="020B0604020202020204" pitchFamily="34" charset="0"/>
            <a:cs typeface="Arial" panose="020B0604020202020204" pitchFamily="34" charset="0"/>
          </a:endParaRPr>
        </a:p>
        <a:p>
          <a:pPr rtl="0" fontAlgn="base"/>
          <a:endParaRPr lang="en-US" sz="12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This is usually obtained by allowed the volume to expand or contract in such a way to neutralize any pressure changes that would be caused by heat transfer. </a:t>
          </a:r>
          <a:endParaRPr lang="en-US" sz="1200">
            <a:latin typeface="Arial" panose="020B0604020202020204" pitchFamily="34" charset="0"/>
            <a:cs typeface="Arial" panose="020B0604020202020204" pitchFamily="34" charset="0"/>
          </a:endParaRPr>
        </a:p>
        <a:p>
          <a:pPr rtl="0" fontAlgn="base"/>
          <a:endParaRPr lang="en-US" sz="12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In an isobaric process, there are typically internal energy changes, work is done by the system, and heat is transferred, so none of the quantities in the first law of thermodynamics readily reduce to zero. </a:t>
          </a:r>
          <a:endParaRPr lang="en-US" sz="1200">
            <a:latin typeface="Arial" panose="020B0604020202020204" pitchFamily="34" charset="0"/>
            <a:cs typeface="Arial" panose="020B0604020202020204" pitchFamily="34" charset="0"/>
          </a:endParaRPr>
        </a:p>
        <a:p>
          <a:pPr rtl="0" fontAlgn="base"/>
          <a:endParaRPr lang="en-US" sz="12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However, the work at a constant pressure can be fairly easily calculated with the equation: </a:t>
          </a:r>
        </a:p>
        <a:p>
          <a:pPr rtl="0"/>
          <a:endParaRPr lang="en-US" sz="1200">
            <a:latin typeface="Arial" panose="020B0604020202020204" pitchFamily="34" charset="0"/>
            <a:cs typeface="Arial" panose="020B0604020202020204" pitchFamily="34" charset="0"/>
          </a:endParaRPr>
        </a:p>
        <a:p>
          <a:pPr rtl="0" fontAlgn="base"/>
          <a:r>
            <a:rPr lang="en-US" sz="1400" b="0" i="0" baseline="0">
              <a:latin typeface="Arial" panose="020B0604020202020204" pitchFamily="34" charset="0"/>
              <a:ea typeface="+mn-ea"/>
              <a:cs typeface="Arial" panose="020B0604020202020204" pitchFamily="34" charset="0"/>
            </a:rPr>
            <a:t>                           </a:t>
          </a:r>
          <a:r>
            <a:rPr lang="en-US" sz="1400" b="1" i="0" baseline="0">
              <a:latin typeface="Arial" panose="020B0604020202020204" pitchFamily="34" charset="0"/>
              <a:ea typeface="+mn-ea"/>
              <a:cs typeface="Arial" panose="020B0604020202020204" pitchFamily="34" charset="0"/>
            </a:rPr>
            <a:t>W = p + </a:t>
          </a:r>
          <a:r>
            <a:rPr lang="el-GR" sz="1400" b="1" i="0" baseline="0">
              <a:latin typeface="Arial" panose="020B0604020202020204" pitchFamily="34" charset="0"/>
              <a:ea typeface="+mn-ea"/>
              <a:cs typeface="Arial" panose="020B0604020202020204" pitchFamily="34" charset="0"/>
            </a:rPr>
            <a:t>Δ</a:t>
          </a:r>
          <a:r>
            <a:rPr lang="en-US" sz="1400" b="0" i="0" baseline="0">
              <a:latin typeface="Arial" panose="020B0604020202020204" pitchFamily="34" charset="0"/>
              <a:ea typeface="+mn-ea"/>
              <a:cs typeface="Arial" panose="020B0604020202020204" pitchFamily="34" charset="0"/>
            </a:rPr>
            <a:t>V</a:t>
          </a:r>
        </a:p>
        <a:p>
          <a:pPr rtl="0" fontAlgn="base"/>
          <a:endParaRPr lang="en-US" sz="12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Since W is the work, p is the pressure (always positive) and delta-V is the change in volume, we can see that there are two possible outcomes to an isobaric process: </a:t>
          </a:r>
          <a:endParaRPr lang="en-US" sz="1200">
            <a:latin typeface="Arial" panose="020B0604020202020204" pitchFamily="34" charset="0"/>
            <a:cs typeface="Arial" panose="020B0604020202020204" pitchFamily="34" charset="0"/>
          </a:endParaRPr>
        </a:p>
        <a:p>
          <a:pPr rtl="0" fontAlgn="base"/>
          <a:endParaRPr lang="en-US" sz="12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•If the system expands (delta-V is positive), then the system does positive work (and vice versa) </a:t>
          </a:r>
          <a:endParaRPr lang="en-US" sz="1200">
            <a:latin typeface="Arial" panose="020B0604020202020204" pitchFamily="34" charset="0"/>
            <a:cs typeface="Arial" panose="020B0604020202020204" pitchFamily="34" charset="0"/>
          </a:endParaRPr>
        </a:p>
        <a:p>
          <a:pPr rtl="0" fontAlgn="base"/>
          <a:endParaRPr lang="en-US" sz="12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•If the system contracts (delta-V is negative), then the system does negative work (and vice versa) </a:t>
          </a:r>
          <a:endParaRPr lang="en-US" sz="1200">
            <a:latin typeface="Arial" panose="020B0604020202020204" pitchFamily="34" charset="0"/>
            <a:cs typeface="Arial" panose="020B0604020202020204" pitchFamily="34" charset="0"/>
          </a:endParaRPr>
        </a:p>
        <a:p>
          <a:pPr rtl="0" fontAlgn="base"/>
          <a:endParaRPr lang="en-US" sz="1200" b="0" i="0" baseline="0">
            <a:latin typeface="Arial" panose="020B0604020202020204" pitchFamily="34" charset="0"/>
            <a:ea typeface="+mn-ea"/>
            <a:cs typeface="Arial" panose="020B0604020202020204" pitchFamily="34" charset="0"/>
          </a:endParaRPr>
        </a:p>
        <a:p>
          <a:pPr rtl="0"/>
          <a:r>
            <a:rPr lang="en-US" sz="1200" b="0" i="0" baseline="0">
              <a:latin typeface="Arial" panose="020B0604020202020204" pitchFamily="34" charset="0"/>
              <a:ea typeface="+mn-ea"/>
              <a:cs typeface="Arial" panose="020B0604020202020204" pitchFamily="34" charset="0"/>
            </a:rPr>
            <a:t>In a phase diagram, an isobaric process would show up as a horizontal line, since it takes place along a constant pressure</a:t>
          </a:r>
          <a:r>
            <a:rPr lang="en-US" sz="1100" b="0" i="0" baseline="0">
              <a:latin typeface="+mn-lt"/>
              <a:ea typeface="+mn-ea"/>
              <a:cs typeface="+mn-cs"/>
            </a:rPr>
            <a:t>.</a:t>
          </a:r>
          <a:endParaRPr lang="en-US" sz="1000"/>
        </a:p>
      </xdr:txBody>
    </xdr:sp>
    <xdr:clientData/>
  </xdr:twoCellAnchor>
  <xdr:twoCellAnchor editAs="oneCell">
    <xdr:from>
      <xdr:col>3</xdr:col>
      <xdr:colOff>387350</xdr:colOff>
      <xdr:row>5</xdr:row>
      <xdr:rowOff>184150</xdr:rowOff>
    </xdr:from>
    <xdr:to>
      <xdr:col>7</xdr:col>
      <xdr:colOff>784342</xdr:colOff>
      <xdr:row>19</xdr:row>
      <xdr:rowOff>76200</xdr:rowOff>
    </xdr:to>
    <xdr:pic>
      <xdr:nvPicPr>
        <xdr:cNvPr id="4" name="Picture 5" descr="Air Standard Diesel Engine">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8850" y="1257300"/>
          <a:ext cx="4149842" cy="2647950"/>
        </a:xfrm>
        <a:prstGeom prst="rect">
          <a:avLst/>
        </a:prstGeom>
        <a:noFill/>
      </xdr:spPr>
    </xdr:pic>
    <xdr:clientData/>
  </xdr:twoCellAnchor>
  <xdr:twoCellAnchor editAs="oneCell">
    <xdr:from>
      <xdr:col>6</xdr:col>
      <xdr:colOff>8082</xdr:colOff>
      <xdr:row>96</xdr:row>
      <xdr:rowOff>195694</xdr:rowOff>
    </xdr:from>
    <xdr:to>
      <xdr:col>11</xdr:col>
      <xdr:colOff>601462</xdr:colOff>
      <xdr:row>111</xdr:row>
      <xdr:rowOff>101599</xdr:rowOff>
    </xdr:to>
    <xdr:pic>
      <xdr:nvPicPr>
        <xdr:cNvPr id="5" name="Picture 7" descr="DIESEL CYCLE-2">
          <a:extLst>
            <a:ext uri="{FF2B5EF4-FFF2-40B4-BE49-F238E27FC236}">
              <a16:creationId xmlns:a16="http://schemas.microsoft.com/office/drawing/2014/main" id="{00000000-0008-0000-0200-000005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878782" y="19182194"/>
          <a:ext cx="4670080" cy="2858655"/>
        </a:xfrm>
        <a:prstGeom prst="rect">
          <a:avLst/>
        </a:prstGeom>
        <a:noFill/>
      </xdr:spPr>
    </xdr:pic>
    <xdr:clientData/>
  </xdr:twoCellAnchor>
  <xdr:twoCellAnchor editAs="oneCell">
    <xdr:from>
      <xdr:col>1</xdr:col>
      <xdr:colOff>285750</xdr:colOff>
      <xdr:row>394</xdr:row>
      <xdr:rowOff>66674</xdr:rowOff>
    </xdr:from>
    <xdr:to>
      <xdr:col>3</xdr:col>
      <xdr:colOff>483527</xdr:colOff>
      <xdr:row>408</xdr:row>
      <xdr:rowOff>69849</xdr:rowOff>
    </xdr:to>
    <xdr:pic>
      <xdr:nvPicPr>
        <xdr:cNvPr id="6" name="Picture 8" descr="DIESEL CYCLE-2">
          <a:extLst>
            <a:ext uri="{FF2B5EF4-FFF2-40B4-BE49-F238E27FC236}">
              <a16:creationId xmlns:a16="http://schemas.microsoft.com/office/drawing/2014/main" id="{00000000-0008-0000-0200-000006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781050" y="80210024"/>
          <a:ext cx="4515777" cy="2759075"/>
        </a:xfrm>
        <a:prstGeom prst="rect">
          <a:avLst/>
        </a:prstGeom>
        <a:noFill/>
      </xdr:spPr>
    </xdr:pic>
    <xdr:clientData/>
  </xdr:twoCellAnchor>
  <xdr:twoCellAnchor>
    <xdr:from>
      <xdr:col>1</xdr:col>
      <xdr:colOff>0</xdr:colOff>
      <xdr:row>269</xdr:row>
      <xdr:rowOff>28575</xdr:rowOff>
    </xdr:from>
    <xdr:to>
      <xdr:col>4</xdr:col>
      <xdr:colOff>590550</xdr:colOff>
      <xdr:row>290</xdr:row>
      <xdr:rowOff>50801</xdr:rowOff>
    </xdr:to>
    <xdr:sp macro="" textlink="">
      <xdr:nvSpPr>
        <xdr:cNvPr id="8" name="Text Box 13">
          <a:extLst>
            <a:ext uri="{FF2B5EF4-FFF2-40B4-BE49-F238E27FC236}">
              <a16:creationId xmlns:a16="http://schemas.microsoft.com/office/drawing/2014/main" id="{00000000-0008-0000-0200-000008000000}"/>
            </a:ext>
          </a:extLst>
        </xdr:cNvPr>
        <xdr:cNvSpPr txBox="1">
          <a:spLocks noChangeArrowheads="1"/>
        </xdr:cNvSpPr>
      </xdr:nvSpPr>
      <xdr:spPr bwMode="auto">
        <a:xfrm>
          <a:off x="495300" y="55235475"/>
          <a:ext cx="5518150" cy="4156076"/>
        </a:xfrm>
        <a:prstGeom prst="rect">
          <a:avLst/>
        </a:prstGeom>
        <a:solidFill>
          <a:srgbClr val="FFFFFF"/>
        </a:solidFill>
        <a:ln w="9525">
          <a:solidFill>
            <a:srgbClr val="000000"/>
          </a:solidFill>
          <a:miter lim="800000"/>
          <a:headEnd/>
          <a:tailEnd/>
        </a:ln>
      </xdr:spPr>
      <xdr:txBody>
        <a:bodyPr vertOverflow="clip" wrap="square" lIns="36576" tIns="27432" rIns="0" bIns="0" anchor="t" upright="1"/>
        <a:lstStyle/>
        <a:p>
          <a:pPr algn="l" rtl="0">
            <a:defRPr sz="1000"/>
          </a:pPr>
          <a:endParaRPr lang="en-US" sz="1200" b="1" i="0" u="none" strike="noStrike" baseline="0">
            <a:solidFill>
              <a:srgbClr val="000000"/>
            </a:solidFill>
            <a:latin typeface="Arial"/>
            <a:cs typeface="Arial"/>
          </a:endParaRPr>
        </a:p>
        <a:p>
          <a:pPr algn="ctr" rtl="0">
            <a:defRPr sz="1000"/>
          </a:pPr>
          <a:r>
            <a:rPr lang="en-US" sz="1400" b="1" i="0" u="none" strike="noStrike" baseline="0">
              <a:solidFill>
                <a:srgbClr val="000000"/>
              </a:solidFill>
              <a:latin typeface="Arial"/>
              <a:cs typeface="Arial"/>
            </a:rPr>
            <a:t>Diesel Cycle Problem</a:t>
          </a:r>
        </a:p>
        <a:p>
          <a:pPr algn="ctr" rtl="0">
            <a:defRPr sz="1000"/>
          </a:pPr>
          <a:endParaRPr lang="en-US" sz="14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A diesel cycle with a compression ratio of 18 operates on air.</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 low pressure is 200 kPa and low temperature 200 deg C.</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The work output is 1000 kJ/kg. </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a. Determine the diesel cycle thermal efficiency.</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b. Calculate the Mean Effective Pressure MEP.</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c. Find the Otto cycle efficiency operating at the same maximum pressure.</a:t>
          </a:r>
        </a:p>
        <a:p>
          <a:pPr algn="l" rtl="0">
            <a:defRPr sz="1000"/>
          </a:pPr>
          <a:endParaRPr lang="en-US" sz="1200" b="0" i="0" u="none" strike="noStrike" baseline="0">
            <a:solidFill>
              <a:srgbClr val="000000"/>
            </a:solidFill>
            <a:latin typeface="Arial"/>
            <a:cs typeface="Arial"/>
          </a:endParaRPr>
        </a:p>
        <a:p>
          <a:pPr algn="l" rtl="0">
            <a:defRPr sz="1000"/>
          </a:pPr>
          <a:r>
            <a:rPr lang="en-US" sz="1200" b="1" i="0" u="none" strike="noStrike" baseline="0">
              <a:solidFill>
                <a:srgbClr val="000000"/>
              </a:solidFill>
              <a:latin typeface="Arial"/>
              <a:cs typeface="Arial"/>
            </a:rPr>
            <a:t>Answers:</a:t>
          </a: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a. 62.9 %</a:t>
          </a:r>
        </a:p>
        <a:p>
          <a:pPr algn="l" rtl="0">
            <a:defRPr sz="1000"/>
          </a:pPr>
          <a:r>
            <a:rPr lang="en-US" sz="1200" b="0" i="0" u="none" strike="noStrike" baseline="0">
              <a:solidFill>
                <a:srgbClr val="000000"/>
              </a:solidFill>
              <a:latin typeface="Arial"/>
              <a:cs typeface="Arial"/>
            </a:rPr>
            <a:t>b. MEP = 641 kPa</a:t>
          </a:r>
        </a:p>
        <a:p>
          <a:pPr algn="l" rtl="0">
            <a:defRPr sz="1000"/>
          </a:pPr>
          <a:r>
            <a:rPr lang="en-US" sz="1200" b="0" i="0" u="none" strike="noStrike" baseline="0">
              <a:solidFill>
                <a:srgbClr val="000000"/>
              </a:solidFill>
              <a:latin typeface="Arial"/>
              <a:cs typeface="Arial"/>
            </a:rPr>
            <a:t>c. Otto cycle efficiency = 58.1%</a:t>
          </a:r>
        </a:p>
        <a:p>
          <a:pPr algn="l" rtl="0">
            <a:defRPr sz="1000"/>
          </a:pPr>
          <a:endParaRPr lang="en-US" sz="1200" b="0" i="0" u="none" strike="noStrike" baseline="0">
            <a:solidFill>
              <a:srgbClr val="000000"/>
            </a:solidFill>
            <a:latin typeface="Arial"/>
            <a:cs typeface="Arial"/>
          </a:endParaRPr>
        </a:p>
        <a:p>
          <a:pPr algn="l" rtl="0">
            <a:defRPr sz="1000"/>
          </a:pPr>
          <a:r>
            <a:rPr lang="en-US" sz="1200" b="0" i="0" u="none" strike="noStrike" baseline="0">
              <a:solidFill>
                <a:srgbClr val="000000"/>
              </a:solidFill>
              <a:latin typeface="Arial"/>
              <a:cs typeface="Arial"/>
            </a:rPr>
            <a:t>Use the </a:t>
          </a:r>
          <a:r>
            <a:rPr lang="en-US" sz="1200" b="1" i="0" u="none" strike="noStrike" baseline="0">
              <a:solidFill>
                <a:srgbClr val="FF0000"/>
              </a:solidFill>
              <a:latin typeface="Arial"/>
              <a:cs typeface="Arial"/>
            </a:rPr>
            <a:t>Input</a:t>
          </a:r>
          <a:r>
            <a:rPr lang="en-US" sz="1200" b="0" i="0" u="none" strike="noStrike" baseline="0">
              <a:solidFill>
                <a:srgbClr val="000000"/>
              </a:solidFill>
              <a:latin typeface="Arial"/>
              <a:cs typeface="Arial"/>
            </a:rPr>
            <a:t> and </a:t>
          </a:r>
          <a:r>
            <a:rPr lang="en-US" sz="1200" b="1" i="0" u="none" strike="noStrike" baseline="0">
              <a:solidFill>
                <a:srgbClr val="FF0000"/>
              </a:solidFill>
              <a:latin typeface="Arial"/>
              <a:cs typeface="Arial"/>
            </a:rPr>
            <a:t>Calculation</a:t>
          </a:r>
          <a:r>
            <a:rPr lang="en-US" sz="1200" b="0" i="0" u="none" strike="noStrike" baseline="0">
              <a:solidFill>
                <a:srgbClr val="000000"/>
              </a:solidFill>
              <a:latin typeface="Arial"/>
              <a:cs typeface="Arial"/>
            </a:rPr>
            <a:t> below to solve this and similar problems.</a:t>
          </a:r>
        </a:p>
      </xdr:txBody>
    </xdr:sp>
    <xdr:clientData/>
  </xdr:twoCellAnchor>
  <xdr:twoCellAnchor editAs="oneCell">
    <xdr:from>
      <xdr:col>4</xdr:col>
      <xdr:colOff>698500</xdr:colOff>
      <xdr:row>294</xdr:row>
      <xdr:rowOff>139700</xdr:rowOff>
    </xdr:from>
    <xdr:to>
      <xdr:col>8</xdr:col>
      <xdr:colOff>704850</xdr:colOff>
      <xdr:row>307</xdr:row>
      <xdr:rowOff>142875</xdr:rowOff>
    </xdr:to>
    <xdr:pic>
      <xdr:nvPicPr>
        <xdr:cNvPr id="9" name="Picture 14" descr="DIESEL CYCLE-2">
          <a:extLst>
            <a:ext uri="{FF2B5EF4-FFF2-40B4-BE49-F238E27FC236}">
              <a16:creationId xmlns:a16="http://schemas.microsoft.com/office/drawing/2014/main" id="{00000000-0008-0000-0200-000009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121400" y="60432950"/>
          <a:ext cx="4210050" cy="2568575"/>
        </a:xfrm>
        <a:prstGeom prst="rect">
          <a:avLst/>
        </a:prstGeom>
        <a:noFill/>
      </xdr:spPr>
    </xdr:pic>
    <xdr:clientData/>
  </xdr:twoCellAnchor>
  <xdr:twoCellAnchor>
    <xdr:from>
      <xdr:col>1</xdr:col>
      <xdr:colOff>340879</xdr:colOff>
      <xdr:row>87</xdr:row>
      <xdr:rowOff>27708</xdr:rowOff>
    </xdr:from>
    <xdr:to>
      <xdr:col>5</xdr:col>
      <xdr:colOff>336550</xdr:colOff>
      <xdr:row>158</xdr:row>
      <xdr:rowOff>6349</xdr:rowOff>
    </xdr:to>
    <xdr:sp macro="" textlink="">
      <xdr:nvSpPr>
        <xdr:cNvPr id="11" name="TextBox 10">
          <a:extLst>
            <a:ext uri="{FF2B5EF4-FFF2-40B4-BE49-F238E27FC236}">
              <a16:creationId xmlns:a16="http://schemas.microsoft.com/office/drawing/2014/main" id="{00000000-0008-0000-0200-00000B000000}"/>
            </a:ext>
          </a:extLst>
        </xdr:cNvPr>
        <xdr:cNvSpPr txBox="1"/>
      </xdr:nvSpPr>
      <xdr:spPr>
        <a:xfrm>
          <a:off x="836179" y="17242558"/>
          <a:ext cx="5329671" cy="1395499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rtl="0" eaLnBrk="1" fontAlgn="auto" latinLnBrk="0" hangingPunct="1"/>
          <a:endParaRPr lang="en-US" sz="1200" b="1" i="0" baseline="0">
            <a:solidFill>
              <a:schemeClr val="dk1"/>
            </a:solidFill>
            <a:latin typeface="+mn-lt"/>
            <a:ea typeface="+mn-ea"/>
            <a:cs typeface="+mn-cs"/>
          </a:endParaRPr>
        </a:p>
        <a:p>
          <a:pPr algn="ctr" rtl="0" eaLnBrk="1" fontAlgn="auto" latinLnBrk="0" hangingPunct="1"/>
          <a:r>
            <a:rPr lang="en-US" sz="1400" b="1" i="0" baseline="0">
              <a:solidFill>
                <a:schemeClr val="dk1"/>
              </a:solidFill>
              <a:latin typeface="Arial" panose="020B0604020202020204" pitchFamily="34" charset="0"/>
              <a:ea typeface="+mn-ea"/>
              <a:cs typeface="Arial" panose="020B0604020202020204" pitchFamily="34" charset="0"/>
            </a:rPr>
            <a:t>THE DIESEL POWER CYCLE     </a:t>
          </a:r>
        </a:p>
        <a:p>
          <a:pPr algn="ctr" rtl="0" eaLnBrk="1" fontAlgn="auto" latinLnBrk="0" hangingPunct="1"/>
          <a:r>
            <a:rPr lang="en-US" sz="1400" b="1" i="0" baseline="0">
              <a:solidFill>
                <a:schemeClr val="dk1"/>
              </a:solidFill>
              <a:latin typeface="Arial" panose="020B0604020202020204" pitchFamily="34" charset="0"/>
              <a:ea typeface="+mn-ea"/>
              <a:cs typeface="Arial" panose="020B0604020202020204" pitchFamily="34" charset="0"/>
            </a:rPr>
            <a:t>                                                                                                       </a:t>
          </a:r>
          <a:r>
            <a:rPr lang="en-US" sz="1200" b="1" i="0" baseline="0">
              <a:solidFill>
                <a:schemeClr val="dk1"/>
              </a:solidFill>
              <a:latin typeface="Arial" panose="020B0604020202020204" pitchFamily="34" charset="0"/>
              <a:ea typeface="+mn-ea"/>
              <a:cs typeface="Arial" panose="020B0604020202020204" pitchFamily="34" charset="0"/>
            </a:rPr>
            <a:t>A to B:  Isentropic compression,  illustrated above.                                                                                      </a:t>
          </a:r>
          <a:r>
            <a:rPr lang="en-US" sz="1200" b="0" i="0" baseline="0">
              <a:solidFill>
                <a:schemeClr val="dk1"/>
              </a:solidFill>
              <a:latin typeface="Arial" panose="020B0604020202020204" pitchFamily="34" charset="0"/>
              <a:ea typeface="+mn-ea"/>
              <a:cs typeface="Arial" panose="020B0604020202020204" pitchFamily="34" charset="0"/>
            </a:rPr>
            <a:t>In thermodynamics, an isentropic process or isentropic process is one during which the entropy of the system remains constant. </a:t>
          </a:r>
          <a:endParaRPr lang="en-US" sz="1200">
            <a:solidFill>
              <a:schemeClr val="dk1"/>
            </a:solidFill>
            <a:latin typeface="Arial" panose="020B0604020202020204" pitchFamily="34" charset="0"/>
            <a:ea typeface="+mn-ea"/>
            <a:cs typeface="Arial" panose="020B0604020202020204" pitchFamily="34" charset="0"/>
          </a:endParaRPr>
        </a:p>
        <a:p>
          <a:pPr rtl="0" fontAlgn="base"/>
          <a:endParaRPr lang="en-US" sz="1200" b="1" i="0" baseline="0">
            <a:solidFill>
              <a:schemeClr val="dk1"/>
            </a:solidFill>
            <a:latin typeface="Arial" panose="020B0604020202020204" pitchFamily="34" charset="0"/>
            <a:ea typeface="+mn-ea"/>
            <a:cs typeface="Arial" panose="020B0604020202020204" pitchFamily="34" charset="0"/>
          </a:endParaRPr>
        </a:p>
        <a:p>
          <a:pPr rtl="0"/>
          <a:r>
            <a:rPr lang="en-US" sz="1200" b="1" i="0" baseline="0">
              <a:solidFill>
                <a:schemeClr val="dk1"/>
              </a:solidFill>
              <a:latin typeface="Arial" panose="020B0604020202020204" pitchFamily="34" charset="0"/>
              <a:ea typeface="+mn-ea"/>
              <a:cs typeface="Arial" panose="020B0604020202020204" pitchFamily="34" charset="0"/>
            </a:rPr>
            <a:t>            Win = cv(TB - TA)</a:t>
          </a:r>
          <a:endParaRPr lang="en-US" sz="1200">
            <a:latin typeface="Arial" panose="020B0604020202020204" pitchFamily="34" charset="0"/>
            <a:cs typeface="Arial" panose="020B0604020202020204" pitchFamily="34" charset="0"/>
          </a:endParaRPr>
        </a:p>
        <a:p>
          <a:pPr rtl="0" fontAlgn="base"/>
          <a:endParaRPr lang="en-US" sz="1200" b="1" i="0" baseline="0">
            <a:solidFill>
              <a:schemeClr val="dk1"/>
            </a:solidFill>
            <a:latin typeface="Arial" panose="020B0604020202020204" pitchFamily="34" charset="0"/>
            <a:ea typeface="+mn-ea"/>
            <a:cs typeface="Arial" panose="020B0604020202020204" pitchFamily="34" charset="0"/>
          </a:endParaRPr>
        </a:p>
        <a:p>
          <a:pPr rtl="0"/>
          <a:r>
            <a:rPr lang="en-US" sz="1200" b="1" i="0" baseline="0">
              <a:solidFill>
                <a:schemeClr val="dk1"/>
              </a:solidFill>
              <a:latin typeface="Arial" panose="020B0604020202020204" pitchFamily="34" charset="0"/>
              <a:ea typeface="+mn-ea"/>
              <a:cs typeface="Arial" panose="020B0604020202020204" pitchFamily="34" charset="0"/>
            </a:rPr>
            <a:t>B to C:  Constant pressure heating.</a:t>
          </a:r>
          <a:endParaRPr lang="en-US" sz="1200">
            <a:latin typeface="Arial" panose="020B0604020202020204" pitchFamily="34" charset="0"/>
            <a:cs typeface="Arial" panose="020B0604020202020204" pitchFamily="34" charset="0"/>
          </a:endParaRPr>
        </a:p>
        <a:p>
          <a:pPr rtl="0" fontAlgn="base"/>
          <a:endParaRPr lang="en-US" sz="1200" b="1" i="0" baseline="0">
            <a:solidFill>
              <a:schemeClr val="dk1"/>
            </a:solidFill>
            <a:latin typeface="Arial" panose="020B0604020202020204" pitchFamily="34" charset="0"/>
            <a:ea typeface="+mn-ea"/>
            <a:cs typeface="Arial" panose="020B0604020202020204" pitchFamily="34" charset="0"/>
          </a:endParaRPr>
        </a:p>
        <a:p>
          <a:pPr rtl="0"/>
          <a:r>
            <a:rPr lang="en-US" sz="1200" b="1" i="0" baseline="0">
              <a:solidFill>
                <a:schemeClr val="dk1"/>
              </a:solidFill>
              <a:latin typeface="Arial" panose="020B0604020202020204" pitchFamily="34" charset="0"/>
              <a:ea typeface="+mn-ea"/>
              <a:cs typeface="Arial" panose="020B0604020202020204" pitchFamily="34" charset="0"/>
            </a:rPr>
            <a:t>            Qin = c</a:t>
          </a:r>
          <a:r>
            <a:rPr lang="en-US" sz="1200" b="1" i="0" baseline="-25000">
              <a:solidFill>
                <a:schemeClr val="dk1"/>
              </a:solidFill>
              <a:latin typeface="Arial" panose="020B0604020202020204" pitchFamily="34" charset="0"/>
              <a:ea typeface="+mn-ea"/>
              <a:cs typeface="Arial" panose="020B0604020202020204" pitchFamily="34" charset="0"/>
            </a:rPr>
            <a:t>p</a:t>
          </a:r>
          <a:r>
            <a:rPr lang="en-US" sz="1200" b="1" i="0" baseline="0">
              <a:solidFill>
                <a:schemeClr val="dk1"/>
              </a:solidFill>
              <a:latin typeface="Arial" panose="020B0604020202020204" pitchFamily="34" charset="0"/>
              <a:ea typeface="+mn-ea"/>
              <a:cs typeface="Arial" panose="020B0604020202020204" pitchFamily="34" charset="0"/>
            </a:rPr>
            <a:t>(T</a:t>
          </a:r>
          <a:r>
            <a:rPr lang="en-US" sz="1200" b="1" i="0" baseline="-25000">
              <a:solidFill>
                <a:schemeClr val="dk1"/>
              </a:solidFill>
              <a:latin typeface="Arial" panose="020B0604020202020204" pitchFamily="34" charset="0"/>
              <a:ea typeface="+mn-ea"/>
              <a:cs typeface="Arial" panose="020B0604020202020204" pitchFamily="34" charset="0"/>
            </a:rPr>
            <a:t>C</a:t>
          </a:r>
          <a:r>
            <a:rPr lang="en-US" sz="1200" b="1" i="0" baseline="0">
              <a:solidFill>
                <a:schemeClr val="dk1"/>
              </a:solidFill>
              <a:latin typeface="Arial" panose="020B0604020202020204" pitchFamily="34" charset="0"/>
              <a:ea typeface="+mn-ea"/>
              <a:cs typeface="Arial" panose="020B0604020202020204" pitchFamily="34" charset="0"/>
            </a:rPr>
            <a:t> - T</a:t>
          </a:r>
          <a:r>
            <a:rPr lang="en-US" sz="1200" b="1" i="0" baseline="-25000">
              <a:solidFill>
                <a:schemeClr val="dk1"/>
              </a:solidFill>
              <a:latin typeface="Arial" panose="020B0604020202020204" pitchFamily="34" charset="0"/>
              <a:ea typeface="+mn-ea"/>
              <a:cs typeface="Arial" panose="020B0604020202020204" pitchFamily="34" charset="0"/>
            </a:rPr>
            <a:t>B</a:t>
          </a:r>
          <a:r>
            <a:rPr lang="en-US" sz="1200" b="1" i="0" baseline="0">
              <a:solidFill>
                <a:schemeClr val="dk1"/>
              </a:solidFill>
              <a:latin typeface="Arial" panose="020B0604020202020204" pitchFamily="34" charset="0"/>
              <a:ea typeface="+mn-ea"/>
              <a:cs typeface="Arial" panose="020B0604020202020204" pitchFamily="34" charset="0"/>
            </a:rPr>
            <a:t>)</a:t>
          </a:r>
          <a:endParaRPr lang="en-US" sz="1200">
            <a:latin typeface="Arial" panose="020B0604020202020204" pitchFamily="34" charset="0"/>
            <a:cs typeface="Arial" panose="020B0604020202020204" pitchFamily="34" charset="0"/>
          </a:endParaRPr>
        </a:p>
        <a:p>
          <a:pPr rtl="0" fontAlgn="base"/>
          <a:endParaRPr lang="en-US" sz="1200" b="1" i="0" baseline="0">
            <a:solidFill>
              <a:schemeClr val="dk1"/>
            </a:solidFill>
            <a:latin typeface="Arial" panose="020B0604020202020204" pitchFamily="34" charset="0"/>
            <a:ea typeface="+mn-ea"/>
            <a:cs typeface="Arial" panose="020B0604020202020204" pitchFamily="34" charset="0"/>
          </a:endParaRPr>
        </a:p>
        <a:p>
          <a:pPr rtl="0"/>
          <a:r>
            <a:rPr lang="en-US" sz="1200" b="1" i="0" baseline="0">
              <a:solidFill>
                <a:schemeClr val="dk1"/>
              </a:solidFill>
              <a:latin typeface="Arial" panose="020B0604020202020204" pitchFamily="34" charset="0"/>
              <a:ea typeface="+mn-ea"/>
              <a:cs typeface="Arial" panose="020B0604020202020204" pitchFamily="34" charset="0"/>
            </a:rPr>
            <a:t>C to D:  Isentropic expansion,</a:t>
          </a:r>
          <a:endParaRPr lang="en-US" sz="1200">
            <a:latin typeface="Arial" panose="020B0604020202020204" pitchFamily="34" charset="0"/>
            <a:cs typeface="Arial" panose="020B0604020202020204" pitchFamily="34" charset="0"/>
          </a:endParaRPr>
        </a:p>
        <a:p>
          <a:pPr rtl="0" fontAlgn="base"/>
          <a:endParaRPr lang="en-US" sz="1200" b="1" i="0" baseline="0">
            <a:solidFill>
              <a:schemeClr val="dk1"/>
            </a:solidFill>
            <a:latin typeface="Arial" panose="020B0604020202020204" pitchFamily="34" charset="0"/>
            <a:ea typeface="+mn-ea"/>
            <a:cs typeface="Arial" panose="020B0604020202020204" pitchFamily="34" charset="0"/>
          </a:endParaRPr>
        </a:p>
        <a:p>
          <a:pPr rtl="0"/>
          <a:r>
            <a:rPr lang="en-US" sz="1200" b="1" i="0" baseline="0">
              <a:solidFill>
                <a:schemeClr val="dk1"/>
              </a:solidFill>
              <a:latin typeface="Arial" panose="020B0604020202020204" pitchFamily="34" charset="0"/>
              <a:ea typeface="+mn-ea"/>
              <a:cs typeface="Arial" panose="020B0604020202020204" pitchFamily="34" charset="0"/>
            </a:rPr>
            <a:t>            Win = I c</a:t>
          </a:r>
          <a:r>
            <a:rPr lang="en-US" sz="1200" b="1" i="0" baseline="-25000">
              <a:solidFill>
                <a:schemeClr val="dk1"/>
              </a:solidFill>
              <a:latin typeface="Arial" panose="020B0604020202020204" pitchFamily="34" charset="0"/>
              <a:ea typeface="+mn-ea"/>
              <a:cs typeface="Arial" panose="020B0604020202020204" pitchFamily="34" charset="0"/>
            </a:rPr>
            <a:t>v</a:t>
          </a:r>
          <a:r>
            <a:rPr lang="en-US" sz="1200" b="1" i="0" baseline="0">
              <a:solidFill>
                <a:schemeClr val="dk1"/>
              </a:solidFill>
              <a:latin typeface="Arial" panose="020B0604020202020204" pitchFamily="34" charset="0"/>
              <a:ea typeface="+mn-ea"/>
              <a:cs typeface="Arial" panose="020B0604020202020204" pitchFamily="34" charset="0"/>
            </a:rPr>
            <a:t>(T</a:t>
          </a:r>
          <a:r>
            <a:rPr lang="en-US" sz="1200" b="1" i="0" baseline="-25000">
              <a:solidFill>
                <a:schemeClr val="dk1"/>
              </a:solidFill>
              <a:latin typeface="Arial" panose="020B0604020202020204" pitchFamily="34" charset="0"/>
              <a:ea typeface="+mn-ea"/>
              <a:cs typeface="Arial" panose="020B0604020202020204" pitchFamily="34" charset="0"/>
            </a:rPr>
            <a:t>D</a:t>
          </a:r>
          <a:r>
            <a:rPr lang="en-US" sz="1200" b="1" i="0" baseline="0">
              <a:solidFill>
                <a:schemeClr val="dk1"/>
              </a:solidFill>
              <a:latin typeface="Arial" panose="020B0604020202020204" pitchFamily="34" charset="0"/>
              <a:ea typeface="+mn-ea"/>
              <a:cs typeface="Arial" panose="020B0604020202020204" pitchFamily="34" charset="0"/>
            </a:rPr>
            <a:t> - T</a:t>
          </a:r>
          <a:r>
            <a:rPr lang="en-US" sz="1200" b="1" i="0" baseline="-25000">
              <a:solidFill>
                <a:schemeClr val="dk1"/>
              </a:solidFill>
              <a:latin typeface="Arial" panose="020B0604020202020204" pitchFamily="34" charset="0"/>
              <a:ea typeface="+mn-ea"/>
              <a:cs typeface="Arial" panose="020B0604020202020204" pitchFamily="34" charset="0"/>
            </a:rPr>
            <a:t>C</a:t>
          </a:r>
          <a:r>
            <a:rPr lang="en-US" sz="1200" b="1" i="0" baseline="0">
              <a:solidFill>
                <a:schemeClr val="dk1"/>
              </a:solidFill>
              <a:latin typeface="Arial" panose="020B0604020202020204" pitchFamily="34" charset="0"/>
              <a:ea typeface="+mn-ea"/>
              <a:cs typeface="Arial" panose="020B0604020202020204" pitchFamily="34" charset="0"/>
            </a:rPr>
            <a:t>) + (C</a:t>
          </a:r>
          <a:r>
            <a:rPr lang="en-US" sz="1200" b="1" i="0" baseline="-25000">
              <a:solidFill>
                <a:schemeClr val="dk1"/>
              </a:solidFill>
              <a:latin typeface="Arial" panose="020B0604020202020204" pitchFamily="34" charset="0"/>
              <a:ea typeface="+mn-ea"/>
              <a:cs typeface="Arial" panose="020B0604020202020204" pitchFamily="34" charset="0"/>
            </a:rPr>
            <a:t>P</a:t>
          </a:r>
          <a:r>
            <a:rPr lang="en-US" sz="1200" b="1" i="0" baseline="0">
              <a:solidFill>
                <a:schemeClr val="dk1"/>
              </a:solidFill>
              <a:latin typeface="Arial" panose="020B0604020202020204" pitchFamily="34" charset="0"/>
              <a:ea typeface="+mn-ea"/>
              <a:cs typeface="Arial" panose="020B0604020202020204" pitchFamily="34" charset="0"/>
            </a:rPr>
            <a:t> - C</a:t>
          </a:r>
          <a:r>
            <a:rPr lang="en-US" sz="1200" b="1" i="0" baseline="-25000">
              <a:solidFill>
                <a:schemeClr val="dk1"/>
              </a:solidFill>
              <a:latin typeface="Arial" panose="020B0604020202020204" pitchFamily="34" charset="0"/>
              <a:ea typeface="+mn-ea"/>
              <a:cs typeface="Arial" panose="020B0604020202020204" pitchFamily="34" charset="0"/>
            </a:rPr>
            <a:t>V</a:t>
          </a:r>
          <a:r>
            <a:rPr lang="en-US" sz="1200" b="1" i="0" baseline="0">
              <a:solidFill>
                <a:schemeClr val="dk1"/>
              </a:solidFill>
              <a:latin typeface="Arial" panose="020B0604020202020204" pitchFamily="34" charset="0"/>
              <a:ea typeface="+mn-ea"/>
              <a:cs typeface="Arial" panose="020B0604020202020204" pitchFamily="34" charset="0"/>
            </a:rPr>
            <a:t>)(T</a:t>
          </a:r>
          <a:r>
            <a:rPr lang="en-US" sz="1200" b="1" i="0" baseline="-25000">
              <a:solidFill>
                <a:schemeClr val="dk1"/>
              </a:solidFill>
              <a:latin typeface="Arial" panose="020B0604020202020204" pitchFamily="34" charset="0"/>
              <a:ea typeface="+mn-ea"/>
              <a:cs typeface="Arial" panose="020B0604020202020204" pitchFamily="34" charset="0"/>
            </a:rPr>
            <a:t>C</a:t>
          </a:r>
          <a:r>
            <a:rPr lang="en-US" sz="1200" b="1" i="0" baseline="0">
              <a:solidFill>
                <a:schemeClr val="dk1"/>
              </a:solidFill>
              <a:latin typeface="Arial" panose="020B0604020202020204" pitchFamily="34" charset="0"/>
              <a:ea typeface="+mn-ea"/>
              <a:cs typeface="Arial" panose="020B0604020202020204" pitchFamily="34" charset="0"/>
            </a:rPr>
            <a:t> - T</a:t>
          </a:r>
          <a:r>
            <a:rPr lang="en-US" sz="1200" b="1" i="0" baseline="-25000">
              <a:solidFill>
                <a:schemeClr val="dk1"/>
              </a:solidFill>
              <a:latin typeface="Arial" panose="020B0604020202020204" pitchFamily="34" charset="0"/>
              <a:ea typeface="+mn-ea"/>
              <a:cs typeface="Arial" panose="020B0604020202020204" pitchFamily="34" charset="0"/>
            </a:rPr>
            <a:t>B</a:t>
          </a:r>
          <a:r>
            <a:rPr lang="en-US" sz="1200" b="1" i="0" baseline="0">
              <a:solidFill>
                <a:schemeClr val="dk1"/>
              </a:solidFill>
              <a:latin typeface="Arial" panose="020B0604020202020204" pitchFamily="34" charset="0"/>
              <a:ea typeface="+mn-ea"/>
              <a:cs typeface="Arial" panose="020B0604020202020204" pitchFamily="34" charset="0"/>
            </a:rPr>
            <a:t>) I    (positive values)</a:t>
          </a:r>
          <a:endParaRPr lang="en-US" sz="1200">
            <a:latin typeface="Arial" panose="020B0604020202020204" pitchFamily="34" charset="0"/>
            <a:cs typeface="Arial" panose="020B0604020202020204" pitchFamily="34" charset="0"/>
          </a:endParaRPr>
        </a:p>
        <a:p>
          <a:pPr rtl="0" fontAlgn="base"/>
          <a:endParaRPr lang="en-US" sz="1200" b="1" i="0" baseline="0">
            <a:solidFill>
              <a:schemeClr val="dk1"/>
            </a:solidFill>
            <a:latin typeface="Arial" panose="020B0604020202020204" pitchFamily="34" charset="0"/>
            <a:ea typeface="+mn-ea"/>
            <a:cs typeface="Arial" panose="020B0604020202020204" pitchFamily="34" charset="0"/>
          </a:endParaRPr>
        </a:p>
        <a:p>
          <a:pPr rtl="0"/>
          <a:r>
            <a:rPr lang="en-US" sz="1200" b="1" i="0" baseline="0">
              <a:solidFill>
                <a:schemeClr val="dk1"/>
              </a:solidFill>
              <a:latin typeface="Arial" panose="020B0604020202020204" pitchFamily="34" charset="0"/>
              <a:ea typeface="+mn-ea"/>
              <a:cs typeface="Arial" panose="020B0604020202020204" pitchFamily="34" charset="0"/>
            </a:rPr>
            <a:t>D to A:  Constant volume cooling.</a:t>
          </a:r>
          <a:endParaRPr lang="en-US" sz="1200">
            <a:latin typeface="Arial" panose="020B0604020202020204" pitchFamily="34" charset="0"/>
            <a:cs typeface="Arial" panose="020B0604020202020204" pitchFamily="34" charset="0"/>
          </a:endParaRPr>
        </a:p>
        <a:p>
          <a:pPr rtl="0" fontAlgn="base"/>
          <a:endParaRPr lang="en-US" sz="1200" b="1" i="0" baseline="0">
            <a:solidFill>
              <a:schemeClr val="dk1"/>
            </a:solidFill>
            <a:latin typeface="Arial" panose="020B0604020202020204" pitchFamily="34" charset="0"/>
            <a:ea typeface="+mn-ea"/>
            <a:cs typeface="Arial" panose="020B0604020202020204" pitchFamily="34" charset="0"/>
          </a:endParaRPr>
        </a:p>
        <a:p>
          <a:pPr rtl="0" fontAlgn="base"/>
          <a:r>
            <a:rPr lang="en-US" sz="1200" b="1" i="0" baseline="0">
              <a:solidFill>
                <a:schemeClr val="dk1"/>
              </a:solidFill>
              <a:latin typeface="Arial" panose="020B0604020202020204" pitchFamily="34" charset="0"/>
              <a:ea typeface="+mn-ea"/>
              <a:cs typeface="Arial" panose="020B0604020202020204" pitchFamily="34" charset="0"/>
            </a:rPr>
            <a:t>            Qout = I c</a:t>
          </a:r>
          <a:r>
            <a:rPr lang="en-US" sz="1200" b="1" i="0" baseline="-25000">
              <a:solidFill>
                <a:schemeClr val="dk1"/>
              </a:solidFill>
              <a:latin typeface="Arial" panose="020B0604020202020204" pitchFamily="34" charset="0"/>
              <a:ea typeface="+mn-ea"/>
              <a:cs typeface="Arial" panose="020B0604020202020204" pitchFamily="34" charset="0"/>
            </a:rPr>
            <a:t>v</a:t>
          </a:r>
          <a:r>
            <a:rPr lang="en-US" sz="1200" b="1" i="0" baseline="0">
              <a:solidFill>
                <a:schemeClr val="dk1"/>
              </a:solidFill>
              <a:latin typeface="Arial" panose="020B0604020202020204" pitchFamily="34" charset="0"/>
              <a:ea typeface="+mn-ea"/>
              <a:cs typeface="Arial" panose="020B0604020202020204" pitchFamily="34" charset="0"/>
            </a:rPr>
            <a:t>(T</a:t>
          </a:r>
          <a:r>
            <a:rPr lang="en-US" sz="1200" b="1" i="0" baseline="-25000">
              <a:solidFill>
                <a:schemeClr val="dk1"/>
              </a:solidFill>
              <a:latin typeface="Arial" panose="020B0604020202020204" pitchFamily="34" charset="0"/>
              <a:ea typeface="+mn-ea"/>
              <a:cs typeface="Arial" panose="020B0604020202020204" pitchFamily="34" charset="0"/>
            </a:rPr>
            <a:t>A</a:t>
          </a:r>
          <a:r>
            <a:rPr lang="en-US" sz="1200" b="1" i="0" baseline="0">
              <a:solidFill>
                <a:schemeClr val="dk1"/>
              </a:solidFill>
              <a:latin typeface="Arial" panose="020B0604020202020204" pitchFamily="34" charset="0"/>
              <a:ea typeface="+mn-ea"/>
              <a:cs typeface="Arial" panose="020B0604020202020204" pitchFamily="34" charset="0"/>
            </a:rPr>
            <a:t> - T</a:t>
          </a:r>
          <a:r>
            <a:rPr lang="en-US" sz="1200" b="1" i="0" baseline="-25000">
              <a:solidFill>
                <a:schemeClr val="dk1"/>
              </a:solidFill>
              <a:latin typeface="Arial" panose="020B0604020202020204" pitchFamily="34" charset="0"/>
              <a:ea typeface="+mn-ea"/>
              <a:cs typeface="Arial" panose="020B0604020202020204" pitchFamily="34" charset="0"/>
            </a:rPr>
            <a:t>D</a:t>
          </a:r>
          <a:r>
            <a:rPr lang="en-US" sz="1200" b="1" i="0" baseline="0">
              <a:solidFill>
                <a:schemeClr val="dk1"/>
              </a:solidFill>
              <a:latin typeface="Arial" panose="020B0604020202020204" pitchFamily="34" charset="0"/>
              <a:ea typeface="+mn-ea"/>
              <a:cs typeface="Arial" panose="020B0604020202020204" pitchFamily="34" charset="0"/>
            </a:rPr>
            <a:t>) I    (positive values)</a:t>
          </a:r>
          <a:endParaRPr lang="en-US" sz="1200" b="0" i="0" baseline="0">
            <a:solidFill>
              <a:schemeClr val="dk1"/>
            </a:solidFill>
            <a:latin typeface="Arial" panose="020B0604020202020204" pitchFamily="34" charset="0"/>
            <a:ea typeface="+mn-ea"/>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Diesel engines can be two-stroke or four stroke. The p-v and T-s diagrams are the same for both types. The difference is the number of power strokes. </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Two stroke has one power stroke per revolution.</a:t>
          </a:r>
          <a:endParaRPr lang="en-US" sz="1200">
            <a:latin typeface="Arial" panose="020B0604020202020204" pitchFamily="34" charset="0"/>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Four stroke has one power stroke per two revolutions.</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fontAlgn="base"/>
          <a:r>
            <a:rPr lang="en-US" sz="1200" b="0" i="0" baseline="0">
              <a:solidFill>
                <a:schemeClr val="dk1"/>
              </a:solidFill>
              <a:latin typeface="Arial" panose="020B0604020202020204" pitchFamily="34" charset="0"/>
              <a:ea typeface="+mn-ea"/>
              <a:cs typeface="Arial" panose="020B0604020202020204" pitchFamily="34" charset="0"/>
            </a:rPr>
            <a:t>Compression ratio,  R</a:t>
          </a:r>
          <a:r>
            <a:rPr lang="en-US" sz="1200" b="0" i="0" baseline="-25000">
              <a:solidFill>
                <a:schemeClr val="dk1"/>
              </a:solidFill>
              <a:latin typeface="Arial" panose="020B0604020202020204" pitchFamily="34" charset="0"/>
              <a:ea typeface="+mn-ea"/>
              <a:cs typeface="Arial" panose="020B0604020202020204" pitchFamily="34" charset="0"/>
            </a:rPr>
            <a:t>v</a:t>
          </a:r>
          <a:r>
            <a:rPr lang="en-US" sz="1200" b="0" i="0" baseline="0">
              <a:solidFill>
                <a:schemeClr val="dk1"/>
              </a:solidFill>
              <a:latin typeface="Arial" panose="020B0604020202020204" pitchFamily="34" charset="0"/>
              <a:ea typeface="+mn-ea"/>
              <a:cs typeface="Arial" panose="020B0604020202020204" pitchFamily="34" charset="0"/>
            </a:rPr>
            <a:t> = V</a:t>
          </a:r>
          <a:r>
            <a:rPr lang="en-US" sz="1200" b="0" i="0" baseline="-25000">
              <a:solidFill>
                <a:schemeClr val="dk1"/>
              </a:solidFill>
              <a:latin typeface="Arial" panose="020B0604020202020204" pitchFamily="34" charset="0"/>
              <a:ea typeface="+mn-ea"/>
              <a:cs typeface="Arial" panose="020B0604020202020204" pitchFamily="34" charset="0"/>
            </a:rPr>
            <a:t>A</a:t>
          </a:r>
          <a:r>
            <a:rPr lang="en-US" sz="1200" b="0" i="0" baseline="0">
              <a:solidFill>
                <a:schemeClr val="dk1"/>
              </a:solidFill>
              <a:latin typeface="Arial" panose="020B0604020202020204" pitchFamily="34" charset="0"/>
              <a:ea typeface="+mn-ea"/>
              <a:cs typeface="Arial" panose="020B0604020202020204" pitchFamily="34" charset="0"/>
            </a:rPr>
            <a:t>/V</a:t>
          </a:r>
          <a:r>
            <a:rPr lang="en-US" sz="1200" b="0" i="0" baseline="-25000">
              <a:solidFill>
                <a:schemeClr val="dk1"/>
              </a:solidFill>
              <a:latin typeface="Arial" panose="020B0604020202020204" pitchFamily="34" charset="0"/>
              <a:ea typeface="+mn-ea"/>
              <a:cs typeface="Arial" panose="020B0604020202020204" pitchFamily="34" charset="0"/>
            </a:rPr>
            <a:t>B</a:t>
          </a:r>
          <a:endParaRPr lang="en-US" sz="1200" b="0" i="0" baseline="0">
            <a:solidFill>
              <a:schemeClr val="dk1"/>
            </a:solidFill>
            <a:latin typeface="Arial" panose="020B0604020202020204" pitchFamily="34" charset="0"/>
            <a:ea typeface="+mn-ea"/>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Cut-off volume = V</a:t>
          </a:r>
          <a:r>
            <a:rPr lang="en-US" sz="1200" b="0" i="0" baseline="-25000">
              <a:solidFill>
                <a:schemeClr val="dk1"/>
              </a:solidFill>
              <a:latin typeface="Arial" panose="020B0604020202020204" pitchFamily="34" charset="0"/>
              <a:ea typeface="+mn-ea"/>
              <a:cs typeface="Arial" panose="020B0604020202020204" pitchFamily="34" charset="0"/>
            </a:rPr>
            <a:t>C</a:t>
          </a:r>
          <a:endParaRPr lang="en-US" sz="1200">
            <a:latin typeface="Arial" panose="020B0604020202020204" pitchFamily="34" charset="0"/>
            <a:cs typeface="Arial" panose="020B0604020202020204" pitchFamily="34" charset="0"/>
          </a:endParaRPr>
        </a:p>
        <a:p>
          <a:pPr rtl="0"/>
          <a:endParaRPr lang="en-US" sz="1200" b="0" i="0" baseline="-25000">
            <a:solidFill>
              <a:schemeClr val="dk1"/>
            </a:solidFill>
            <a:latin typeface="Arial" panose="020B0604020202020204" pitchFamily="34" charset="0"/>
            <a:ea typeface="+mn-ea"/>
            <a:cs typeface="Arial" panose="020B0604020202020204" pitchFamily="34" charset="0"/>
          </a:endParaRPr>
        </a:p>
        <a:p>
          <a:pPr rtl="0" fontAlgn="base"/>
          <a:r>
            <a:rPr lang="en-US" sz="1200" b="0" i="0" baseline="0">
              <a:solidFill>
                <a:schemeClr val="dk1"/>
              </a:solidFill>
              <a:latin typeface="Arial" panose="020B0604020202020204" pitchFamily="34" charset="0"/>
              <a:ea typeface="+mn-ea"/>
              <a:cs typeface="Arial" panose="020B0604020202020204" pitchFamily="34" charset="0"/>
            </a:rPr>
            <a:t>Cut-off ratio, Rc = V</a:t>
          </a:r>
          <a:r>
            <a:rPr lang="en-US" sz="1200" b="0" i="0" baseline="-25000">
              <a:solidFill>
                <a:schemeClr val="dk1"/>
              </a:solidFill>
              <a:latin typeface="Arial" panose="020B0604020202020204" pitchFamily="34" charset="0"/>
              <a:ea typeface="+mn-ea"/>
              <a:cs typeface="Arial" panose="020B0604020202020204" pitchFamily="34" charset="0"/>
            </a:rPr>
            <a:t>C</a:t>
          </a:r>
          <a:r>
            <a:rPr lang="en-US" sz="1200" b="0" i="0" baseline="0">
              <a:solidFill>
                <a:schemeClr val="dk1"/>
              </a:solidFill>
              <a:latin typeface="Arial" panose="020B0604020202020204" pitchFamily="34" charset="0"/>
              <a:ea typeface="+mn-ea"/>
              <a:cs typeface="Arial" panose="020B0604020202020204" pitchFamily="34" charset="0"/>
            </a:rPr>
            <a:t>/V</a:t>
          </a:r>
          <a:r>
            <a:rPr lang="en-US" sz="1200" b="0" i="0" baseline="-25000">
              <a:solidFill>
                <a:schemeClr val="dk1"/>
              </a:solidFill>
              <a:latin typeface="Arial" panose="020B0604020202020204" pitchFamily="34" charset="0"/>
              <a:ea typeface="+mn-ea"/>
              <a:cs typeface="Arial" panose="020B0604020202020204" pitchFamily="34" charset="0"/>
            </a:rPr>
            <a:t>B</a:t>
          </a:r>
          <a:r>
            <a:rPr lang="en-US" sz="1200" b="0" i="0" baseline="0">
              <a:solidFill>
                <a:schemeClr val="dk1"/>
              </a:solidFill>
              <a:latin typeface="Arial" panose="020B0604020202020204" pitchFamily="34" charset="0"/>
              <a:ea typeface="+mn-ea"/>
              <a:cs typeface="Arial" panose="020B0604020202020204" pitchFamily="34" charset="0"/>
            </a:rPr>
            <a:t> = T</a:t>
          </a:r>
          <a:r>
            <a:rPr lang="en-US" sz="1200" b="0" i="0" baseline="-25000">
              <a:solidFill>
                <a:schemeClr val="dk1"/>
              </a:solidFill>
              <a:latin typeface="Arial" panose="020B0604020202020204" pitchFamily="34" charset="0"/>
              <a:ea typeface="+mn-ea"/>
              <a:cs typeface="Arial" panose="020B0604020202020204" pitchFamily="34" charset="0"/>
            </a:rPr>
            <a:t>C</a:t>
          </a:r>
          <a:r>
            <a:rPr lang="en-US" sz="1200" b="0" i="0" baseline="0">
              <a:solidFill>
                <a:schemeClr val="dk1"/>
              </a:solidFill>
              <a:latin typeface="Arial" panose="020B0604020202020204" pitchFamily="34" charset="0"/>
              <a:ea typeface="+mn-ea"/>
              <a:cs typeface="Arial" panose="020B0604020202020204" pitchFamily="34" charset="0"/>
            </a:rPr>
            <a:t>/T</a:t>
          </a:r>
          <a:r>
            <a:rPr lang="en-US" sz="1200" b="0" i="0" baseline="-25000">
              <a:solidFill>
                <a:schemeClr val="dk1"/>
              </a:solidFill>
              <a:latin typeface="Arial" panose="020B0604020202020204" pitchFamily="34" charset="0"/>
              <a:ea typeface="+mn-ea"/>
              <a:cs typeface="Arial" panose="020B0604020202020204" pitchFamily="34" charset="0"/>
            </a:rPr>
            <a:t>B</a:t>
          </a:r>
          <a:endParaRPr lang="en-US" sz="1200" b="0" i="0" baseline="0">
            <a:solidFill>
              <a:schemeClr val="dk1"/>
            </a:solidFill>
            <a:latin typeface="Arial" panose="020B0604020202020204" pitchFamily="34" charset="0"/>
            <a:ea typeface="+mn-ea"/>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Pressure, volume, and temperature at each point in a cycle can be calculated from the deal gas equations.</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fontAlgn="base"/>
          <a:r>
            <a:rPr lang="en-US" sz="1200" b="0" i="0" baseline="0">
              <a:solidFill>
                <a:schemeClr val="dk1"/>
              </a:solidFill>
              <a:latin typeface="Arial" panose="020B0604020202020204" pitchFamily="34" charset="0"/>
              <a:ea typeface="+mn-ea"/>
              <a:cs typeface="Arial" panose="020B0604020202020204" pitchFamily="34" charset="0"/>
            </a:rPr>
            <a:t>Ideal gas equation:     P</a:t>
          </a:r>
          <a:r>
            <a:rPr lang="en-US" sz="1200" b="0" i="0" baseline="-25000">
              <a:solidFill>
                <a:schemeClr val="dk1"/>
              </a:solidFill>
              <a:latin typeface="Arial" panose="020B0604020202020204" pitchFamily="34" charset="0"/>
              <a:ea typeface="+mn-ea"/>
              <a:cs typeface="Arial" panose="020B0604020202020204" pitchFamily="34" charset="0"/>
            </a:rPr>
            <a:t>A</a:t>
          </a:r>
          <a:r>
            <a:rPr lang="en-US" sz="1200" b="0" i="0" baseline="0">
              <a:solidFill>
                <a:schemeClr val="dk1"/>
              </a:solidFill>
              <a:latin typeface="Arial" panose="020B0604020202020204" pitchFamily="34" charset="0"/>
              <a:ea typeface="+mn-ea"/>
              <a:cs typeface="Arial" panose="020B0604020202020204" pitchFamily="34" charset="0"/>
            </a:rPr>
            <a:t>V</a:t>
          </a:r>
          <a:r>
            <a:rPr lang="en-US" sz="1200" b="0" i="0" baseline="-25000">
              <a:solidFill>
                <a:schemeClr val="dk1"/>
              </a:solidFill>
              <a:latin typeface="Arial" panose="020B0604020202020204" pitchFamily="34" charset="0"/>
              <a:ea typeface="+mn-ea"/>
              <a:cs typeface="Arial" panose="020B0604020202020204" pitchFamily="34" charset="0"/>
            </a:rPr>
            <a:t>A</a:t>
          </a:r>
          <a:r>
            <a:rPr lang="en-US" sz="1200" b="0" i="0" baseline="0">
              <a:solidFill>
                <a:schemeClr val="dk1"/>
              </a:solidFill>
              <a:latin typeface="Arial" panose="020B0604020202020204" pitchFamily="34" charset="0"/>
              <a:ea typeface="+mn-ea"/>
              <a:cs typeface="Arial" panose="020B0604020202020204" pitchFamily="34" charset="0"/>
            </a:rPr>
            <a:t> / T</a:t>
          </a:r>
          <a:r>
            <a:rPr lang="en-US" sz="1200" b="0" i="0" baseline="-25000">
              <a:solidFill>
                <a:schemeClr val="dk1"/>
              </a:solidFill>
              <a:latin typeface="Arial" panose="020B0604020202020204" pitchFamily="34" charset="0"/>
              <a:ea typeface="+mn-ea"/>
              <a:cs typeface="Arial" panose="020B0604020202020204" pitchFamily="34" charset="0"/>
            </a:rPr>
            <a:t>A</a:t>
          </a:r>
          <a:r>
            <a:rPr lang="en-US" sz="1200" b="0" i="0" baseline="0">
              <a:solidFill>
                <a:schemeClr val="dk1"/>
              </a:solidFill>
              <a:latin typeface="Arial" panose="020B0604020202020204" pitchFamily="34" charset="0"/>
              <a:ea typeface="+mn-ea"/>
              <a:cs typeface="Arial" panose="020B0604020202020204" pitchFamily="34" charset="0"/>
            </a:rPr>
            <a:t> = P</a:t>
          </a:r>
          <a:r>
            <a:rPr lang="en-US" sz="1200" b="0" i="0" baseline="-25000">
              <a:solidFill>
                <a:schemeClr val="dk1"/>
              </a:solidFill>
              <a:latin typeface="Arial" panose="020B0604020202020204" pitchFamily="34" charset="0"/>
              <a:ea typeface="+mn-ea"/>
              <a:cs typeface="Arial" panose="020B0604020202020204" pitchFamily="34" charset="0"/>
            </a:rPr>
            <a:t>B</a:t>
          </a:r>
          <a:r>
            <a:rPr lang="en-US" sz="1200" b="0" i="0" baseline="0">
              <a:solidFill>
                <a:schemeClr val="dk1"/>
              </a:solidFill>
              <a:latin typeface="Arial" panose="020B0604020202020204" pitchFamily="34" charset="0"/>
              <a:ea typeface="+mn-ea"/>
              <a:cs typeface="Arial" panose="020B0604020202020204" pitchFamily="34" charset="0"/>
            </a:rPr>
            <a:t>V</a:t>
          </a:r>
          <a:r>
            <a:rPr lang="en-US" sz="1200" b="0" i="0" baseline="-25000">
              <a:solidFill>
                <a:schemeClr val="dk1"/>
              </a:solidFill>
              <a:latin typeface="Arial" panose="020B0604020202020204" pitchFamily="34" charset="0"/>
              <a:ea typeface="+mn-ea"/>
              <a:cs typeface="Arial" panose="020B0604020202020204" pitchFamily="34" charset="0"/>
            </a:rPr>
            <a:t>B</a:t>
          </a:r>
          <a:r>
            <a:rPr lang="en-US" sz="1200" b="0" i="0" baseline="0">
              <a:solidFill>
                <a:schemeClr val="dk1"/>
              </a:solidFill>
              <a:latin typeface="Arial" panose="020B0604020202020204" pitchFamily="34" charset="0"/>
              <a:ea typeface="+mn-ea"/>
              <a:cs typeface="Arial" panose="020B0604020202020204" pitchFamily="34" charset="0"/>
            </a:rPr>
            <a:t> / T</a:t>
          </a:r>
          <a:r>
            <a:rPr lang="en-US" sz="1200" b="0" i="0" baseline="-25000">
              <a:solidFill>
                <a:schemeClr val="dk1"/>
              </a:solidFill>
              <a:latin typeface="Arial" panose="020B0604020202020204" pitchFamily="34" charset="0"/>
              <a:ea typeface="+mn-ea"/>
              <a:cs typeface="Arial" panose="020B0604020202020204" pitchFamily="34" charset="0"/>
            </a:rPr>
            <a:t>B</a:t>
          </a:r>
          <a:endParaRPr lang="en-US" sz="1200" b="0" i="0" baseline="0">
            <a:solidFill>
              <a:schemeClr val="dk1"/>
            </a:solidFill>
            <a:latin typeface="Arial" panose="020B0604020202020204" pitchFamily="34" charset="0"/>
            <a:ea typeface="+mn-ea"/>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Because the piston travel is fixed the temperature ratios are equal:</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fontAlgn="base"/>
          <a:r>
            <a:rPr lang="en-US" sz="1200" b="0" i="0" baseline="0">
              <a:solidFill>
                <a:schemeClr val="dk1"/>
              </a:solidFill>
              <a:latin typeface="Arial" panose="020B0604020202020204" pitchFamily="34" charset="0"/>
              <a:ea typeface="+mn-ea"/>
              <a:cs typeface="Arial" panose="020B0604020202020204" pitchFamily="34" charset="0"/>
            </a:rPr>
            <a:t>         T</a:t>
          </a:r>
          <a:r>
            <a:rPr lang="en-US" sz="1200" b="0" i="0" baseline="-25000">
              <a:solidFill>
                <a:schemeClr val="dk1"/>
              </a:solidFill>
              <a:latin typeface="Arial" panose="020B0604020202020204" pitchFamily="34" charset="0"/>
              <a:ea typeface="+mn-ea"/>
              <a:cs typeface="Arial" panose="020B0604020202020204" pitchFamily="34" charset="0"/>
            </a:rPr>
            <a:t>D</a:t>
          </a:r>
          <a:r>
            <a:rPr lang="en-US" sz="1200" b="0" i="0" baseline="0">
              <a:solidFill>
                <a:schemeClr val="dk1"/>
              </a:solidFill>
              <a:latin typeface="Arial" panose="020B0604020202020204" pitchFamily="34" charset="0"/>
              <a:ea typeface="+mn-ea"/>
              <a:cs typeface="Arial" panose="020B0604020202020204" pitchFamily="34" charset="0"/>
            </a:rPr>
            <a:t> / T</a:t>
          </a:r>
          <a:r>
            <a:rPr lang="en-US" sz="1200" b="0" i="0" baseline="-25000">
              <a:solidFill>
                <a:schemeClr val="dk1"/>
              </a:solidFill>
              <a:latin typeface="Arial" panose="020B0604020202020204" pitchFamily="34" charset="0"/>
              <a:ea typeface="+mn-ea"/>
              <a:cs typeface="Arial" panose="020B0604020202020204" pitchFamily="34" charset="0"/>
            </a:rPr>
            <a:t>C</a:t>
          </a:r>
          <a:r>
            <a:rPr lang="en-US" sz="1200" b="0" i="0" baseline="0">
              <a:solidFill>
                <a:schemeClr val="dk1"/>
              </a:solidFill>
              <a:latin typeface="Arial" panose="020B0604020202020204" pitchFamily="34" charset="0"/>
              <a:ea typeface="+mn-ea"/>
              <a:cs typeface="Arial" panose="020B0604020202020204" pitchFamily="34" charset="0"/>
            </a:rPr>
            <a:t> = T</a:t>
          </a:r>
          <a:r>
            <a:rPr lang="en-US" sz="1200" b="0" i="0" baseline="-25000">
              <a:solidFill>
                <a:schemeClr val="dk1"/>
              </a:solidFill>
              <a:latin typeface="Arial" panose="020B0604020202020204" pitchFamily="34" charset="0"/>
              <a:ea typeface="+mn-ea"/>
              <a:cs typeface="Arial" panose="020B0604020202020204" pitchFamily="34" charset="0"/>
            </a:rPr>
            <a:t>A </a:t>
          </a:r>
          <a:r>
            <a:rPr lang="en-US" sz="1200" b="0" i="0" baseline="0">
              <a:solidFill>
                <a:schemeClr val="dk1"/>
              </a:solidFill>
              <a:latin typeface="Arial" panose="020B0604020202020204" pitchFamily="34" charset="0"/>
              <a:ea typeface="+mn-ea"/>
              <a:cs typeface="Arial" panose="020B0604020202020204" pitchFamily="34" charset="0"/>
            </a:rPr>
            <a:t>/ T</a:t>
          </a:r>
          <a:r>
            <a:rPr lang="en-US" sz="1200" b="0" i="0" baseline="-25000">
              <a:solidFill>
                <a:schemeClr val="dk1"/>
              </a:solidFill>
              <a:latin typeface="Arial" panose="020B0604020202020204" pitchFamily="34" charset="0"/>
              <a:ea typeface="+mn-ea"/>
              <a:cs typeface="Arial" panose="020B0604020202020204" pitchFamily="34" charset="0"/>
            </a:rPr>
            <a:t>B</a:t>
          </a:r>
          <a:endParaRPr lang="en-US" sz="1200" b="0" i="0" baseline="0">
            <a:solidFill>
              <a:schemeClr val="dk1"/>
            </a:solidFill>
            <a:latin typeface="Arial" panose="020B0604020202020204" pitchFamily="34" charset="0"/>
            <a:ea typeface="+mn-ea"/>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Pressure, volume, and temperature for the isentropic and constant volume ideal gas processes can be evaluated using air tables or the ideal gas equations.</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Thermal efficiency of the diesel cycle can be found from:</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        </a:t>
          </a:r>
          <a:r>
            <a:rPr lang="el-GR" sz="1200" b="0" i="0" baseline="0">
              <a:solidFill>
                <a:schemeClr val="dk1"/>
              </a:solidFill>
              <a:latin typeface="Arial" panose="020B0604020202020204" pitchFamily="34" charset="0"/>
              <a:ea typeface="+mn-ea"/>
              <a:cs typeface="Arial" panose="020B0604020202020204" pitchFamily="34" charset="0"/>
            </a:rPr>
            <a:t>η</a:t>
          </a:r>
          <a:r>
            <a:rPr lang="en-US" sz="1200" b="0" i="0" baseline="-25000">
              <a:solidFill>
                <a:schemeClr val="dk1"/>
              </a:solidFill>
              <a:latin typeface="Arial" panose="020B0604020202020204" pitchFamily="34" charset="0"/>
              <a:ea typeface="+mn-ea"/>
              <a:cs typeface="Arial" panose="020B0604020202020204" pitchFamily="34" charset="0"/>
            </a:rPr>
            <a:t>th</a:t>
          </a:r>
          <a:r>
            <a:rPr lang="en-US" sz="1200" b="0" i="0" baseline="0">
              <a:solidFill>
                <a:schemeClr val="dk1"/>
              </a:solidFill>
              <a:latin typeface="Arial" panose="020B0604020202020204" pitchFamily="34" charset="0"/>
              <a:ea typeface="+mn-ea"/>
              <a:cs typeface="Arial" panose="020B0604020202020204" pitchFamily="34" charset="0"/>
            </a:rPr>
            <a:t> = (Qin - Qout) / Qin = (Wout - Win) / Qin</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        </a:t>
          </a:r>
          <a:r>
            <a:rPr lang="el-GR" sz="1200" b="0" i="0" baseline="0">
              <a:solidFill>
                <a:schemeClr val="dk1"/>
              </a:solidFill>
              <a:latin typeface="Arial" panose="020B0604020202020204" pitchFamily="34" charset="0"/>
              <a:ea typeface="+mn-ea"/>
              <a:cs typeface="Arial" panose="020B0604020202020204" pitchFamily="34" charset="0"/>
            </a:rPr>
            <a:t>η</a:t>
          </a:r>
          <a:r>
            <a:rPr lang="en-US" sz="1200" b="0" i="0" baseline="-25000">
              <a:solidFill>
                <a:schemeClr val="dk1"/>
              </a:solidFill>
              <a:latin typeface="Arial" panose="020B0604020202020204" pitchFamily="34" charset="0"/>
              <a:ea typeface="+mn-ea"/>
              <a:cs typeface="Arial" panose="020B0604020202020204" pitchFamily="34" charset="0"/>
            </a:rPr>
            <a:t>th</a:t>
          </a:r>
          <a:r>
            <a:rPr lang="en-US" sz="1200" b="0" i="0" baseline="0">
              <a:solidFill>
                <a:schemeClr val="dk1"/>
              </a:solidFill>
              <a:latin typeface="Arial" panose="020B0604020202020204" pitchFamily="34" charset="0"/>
              <a:ea typeface="+mn-ea"/>
              <a:cs typeface="Arial" panose="020B0604020202020204" pitchFamily="34" charset="0"/>
            </a:rPr>
            <a:t> = 1 - (T</a:t>
          </a:r>
          <a:r>
            <a:rPr lang="en-US" sz="1200" b="0" i="0" baseline="-25000">
              <a:solidFill>
                <a:schemeClr val="dk1"/>
              </a:solidFill>
              <a:latin typeface="Arial" panose="020B0604020202020204" pitchFamily="34" charset="0"/>
              <a:ea typeface="+mn-ea"/>
              <a:cs typeface="Arial" panose="020B0604020202020204" pitchFamily="34" charset="0"/>
            </a:rPr>
            <a:t>D</a:t>
          </a:r>
          <a:r>
            <a:rPr lang="en-US" sz="1200" b="0" i="0" baseline="0">
              <a:solidFill>
                <a:schemeClr val="dk1"/>
              </a:solidFill>
              <a:latin typeface="Arial" panose="020B0604020202020204" pitchFamily="34" charset="0"/>
              <a:ea typeface="+mn-ea"/>
              <a:cs typeface="Arial" panose="020B0604020202020204" pitchFamily="34" charset="0"/>
            </a:rPr>
            <a:t> - T</a:t>
          </a:r>
          <a:r>
            <a:rPr lang="en-US" sz="1200" b="0" i="0" baseline="-25000">
              <a:solidFill>
                <a:schemeClr val="dk1"/>
              </a:solidFill>
              <a:latin typeface="Arial" panose="020B0604020202020204" pitchFamily="34" charset="0"/>
              <a:ea typeface="+mn-ea"/>
              <a:cs typeface="Arial" panose="020B0604020202020204" pitchFamily="34" charset="0"/>
            </a:rPr>
            <a:t>A</a:t>
          </a:r>
          <a:r>
            <a:rPr lang="en-US" sz="1200" b="0" i="0" baseline="0">
              <a:solidFill>
                <a:schemeClr val="dk1"/>
              </a:solidFill>
              <a:latin typeface="Arial" panose="020B0604020202020204" pitchFamily="34" charset="0"/>
              <a:ea typeface="+mn-ea"/>
              <a:cs typeface="Arial" panose="020B0604020202020204" pitchFamily="34" charset="0"/>
            </a:rPr>
            <a:t>) / (k(T</a:t>
          </a:r>
          <a:r>
            <a:rPr lang="en-US" sz="1200" b="0" i="0" baseline="-25000">
              <a:solidFill>
                <a:schemeClr val="dk1"/>
              </a:solidFill>
              <a:latin typeface="Arial" panose="020B0604020202020204" pitchFamily="34" charset="0"/>
              <a:ea typeface="+mn-ea"/>
              <a:cs typeface="Arial" panose="020B0604020202020204" pitchFamily="34" charset="0"/>
            </a:rPr>
            <a:t>C</a:t>
          </a:r>
          <a:r>
            <a:rPr lang="en-US" sz="1200" b="0" i="0" baseline="0">
              <a:solidFill>
                <a:schemeClr val="dk1"/>
              </a:solidFill>
              <a:latin typeface="Arial" panose="020B0604020202020204" pitchFamily="34" charset="0"/>
              <a:ea typeface="+mn-ea"/>
              <a:cs typeface="Arial" panose="020B0604020202020204" pitchFamily="34" charset="0"/>
            </a:rPr>
            <a:t> - T</a:t>
          </a:r>
          <a:r>
            <a:rPr lang="en-US" sz="1200" b="0" i="0" baseline="-25000">
              <a:solidFill>
                <a:schemeClr val="dk1"/>
              </a:solidFill>
              <a:latin typeface="Arial" panose="020B0604020202020204" pitchFamily="34" charset="0"/>
              <a:ea typeface="+mn-ea"/>
              <a:cs typeface="Arial" panose="020B0604020202020204" pitchFamily="34" charset="0"/>
            </a:rPr>
            <a:t>B</a:t>
          </a:r>
          <a:r>
            <a:rPr lang="en-US" sz="1200" b="0" i="0" baseline="0">
              <a:solidFill>
                <a:schemeClr val="dk1"/>
              </a:solidFill>
              <a:latin typeface="Arial" panose="020B0604020202020204" pitchFamily="34" charset="0"/>
              <a:ea typeface="+mn-ea"/>
              <a:cs typeface="Arial" panose="020B0604020202020204" pitchFamily="34" charset="0"/>
            </a:rPr>
            <a:t>)</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1" i="0" u="sng" baseline="0">
              <a:solidFill>
                <a:schemeClr val="dk1"/>
              </a:solidFill>
              <a:latin typeface="Arial" panose="020B0604020202020204" pitchFamily="34" charset="0"/>
              <a:ea typeface="+mn-ea"/>
              <a:cs typeface="Arial" panose="020B0604020202020204" pitchFamily="34" charset="0"/>
            </a:rPr>
            <a:t>Diesel engines have the highest thermal efficiency of  steam and combustion engines including turbines.</a:t>
          </a:r>
          <a:endParaRPr lang="en-US" sz="1200">
            <a:latin typeface="Arial" panose="020B0604020202020204" pitchFamily="34" charset="0"/>
            <a:cs typeface="Arial" panose="020B0604020202020204" pitchFamily="34" charset="0"/>
          </a:endParaRPr>
        </a:p>
        <a:p>
          <a:pPr rtl="0" fontAlgn="base"/>
          <a:endParaRPr lang="en-US" sz="1200" b="1" i="0" u="sng" baseline="0">
            <a:solidFill>
              <a:schemeClr val="dk1"/>
            </a:solidFill>
            <a:latin typeface="Arial" panose="020B0604020202020204" pitchFamily="34" charset="0"/>
            <a:ea typeface="+mn-ea"/>
            <a:cs typeface="Arial" panose="020B0604020202020204" pitchFamily="34" charset="0"/>
          </a:endParaRPr>
        </a:p>
        <a:p>
          <a:pPr rtl="0" fontAlgn="base"/>
          <a:endParaRPr lang="en-US" sz="1200" b="1" i="0" u="sng" baseline="0">
            <a:solidFill>
              <a:schemeClr val="dk1"/>
            </a:solidFill>
            <a:latin typeface="Arial" panose="020B0604020202020204" pitchFamily="34" charset="0"/>
            <a:ea typeface="+mn-ea"/>
            <a:cs typeface="Arial" panose="020B0604020202020204" pitchFamily="34" charset="0"/>
          </a:endParaRPr>
        </a:p>
        <a:p>
          <a:pPr rtl="0" fontAlgn="base"/>
          <a:r>
            <a:rPr lang="en-US" sz="1200" b="1" i="0" baseline="0">
              <a:solidFill>
                <a:schemeClr val="dk1"/>
              </a:solidFill>
              <a:latin typeface="Arial" panose="020B0604020202020204" pitchFamily="34" charset="0"/>
              <a:ea typeface="+mn-ea"/>
              <a:cs typeface="Arial" panose="020B0604020202020204" pitchFamily="34" charset="0"/>
            </a:rPr>
            <a:t>EXAMPLE:  Diesel Cycle </a:t>
          </a:r>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A diesel cycle with a compression ratio of 18 operates on air.</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The low pressure is 200 kPa and low temperature 200 deg C.</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The work output is 1000 kJ/kg. </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a. Determine the diesel cycle thermal efficiency.</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b. Calculate the Mean Effective Pressure MEP.</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c. Find the Otto cycle efficiency operating at the same maximum pressure.</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fontAlgn="base"/>
          <a:r>
            <a:rPr lang="en-US" sz="1200" b="1" i="0" baseline="0">
              <a:solidFill>
                <a:schemeClr val="dk1"/>
              </a:solidFill>
              <a:latin typeface="Arial" panose="020B0604020202020204" pitchFamily="34" charset="0"/>
              <a:ea typeface="+mn-ea"/>
              <a:cs typeface="Arial" panose="020B0604020202020204" pitchFamily="34" charset="0"/>
            </a:rPr>
            <a:t>Answers:</a:t>
          </a:r>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a. Diesel cycle thermal efficiency, 62.9 %</a:t>
          </a:r>
          <a:endParaRPr lang="en-US" sz="1200">
            <a:latin typeface="Arial" panose="020B0604020202020204" pitchFamily="34" charset="0"/>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b. MEP = 641 kPa</a:t>
          </a:r>
          <a:endParaRPr lang="en-US" sz="1200">
            <a:latin typeface="Arial" panose="020B0604020202020204" pitchFamily="34" charset="0"/>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c. Otto cycle efficiency = 58.1%</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The example below is locked. </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Please use the </a:t>
          </a:r>
          <a:r>
            <a:rPr lang="en-US" sz="1200" b="1" i="0" baseline="0">
              <a:solidFill>
                <a:schemeClr val="dk1"/>
              </a:solidFill>
              <a:latin typeface="Arial" panose="020B0604020202020204" pitchFamily="34" charset="0"/>
              <a:ea typeface="+mn-ea"/>
              <a:cs typeface="Arial" panose="020B0604020202020204" pitchFamily="34" charset="0"/>
            </a:rPr>
            <a:t>"PROBLEM"</a:t>
          </a:r>
          <a:r>
            <a:rPr lang="en-US" sz="1200" b="0" i="0" baseline="0">
              <a:solidFill>
                <a:schemeClr val="dk1"/>
              </a:solidFill>
              <a:latin typeface="Arial" panose="020B0604020202020204" pitchFamily="34" charset="0"/>
              <a:ea typeface="+mn-ea"/>
              <a:cs typeface="Arial" panose="020B0604020202020204" pitchFamily="34" charset="0"/>
            </a:rPr>
            <a:t> below to solve this and similar problems.</a:t>
          </a:r>
          <a:endParaRPr lang="en-US" sz="1200">
            <a:latin typeface="Arial" panose="020B0604020202020204" pitchFamily="34" charset="0"/>
            <a:cs typeface="Arial" panose="020B0604020202020204" pitchFamily="34" charset="0"/>
          </a:endParaRPr>
        </a:p>
        <a:p>
          <a:endParaRPr lang="en-US" sz="1100"/>
        </a:p>
      </xdr:txBody>
    </xdr:sp>
    <xdr:clientData/>
  </xdr:twoCellAnchor>
  <xdr:twoCellAnchor>
    <xdr:from>
      <xdr:col>1</xdr:col>
      <xdr:colOff>0</xdr:colOff>
      <xdr:row>412</xdr:row>
      <xdr:rowOff>146051</xdr:rowOff>
    </xdr:from>
    <xdr:to>
      <xdr:col>3</xdr:col>
      <xdr:colOff>387350</xdr:colOff>
      <xdr:row>423</xdr:row>
      <xdr:rowOff>114301</xdr:rowOff>
    </xdr:to>
    <xdr:sp macro="" textlink="">
      <xdr:nvSpPr>
        <xdr:cNvPr id="19" name="TextBox 18">
          <a:extLst>
            <a:ext uri="{FF2B5EF4-FFF2-40B4-BE49-F238E27FC236}">
              <a16:creationId xmlns:a16="http://schemas.microsoft.com/office/drawing/2014/main" id="{00000000-0008-0000-0200-000013000000}"/>
            </a:ext>
          </a:extLst>
        </xdr:cNvPr>
        <xdr:cNvSpPr txBox="1"/>
      </xdr:nvSpPr>
      <xdr:spPr>
        <a:xfrm>
          <a:off x="495300" y="83832701"/>
          <a:ext cx="4705350" cy="41148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en-US" sz="1400" b="1"/>
        </a:p>
        <a:p>
          <a:pPr algn="ctr"/>
          <a:r>
            <a:rPr lang="en-US" sz="1400" b="1">
              <a:latin typeface="Arial" panose="020B0604020202020204" pitchFamily="34" charset="0"/>
              <a:cs typeface="Arial" panose="020B0604020202020204" pitchFamily="34" charset="0"/>
            </a:rPr>
            <a:t>"Brake Specific Fuel Consumption (or BSFC"   </a:t>
          </a:r>
        </a:p>
        <a:p>
          <a:pPr algn="ctr"/>
          <a:r>
            <a:rPr lang="en-US" sz="1400" b="1">
              <a:latin typeface="Arial" panose="020B0604020202020204" pitchFamily="34" charset="0"/>
              <a:cs typeface="Arial" panose="020B0604020202020204" pitchFamily="34" charset="0"/>
            </a:rPr>
            <a:t>  </a:t>
          </a:r>
        </a:p>
        <a:p>
          <a:pPr algn="l"/>
          <a:r>
            <a:rPr lang="en-US" sz="1400" b="1">
              <a:latin typeface="Arial" panose="020B0604020202020204" pitchFamily="34" charset="0"/>
              <a:cs typeface="Arial" panose="020B0604020202020204" pitchFamily="34" charset="0"/>
            </a:rPr>
            <a:t>       "</a:t>
          </a:r>
          <a:r>
            <a:rPr lang="en-US" sz="1200">
              <a:latin typeface="Arial" panose="020B0604020202020204" pitchFamily="34" charset="0"/>
              <a:cs typeface="Arial" panose="020B0604020202020204" pitchFamily="34" charset="0"/>
            </a:rPr>
            <a:t>is the ratio between the engine's fuel mass consumption and the crankshaft power it is producing.   </a:t>
          </a:r>
        </a:p>
        <a:p>
          <a:pPr algn="l"/>
          <a:r>
            <a:rPr lang="en-US" sz="1200">
              <a:latin typeface="Arial" panose="020B0604020202020204" pitchFamily="34" charset="0"/>
              <a:cs typeface="Arial" panose="020B0604020202020204" pitchFamily="34" charset="0"/>
            </a:rPr>
            <a:t>                                                                                                         To calculate the actual efficiency of an engine requires the energy density of the fuel being used.</a:t>
          </a:r>
        </a:p>
        <a:p>
          <a:pPr algn="l"/>
          <a:endParaRPr lang="en-US" sz="1200">
            <a:latin typeface="Arial" panose="020B0604020202020204" pitchFamily="34" charset="0"/>
            <a:cs typeface="Arial" panose="020B0604020202020204" pitchFamily="34" charset="0"/>
          </a:endParaRPr>
        </a:p>
        <a:p>
          <a:pPr algn="l"/>
          <a:r>
            <a:rPr lang="en-US" sz="1200">
              <a:latin typeface="Arial" panose="020B0604020202020204" pitchFamily="34" charset="0"/>
              <a:cs typeface="Arial" panose="020B0604020202020204" pitchFamily="34" charset="0"/>
            </a:rPr>
            <a:t>Different fuels have different energy densities defined by the fuels heating value. The </a:t>
          </a:r>
          <a:r>
            <a:rPr lang="en-US" sz="1200">
              <a:latin typeface="Arial" panose="020B0604020202020204" pitchFamily="34" charset="0"/>
              <a:cs typeface="Arial" panose="020B0604020202020204" pitchFamily="34" charset="0"/>
              <a:hlinkClick xmlns:r="http://schemas.openxmlformats.org/officeDocument/2006/relationships" r:id=""/>
            </a:rPr>
            <a:t>lower heating value</a:t>
          </a:r>
          <a:r>
            <a:rPr lang="en-US" sz="1200">
              <a:latin typeface="Arial" panose="020B0604020202020204" pitchFamily="34" charset="0"/>
              <a:cs typeface="Arial" panose="020B0604020202020204" pitchFamily="34" charset="0"/>
            </a:rPr>
            <a:t> LHV is used for internal combustion engines efficiency calculations because the heat at temperatures below 150 °C (300 °F) cannot be put to use.</a:t>
          </a:r>
        </a:p>
        <a:p>
          <a:pPr algn="l"/>
          <a:r>
            <a:rPr lang="en-US" sz="1200">
              <a:latin typeface="Arial" panose="020B0604020202020204" pitchFamily="34" charset="0"/>
              <a:cs typeface="Arial" panose="020B0604020202020204" pitchFamily="34" charset="0"/>
            </a:rPr>
            <a:t>Some examples of lower heating values for vehicle fuels are:</a:t>
          </a:r>
          <a:br>
            <a:rPr lang="en-US" sz="1200">
              <a:latin typeface="Arial" panose="020B0604020202020204" pitchFamily="34" charset="0"/>
              <a:cs typeface="Arial" panose="020B0604020202020204" pitchFamily="34" charset="0"/>
            </a:rPr>
          </a:br>
          <a:endParaRPr lang="en-US" sz="1200">
            <a:latin typeface="Arial" panose="020B0604020202020204" pitchFamily="34" charset="0"/>
            <a:cs typeface="Arial" panose="020B0604020202020204" pitchFamily="34" charset="0"/>
          </a:endParaRPr>
        </a:p>
        <a:p>
          <a:pPr algn="l"/>
          <a:r>
            <a:rPr lang="en-US" sz="1200">
              <a:latin typeface="Arial" panose="020B0604020202020204" pitchFamily="34" charset="0"/>
              <a:cs typeface="Arial" panose="020B0604020202020204" pitchFamily="34" charset="0"/>
            </a:rPr>
            <a:t>Certification gasoline = 18640 BTU/lb = 0.01204 kW·h/g                                Regular gasoline = 18917 BTU/lb = 0.0122225 kW·h/g                                             Diesel fuel = 18500 BTU/lb = 0.0119531 kW·h/g                                                             Thus a diesel engine's efficiency = 1/(BSFC*0.0119531)</a:t>
          </a:r>
        </a:p>
        <a:p>
          <a:pPr algn="l"/>
          <a:r>
            <a:rPr lang="en-US" sz="1200">
              <a:latin typeface="Arial" panose="020B0604020202020204" pitchFamily="34" charset="0"/>
              <a:cs typeface="Arial" panose="020B0604020202020204" pitchFamily="34" charset="0"/>
            </a:rPr>
            <a:t>and a gasoline engine's efficiency = 1/(BSFC*0.0122225)"</a:t>
          </a:r>
        </a:p>
        <a:p>
          <a:pPr algn="l"/>
          <a:r>
            <a:rPr lang="en-US" sz="1200">
              <a:latin typeface="Arial" panose="020B0604020202020204" pitchFamily="34" charset="0"/>
              <a:cs typeface="Arial" panose="020B0604020202020204" pitchFamily="34" charset="0"/>
            </a:rPr>
            <a:t>Wikipedia</a:t>
          </a:r>
          <a:endParaRPr lang="en-US" sz="1100">
            <a:latin typeface="Arial" panose="020B0604020202020204" pitchFamily="34" charset="0"/>
            <a:cs typeface="Arial" panose="020B0604020202020204" pitchFamily="34" charset="0"/>
          </a:endParaRPr>
        </a:p>
      </xdr:txBody>
    </xdr:sp>
    <xdr:clientData/>
  </xdr:twoCellAnchor>
  <xdr:twoCellAnchor editAs="oneCell">
    <xdr:from>
      <xdr:col>5</xdr:col>
      <xdr:colOff>0</xdr:colOff>
      <xdr:row>167</xdr:row>
      <xdr:rowOff>0</xdr:rowOff>
    </xdr:from>
    <xdr:to>
      <xdr:col>9</xdr:col>
      <xdr:colOff>415580</xdr:colOff>
      <xdr:row>181</xdr:row>
      <xdr:rowOff>102755</xdr:rowOff>
    </xdr:to>
    <xdr:pic>
      <xdr:nvPicPr>
        <xdr:cNvPr id="12" name="Picture 7" descr="DIESEL CYCLE-2">
          <a:extLst>
            <a:ext uri="{FF2B5EF4-FFF2-40B4-BE49-F238E27FC236}">
              <a16:creationId xmlns:a16="http://schemas.microsoft.com/office/drawing/2014/main" id="{F023F9D4-2BEE-475C-B275-5AEE9C6D5ED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6261100" y="33064450"/>
          <a:ext cx="4670080" cy="2858655"/>
        </a:xfrm>
        <a:prstGeom prst="rect">
          <a:avLst/>
        </a:prstGeom>
        <a:noFill/>
      </xdr:spPr>
    </xdr:pic>
    <xdr:clientData/>
  </xdr:twoCellAnchor>
  <xdr:twoCellAnchor editAs="oneCell">
    <xdr:from>
      <xdr:col>5</xdr:col>
      <xdr:colOff>190500</xdr:colOff>
      <xdr:row>239</xdr:row>
      <xdr:rowOff>139700</xdr:rowOff>
    </xdr:from>
    <xdr:to>
      <xdr:col>7</xdr:col>
      <xdr:colOff>109</xdr:colOff>
      <xdr:row>247</xdr:row>
      <xdr:rowOff>95330</xdr:rowOff>
    </xdr:to>
    <xdr:pic>
      <xdr:nvPicPr>
        <xdr:cNvPr id="15" name="Picture 14">
          <a:extLst>
            <a:ext uri="{FF2B5EF4-FFF2-40B4-BE49-F238E27FC236}">
              <a16:creationId xmlns:a16="http://schemas.microsoft.com/office/drawing/2014/main" id="{3A7C0755-CE6D-23C7-1A57-3928A95C2025}"/>
            </a:ext>
          </a:extLst>
        </xdr:cNvPr>
        <xdr:cNvPicPr>
          <a:picLocks noChangeAspect="1"/>
        </xdr:cNvPicPr>
      </xdr:nvPicPr>
      <xdr:blipFill>
        <a:blip xmlns:r="http://schemas.openxmlformats.org/officeDocument/2006/relationships" r:embed="rId3"/>
        <a:stretch>
          <a:fillRect/>
        </a:stretch>
      </xdr:blipFill>
      <xdr:spPr>
        <a:xfrm>
          <a:off x="6451600" y="47498000"/>
          <a:ext cx="2114659" cy="1555830"/>
        </a:xfrm>
        <a:prstGeom prst="rect">
          <a:avLst/>
        </a:prstGeom>
      </xdr:spPr>
    </xdr:pic>
    <xdr:clientData/>
  </xdr:twoCellAnchor>
  <xdr:twoCellAnchor editAs="oneCell">
    <xdr:from>
      <xdr:col>5</xdr:col>
      <xdr:colOff>615950</xdr:colOff>
      <xdr:row>363</xdr:row>
      <xdr:rowOff>184150</xdr:rowOff>
    </xdr:from>
    <xdr:to>
      <xdr:col>7</xdr:col>
      <xdr:colOff>514463</xdr:colOff>
      <xdr:row>371</xdr:row>
      <xdr:rowOff>184232</xdr:rowOff>
    </xdr:to>
    <xdr:pic>
      <xdr:nvPicPr>
        <xdr:cNvPr id="17" name="Picture 16">
          <a:extLst>
            <a:ext uri="{FF2B5EF4-FFF2-40B4-BE49-F238E27FC236}">
              <a16:creationId xmlns:a16="http://schemas.microsoft.com/office/drawing/2014/main" id="{591F0727-4F46-0B52-0539-7F4CFE20A568}"/>
            </a:ext>
          </a:extLst>
        </xdr:cNvPr>
        <xdr:cNvPicPr>
          <a:picLocks noChangeAspect="1"/>
        </xdr:cNvPicPr>
      </xdr:nvPicPr>
      <xdr:blipFill>
        <a:blip xmlns:r="http://schemas.openxmlformats.org/officeDocument/2006/relationships" r:embed="rId4"/>
        <a:stretch>
          <a:fillRect/>
        </a:stretch>
      </xdr:blipFill>
      <xdr:spPr>
        <a:xfrm>
          <a:off x="6877050" y="72345550"/>
          <a:ext cx="2203563" cy="158758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676275</xdr:colOff>
      <xdr:row>31</xdr:row>
      <xdr:rowOff>44450</xdr:rowOff>
    </xdr:from>
    <xdr:to>
      <xdr:col>3</xdr:col>
      <xdr:colOff>263525</xdr:colOff>
      <xdr:row>43</xdr:row>
      <xdr:rowOff>50800</xdr:rowOff>
    </xdr:to>
    <xdr:pic>
      <xdr:nvPicPr>
        <xdr:cNvPr id="9" name="Picture 8" descr="Hydraulic  Cylinder-1.jpg">
          <a:extLst>
            <a:ext uri="{FF2B5EF4-FFF2-40B4-BE49-F238E27FC236}">
              <a16:creationId xmlns:a16="http://schemas.microsoft.com/office/drawing/2014/main" id="{00000000-0008-0000-0300-000009000000}"/>
            </a:ext>
          </a:extLst>
        </xdr:cNvPr>
        <xdr:cNvPicPr>
          <a:picLocks noChangeAspect="1"/>
        </xdr:cNvPicPr>
      </xdr:nvPicPr>
      <xdr:blipFill>
        <a:blip xmlns:r="http://schemas.openxmlformats.org/officeDocument/2006/relationships" r:embed="rId1" cstate="print"/>
        <a:stretch>
          <a:fillRect/>
        </a:stretch>
      </xdr:blipFill>
      <xdr:spPr>
        <a:xfrm>
          <a:off x="1095375" y="6248400"/>
          <a:ext cx="4445000" cy="2368550"/>
        </a:xfrm>
        <a:prstGeom prst="rect">
          <a:avLst/>
        </a:prstGeom>
      </xdr:spPr>
    </xdr:pic>
    <xdr:clientData/>
  </xdr:twoCellAnchor>
  <xdr:twoCellAnchor editAs="oneCell">
    <xdr:from>
      <xdr:col>0</xdr:col>
      <xdr:colOff>419099</xdr:colOff>
      <xdr:row>4</xdr:row>
      <xdr:rowOff>85724</xdr:rowOff>
    </xdr:from>
    <xdr:to>
      <xdr:col>3</xdr:col>
      <xdr:colOff>685962</xdr:colOff>
      <xdr:row>22</xdr:row>
      <xdr:rowOff>107949</xdr:rowOff>
    </xdr:to>
    <xdr:pic>
      <xdr:nvPicPr>
        <xdr:cNvPr id="5" name="Picture 4" descr="Hydraulic  Cylinder-2.jpg">
          <a:extLst>
            <a:ext uri="{FF2B5EF4-FFF2-40B4-BE49-F238E27FC236}">
              <a16:creationId xmlns:a16="http://schemas.microsoft.com/office/drawing/2014/main" id="{00000000-0008-0000-0300-000005000000}"/>
            </a:ext>
          </a:extLst>
        </xdr:cNvPr>
        <xdr:cNvPicPr>
          <a:picLocks noChangeAspect="1"/>
        </xdr:cNvPicPr>
      </xdr:nvPicPr>
      <xdr:blipFill>
        <a:blip xmlns:r="http://schemas.openxmlformats.org/officeDocument/2006/relationships" r:embed="rId2" cstate="print"/>
        <a:stretch>
          <a:fillRect/>
        </a:stretch>
      </xdr:blipFill>
      <xdr:spPr>
        <a:xfrm>
          <a:off x="419099" y="873124"/>
          <a:ext cx="5543713" cy="3565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561975</xdr:colOff>
      <xdr:row>24</xdr:row>
      <xdr:rowOff>0</xdr:rowOff>
    </xdr:from>
    <xdr:to>
      <xdr:col>1</xdr:col>
      <xdr:colOff>3613150</xdr:colOff>
      <xdr:row>33</xdr:row>
      <xdr:rowOff>117475</xdr:rowOff>
    </xdr:to>
    <xdr:pic>
      <xdr:nvPicPr>
        <xdr:cNvPr id="2" name="Picture 1" descr="BACK HOE-1.jp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stretch>
          <a:fillRect/>
        </a:stretch>
      </xdr:blipFill>
      <xdr:spPr>
        <a:xfrm>
          <a:off x="752475" y="22545675"/>
          <a:ext cx="3009900" cy="1924050"/>
        </a:xfrm>
        <a:prstGeom prst="rect">
          <a:avLst/>
        </a:prstGeom>
      </xdr:spPr>
    </xdr:pic>
    <xdr:clientData/>
  </xdr:twoCellAnchor>
  <xdr:twoCellAnchor>
    <xdr:from>
      <xdr:col>1</xdr:col>
      <xdr:colOff>688975</xdr:colOff>
      <xdr:row>35</xdr:row>
      <xdr:rowOff>0</xdr:rowOff>
    </xdr:from>
    <xdr:to>
      <xdr:col>1</xdr:col>
      <xdr:colOff>2965450</xdr:colOff>
      <xdr:row>40</xdr:row>
      <xdr:rowOff>171450</xdr:rowOff>
    </xdr:to>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1209675" y="7004050"/>
          <a:ext cx="2276475" cy="1155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endParaRPr lang="en-US" sz="1200" b="1" i="0" baseline="0">
            <a:solidFill>
              <a:schemeClr val="dk1"/>
            </a:solidFill>
            <a:latin typeface="Arial" panose="020B0604020202020204" pitchFamily="34" charset="0"/>
            <a:ea typeface="+mn-ea"/>
            <a:cs typeface="Arial" panose="020B0604020202020204" pitchFamily="34" charset="0"/>
          </a:endParaRPr>
        </a:p>
        <a:p>
          <a:pPr algn="ctr" rtl="0" fontAlgn="base"/>
          <a:r>
            <a:rPr lang="en-US" sz="1400" b="1" i="0" baseline="0">
              <a:solidFill>
                <a:schemeClr val="dk1"/>
              </a:solidFill>
              <a:latin typeface="Arial" panose="020B0604020202020204" pitchFamily="34" charset="0"/>
              <a:ea typeface="+mn-ea"/>
              <a:cs typeface="Arial" panose="020B0604020202020204" pitchFamily="34" charset="0"/>
            </a:rPr>
            <a:t>Backhoe</a:t>
          </a:r>
          <a:endParaRPr lang="en-US" sz="14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Above is the image in its original context on the page: www.chesterfieldgroup.co.uk/products/mobile.html</a:t>
          </a:r>
          <a:endParaRPr lang="en-US" sz="1200">
            <a:latin typeface="Arial" panose="020B0604020202020204" pitchFamily="34" charset="0"/>
            <a:cs typeface="Arial" panose="020B0604020202020204" pitchFamily="34" charset="0"/>
          </a:endParaRPr>
        </a:p>
        <a:p>
          <a:endParaRPr lang="en-US" sz="1100"/>
        </a:p>
      </xdr:txBody>
    </xdr:sp>
    <xdr:clientData/>
  </xdr:twoCellAnchor>
  <xdr:twoCellAnchor>
    <xdr:from>
      <xdr:col>0</xdr:col>
      <xdr:colOff>257175</xdr:colOff>
      <xdr:row>65</xdr:row>
      <xdr:rowOff>133351</xdr:rowOff>
    </xdr:from>
    <xdr:to>
      <xdr:col>3</xdr:col>
      <xdr:colOff>615950</xdr:colOff>
      <xdr:row>89</xdr:row>
      <xdr:rowOff>82551</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257175" y="13074651"/>
          <a:ext cx="5070475" cy="46736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fontAlgn="base"/>
          <a:endParaRPr lang="en-US" sz="1200" b="1" i="0" baseline="0">
            <a:solidFill>
              <a:schemeClr val="dk1"/>
            </a:solidFill>
            <a:latin typeface="Arial" pitchFamily="34" charset="0"/>
            <a:ea typeface="+mn-ea"/>
            <a:cs typeface="Arial" pitchFamily="34" charset="0"/>
          </a:endParaRPr>
        </a:p>
        <a:p>
          <a:pPr algn="ctr" rtl="0" fontAlgn="base"/>
          <a:r>
            <a:rPr lang="en-US" sz="1400" b="1" i="0" baseline="0">
              <a:solidFill>
                <a:schemeClr val="dk1"/>
              </a:solidFill>
              <a:latin typeface="Arial" pitchFamily="34" charset="0"/>
              <a:ea typeface="+mn-ea"/>
              <a:cs typeface="Arial" pitchFamily="34" charset="0"/>
            </a:rPr>
            <a:t>Strength and Stiffness Analysis</a:t>
          </a:r>
        </a:p>
        <a:p>
          <a:pPr rtl="0" fontAlgn="base"/>
          <a:endParaRPr lang="en-US" sz="1400" b="1" i="0" baseline="0">
            <a:solidFill>
              <a:schemeClr val="dk1"/>
            </a:solidFill>
            <a:latin typeface="Arial" pitchFamily="34" charset="0"/>
            <a:ea typeface="+mn-ea"/>
            <a:cs typeface="Arial"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The strength and stiffness analysis of the backhoe begins with a                                       "Free Body Diagram" of one of the members, shown above :</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Force F1 = Hydraulic pressure x piston area.</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Weight W = arm material volume x density.</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Force F3 = (Moments due to F1 and W) / (L1 x cos A4)</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Force F2 = ( (F1 cos A1) - (W sin A3) + (F3 cos A4) ) / cos A2</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Moment Mmax = F1 x cos A1 x L1</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Arm applied bending stress, S = K x Mmax D2 / (2 I)</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  I = arm area moment of inertial at D2 and</a:t>
          </a:r>
          <a:endParaRPr lang="en-US" sz="1200">
            <a:latin typeface="Arial" panose="020B0604020202020204" pitchFamily="34" charset="0"/>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 K = combined vibration shock factor.</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pPr rtl="0"/>
          <a:r>
            <a:rPr lang="en-US" sz="1200" b="0" i="0" baseline="0">
              <a:solidFill>
                <a:schemeClr val="dk1"/>
              </a:solidFill>
              <a:latin typeface="Arial" panose="020B0604020202020204" pitchFamily="34" charset="0"/>
              <a:ea typeface="+mn-ea"/>
              <a:cs typeface="Arial" panose="020B0604020202020204" pitchFamily="34" charset="0"/>
            </a:rPr>
            <a:t>Safety factor, SF = Material allowable stress / Applied stress</a:t>
          </a:r>
          <a:endParaRPr lang="en-US" sz="1200">
            <a:latin typeface="Arial" panose="020B0604020202020204" pitchFamily="34" charset="0"/>
            <a:cs typeface="Arial" panose="020B0604020202020204" pitchFamily="34" charset="0"/>
          </a:endParaRPr>
        </a:p>
        <a:p>
          <a:pPr rtl="0" fontAlgn="base"/>
          <a:endParaRPr lang="en-US" sz="1200" b="0" i="0" baseline="0">
            <a:solidFill>
              <a:schemeClr val="dk1"/>
            </a:solidFill>
            <a:latin typeface="Arial" panose="020B0604020202020204" pitchFamily="34" charset="0"/>
            <a:ea typeface="+mn-ea"/>
            <a:cs typeface="Arial" panose="020B0604020202020204" pitchFamily="34" charset="0"/>
          </a:endParaRPr>
        </a:p>
        <a:p>
          <a:r>
            <a:rPr lang="en-US" sz="1200" b="0" i="0" baseline="0">
              <a:solidFill>
                <a:schemeClr val="dk1"/>
              </a:solidFill>
              <a:latin typeface="Arial" panose="020B0604020202020204" pitchFamily="34" charset="0"/>
              <a:ea typeface="+mn-ea"/>
              <a:cs typeface="Arial" panose="020B0604020202020204" pitchFamily="34" charset="0"/>
            </a:rPr>
            <a:t>The applied stress and safety factor must be calculated at each high stress point.</a:t>
          </a:r>
          <a:endParaRPr lang="en-US" sz="1200">
            <a:latin typeface="Arial" panose="020B0604020202020204" pitchFamily="34" charset="0"/>
            <a:cs typeface="Arial" panose="020B0604020202020204" pitchFamily="34" charset="0"/>
          </a:endParaRPr>
        </a:p>
      </xdr:txBody>
    </xdr:sp>
    <xdr:clientData/>
  </xdr:twoCellAnchor>
  <xdr:twoCellAnchor editAs="oneCell">
    <xdr:from>
      <xdr:col>1</xdr:col>
      <xdr:colOff>914400</xdr:colOff>
      <xdr:row>150</xdr:row>
      <xdr:rowOff>47625</xdr:rowOff>
    </xdr:from>
    <xdr:to>
      <xdr:col>2</xdr:col>
      <xdr:colOff>1127125</xdr:colOff>
      <xdr:row>159</xdr:row>
      <xdr:rowOff>41275</xdr:rowOff>
    </xdr:to>
    <xdr:pic>
      <xdr:nvPicPr>
        <xdr:cNvPr id="8" name="Picture 7" descr="Bucket Arm Center of Gravity.jpg">
          <a:extLst>
            <a:ext uri="{FF2B5EF4-FFF2-40B4-BE49-F238E27FC236}">
              <a16:creationId xmlns:a16="http://schemas.microsoft.com/office/drawing/2014/main" id="{00000000-0008-0000-0400-000008000000}"/>
            </a:ext>
          </a:extLst>
        </xdr:cNvPr>
        <xdr:cNvPicPr>
          <a:picLocks noChangeAspect="1"/>
        </xdr:cNvPicPr>
      </xdr:nvPicPr>
      <xdr:blipFill>
        <a:blip xmlns:r="http://schemas.openxmlformats.org/officeDocument/2006/relationships" r:embed="rId2" cstate="print"/>
        <a:stretch>
          <a:fillRect/>
        </a:stretch>
      </xdr:blipFill>
      <xdr:spPr>
        <a:xfrm>
          <a:off x="1181100" y="24355425"/>
          <a:ext cx="3838575" cy="1800225"/>
        </a:xfrm>
        <a:prstGeom prst="rect">
          <a:avLst/>
        </a:prstGeom>
      </xdr:spPr>
    </xdr:pic>
    <xdr:clientData/>
  </xdr:twoCellAnchor>
  <xdr:twoCellAnchor editAs="oneCell">
    <xdr:from>
      <xdr:col>1</xdr:col>
      <xdr:colOff>762000</xdr:colOff>
      <xdr:row>181</xdr:row>
      <xdr:rowOff>85725</xdr:rowOff>
    </xdr:from>
    <xdr:to>
      <xdr:col>3</xdr:col>
      <xdr:colOff>130175</xdr:colOff>
      <xdr:row>201</xdr:row>
      <xdr:rowOff>60325</xdr:rowOff>
    </xdr:to>
    <xdr:pic>
      <xdr:nvPicPr>
        <xdr:cNvPr id="14" name="Picture 13" descr="BUCKET  ARM  FORCES-2B.jpg">
          <a:extLst>
            <a:ext uri="{FF2B5EF4-FFF2-40B4-BE49-F238E27FC236}">
              <a16:creationId xmlns:a16="http://schemas.microsoft.com/office/drawing/2014/main" id="{00000000-0008-0000-0400-00000E000000}"/>
            </a:ext>
          </a:extLst>
        </xdr:cNvPr>
        <xdr:cNvPicPr>
          <a:picLocks noChangeAspect="1"/>
        </xdr:cNvPicPr>
      </xdr:nvPicPr>
      <xdr:blipFill>
        <a:blip xmlns:r="http://schemas.openxmlformats.org/officeDocument/2006/relationships" r:embed="rId3" cstate="print"/>
        <a:stretch>
          <a:fillRect/>
        </a:stretch>
      </xdr:blipFill>
      <xdr:spPr>
        <a:xfrm>
          <a:off x="1028700" y="29613225"/>
          <a:ext cx="4200525" cy="3990975"/>
        </a:xfrm>
        <a:prstGeom prst="rect">
          <a:avLst/>
        </a:prstGeom>
      </xdr:spPr>
    </xdr:pic>
    <xdr:clientData/>
  </xdr:twoCellAnchor>
  <xdr:twoCellAnchor editAs="oneCell">
    <xdr:from>
      <xdr:col>1</xdr:col>
      <xdr:colOff>514349</xdr:colOff>
      <xdr:row>92</xdr:row>
      <xdr:rowOff>85724</xdr:rowOff>
    </xdr:from>
    <xdr:to>
      <xdr:col>3</xdr:col>
      <xdr:colOff>285706</xdr:colOff>
      <xdr:row>112</xdr:row>
      <xdr:rowOff>171449</xdr:rowOff>
    </xdr:to>
    <xdr:pic>
      <xdr:nvPicPr>
        <xdr:cNvPr id="15" name="Picture 14" descr="BUCKET  ARM  FORCES-2.jpg">
          <a:extLst>
            <a:ext uri="{FF2B5EF4-FFF2-40B4-BE49-F238E27FC236}">
              <a16:creationId xmlns:a16="http://schemas.microsoft.com/office/drawing/2014/main" id="{00000000-0008-0000-0400-00000F000000}"/>
            </a:ext>
          </a:extLst>
        </xdr:cNvPr>
        <xdr:cNvPicPr>
          <a:picLocks noChangeAspect="1"/>
        </xdr:cNvPicPr>
      </xdr:nvPicPr>
      <xdr:blipFill>
        <a:blip xmlns:r="http://schemas.openxmlformats.org/officeDocument/2006/relationships" r:embed="rId4" cstate="print"/>
        <a:stretch>
          <a:fillRect/>
        </a:stretch>
      </xdr:blipFill>
      <xdr:spPr>
        <a:xfrm>
          <a:off x="1035049" y="18373724"/>
          <a:ext cx="4794207" cy="4022725"/>
        </a:xfrm>
        <a:prstGeom prst="rect">
          <a:avLst/>
        </a:prstGeom>
      </xdr:spPr>
    </xdr:pic>
    <xdr:clientData/>
  </xdr:twoCellAnchor>
  <xdr:twoCellAnchor editAs="oneCell">
    <xdr:from>
      <xdr:col>1</xdr:col>
      <xdr:colOff>1104900</xdr:colOff>
      <xdr:row>43</xdr:row>
      <xdr:rowOff>142875</xdr:rowOff>
    </xdr:from>
    <xdr:to>
      <xdr:col>1</xdr:col>
      <xdr:colOff>3784600</xdr:colOff>
      <xdr:row>64</xdr:row>
      <xdr:rowOff>12700</xdr:rowOff>
    </xdr:to>
    <xdr:pic>
      <xdr:nvPicPr>
        <xdr:cNvPr id="16" name="Picture 15" descr="BUCKET  ARM  FORCES-1.jpg">
          <a:extLst>
            <a:ext uri="{FF2B5EF4-FFF2-40B4-BE49-F238E27FC236}">
              <a16:creationId xmlns:a16="http://schemas.microsoft.com/office/drawing/2014/main" id="{00000000-0008-0000-0400-000010000000}"/>
            </a:ext>
          </a:extLst>
        </xdr:cNvPr>
        <xdr:cNvPicPr>
          <a:picLocks noChangeAspect="1"/>
        </xdr:cNvPicPr>
      </xdr:nvPicPr>
      <xdr:blipFill>
        <a:blip xmlns:r="http://schemas.openxmlformats.org/officeDocument/2006/relationships" r:embed="rId5" cstate="print"/>
        <a:stretch>
          <a:fillRect/>
        </a:stretch>
      </xdr:blipFill>
      <xdr:spPr>
        <a:xfrm>
          <a:off x="1371600" y="6343650"/>
          <a:ext cx="2543175" cy="4086225"/>
        </a:xfrm>
        <a:prstGeom prst="rect">
          <a:avLst/>
        </a:prstGeom>
      </xdr:spPr>
    </xdr:pic>
    <xdr:clientData/>
  </xdr:twoCellAnchor>
  <xdr:twoCellAnchor editAs="oneCell">
    <xdr:from>
      <xdr:col>1</xdr:col>
      <xdr:colOff>586715</xdr:colOff>
      <xdr:row>259</xdr:row>
      <xdr:rowOff>57150</xdr:rowOff>
    </xdr:from>
    <xdr:to>
      <xdr:col>4</xdr:col>
      <xdr:colOff>257175</xdr:colOff>
      <xdr:row>271</xdr:row>
      <xdr:rowOff>47625</xdr:rowOff>
    </xdr:to>
    <xdr:pic>
      <xdr:nvPicPr>
        <xdr:cNvPr id="12" name="Picture 11" descr="Bucket Arm Center of Gravity-2.jpg">
          <a:extLst>
            <a:ext uri="{FF2B5EF4-FFF2-40B4-BE49-F238E27FC236}">
              <a16:creationId xmlns:a16="http://schemas.microsoft.com/office/drawing/2014/main" id="{00000000-0008-0000-0400-00000C000000}"/>
            </a:ext>
          </a:extLst>
        </xdr:cNvPr>
        <xdr:cNvPicPr>
          <a:picLocks noChangeAspect="1"/>
        </xdr:cNvPicPr>
      </xdr:nvPicPr>
      <xdr:blipFill>
        <a:blip xmlns:r="http://schemas.openxmlformats.org/officeDocument/2006/relationships" r:embed="rId6" cstate="print"/>
        <a:stretch>
          <a:fillRect/>
        </a:stretch>
      </xdr:blipFill>
      <xdr:spPr>
        <a:xfrm>
          <a:off x="1107415" y="51473100"/>
          <a:ext cx="5506110" cy="2352675"/>
        </a:xfrm>
        <a:prstGeom prst="rect">
          <a:avLst/>
        </a:prstGeom>
      </xdr:spPr>
    </xdr:pic>
    <xdr:clientData/>
  </xdr:twoCellAnchor>
  <xdr:twoCellAnchor editAs="oneCell">
    <xdr:from>
      <xdr:col>1</xdr:col>
      <xdr:colOff>1085850</xdr:colOff>
      <xdr:row>313</xdr:row>
      <xdr:rowOff>142875</xdr:rowOff>
    </xdr:from>
    <xdr:to>
      <xdr:col>2</xdr:col>
      <xdr:colOff>1041400</xdr:colOff>
      <xdr:row>338</xdr:row>
      <xdr:rowOff>76200</xdr:rowOff>
    </xdr:to>
    <xdr:pic>
      <xdr:nvPicPr>
        <xdr:cNvPr id="18" name="Picture 17" descr="Bolt  Double  Shear  Failure Modes.jpg">
          <a:extLst>
            <a:ext uri="{FF2B5EF4-FFF2-40B4-BE49-F238E27FC236}">
              <a16:creationId xmlns:a16="http://schemas.microsoft.com/office/drawing/2014/main" id="{00000000-0008-0000-0400-000012000000}"/>
            </a:ext>
          </a:extLst>
        </xdr:cNvPr>
        <xdr:cNvPicPr>
          <a:picLocks noChangeAspect="1"/>
        </xdr:cNvPicPr>
      </xdr:nvPicPr>
      <xdr:blipFill>
        <a:blip xmlns:r="http://schemas.openxmlformats.org/officeDocument/2006/relationships" r:embed="rId7" cstate="print"/>
        <a:stretch>
          <a:fillRect/>
        </a:stretch>
      </xdr:blipFill>
      <xdr:spPr>
        <a:xfrm>
          <a:off x="1352550" y="51530250"/>
          <a:ext cx="3581400" cy="4953000"/>
        </a:xfrm>
        <a:prstGeom prst="rect">
          <a:avLst/>
        </a:prstGeom>
      </xdr:spPr>
    </xdr:pic>
    <xdr:clientData/>
  </xdr:twoCellAnchor>
  <xdr:twoCellAnchor editAs="oneCell">
    <xdr:from>
      <xdr:col>1</xdr:col>
      <xdr:colOff>1479550</xdr:colOff>
      <xdr:row>341</xdr:row>
      <xdr:rowOff>28575</xdr:rowOff>
    </xdr:from>
    <xdr:to>
      <xdr:col>2</xdr:col>
      <xdr:colOff>482600</xdr:colOff>
      <xdr:row>357</xdr:row>
      <xdr:rowOff>101600</xdr:rowOff>
    </xdr:to>
    <xdr:pic>
      <xdr:nvPicPr>
        <xdr:cNvPr id="28" name="Picture 27" descr="PIN-1.jpg">
          <a:extLst>
            <a:ext uri="{FF2B5EF4-FFF2-40B4-BE49-F238E27FC236}">
              <a16:creationId xmlns:a16="http://schemas.microsoft.com/office/drawing/2014/main" id="{00000000-0008-0000-0400-00001C000000}"/>
            </a:ext>
          </a:extLst>
        </xdr:cNvPr>
        <xdr:cNvPicPr>
          <a:picLocks noChangeAspect="1"/>
        </xdr:cNvPicPr>
      </xdr:nvPicPr>
      <xdr:blipFill>
        <a:blip xmlns:r="http://schemas.openxmlformats.org/officeDocument/2006/relationships" r:embed="rId8" cstate="print"/>
        <a:stretch>
          <a:fillRect/>
        </a:stretch>
      </xdr:blipFill>
      <xdr:spPr>
        <a:xfrm>
          <a:off x="2000250" y="67662425"/>
          <a:ext cx="2819400" cy="3222625"/>
        </a:xfrm>
        <a:prstGeom prst="rect">
          <a:avLst/>
        </a:prstGeom>
      </xdr:spPr>
    </xdr:pic>
    <xdr:clientData/>
  </xdr:twoCellAnchor>
  <xdr:twoCellAnchor editAs="oneCell">
    <xdr:from>
      <xdr:col>1</xdr:col>
      <xdr:colOff>476250</xdr:colOff>
      <xdr:row>4</xdr:row>
      <xdr:rowOff>114300</xdr:rowOff>
    </xdr:from>
    <xdr:to>
      <xdr:col>1</xdr:col>
      <xdr:colOff>3794125</xdr:colOff>
      <xdr:row>16</xdr:row>
      <xdr:rowOff>57150</xdr:rowOff>
    </xdr:to>
    <xdr:pic>
      <xdr:nvPicPr>
        <xdr:cNvPr id="13" name="Picture 12" descr="CAT BACKHOE-1.jpg">
          <a:extLst>
            <a:ext uri="{FF2B5EF4-FFF2-40B4-BE49-F238E27FC236}">
              <a16:creationId xmlns:a16="http://schemas.microsoft.com/office/drawing/2014/main" id="{00000000-0008-0000-0400-00000D000000}"/>
            </a:ext>
          </a:extLst>
        </xdr:cNvPr>
        <xdr:cNvPicPr>
          <a:picLocks noChangeAspect="1"/>
        </xdr:cNvPicPr>
      </xdr:nvPicPr>
      <xdr:blipFill>
        <a:blip xmlns:r="http://schemas.openxmlformats.org/officeDocument/2006/relationships" r:embed="rId9" cstate="print"/>
        <a:stretch>
          <a:fillRect/>
        </a:stretch>
      </xdr:blipFill>
      <xdr:spPr>
        <a:xfrm>
          <a:off x="6848475" y="2876550"/>
          <a:ext cx="3181350" cy="2352675"/>
        </a:xfrm>
        <a:prstGeom prst="rect">
          <a:avLst/>
        </a:prstGeom>
      </xdr:spPr>
    </xdr:pic>
    <xdr:clientData/>
  </xdr:twoCellAnchor>
  <xdr:twoCellAnchor>
    <xdr:from>
      <xdr:col>4</xdr:col>
      <xdr:colOff>565150</xdr:colOff>
      <xdr:row>359</xdr:row>
      <xdr:rowOff>95250</xdr:rowOff>
    </xdr:from>
    <xdr:to>
      <xdr:col>8</xdr:col>
      <xdr:colOff>774700</xdr:colOff>
      <xdr:row>385</xdr:row>
      <xdr:rowOff>139700</xdr:rowOff>
    </xdr:to>
    <xdr:sp macro="" textlink="">
      <xdr:nvSpPr>
        <xdr:cNvPr id="17" name="TextBox 16">
          <a:extLst>
            <a:ext uri="{FF2B5EF4-FFF2-40B4-BE49-F238E27FC236}">
              <a16:creationId xmlns:a16="http://schemas.microsoft.com/office/drawing/2014/main" id="{00000000-0008-0000-0400-000011000000}"/>
            </a:ext>
          </a:extLst>
        </xdr:cNvPr>
        <xdr:cNvSpPr txBox="1"/>
      </xdr:nvSpPr>
      <xdr:spPr>
        <a:xfrm>
          <a:off x="6921500" y="71304150"/>
          <a:ext cx="4375150" cy="5175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algn="ctr"/>
          <a:endParaRPr lang="en-US" sz="1400" b="1">
            <a:solidFill>
              <a:schemeClr val="dk1"/>
            </a:solidFill>
            <a:latin typeface="Arial" panose="020B0604020202020204" pitchFamily="34" charset="0"/>
            <a:ea typeface="+mn-ea"/>
            <a:cs typeface="Arial" panose="020B0604020202020204" pitchFamily="34" charset="0"/>
          </a:endParaRPr>
        </a:p>
        <a:p>
          <a:pPr algn="ctr"/>
          <a:r>
            <a:rPr lang="en-US" sz="1400" b="1">
              <a:solidFill>
                <a:schemeClr val="dk1"/>
              </a:solidFill>
              <a:latin typeface="Arial" panose="020B0604020202020204" pitchFamily="34" charset="0"/>
              <a:ea typeface="+mn-ea"/>
              <a:cs typeface="Arial" panose="020B0604020202020204" pitchFamily="34" charset="0"/>
            </a:rPr>
            <a:t>DATA</a:t>
          </a:r>
        </a:p>
        <a:p>
          <a:pPr algn="ctr"/>
          <a:endParaRPr lang="en-US" sz="1400" b="1">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Bucket arm cylinder tension or compression, F1 = 56.55</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Bucket arm cylinder force angle, A1 = 20 deg</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Bolt allowable shear stress, Sbs = 17.5 kpsi</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Plate allowable tension stress, Spt = 21.6 kpsi</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Plate allowable shear stress, Sps = 29.0 kpsi</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Plate allowable bearing stress, Spb = 58.0 kpsi</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Bolt diameter, D1 = 2.000</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Center plate thickness, b = 2.000</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Center plate width, w = 4.000</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Each side plate thickness,  t  = 1.500</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Joint width, X1 = 4.000</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Shear dimension, y = 2.000 in</a:t>
          </a:r>
        </a:p>
        <a:p>
          <a:endParaRPr lang="en-US" sz="1200">
            <a:solidFill>
              <a:schemeClr val="dk1"/>
            </a:solidFill>
            <a:latin typeface="Arial" panose="020B0604020202020204" pitchFamily="34" charset="0"/>
            <a:ea typeface="+mn-ea"/>
            <a:cs typeface="Arial" panose="020B0604020202020204" pitchFamily="34" charset="0"/>
          </a:endParaRPr>
        </a:p>
        <a:p>
          <a:r>
            <a:rPr lang="en-US" sz="1200">
              <a:solidFill>
                <a:schemeClr val="dk1"/>
              </a:solidFill>
              <a:latin typeface="Arial" panose="020B0604020202020204" pitchFamily="34" charset="0"/>
              <a:ea typeface="+mn-ea"/>
              <a:cs typeface="Arial" panose="020B0604020202020204" pitchFamily="34" charset="0"/>
            </a:rPr>
            <a:t>Combined vibration shock factor,   K = 1.5</a:t>
          </a:r>
        </a:p>
        <a:p>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17</xdr:col>
      <xdr:colOff>19051</xdr:colOff>
      <xdr:row>11</xdr:row>
      <xdr:rowOff>57150</xdr:rowOff>
    </xdr:from>
    <xdr:to>
      <xdr:col>20</xdr:col>
      <xdr:colOff>769551</xdr:colOff>
      <xdr:row>25</xdr:row>
      <xdr:rowOff>60325</xdr:rowOff>
    </xdr:to>
    <xdr:pic>
      <xdr:nvPicPr>
        <xdr:cNvPr id="2" name="Picture 1">
          <a:extLst>
            <a:ext uri="{FF2B5EF4-FFF2-40B4-BE49-F238E27FC236}">
              <a16:creationId xmlns:a16="http://schemas.microsoft.com/office/drawing/2014/main" id="{512F5A70-BB02-48CF-97DA-AC0C51431EE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9851" y="2114550"/>
          <a:ext cx="2579300" cy="2828925"/>
        </a:xfrm>
        <a:prstGeom prst="rect">
          <a:avLst/>
        </a:prstGeom>
      </xdr:spPr>
    </xdr:pic>
    <xdr:clientData/>
  </xdr:twoCellAnchor>
  <xdr:twoCellAnchor editAs="oneCell">
    <xdr:from>
      <xdr:col>10</xdr:col>
      <xdr:colOff>419100</xdr:colOff>
      <xdr:row>24</xdr:row>
      <xdr:rowOff>66675</xdr:rowOff>
    </xdr:from>
    <xdr:to>
      <xdr:col>11</xdr:col>
      <xdr:colOff>708025</xdr:colOff>
      <xdr:row>31</xdr:row>
      <xdr:rowOff>53975</xdr:rowOff>
    </xdr:to>
    <xdr:pic>
      <xdr:nvPicPr>
        <xdr:cNvPr id="3" name="Picture 2">
          <a:extLst>
            <a:ext uri="{FF2B5EF4-FFF2-40B4-BE49-F238E27FC236}">
              <a16:creationId xmlns:a16="http://schemas.microsoft.com/office/drawing/2014/main" id="{44A61411-EE9E-4E15-9FC1-2D796B823E1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 y="4721225"/>
          <a:ext cx="2200275" cy="1422400"/>
        </a:xfrm>
        <a:prstGeom prst="rect">
          <a:avLst/>
        </a:prstGeom>
      </xdr:spPr>
    </xdr:pic>
    <xdr:clientData/>
  </xdr:twoCellAnchor>
  <xdr:twoCellAnchor editAs="oneCell">
    <xdr:from>
      <xdr:col>13</xdr:col>
      <xdr:colOff>0</xdr:colOff>
      <xdr:row>11</xdr:row>
      <xdr:rowOff>38100</xdr:rowOff>
    </xdr:from>
    <xdr:to>
      <xdr:col>16</xdr:col>
      <xdr:colOff>167863</xdr:colOff>
      <xdr:row>27</xdr:row>
      <xdr:rowOff>76200</xdr:rowOff>
    </xdr:to>
    <xdr:pic>
      <xdr:nvPicPr>
        <xdr:cNvPr id="4" name="Picture 3">
          <a:extLst>
            <a:ext uri="{FF2B5EF4-FFF2-40B4-BE49-F238E27FC236}">
              <a16:creationId xmlns:a16="http://schemas.microsoft.com/office/drawing/2014/main" id="{4D823A0C-B0C5-4709-AB4D-02CC7CE43CCA}"/>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90975" y="2095500"/>
          <a:ext cx="2314163" cy="3257550"/>
        </a:xfrm>
        <a:prstGeom prst="rect">
          <a:avLst/>
        </a:prstGeom>
      </xdr:spPr>
    </xdr:pic>
    <xdr:clientData/>
  </xdr:twoCellAnchor>
  <xdr:twoCellAnchor editAs="oneCell">
    <xdr:from>
      <xdr:col>13</xdr:col>
      <xdr:colOff>9525</xdr:colOff>
      <xdr:row>4</xdr:row>
      <xdr:rowOff>95251</xdr:rowOff>
    </xdr:from>
    <xdr:to>
      <xdr:col>14</xdr:col>
      <xdr:colOff>400050</xdr:colOff>
      <xdr:row>8</xdr:row>
      <xdr:rowOff>122747</xdr:rowOff>
    </xdr:to>
    <xdr:pic>
      <xdr:nvPicPr>
        <xdr:cNvPr id="5" name="Picture 4">
          <a:extLst>
            <a:ext uri="{FF2B5EF4-FFF2-40B4-BE49-F238E27FC236}">
              <a16:creationId xmlns:a16="http://schemas.microsoft.com/office/drawing/2014/main" id="{010A0568-EDE7-44F4-91F7-BF602AADC2EE}"/>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97325" y="752476"/>
          <a:ext cx="1317625" cy="846646"/>
        </a:xfrm>
        <a:prstGeom prst="rect">
          <a:avLst/>
        </a:prstGeom>
      </xdr:spPr>
    </xdr:pic>
    <xdr:clientData/>
  </xdr:twoCellAnchor>
  <xdr:twoCellAnchor editAs="oneCell">
    <xdr:from>
      <xdr:col>19</xdr:col>
      <xdr:colOff>819150</xdr:colOff>
      <xdr:row>28</xdr:row>
      <xdr:rowOff>123825</xdr:rowOff>
    </xdr:from>
    <xdr:to>
      <xdr:col>24</xdr:col>
      <xdr:colOff>202413</xdr:colOff>
      <xdr:row>48</xdr:row>
      <xdr:rowOff>19050</xdr:rowOff>
    </xdr:to>
    <xdr:pic>
      <xdr:nvPicPr>
        <xdr:cNvPr id="6" name="Picture 5">
          <a:extLst>
            <a:ext uri="{FF2B5EF4-FFF2-40B4-BE49-F238E27FC236}">
              <a16:creationId xmlns:a16="http://schemas.microsoft.com/office/drawing/2014/main" id="{44F3F923-7BE9-4D44-8D32-06F3EB7B6BE2}"/>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439150" y="5578475"/>
          <a:ext cx="4609313" cy="4060825"/>
        </a:xfrm>
        <a:prstGeom prst="rect">
          <a:avLst/>
        </a:prstGeom>
      </xdr:spPr>
    </xdr:pic>
    <xdr:clientData/>
  </xdr:twoCellAnchor>
  <xdr:twoCellAnchor editAs="oneCell">
    <xdr:from>
      <xdr:col>10</xdr:col>
      <xdr:colOff>114300</xdr:colOff>
      <xdr:row>47</xdr:row>
      <xdr:rowOff>142875</xdr:rowOff>
    </xdr:from>
    <xdr:to>
      <xdr:col>11</xdr:col>
      <xdr:colOff>285750</xdr:colOff>
      <xdr:row>54</xdr:row>
      <xdr:rowOff>165100</xdr:rowOff>
    </xdr:to>
    <xdr:pic>
      <xdr:nvPicPr>
        <xdr:cNvPr id="7" name="Picture 6">
          <a:extLst>
            <a:ext uri="{FF2B5EF4-FFF2-40B4-BE49-F238E27FC236}">
              <a16:creationId xmlns:a16="http://schemas.microsoft.com/office/drawing/2014/main" id="{F215D7D2-7A72-4A12-8715-B5403BF90F5F}"/>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1950" y="9398000"/>
          <a:ext cx="2082800" cy="1450975"/>
        </a:xfrm>
        <a:prstGeom prst="rect">
          <a:avLst/>
        </a:prstGeom>
      </xdr:spPr>
    </xdr:pic>
    <xdr:clientData/>
  </xdr:twoCellAnchor>
  <xdr:twoCellAnchor editAs="oneCell">
    <xdr:from>
      <xdr:col>12</xdr:col>
      <xdr:colOff>0</xdr:colOff>
      <xdr:row>48</xdr:row>
      <xdr:rowOff>0</xdr:rowOff>
    </xdr:from>
    <xdr:to>
      <xdr:col>15</xdr:col>
      <xdr:colOff>123825</xdr:colOff>
      <xdr:row>55</xdr:row>
      <xdr:rowOff>47625</xdr:rowOff>
    </xdr:to>
    <xdr:pic>
      <xdr:nvPicPr>
        <xdr:cNvPr id="8" name="Picture 7">
          <a:extLst>
            <a:ext uri="{FF2B5EF4-FFF2-40B4-BE49-F238E27FC236}">
              <a16:creationId xmlns:a16="http://schemas.microsoft.com/office/drawing/2014/main" id="{5BF05AAE-4FF8-4568-8ED6-640600586FB4}"/>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219450" y="9458325"/>
          <a:ext cx="2581275" cy="1476375"/>
        </a:xfrm>
        <a:prstGeom prst="rect">
          <a:avLst/>
        </a:prstGeom>
      </xdr:spPr>
    </xdr:pic>
    <xdr:clientData/>
  </xdr:twoCellAnchor>
  <xdr:oneCellAnchor>
    <xdr:from>
      <xdr:col>17</xdr:col>
      <xdr:colOff>19051</xdr:colOff>
      <xdr:row>11</xdr:row>
      <xdr:rowOff>57150</xdr:rowOff>
    </xdr:from>
    <xdr:ext cx="2528500" cy="2800350"/>
    <xdr:pic>
      <xdr:nvPicPr>
        <xdr:cNvPr id="9" name="Picture 8">
          <a:extLst>
            <a:ext uri="{FF2B5EF4-FFF2-40B4-BE49-F238E27FC236}">
              <a16:creationId xmlns:a16="http://schemas.microsoft.com/office/drawing/2014/main" id="{4CB708E7-2835-4F64-909D-59378ECD36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9851" y="2114550"/>
          <a:ext cx="2528500" cy="2800350"/>
        </a:xfrm>
        <a:prstGeom prst="rect">
          <a:avLst/>
        </a:prstGeom>
      </xdr:spPr>
    </xdr:pic>
    <xdr:clientData/>
  </xdr:oneCellAnchor>
  <xdr:oneCellAnchor>
    <xdr:from>
      <xdr:col>10</xdr:col>
      <xdr:colOff>419100</xdr:colOff>
      <xdr:row>24</xdr:row>
      <xdr:rowOff>66675</xdr:rowOff>
    </xdr:from>
    <xdr:ext cx="2124075" cy="1371600"/>
    <xdr:pic>
      <xdr:nvPicPr>
        <xdr:cNvPr id="10" name="Picture 9">
          <a:extLst>
            <a:ext uri="{FF2B5EF4-FFF2-40B4-BE49-F238E27FC236}">
              <a16:creationId xmlns:a16="http://schemas.microsoft.com/office/drawing/2014/main" id="{FB9870EE-0303-4793-8110-E9AA60F45C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 y="4721225"/>
          <a:ext cx="2124075" cy="1371600"/>
        </a:xfrm>
        <a:prstGeom prst="rect">
          <a:avLst/>
        </a:prstGeom>
      </xdr:spPr>
    </xdr:pic>
    <xdr:clientData/>
  </xdr:oneCellAnchor>
  <xdr:oneCellAnchor>
    <xdr:from>
      <xdr:col>13</xdr:col>
      <xdr:colOff>0</xdr:colOff>
      <xdr:row>11</xdr:row>
      <xdr:rowOff>38100</xdr:rowOff>
    </xdr:from>
    <xdr:ext cx="2237963" cy="3209925"/>
    <xdr:pic>
      <xdr:nvPicPr>
        <xdr:cNvPr id="11" name="Picture 10">
          <a:extLst>
            <a:ext uri="{FF2B5EF4-FFF2-40B4-BE49-F238E27FC236}">
              <a16:creationId xmlns:a16="http://schemas.microsoft.com/office/drawing/2014/main" id="{7DE243BF-F848-4B9E-A6E1-211B2023A3B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90975" y="2095500"/>
          <a:ext cx="2237963" cy="3209925"/>
        </a:xfrm>
        <a:prstGeom prst="rect">
          <a:avLst/>
        </a:prstGeom>
      </xdr:spPr>
    </xdr:pic>
    <xdr:clientData/>
  </xdr:oneCellAnchor>
  <xdr:oneCellAnchor>
    <xdr:from>
      <xdr:col>13</xdr:col>
      <xdr:colOff>9525</xdr:colOff>
      <xdr:row>4</xdr:row>
      <xdr:rowOff>95251</xdr:rowOff>
    </xdr:from>
    <xdr:ext cx="1266825" cy="852996"/>
    <xdr:pic>
      <xdr:nvPicPr>
        <xdr:cNvPr id="12" name="Picture 11">
          <a:extLst>
            <a:ext uri="{FF2B5EF4-FFF2-40B4-BE49-F238E27FC236}">
              <a16:creationId xmlns:a16="http://schemas.microsoft.com/office/drawing/2014/main" id="{229AFD25-0846-41D4-B95E-BC59BBD4360F}"/>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97325" y="752476"/>
          <a:ext cx="1266825" cy="852996"/>
        </a:xfrm>
        <a:prstGeom prst="rect">
          <a:avLst/>
        </a:prstGeom>
      </xdr:spPr>
    </xdr:pic>
    <xdr:clientData/>
  </xdr:oneCellAnchor>
  <xdr:oneCellAnchor>
    <xdr:from>
      <xdr:col>12</xdr:col>
      <xdr:colOff>0</xdr:colOff>
      <xdr:row>48</xdr:row>
      <xdr:rowOff>0</xdr:rowOff>
    </xdr:from>
    <xdr:ext cx="2466975" cy="1419225"/>
    <xdr:pic>
      <xdr:nvPicPr>
        <xdr:cNvPr id="13" name="Picture 12">
          <a:extLst>
            <a:ext uri="{FF2B5EF4-FFF2-40B4-BE49-F238E27FC236}">
              <a16:creationId xmlns:a16="http://schemas.microsoft.com/office/drawing/2014/main" id="{50222F50-B4E8-4107-AFBF-E6E75D69D650}"/>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219450" y="9458325"/>
          <a:ext cx="2466975" cy="1419225"/>
        </a:xfrm>
        <a:prstGeom prst="rect">
          <a:avLst/>
        </a:prstGeom>
      </xdr:spPr>
    </xdr:pic>
    <xdr:clientData/>
  </xdr:oneCellAnchor>
  <xdr:oneCellAnchor>
    <xdr:from>
      <xdr:col>17</xdr:col>
      <xdr:colOff>19051</xdr:colOff>
      <xdr:row>11</xdr:row>
      <xdr:rowOff>57150</xdr:rowOff>
    </xdr:from>
    <xdr:ext cx="2579300" cy="2828925"/>
    <xdr:pic>
      <xdr:nvPicPr>
        <xdr:cNvPr id="14" name="Picture 13">
          <a:extLst>
            <a:ext uri="{FF2B5EF4-FFF2-40B4-BE49-F238E27FC236}">
              <a16:creationId xmlns:a16="http://schemas.microsoft.com/office/drawing/2014/main" id="{A9BE4A5C-4EB8-423C-A28D-948D1E6411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9851" y="2114550"/>
          <a:ext cx="2579300" cy="2828925"/>
        </a:xfrm>
        <a:prstGeom prst="rect">
          <a:avLst/>
        </a:prstGeom>
      </xdr:spPr>
    </xdr:pic>
    <xdr:clientData/>
  </xdr:oneCellAnchor>
  <xdr:oneCellAnchor>
    <xdr:from>
      <xdr:col>10</xdr:col>
      <xdr:colOff>419100</xdr:colOff>
      <xdr:row>24</xdr:row>
      <xdr:rowOff>66675</xdr:rowOff>
    </xdr:from>
    <xdr:ext cx="2200275" cy="1422400"/>
    <xdr:pic>
      <xdr:nvPicPr>
        <xdr:cNvPr id="15" name="Picture 14">
          <a:extLst>
            <a:ext uri="{FF2B5EF4-FFF2-40B4-BE49-F238E27FC236}">
              <a16:creationId xmlns:a16="http://schemas.microsoft.com/office/drawing/2014/main" id="{87F21CC5-775A-4211-8CF4-9EF54612A17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 y="4721225"/>
          <a:ext cx="2200275" cy="1422400"/>
        </a:xfrm>
        <a:prstGeom prst="rect">
          <a:avLst/>
        </a:prstGeom>
      </xdr:spPr>
    </xdr:pic>
    <xdr:clientData/>
  </xdr:oneCellAnchor>
  <xdr:oneCellAnchor>
    <xdr:from>
      <xdr:col>13</xdr:col>
      <xdr:colOff>0</xdr:colOff>
      <xdr:row>11</xdr:row>
      <xdr:rowOff>38100</xdr:rowOff>
    </xdr:from>
    <xdr:ext cx="2314163" cy="3257550"/>
    <xdr:pic>
      <xdr:nvPicPr>
        <xdr:cNvPr id="16" name="Picture 15">
          <a:extLst>
            <a:ext uri="{FF2B5EF4-FFF2-40B4-BE49-F238E27FC236}">
              <a16:creationId xmlns:a16="http://schemas.microsoft.com/office/drawing/2014/main" id="{99CEC261-7440-4B1F-A2B7-055CC402907C}"/>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90975" y="2095500"/>
          <a:ext cx="2314163" cy="3257550"/>
        </a:xfrm>
        <a:prstGeom prst="rect">
          <a:avLst/>
        </a:prstGeom>
      </xdr:spPr>
    </xdr:pic>
    <xdr:clientData/>
  </xdr:oneCellAnchor>
  <xdr:oneCellAnchor>
    <xdr:from>
      <xdr:col>13</xdr:col>
      <xdr:colOff>9525</xdr:colOff>
      <xdr:row>4</xdr:row>
      <xdr:rowOff>95251</xdr:rowOff>
    </xdr:from>
    <xdr:ext cx="1317625" cy="846646"/>
    <xdr:pic>
      <xdr:nvPicPr>
        <xdr:cNvPr id="17" name="Picture 16">
          <a:extLst>
            <a:ext uri="{FF2B5EF4-FFF2-40B4-BE49-F238E27FC236}">
              <a16:creationId xmlns:a16="http://schemas.microsoft.com/office/drawing/2014/main" id="{9B882186-121D-416B-BA85-509C96B1D210}"/>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97325" y="752476"/>
          <a:ext cx="1317625" cy="846646"/>
        </a:xfrm>
        <a:prstGeom prst="rect">
          <a:avLst/>
        </a:prstGeom>
      </xdr:spPr>
    </xdr:pic>
    <xdr:clientData/>
  </xdr:oneCellAnchor>
  <xdr:oneCellAnchor>
    <xdr:from>
      <xdr:col>19</xdr:col>
      <xdr:colOff>819150</xdr:colOff>
      <xdr:row>28</xdr:row>
      <xdr:rowOff>123825</xdr:rowOff>
    </xdr:from>
    <xdr:ext cx="4609313" cy="4060825"/>
    <xdr:pic>
      <xdr:nvPicPr>
        <xdr:cNvPr id="18" name="Picture 17">
          <a:extLst>
            <a:ext uri="{FF2B5EF4-FFF2-40B4-BE49-F238E27FC236}">
              <a16:creationId xmlns:a16="http://schemas.microsoft.com/office/drawing/2014/main" id="{B4A85C14-C17A-4BCC-AB02-81323F76AB9B}"/>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8439150" y="5578475"/>
          <a:ext cx="4609313" cy="4060825"/>
        </a:xfrm>
        <a:prstGeom prst="rect">
          <a:avLst/>
        </a:prstGeom>
      </xdr:spPr>
    </xdr:pic>
    <xdr:clientData/>
  </xdr:oneCellAnchor>
  <xdr:oneCellAnchor>
    <xdr:from>
      <xdr:col>10</xdr:col>
      <xdr:colOff>114300</xdr:colOff>
      <xdr:row>47</xdr:row>
      <xdr:rowOff>142875</xdr:rowOff>
    </xdr:from>
    <xdr:ext cx="2082800" cy="1450975"/>
    <xdr:pic>
      <xdr:nvPicPr>
        <xdr:cNvPr id="19" name="Picture 18">
          <a:extLst>
            <a:ext uri="{FF2B5EF4-FFF2-40B4-BE49-F238E27FC236}">
              <a16:creationId xmlns:a16="http://schemas.microsoft.com/office/drawing/2014/main" id="{45CB532D-22E6-4FE9-B625-37B218D9536E}"/>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361950" y="9398000"/>
          <a:ext cx="2082800" cy="1450975"/>
        </a:xfrm>
        <a:prstGeom prst="rect">
          <a:avLst/>
        </a:prstGeom>
      </xdr:spPr>
    </xdr:pic>
    <xdr:clientData/>
  </xdr:oneCellAnchor>
  <xdr:oneCellAnchor>
    <xdr:from>
      <xdr:col>12</xdr:col>
      <xdr:colOff>0</xdr:colOff>
      <xdr:row>48</xdr:row>
      <xdr:rowOff>0</xdr:rowOff>
    </xdr:from>
    <xdr:ext cx="2581275" cy="1476375"/>
    <xdr:pic>
      <xdr:nvPicPr>
        <xdr:cNvPr id="20" name="Picture 19">
          <a:extLst>
            <a:ext uri="{FF2B5EF4-FFF2-40B4-BE49-F238E27FC236}">
              <a16:creationId xmlns:a16="http://schemas.microsoft.com/office/drawing/2014/main" id="{BA275FC4-F3A5-408D-BF83-E834FE9F7065}"/>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Lst>
        </a:blip>
        <a:stretch>
          <a:fillRect/>
        </a:stretch>
      </xdr:blipFill>
      <xdr:spPr>
        <a:xfrm>
          <a:off x="3219450" y="9458325"/>
          <a:ext cx="2581275" cy="1476375"/>
        </a:xfrm>
        <a:prstGeom prst="rect">
          <a:avLst/>
        </a:prstGeom>
      </xdr:spPr>
    </xdr:pic>
    <xdr:clientData/>
  </xdr:oneCellAnchor>
  <xdr:oneCellAnchor>
    <xdr:from>
      <xdr:col>17</xdr:col>
      <xdr:colOff>19051</xdr:colOff>
      <xdr:row>11</xdr:row>
      <xdr:rowOff>57150</xdr:rowOff>
    </xdr:from>
    <xdr:ext cx="2528500" cy="2800350"/>
    <xdr:pic>
      <xdr:nvPicPr>
        <xdr:cNvPr id="21" name="Picture 20">
          <a:extLst>
            <a:ext uri="{FF2B5EF4-FFF2-40B4-BE49-F238E27FC236}">
              <a16:creationId xmlns:a16="http://schemas.microsoft.com/office/drawing/2014/main" id="{824A2816-A42E-452C-8F4F-608D1BB3429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419851" y="2114550"/>
          <a:ext cx="2528500" cy="2800350"/>
        </a:xfrm>
        <a:prstGeom prst="rect">
          <a:avLst/>
        </a:prstGeom>
      </xdr:spPr>
    </xdr:pic>
    <xdr:clientData/>
  </xdr:oneCellAnchor>
  <xdr:oneCellAnchor>
    <xdr:from>
      <xdr:col>10</xdr:col>
      <xdr:colOff>419100</xdr:colOff>
      <xdr:row>24</xdr:row>
      <xdr:rowOff>66675</xdr:rowOff>
    </xdr:from>
    <xdr:ext cx="2124075" cy="1371600"/>
    <xdr:pic>
      <xdr:nvPicPr>
        <xdr:cNvPr id="22" name="Picture 21">
          <a:extLst>
            <a:ext uri="{FF2B5EF4-FFF2-40B4-BE49-F238E27FC236}">
              <a16:creationId xmlns:a16="http://schemas.microsoft.com/office/drawing/2014/main" id="{7ED5C7E0-7D6B-4180-9E30-4C7AB0AACE4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666750" y="4721225"/>
          <a:ext cx="2124075" cy="1371600"/>
        </a:xfrm>
        <a:prstGeom prst="rect">
          <a:avLst/>
        </a:prstGeom>
      </xdr:spPr>
    </xdr:pic>
    <xdr:clientData/>
  </xdr:oneCellAnchor>
  <xdr:oneCellAnchor>
    <xdr:from>
      <xdr:col>13</xdr:col>
      <xdr:colOff>0</xdr:colOff>
      <xdr:row>11</xdr:row>
      <xdr:rowOff>38100</xdr:rowOff>
    </xdr:from>
    <xdr:ext cx="2237963" cy="3209925"/>
    <xdr:pic>
      <xdr:nvPicPr>
        <xdr:cNvPr id="23" name="Picture 22">
          <a:extLst>
            <a:ext uri="{FF2B5EF4-FFF2-40B4-BE49-F238E27FC236}">
              <a16:creationId xmlns:a16="http://schemas.microsoft.com/office/drawing/2014/main" id="{E4F46A31-23CC-4C41-9A69-88254447FA22}"/>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990975" y="2095500"/>
          <a:ext cx="2237963" cy="3209925"/>
        </a:xfrm>
        <a:prstGeom prst="rect">
          <a:avLst/>
        </a:prstGeom>
      </xdr:spPr>
    </xdr:pic>
    <xdr:clientData/>
  </xdr:oneCellAnchor>
  <xdr:oneCellAnchor>
    <xdr:from>
      <xdr:col>13</xdr:col>
      <xdr:colOff>9525</xdr:colOff>
      <xdr:row>4</xdr:row>
      <xdr:rowOff>95251</xdr:rowOff>
    </xdr:from>
    <xdr:ext cx="1266825" cy="852996"/>
    <xdr:pic>
      <xdr:nvPicPr>
        <xdr:cNvPr id="24" name="Picture 23">
          <a:extLst>
            <a:ext uri="{FF2B5EF4-FFF2-40B4-BE49-F238E27FC236}">
              <a16:creationId xmlns:a16="http://schemas.microsoft.com/office/drawing/2014/main" id="{2B89D729-B221-46CA-B799-D718A08E4EDC}"/>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3997325" y="752476"/>
          <a:ext cx="1266825" cy="852996"/>
        </a:xfrm>
        <a:prstGeom prst="rect">
          <a:avLst/>
        </a:prstGeom>
      </xdr:spPr>
    </xdr:pic>
    <xdr:clientData/>
  </xdr:oneCellAnchor>
  <xdr:twoCellAnchor>
    <xdr:from>
      <xdr:col>21</xdr:col>
      <xdr:colOff>0</xdr:colOff>
      <xdr:row>2</xdr:row>
      <xdr:rowOff>0</xdr:rowOff>
    </xdr:from>
    <xdr:to>
      <xdr:col>26</xdr:col>
      <xdr:colOff>577850</xdr:colOff>
      <xdr:row>23</xdr:row>
      <xdr:rowOff>28575</xdr:rowOff>
    </xdr:to>
    <xdr:sp macro="" textlink="">
      <xdr:nvSpPr>
        <xdr:cNvPr id="25" name="TextBox 24">
          <a:extLst>
            <a:ext uri="{FF2B5EF4-FFF2-40B4-BE49-F238E27FC236}">
              <a16:creationId xmlns:a16="http://schemas.microsoft.com/office/drawing/2014/main" id="{9BBCA2EE-B077-4D71-8614-F222EC3F6650}"/>
            </a:ext>
          </a:extLst>
        </xdr:cNvPr>
        <xdr:cNvSpPr txBox="1"/>
      </xdr:nvSpPr>
      <xdr:spPr>
        <a:xfrm>
          <a:off x="9734550" y="257175"/>
          <a:ext cx="3629025" cy="4225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endParaRPr lang="en-US" sz="1200" b="1" i="0">
            <a:solidFill>
              <a:schemeClr val="dk1"/>
            </a:solidFill>
            <a:latin typeface="Arial" pitchFamily="34" charset="0"/>
            <a:ea typeface="+mn-ea"/>
            <a:cs typeface="Arial" pitchFamily="34" charset="0"/>
          </a:endParaRPr>
        </a:p>
        <a:p>
          <a:pPr algn="ctr" rtl="0"/>
          <a:r>
            <a:rPr lang="en-US" sz="1400" b="1" i="0">
              <a:solidFill>
                <a:schemeClr val="dk1"/>
              </a:solidFill>
              <a:latin typeface="Arial" pitchFamily="34" charset="0"/>
              <a:ea typeface="+mn-ea"/>
              <a:cs typeface="Arial" pitchFamily="34" charset="0"/>
            </a:rPr>
            <a:t>Spread Sheet Method</a:t>
          </a:r>
        </a:p>
        <a:p>
          <a:pPr algn="ctr" rtl="0"/>
          <a:endParaRPr lang="en-US" sz="14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1. Type in values for the </a:t>
          </a:r>
          <a:r>
            <a:rPr lang="en-US" sz="1200" b="1" i="0">
              <a:solidFill>
                <a:srgbClr val="FF0000"/>
              </a:solidFill>
              <a:latin typeface="Arial" pitchFamily="34" charset="0"/>
              <a:ea typeface="+mn-ea"/>
              <a:cs typeface="Arial" pitchFamily="34" charset="0"/>
            </a:rPr>
            <a:t>Input Data</a:t>
          </a:r>
          <a:r>
            <a:rPr lang="en-US" sz="1200" b="0" i="0">
              <a:solidFill>
                <a:schemeClr val="dk1"/>
              </a:solidFill>
              <a:latin typeface="Arial" pitchFamily="34" charset="0"/>
              <a:ea typeface="+mn-ea"/>
              <a:cs typeface="Arial" pitchFamily="34" charset="0"/>
            </a:rPr>
            <a:t>.</a:t>
          </a:r>
          <a:endParaRPr lang="en-US" sz="1200">
            <a:latin typeface="Arial" pitchFamily="34" charset="0"/>
            <a:cs typeface="Arial" pitchFamily="34" charset="0"/>
          </a:endParaRPr>
        </a:p>
        <a:p>
          <a:pPr rtl="0"/>
          <a:r>
            <a:rPr lang="en-US" sz="1200" b="0" i="0">
              <a:solidFill>
                <a:schemeClr val="dk1"/>
              </a:solidFill>
              <a:latin typeface="Arial" pitchFamily="34" charset="0"/>
              <a:ea typeface="+mn-ea"/>
              <a:cs typeface="Arial" pitchFamily="34" charset="0"/>
            </a:rPr>
            <a:t>2. Excel will make the </a:t>
          </a:r>
          <a:r>
            <a:rPr lang="en-US" sz="1200" b="1" i="0">
              <a:solidFill>
                <a:srgbClr val="FF0000"/>
              </a:solidFill>
              <a:latin typeface="Arial" pitchFamily="34" charset="0"/>
              <a:ea typeface="+mn-ea"/>
              <a:cs typeface="Arial" pitchFamily="34" charset="0"/>
            </a:rPr>
            <a:t>Calculations</a:t>
          </a:r>
          <a:r>
            <a:rPr lang="en-US" sz="1200" b="0" i="0">
              <a:solidFill>
                <a:schemeClr val="dk1"/>
              </a:solidFill>
              <a:latin typeface="Arial" pitchFamily="34" charset="0"/>
              <a:ea typeface="+mn-ea"/>
              <a:cs typeface="Arial" pitchFamily="34" charset="0"/>
            </a:rPr>
            <a:t>.</a:t>
          </a:r>
          <a:endParaRPr lang="en-US" sz="1200">
            <a:latin typeface="Arial" pitchFamily="34" charset="0"/>
            <a:cs typeface="Arial" pitchFamily="34" charset="0"/>
          </a:endParaRPr>
        </a:p>
        <a:p>
          <a:pPr rtl="0"/>
          <a:endParaRPr lang="en-US" sz="1200" b="0" i="0">
            <a:solidFill>
              <a:schemeClr val="dk1"/>
            </a:solidFill>
            <a:latin typeface="Arial" pitchFamily="34" charset="0"/>
            <a:ea typeface="+mn-ea"/>
            <a:cs typeface="Arial" pitchFamily="34" charset="0"/>
          </a:endParaRPr>
        </a:p>
        <a:p>
          <a:pPr rtl="0"/>
          <a:r>
            <a:rPr lang="en-US" sz="1200" b="1" i="0">
              <a:solidFill>
                <a:schemeClr val="dk1"/>
              </a:solidFill>
              <a:latin typeface="Arial" pitchFamily="34" charset="0"/>
              <a:ea typeface="+mn-ea"/>
              <a:cs typeface="Arial" pitchFamily="34" charset="0"/>
            </a:rPr>
            <a:t>Excel's GOAL SEEK </a:t>
          </a:r>
          <a:endParaRPr lang="en-US" sz="12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Excel's, "Goal Seek" adjusts one Input value to cause a Calculated formula cell to equal a given value.</a:t>
          </a:r>
          <a:endParaRPr lang="en-US" sz="1200">
            <a:latin typeface="Arial" pitchFamily="34" charset="0"/>
            <a:cs typeface="Arial" pitchFamily="34" charset="0"/>
          </a:endParaRPr>
        </a:p>
        <a:p>
          <a:pPr rtl="0"/>
          <a:endParaRPr lang="en-US" sz="12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When using Excel's Goal Seek, unprotect the spread sheet by selecting: </a:t>
          </a:r>
        </a:p>
        <a:p>
          <a:pPr rtl="0"/>
          <a:endParaRPr lang="en-US" sz="12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Drop down menu:  Home &gt; Format &gt; Unprotect Sheet &gt; OK </a:t>
          </a:r>
          <a:endParaRPr lang="en-US" sz="1200">
            <a:latin typeface="Arial" pitchFamily="34" charset="0"/>
            <a:cs typeface="Arial" pitchFamily="34" charset="0"/>
          </a:endParaRPr>
        </a:p>
        <a:p>
          <a:pPr rtl="0"/>
          <a:endParaRPr lang="en-US" sz="12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When Excel's Goal Seek is not needed, restore protection with:</a:t>
          </a:r>
          <a:endParaRPr lang="en-US" sz="1200">
            <a:latin typeface="Arial" pitchFamily="34" charset="0"/>
            <a:cs typeface="Arial" pitchFamily="34" charset="0"/>
          </a:endParaRPr>
        </a:p>
        <a:p>
          <a:pPr rtl="0"/>
          <a:endParaRPr lang="en-US" sz="1200" b="0" i="0">
            <a:solidFill>
              <a:schemeClr val="dk1"/>
            </a:solidFill>
            <a:latin typeface="Arial" pitchFamily="34" charset="0"/>
            <a:ea typeface="+mn-ea"/>
            <a:cs typeface="Arial" pitchFamily="34" charset="0"/>
          </a:endParaRPr>
        </a:p>
        <a:p>
          <a:pPr rtl="0"/>
          <a:r>
            <a:rPr lang="en-US" sz="1200" b="0" i="0">
              <a:solidFill>
                <a:schemeClr val="dk1"/>
              </a:solidFill>
              <a:latin typeface="Arial" pitchFamily="34" charset="0"/>
              <a:ea typeface="+mn-ea"/>
              <a:cs typeface="Arial" pitchFamily="34" charset="0"/>
            </a:rPr>
            <a:t>Drop down menu:  Home &gt; Format &gt; Protect Sheet &gt; OK </a:t>
          </a:r>
          <a:endParaRPr lang="en-US" sz="1200">
            <a:latin typeface="Arial" pitchFamily="34" charset="0"/>
            <a:cs typeface="Arial" pitchFamily="34" charset="0"/>
          </a:endParaRPr>
        </a:p>
        <a:p>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cat.com/" TargetMode="External"/><Relationship Id="rId13" Type="http://schemas.openxmlformats.org/officeDocument/2006/relationships/drawing" Target="../drawings/drawing1.xml"/><Relationship Id="rId3" Type="http://schemas.openxmlformats.org/officeDocument/2006/relationships/hyperlink" Target="http://www.made-in-china.com/showroom/vansonix/product-detailXeqmZcTAHfRb/China-Bulldozer-Spares-D155-.html" TargetMode="External"/><Relationship Id="rId7" Type="http://schemas.openxmlformats.org/officeDocument/2006/relationships/hyperlink" Target="http://www.cat.com/" TargetMode="External"/><Relationship Id="rId12" Type="http://schemas.openxmlformats.org/officeDocument/2006/relationships/printerSettings" Target="../printerSettings/printerSettings1.bin"/><Relationship Id="rId2" Type="http://schemas.openxmlformats.org/officeDocument/2006/relationships/hyperlink" Target="http://www.cat.com/" TargetMode="External"/><Relationship Id="rId1" Type="http://schemas.openxmlformats.org/officeDocument/2006/relationships/hyperlink" Target="http://www.cat.com/agriculture" TargetMode="External"/><Relationship Id="rId6" Type="http://schemas.openxmlformats.org/officeDocument/2006/relationships/hyperlink" Target="http://www.cat.com/" TargetMode="External"/><Relationship Id="rId11" Type="http://schemas.openxmlformats.org/officeDocument/2006/relationships/hyperlink" Target="http://www.cat.com/" TargetMode="External"/><Relationship Id="rId5" Type="http://schemas.openxmlformats.org/officeDocument/2006/relationships/hyperlink" Target="http://www.cat.com/" TargetMode="External"/><Relationship Id="rId10" Type="http://schemas.openxmlformats.org/officeDocument/2006/relationships/hyperlink" Target="http://www.cat.com/" TargetMode="External"/><Relationship Id="rId4" Type="http://schemas.openxmlformats.org/officeDocument/2006/relationships/hyperlink" Target="http://www.cat.com/" TargetMode="External"/><Relationship Id="rId9" Type="http://schemas.openxmlformats.org/officeDocument/2006/relationships/hyperlink" Target="http://www.cat.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cat.com/" TargetMode="External"/></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bin"/><Relationship Id="rId3" Type="http://schemas.openxmlformats.org/officeDocument/2006/relationships/hyperlink" Target="http://en.wikipedia.org/wiki/Joule" TargetMode="External"/><Relationship Id="rId7" Type="http://schemas.openxmlformats.org/officeDocument/2006/relationships/hyperlink" Target="http://en.wikipedia.org/wiki/Hydrogen" TargetMode="External"/><Relationship Id="rId2" Type="http://schemas.openxmlformats.org/officeDocument/2006/relationships/hyperlink" Target="http://en.wikipedia.org/wiki/Joule" TargetMode="External"/><Relationship Id="rId1" Type="http://schemas.openxmlformats.org/officeDocument/2006/relationships/hyperlink" Target="http://en.wikipedia.org/wiki/Higher_heating_value" TargetMode="External"/><Relationship Id="rId6" Type="http://schemas.openxmlformats.org/officeDocument/2006/relationships/hyperlink" Target="http://en.wikipedia.org/wiki/Propane" TargetMode="External"/><Relationship Id="rId5" Type="http://schemas.openxmlformats.org/officeDocument/2006/relationships/hyperlink" Target="http://en.wikipedia.org/wiki/Methane" TargetMode="External"/><Relationship Id="rId4" Type="http://schemas.openxmlformats.org/officeDocument/2006/relationships/hyperlink" Target="http://en.wikipedia.org/wiki/Carbon_monoxide"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www.beavervalleysupply.com/sectione/degblades.htm" TargetMode="External"/></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www.cat.com/" TargetMode="External"/><Relationship Id="rId1" Type="http://schemas.openxmlformats.org/officeDocument/2006/relationships/hyperlink" Target="http://australia.cat.com/cda/layout?m=304236&amp;x=7&amp;f=" TargetMode="External"/><Relationship Id="rId4"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559"/>
  <sheetViews>
    <sheetView tabSelected="1" zoomScaleNormal="100" workbookViewId="0">
      <selection activeCell="I1" sqref="I1"/>
    </sheetView>
  </sheetViews>
  <sheetFormatPr defaultRowHeight="15.5" x14ac:dyDescent="0.35"/>
  <cols>
    <col min="1" max="1" width="8.54296875" style="25" customWidth="1"/>
    <col min="2" max="2" width="26.1796875" style="25" customWidth="1"/>
    <col min="3" max="3" width="37.7265625" style="25" customWidth="1"/>
    <col min="4" max="4" width="8.7265625" style="25"/>
    <col min="5" max="5" width="10.81640625" style="25" customWidth="1"/>
    <col min="6" max="6" width="5.54296875" style="25" customWidth="1"/>
    <col min="7" max="7" width="5.26953125" style="25" customWidth="1"/>
    <col min="8" max="8" width="10.26953125" style="25" customWidth="1"/>
    <col min="9" max="9" width="10.453125" style="25" customWidth="1"/>
    <col min="10" max="10" width="11.453125" style="25" customWidth="1"/>
    <col min="11" max="11" width="8.7265625" style="25"/>
    <col min="12" max="12" width="7.36328125" style="25" customWidth="1"/>
    <col min="13" max="13" width="11.453125" style="25" customWidth="1"/>
    <col min="14" max="16384" width="8.7265625" style="25"/>
  </cols>
  <sheetData>
    <row r="1" spans="1:14" ht="20" x14ac:dyDescent="0.4">
      <c r="B1" s="47" t="s">
        <v>613</v>
      </c>
      <c r="C1" s="26"/>
      <c r="D1" s="26"/>
      <c r="E1" s="26"/>
      <c r="F1" s="27"/>
      <c r="G1" s="27"/>
      <c r="H1" s="27"/>
      <c r="I1" s="27"/>
      <c r="J1" s="27"/>
      <c r="K1" s="27"/>
    </row>
    <row r="2" spans="1:14" x14ac:dyDescent="0.35">
      <c r="A2" s="28"/>
      <c r="B2" s="28"/>
      <c r="C2" s="26"/>
      <c r="D2" s="26"/>
      <c r="E2" s="26"/>
      <c r="F2" s="27"/>
      <c r="G2" s="27"/>
      <c r="H2" s="27"/>
      <c r="I2" s="27"/>
      <c r="J2" s="27"/>
      <c r="K2" s="27"/>
    </row>
    <row r="3" spans="1:14" x14ac:dyDescent="0.35">
      <c r="A3" s="26"/>
      <c r="B3" s="29"/>
      <c r="C3" s="26"/>
      <c r="D3" s="30"/>
      <c r="F3" s="27"/>
      <c r="G3" s="27"/>
      <c r="H3" s="27"/>
      <c r="I3" s="27"/>
      <c r="J3" s="27"/>
      <c r="K3" s="27"/>
    </row>
    <row r="4" spans="1:14" ht="18" x14ac:dyDescent="0.4">
      <c r="A4" s="26"/>
      <c r="B4" s="24" t="s">
        <v>3</v>
      </c>
      <c r="C4" s="26"/>
      <c r="D4" s="26"/>
      <c r="E4" s="26"/>
      <c r="F4" s="27"/>
      <c r="G4" s="27"/>
      <c r="I4" s="27"/>
    </row>
    <row r="5" spans="1:14" x14ac:dyDescent="0.35">
      <c r="A5" s="26"/>
      <c r="B5" s="26"/>
      <c r="C5" s="26"/>
      <c r="D5" s="26"/>
      <c r="E5" s="26"/>
      <c r="F5" s="27"/>
      <c r="G5" s="27"/>
      <c r="I5" s="1" t="s">
        <v>629</v>
      </c>
      <c r="N5" s="48"/>
    </row>
    <row r="6" spans="1:14" x14ac:dyDescent="0.35">
      <c r="A6" s="26"/>
      <c r="B6" s="15" t="s">
        <v>0</v>
      </c>
      <c r="C6" s="26"/>
      <c r="D6" s="26"/>
      <c r="E6" s="26"/>
      <c r="F6" s="27"/>
      <c r="G6" s="27"/>
      <c r="I6" s="25" t="s">
        <v>630</v>
      </c>
      <c r="J6" s="48"/>
      <c r="K6" s="48"/>
      <c r="N6" s="48"/>
    </row>
    <row r="7" spans="1:14" x14ac:dyDescent="0.35">
      <c r="A7" s="26"/>
      <c r="B7" s="15" t="s">
        <v>1</v>
      </c>
      <c r="C7" s="26"/>
      <c r="D7" s="26"/>
      <c r="E7" s="26"/>
      <c r="F7" s="27"/>
      <c r="G7" s="27"/>
      <c r="H7" s="1"/>
      <c r="J7" s="48"/>
      <c r="K7" s="48"/>
      <c r="N7" s="48"/>
    </row>
    <row r="8" spans="1:14" x14ac:dyDescent="0.35">
      <c r="A8" s="26"/>
      <c r="B8" s="15" t="s">
        <v>2</v>
      </c>
      <c r="C8" s="26"/>
      <c r="D8" s="26"/>
      <c r="E8" s="26"/>
      <c r="F8" s="27"/>
      <c r="G8" s="27"/>
      <c r="J8" s="48"/>
      <c r="K8" s="48"/>
      <c r="N8" s="48"/>
    </row>
    <row r="9" spans="1:14" x14ac:dyDescent="0.35">
      <c r="C9" s="26"/>
      <c r="D9" s="26"/>
      <c r="E9" s="26"/>
      <c r="F9" s="27"/>
      <c r="G9" s="27"/>
      <c r="J9" s="48"/>
      <c r="K9" s="48"/>
      <c r="N9" s="48"/>
    </row>
    <row r="10" spans="1:14" x14ac:dyDescent="0.35">
      <c r="B10" s="32"/>
      <c r="C10" s="32"/>
      <c r="D10" s="32"/>
      <c r="E10" s="32"/>
      <c r="F10" s="27"/>
      <c r="G10" s="27"/>
      <c r="J10" s="48"/>
      <c r="K10" s="48"/>
      <c r="N10" s="48"/>
    </row>
    <row r="11" spans="1:14" x14ac:dyDescent="0.35">
      <c r="A11" s="26"/>
      <c r="B11" s="31"/>
      <c r="C11" s="26"/>
      <c r="D11" s="26"/>
      <c r="E11" s="26"/>
      <c r="F11" s="27"/>
      <c r="G11" s="27"/>
      <c r="J11" s="48"/>
      <c r="K11" s="48"/>
      <c r="N11" s="48"/>
    </row>
    <row r="12" spans="1:14" ht="17.5" x14ac:dyDescent="0.35">
      <c r="A12" s="26"/>
      <c r="B12" s="26"/>
      <c r="C12" s="53" t="s">
        <v>632</v>
      </c>
      <c r="D12" s="26"/>
      <c r="E12" s="26"/>
      <c r="F12" s="27"/>
      <c r="G12" s="27"/>
      <c r="J12" s="48"/>
      <c r="K12" s="48"/>
      <c r="N12" s="48"/>
    </row>
    <row r="13" spans="1:14" x14ac:dyDescent="0.35">
      <c r="A13" s="32"/>
      <c r="F13" s="33"/>
      <c r="G13" s="33"/>
      <c r="J13" s="48"/>
      <c r="K13" s="48"/>
      <c r="N13" s="48"/>
    </row>
    <row r="14" spans="1:14" x14ac:dyDescent="0.35">
      <c r="A14" s="26"/>
      <c r="B14" s="26"/>
      <c r="C14" s="26"/>
      <c r="D14" s="26"/>
      <c r="E14" s="26"/>
      <c r="F14" s="33"/>
      <c r="G14" s="33"/>
      <c r="J14" s="48"/>
      <c r="K14" s="48"/>
      <c r="N14" s="49"/>
    </row>
    <row r="15" spans="1:14" x14ac:dyDescent="0.35">
      <c r="A15" s="26"/>
      <c r="B15" s="26"/>
      <c r="C15" s="26"/>
      <c r="D15" s="26"/>
      <c r="E15" s="26"/>
      <c r="F15" s="33"/>
      <c r="G15" s="33"/>
      <c r="H15" s="49"/>
      <c r="I15" s="49"/>
      <c r="J15" s="49"/>
      <c r="K15" s="49"/>
      <c r="N15" s="49"/>
    </row>
    <row r="16" spans="1:14" x14ac:dyDescent="0.35">
      <c r="A16" s="26"/>
      <c r="B16" s="26"/>
      <c r="C16" s="26"/>
      <c r="D16" s="26"/>
      <c r="E16" s="26"/>
      <c r="F16" s="33"/>
      <c r="G16" s="33"/>
      <c r="H16" s="49"/>
      <c r="I16" s="49"/>
      <c r="J16" s="49"/>
      <c r="K16" s="49"/>
      <c r="N16" s="49"/>
    </row>
    <row r="17" spans="1:14" x14ac:dyDescent="0.35">
      <c r="A17" s="26"/>
      <c r="B17" s="26"/>
      <c r="C17" s="26"/>
      <c r="D17" s="26"/>
      <c r="E17" s="26"/>
      <c r="F17" s="33"/>
      <c r="G17" s="33"/>
      <c r="H17" s="49"/>
      <c r="I17" s="49"/>
      <c r="J17" s="49"/>
      <c r="K17" s="49"/>
      <c r="N17" s="49"/>
    </row>
    <row r="18" spans="1:14" x14ac:dyDescent="0.35">
      <c r="A18" s="26"/>
      <c r="B18" s="26"/>
      <c r="C18" s="26"/>
      <c r="D18" s="26"/>
      <c r="E18" s="26"/>
      <c r="F18" s="33"/>
      <c r="G18" s="33"/>
      <c r="H18" s="49"/>
      <c r="I18" s="49"/>
      <c r="J18" s="49"/>
      <c r="K18" s="49"/>
    </row>
    <row r="19" spans="1:14" x14ac:dyDescent="0.35">
      <c r="A19" s="26"/>
      <c r="B19" s="26"/>
      <c r="C19" s="26"/>
      <c r="D19" s="26"/>
      <c r="E19" s="26"/>
      <c r="F19" s="33"/>
      <c r="G19" s="33"/>
      <c r="H19" s="33"/>
      <c r="I19" s="33"/>
      <c r="J19" s="27"/>
      <c r="K19" s="27"/>
    </row>
    <row r="20" spans="1:14" x14ac:dyDescent="0.35">
      <c r="A20" s="26"/>
      <c r="B20" s="26"/>
      <c r="C20" s="26"/>
      <c r="D20" s="26"/>
      <c r="E20" s="26"/>
      <c r="F20" s="33"/>
      <c r="G20" s="33"/>
      <c r="H20" s="33"/>
      <c r="I20" s="33"/>
      <c r="J20" s="27"/>
      <c r="K20" s="27"/>
    </row>
    <row r="21" spans="1:14" x14ac:dyDescent="0.35">
      <c r="A21" s="26"/>
      <c r="B21" s="26"/>
      <c r="C21" s="26"/>
      <c r="D21" s="26"/>
      <c r="E21" s="26"/>
      <c r="F21" s="33"/>
      <c r="G21" s="33"/>
      <c r="H21" s="33"/>
      <c r="I21" s="33"/>
      <c r="J21" s="27"/>
      <c r="K21" s="27"/>
    </row>
    <row r="22" spans="1:14" x14ac:dyDescent="0.35">
      <c r="A22" s="26"/>
      <c r="B22" s="26"/>
      <c r="C22" s="26"/>
      <c r="D22" s="26"/>
      <c r="E22" s="26"/>
      <c r="F22" s="33"/>
      <c r="G22" s="33"/>
      <c r="H22" s="33"/>
      <c r="I22" s="33"/>
      <c r="J22" s="27"/>
      <c r="K22" s="27"/>
    </row>
    <row r="23" spans="1:14" x14ac:dyDescent="0.35">
      <c r="A23" s="26"/>
      <c r="B23" s="26"/>
      <c r="C23" s="26"/>
      <c r="D23" s="26"/>
      <c r="E23" s="26"/>
      <c r="F23" s="33"/>
      <c r="G23" s="33"/>
      <c r="H23" s="33"/>
      <c r="I23" s="33"/>
      <c r="J23" s="27"/>
      <c r="K23" s="27"/>
    </row>
    <row r="24" spans="1:14" x14ac:dyDescent="0.35">
      <c r="A24" s="26"/>
      <c r="B24" s="26"/>
      <c r="C24" s="26"/>
      <c r="D24" s="26"/>
      <c r="E24" s="26"/>
      <c r="F24" s="33"/>
      <c r="G24" s="33"/>
      <c r="H24" s="33"/>
      <c r="I24" s="33"/>
      <c r="J24" s="27"/>
      <c r="K24" s="27"/>
    </row>
    <row r="25" spans="1:14" x14ac:dyDescent="0.35">
      <c r="A25" s="32"/>
      <c r="B25" s="26"/>
      <c r="C25" s="26"/>
      <c r="D25" s="26"/>
      <c r="E25" s="26"/>
      <c r="F25" s="33"/>
      <c r="G25" s="33"/>
      <c r="H25" s="33"/>
      <c r="I25" s="33"/>
      <c r="J25" s="27"/>
      <c r="K25" s="27"/>
    </row>
    <row r="26" spans="1:14" x14ac:dyDescent="0.35">
      <c r="A26" s="32"/>
      <c r="F26" s="33"/>
      <c r="G26" s="33"/>
      <c r="H26" s="33"/>
      <c r="I26" s="33"/>
      <c r="J26" s="27"/>
      <c r="K26" s="27"/>
    </row>
    <row r="27" spans="1:14" x14ac:dyDescent="0.35">
      <c r="A27" s="32"/>
      <c r="F27" s="27"/>
      <c r="G27" s="27"/>
      <c r="H27" s="27"/>
      <c r="I27" s="27"/>
      <c r="J27" s="27"/>
      <c r="K27" s="27"/>
    </row>
    <row r="28" spans="1:14" x14ac:dyDescent="0.35">
      <c r="A28" s="32"/>
      <c r="F28" s="27"/>
      <c r="G28" s="27"/>
      <c r="H28" s="27"/>
      <c r="I28" s="27"/>
      <c r="J28" s="27"/>
      <c r="K28" s="27"/>
    </row>
    <row r="29" spans="1:14" x14ac:dyDescent="0.35">
      <c r="A29" s="32"/>
      <c r="F29" s="27"/>
      <c r="G29" s="27"/>
      <c r="H29" s="27"/>
      <c r="I29" s="27"/>
      <c r="J29" s="27"/>
      <c r="K29" s="27"/>
    </row>
    <row r="30" spans="1:14" x14ac:dyDescent="0.35">
      <c r="A30" s="32"/>
      <c r="F30" s="27"/>
      <c r="G30" s="27"/>
      <c r="H30" s="27"/>
      <c r="I30" s="27"/>
      <c r="J30" s="27"/>
      <c r="K30" s="27"/>
    </row>
    <row r="31" spans="1:14" x14ac:dyDescent="0.35">
      <c r="A31" s="32"/>
      <c r="F31" s="27"/>
      <c r="G31" s="27"/>
      <c r="H31" s="27"/>
      <c r="I31" s="27"/>
      <c r="J31" s="27"/>
      <c r="K31" s="27"/>
    </row>
    <row r="32" spans="1:14" x14ac:dyDescent="0.35">
      <c r="A32" s="32"/>
      <c r="F32" s="27"/>
      <c r="G32" s="27"/>
      <c r="H32" s="27"/>
      <c r="I32" s="27"/>
      <c r="J32" s="27"/>
      <c r="K32" s="27"/>
    </row>
    <row r="33" spans="1:11" x14ac:dyDescent="0.35">
      <c r="A33" s="32"/>
      <c r="F33" s="27"/>
      <c r="G33" s="27"/>
      <c r="H33" s="27"/>
      <c r="I33" s="27"/>
      <c r="J33" s="27"/>
      <c r="K33" s="27"/>
    </row>
    <row r="34" spans="1:11" x14ac:dyDescent="0.35">
      <c r="A34" s="32"/>
      <c r="F34" s="27"/>
      <c r="G34" s="27"/>
      <c r="H34" s="27"/>
      <c r="I34" s="27"/>
      <c r="J34" s="27"/>
      <c r="K34" s="27"/>
    </row>
    <row r="35" spans="1:11" x14ac:dyDescent="0.35">
      <c r="A35" s="32"/>
      <c r="F35" s="27"/>
      <c r="G35" s="27"/>
      <c r="H35" s="27"/>
      <c r="I35" s="27"/>
      <c r="J35" s="27"/>
      <c r="K35" s="27"/>
    </row>
    <row r="36" spans="1:11" x14ac:dyDescent="0.35">
      <c r="A36" s="32"/>
      <c r="F36" s="27"/>
      <c r="G36" s="27"/>
      <c r="H36" s="27"/>
      <c r="I36" s="27"/>
      <c r="J36" s="27"/>
      <c r="K36" s="27"/>
    </row>
    <row r="37" spans="1:11" x14ac:dyDescent="0.35">
      <c r="A37" s="32"/>
      <c r="F37" s="27"/>
      <c r="G37" s="27"/>
      <c r="H37" s="27"/>
      <c r="I37" s="27"/>
      <c r="J37" s="27"/>
      <c r="K37" s="27"/>
    </row>
    <row r="38" spans="1:11" x14ac:dyDescent="0.35">
      <c r="A38" s="32"/>
      <c r="F38" s="27"/>
      <c r="G38" s="27"/>
      <c r="H38" s="27"/>
      <c r="I38" s="27"/>
      <c r="J38" s="27"/>
      <c r="K38" s="27"/>
    </row>
    <row r="39" spans="1:11" x14ac:dyDescent="0.35">
      <c r="A39" s="32"/>
      <c r="F39" s="27"/>
      <c r="G39" s="27"/>
      <c r="H39" s="27"/>
      <c r="I39" s="27"/>
      <c r="J39" s="27"/>
      <c r="K39" s="27"/>
    </row>
    <row r="40" spans="1:11" x14ac:dyDescent="0.35">
      <c r="A40" s="32"/>
      <c r="F40" s="27"/>
      <c r="G40" s="27"/>
      <c r="H40" s="27"/>
      <c r="J40" s="27"/>
      <c r="K40" s="27"/>
    </row>
    <row r="41" spans="1:11" x14ac:dyDescent="0.35">
      <c r="A41" s="32"/>
      <c r="F41" s="27"/>
      <c r="G41" s="27"/>
      <c r="H41" s="27"/>
      <c r="J41" s="27"/>
      <c r="K41" s="27"/>
    </row>
    <row r="42" spans="1:11" x14ac:dyDescent="0.35">
      <c r="A42" s="32"/>
      <c r="F42" s="27"/>
      <c r="G42" s="27"/>
      <c r="H42" s="27"/>
      <c r="I42" s="27"/>
      <c r="J42" s="27"/>
      <c r="K42" s="27"/>
    </row>
    <row r="43" spans="1:11" x14ac:dyDescent="0.35">
      <c r="A43" s="32"/>
      <c r="F43" s="27"/>
      <c r="G43" s="27"/>
      <c r="H43" s="27"/>
      <c r="I43" s="27"/>
      <c r="J43" s="27"/>
      <c r="K43" s="27"/>
    </row>
    <row r="44" spans="1:11" x14ac:dyDescent="0.35">
      <c r="A44" s="32"/>
      <c r="F44" s="27"/>
      <c r="G44" s="27"/>
      <c r="H44" s="27"/>
      <c r="I44" s="27"/>
      <c r="J44" s="27"/>
      <c r="K44" s="27"/>
    </row>
    <row r="45" spans="1:11" x14ac:dyDescent="0.35">
      <c r="A45" s="32"/>
      <c r="F45" s="27"/>
      <c r="G45" s="27"/>
      <c r="H45" s="33"/>
      <c r="I45" s="33"/>
      <c r="J45" s="27"/>
      <c r="K45" s="27"/>
    </row>
    <row r="46" spans="1:11" x14ac:dyDescent="0.35">
      <c r="A46" s="32"/>
      <c r="F46" s="27"/>
      <c r="G46" s="27"/>
      <c r="H46" s="27"/>
      <c r="I46" s="27"/>
      <c r="J46" s="27"/>
      <c r="K46" s="27"/>
    </row>
    <row r="47" spans="1:11" x14ac:dyDescent="0.35">
      <c r="A47" s="32"/>
      <c r="F47" s="27"/>
      <c r="G47" s="27"/>
      <c r="H47" s="27"/>
      <c r="I47" s="27"/>
      <c r="J47" s="27"/>
      <c r="K47" s="27"/>
    </row>
    <row r="48" spans="1:11" x14ac:dyDescent="0.35">
      <c r="A48" s="32"/>
      <c r="F48" s="27"/>
      <c r="G48" s="27"/>
      <c r="H48" s="27"/>
      <c r="I48" s="27"/>
      <c r="J48" s="27"/>
      <c r="K48" s="27"/>
    </row>
    <row r="49" spans="1:11" x14ac:dyDescent="0.35">
      <c r="A49" s="32"/>
      <c r="F49" s="27"/>
      <c r="G49" s="27"/>
      <c r="H49" s="27"/>
      <c r="I49" s="27"/>
      <c r="J49" s="27"/>
      <c r="K49" s="27"/>
    </row>
    <row r="50" spans="1:11" x14ac:dyDescent="0.35">
      <c r="A50" s="32"/>
      <c r="F50" s="27"/>
      <c r="G50" s="27"/>
      <c r="H50" s="27"/>
      <c r="I50" s="27"/>
      <c r="J50" s="27"/>
      <c r="K50" s="27"/>
    </row>
    <row r="51" spans="1:11" x14ac:dyDescent="0.35">
      <c r="A51" s="32"/>
      <c r="F51" s="27"/>
      <c r="G51" s="27"/>
      <c r="H51" s="27"/>
      <c r="I51" s="27"/>
      <c r="J51" s="27"/>
      <c r="K51" s="27"/>
    </row>
    <row r="52" spans="1:11" x14ac:dyDescent="0.35">
      <c r="A52" s="34"/>
      <c r="F52" s="33"/>
      <c r="G52" s="33"/>
      <c r="H52" s="27"/>
      <c r="I52" s="27"/>
      <c r="J52" s="33"/>
      <c r="K52" s="27"/>
    </row>
    <row r="53" spans="1:11" ht="20.5" thickBot="1" x14ac:dyDescent="0.45">
      <c r="A53" s="34"/>
      <c r="C53" s="51" t="s">
        <v>612</v>
      </c>
      <c r="F53" s="27"/>
      <c r="G53" s="27"/>
      <c r="H53" s="27"/>
      <c r="I53" s="27"/>
      <c r="J53" s="27"/>
      <c r="K53" s="27"/>
    </row>
    <row r="54" spans="1:11" ht="18" thickBot="1" x14ac:dyDescent="0.4">
      <c r="A54" s="34"/>
      <c r="B54" s="67" t="s">
        <v>635</v>
      </c>
      <c r="C54" s="68"/>
      <c r="D54" s="27"/>
      <c r="G54" s="27"/>
      <c r="H54" s="32"/>
    </row>
    <row r="55" spans="1:11" ht="18" x14ac:dyDescent="0.4">
      <c r="A55" s="32"/>
      <c r="F55" s="14" t="s">
        <v>5</v>
      </c>
      <c r="G55" s="26"/>
      <c r="H55" s="26"/>
    </row>
    <row r="56" spans="1:11" x14ac:dyDescent="0.35">
      <c r="A56" s="32"/>
      <c r="B56" s="32"/>
      <c r="C56" s="32"/>
      <c r="D56" s="32"/>
      <c r="E56" s="32"/>
      <c r="F56" s="26"/>
      <c r="G56" s="26"/>
      <c r="H56" s="26"/>
    </row>
    <row r="57" spans="1:11" x14ac:dyDescent="0.35">
      <c r="A57" s="32"/>
      <c r="B57" s="26"/>
      <c r="C57" s="26"/>
      <c r="D57" s="26"/>
      <c r="E57" s="26"/>
      <c r="F57" s="26"/>
      <c r="G57" s="26"/>
      <c r="H57" s="26"/>
    </row>
    <row r="58" spans="1:11" x14ac:dyDescent="0.35">
      <c r="A58" s="32"/>
      <c r="B58" s="26"/>
      <c r="C58" s="26"/>
      <c r="D58" s="26"/>
      <c r="E58" s="26"/>
      <c r="F58" s="26"/>
      <c r="G58" s="26"/>
      <c r="H58" s="26"/>
    </row>
    <row r="59" spans="1:11" x14ac:dyDescent="0.35">
      <c r="A59" s="32"/>
      <c r="B59" s="26"/>
      <c r="C59" s="26"/>
      <c r="D59" s="26"/>
      <c r="E59" s="26"/>
      <c r="F59" s="26"/>
      <c r="G59" s="26"/>
      <c r="H59" s="26"/>
    </row>
    <row r="60" spans="1:11" x14ac:dyDescent="0.35">
      <c r="A60" s="32"/>
      <c r="B60" s="26"/>
      <c r="C60" s="26"/>
      <c r="D60" s="26"/>
      <c r="E60" s="26"/>
      <c r="F60" s="26"/>
      <c r="G60" s="26"/>
      <c r="H60" s="26"/>
    </row>
    <row r="61" spans="1:11" x14ac:dyDescent="0.35">
      <c r="A61" s="32"/>
      <c r="B61" s="26"/>
      <c r="C61" s="26"/>
      <c r="D61" s="26"/>
      <c r="E61" s="26"/>
      <c r="F61" s="26"/>
      <c r="G61" s="26"/>
      <c r="H61" s="26"/>
    </row>
    <row r="62" spans="1:11" x14ac:dyDescent="0.35">
      <c r="A62" s="32"/>
      <c r="B62" s="26"/>
      <c r="C62" s="26"/>
      <c r="D62" s="26"/>
      <c r="E62" s="26"/>
      <c r="F62" s="26"/>
      <c r="G62" s="26"/>
      <c r="H62" s="26"/>
    </row>
    <row r="63" spans="1:11" x14ac:dyDescent="0.35">
      <c r="A63" s="32"/>
      <c r="B63" s="26"/>
      <c r="C63" s="26"/>
      <c r="D63" s="26"/>
      <c r="E63" s="26"/>
      <c r="F63" s="26"/>
      <c r="G63" s="26"/>
      <c r="H63" s="26"/>
    </row>
    <row r="64" spans="1:11" x14ac:dyDescent="0.35">
      <c r="A64" s="32"/>
      <c r="B64" s="26"/>
      <c r="C64" s="26"/>
      <c r="D64" s="26"/>
      <c r="E64" s="26"/>
      <c r="F64" s="26"/>
      <c r="G64" s="26"/>
      <c r="H64" s="26"/>
    </row>
    <row r="65" spans="1:11" x14ac:dyDescent="0.35">
      <c r="A65" s="32"/>
      <c r="B65" s="26"/>
      <c r="C65" s="26"/>
      <c r="D65" s="26"/>
      <c r="E65" s="26"/>
      <c r="F65" s="26"/>
      <c r="G65" s="26"/>
      <c r="H65" s="26"/>
    </row>
    <row r="66" spans="1:11" x14ac:dyDescent="0.35">
      <c r="A66" s="32"/>
      <c r="B66" s="26"/>
      <c r="C66" s="26"/>
      <c r="D66" s="26"/>
      <c r="E66" s="26"/>
      <c r="F66" s="26"/>
      <c r="G66" s="26"/>
      <c r="H66" s="26"/>
    </row>
    <row r="67" spans="1:11" ht="16" thickBot="1" x14ac:dyDescent="0.4">
      <c r="A67" s="32"/>
      <c r="B67" s="26"/>
      <c r="C67" s="26"/>
      <c r="D67" s="26"/>
      <c r="E67" s="26"/>
      <c r="F67" s="26"/>
      <c r="G67" s="26"/>
      <c r="H67" s="26"/>
    </row>
    <row r="68" spans="1:11" ht="18" thickBot="1" x14ac:dyDescent="0.4">
      <c r="A68" s="32"/>
      <c r="B68" s="26"/>
      <c r="C68" s="26"/>
      <c r="D68" s="26"/>
      <c r="E68" s="26"/>
      <c r="F68" s="26"/>
      <c r="G68" s="26"/>
      <c r="H68" s="63"/>
      <c r="I68" s="64" t="s">
        <v>634</v>
      </c>
      <c r="J68" s="65"/>
      <c r="K68" s="54"/>
    </row>
    <row r="69" spans="1:11" x14ac:dyDescent="0.35">
      <c r="A69" s="32"/>
      <c r="B69" s="26"/>
      <c r="C69" s="26"/>
      <c r="D69" s="26"/>
      <c r="E69" s="26"/>
      <c r="F69" s="26"/>
      <c r="G69" s="26"/>
      <c r="H69" s="26"/>
    </row>
    <row r="70" spans="1:11" x14ac:dyDescent="0.35">
      <c r="A70" s="32"/>
      <c r="B70" s="26"/>
      <c r="C70" s="26"/>
      <c r="D70" s="26"/>
      <c r="E70" s="26"/>
      <c r="F70" s="26"/>
      <c r="G70" s="26"/>
      <c r="H70" s="26"/>
    </row>
    <row r="71" spans="1:11" x14ac:dyDescent="0.35">
      <c r="A71" s="32"/>
      <c r="B71" s="26"/>
      <c r="C71" s="26"/>
      <c r="D71" s="26"/>
      <c r="E71" s="26"/>
      <c r="F71" s="15" t="s">
        <v>27</v>
      </c>
      <c r="G71" s="26"/>
      <c r="H71" s="26"/>
    </row>
    <row r="72" spans="1:11" x14ac:dyDescent="0.35">
      <c r="A72" s="32"/>
      <c r="B72" s="26"/>
      <c r="C72" s="26"/>
      <c r="D72" s="26"/>
      <c r="E72" s="26"/>
      <c r="F72" s="26"/>
      <c r="G72" s="26"/>
      <c r="H72" s="26"/>
    </row>
    <row r="73" spans="1:11" x14ac:dyDescent="0.35">
      <c r="A73" s="32"/>
      <c r="B73" s="26"/>
      <c r="C73" s="26"/>
      <c r="D73" s="26"/>
      <c r="E73" s="26"/>
      <c r="F73" s="26"/>
      <c r="G73" s="26"/>
      <c r="H73" s="26"/>
    </row>
    <row r="74" spans="1:11" x14ac:dyDescent="0.35">
      <c r="A74" s="32"/>
      <c r="B74" s="26"/>
      <c r="C74" s="26"/>
      <c r="D74" s="26"/>
      <c r="E74" s="26"/>
      <c r="F74" s="26"/>
      <c r="G74" s="26"/>
      <c r="H74" s="26"/>
    </row>
    <row r="75" spans="1:11" x14ac:dyDescent="0.35">
      <c r="A75" s="32"/>
      <c r="B75" s="26"/>
      <c r="C75" s="26"/>
      <c r="D75" s="26"/>
      <c r="E75" s="26"/>
      <c r="F75" s="26"/>
      <c r="G75" s="26"/>
      <c r="H75" s="26"/>
    </row>
    <row r="76" spans="1:11" ht="16" thickBot="1" x14ac:dyDescent="0.4">
      <c r="A76" s="32"/>
      <c r="B76" s="26"/>
      <c r="C76" s="26"/>
      <c r="D76" s="26"/>
      <c r="E76" s="26"/>
      <c r="F76" s="26"/>
      <c r="G76" s="26"/>
      <c r="H76" s="26"/>
    </row>
    <row r="77" spans="1:11" ht="18" thickBot="1" x14ac:dyDescent="0.4">
      <c r="A77" s="66"/>
      <c r="B77" s="62" t="s">
        <v>635</v>
      </c>
      <c r="C77" s="26"/>
      <c r="D77" s="26"/>
      <c r="E77" s="32"/>
      <c r="F77" s="26"/>
      <c r="G77" s="26"/>
      <c r="H77" s="26"/>
    </row>
    <row r="78" spans="1:11" ht="16" thickBot="1" x14ac:dyDescent="0.4">
      <c r="F78" s="26"/>
      <c r="G78" s="26"/>
      <c r="H78" s="26"/>
    </row>
    <row r="79" spans="1:11" x14ac:dyDescent="0.35">
      <c r="A79" s="32"/>
      <c r="B79" s="36"/>
      <c r="C79" s="37" t="s">
        <v>6</v>
      </c>
      <c r="D79" s="26"/>
      <c r="E79" s="26"/>
      <c r="F79" s="26"/>
      <c r="G79" s="26"/>
      <c r="H79" s="26"/>
    </row>
    <row r="80" spans="1:11" ht="62.5" thickBot="1" x14ac:dyDescent="0.4">
      <c r="A80" s="32"/>
      <c r="B80" s="38" t="s">
        <v>8</v>
      </c>
      <c r="C80" s="39" t="s">
        <v>9</v>
      </c>
      <c r="D80" s="26"/>
      <c r="E80" s="26"/>
      <c r="F80" s="26"/>
      <c r="G80" s="26"/>
      <c r="H80" s="26"/>
    </row>
    <row r="81" spans="1:14" ht="31.5" thickBot="1" x14ac:dyDescent="0.4">
      <c r="A81" s="32"/>
      <c r="B81" s="40" t="s">
        <v>614</v>
      </c>
      <c r="C81" s="41" t="s">
        <v>10</v>
      </c>
      <c r="D81" s="26"/>
      <c r="E81" s="26"/>
      <c r="F81" s="26"/>
      <c r="G81" s="26"/>
      <c r="H81" s="26"/>
    </row>
    <row r="82" spans="1:14" ht="62.5" thickBot="1" x14ac:dyDescent="0.4">
      <c r="A82" s="32"/>
      <c r="B82" s="42" t="s">
        <v>615</v>
      </c>
      <c r="C82" s="39" t="s">
        <v>611</v>
      </c>
      <c r="D82" s="26"/>
      <c r="E82" s="26"/>
      <c r="F82" s="26"/>
      <c r="G82" s="26"/>
      <c r="H82" s="26"/>
    </row>
    <row r="83" spans="1:14" ht="47" thickBot="1" x14ac:dyDescent="0.4">
      <c r="A83" s="32"/>
      <c r="B83" s="40" t="s">
        <v>616</v>
      </c>
      <c r="C83" s="41" t="s">
        <v>11</v>
      </c>
      <c r="D83" s="26"/>
      <c r="E83" s="26"/>
      <c r="F83" s="26"/>
      <c r="G83" s="26"/>
      <c r="N83" s="26"/>
    </row>
    <row r="84" spans="1:14" ht="47" thickBot="1" x14ac:dyDescent="0.4">
      <c r="A84" s="32"/>
      <c r="B84" s="42" t="s">
        <v>617</v>
      </c>
      <c r="C84" s="39" t="s">
        <v>12</v>
      </c>
      <c r="D84" s="26"/>
      <c r="E84" s="26"/>
      <c r="F84" s="27"/>
      <c r="G84" s="27"/>
      <c r="H84" s="32"/>
      <c r="I84" s="26"/>
      <c r="J84" s="26"/>
      <c r="K84" s="26"/>
    </row>
    <row r="85" spans="1:14" ht="47" thickBot="1" x14ac:dyDescent="0.4">
      <c r="A85" s="32"/>
      <c r="B85" s="40" t="s">
        <v>618</v>
      </c>
      <c r="C85" s="41" t="s">
        <v>13</v>
      </c>
      <c r="D85" s="26"/>
      <c r="E85" s="26"/>
      <c r="F85" s="27"/>
      <c r="G85" s="27"/>
      <c r="H85" s="32"/>
      <c r="I85" s="26"/>
      <c r="J85" s="26"/>
      <c r="K85" s="26"/>
      <c r="M85" s="35"/>
    </row>
    <row r="86" spans="1:14" ht="62.5" thickBot="1" x14ac:dyDescent="0.4">
      <c r="A86" s="32"/>
      <c r="B86" s="42" t="s">
        <v>619</v>
      </c>
      <c r="C86" s="39" t="s">
        <v>14</v>
      </c>
      <c r="D86" s="26"/>
      <c r="E86" s="26"/>
      <c r="F86" s="27"/>
      <c r="H86" s="32"/>
      <c r="I86" s="26"/>
      <c r="J86" s="26"/>
      <c r="K86" s="26"/>
    </row>
    <row r="87" spans="1:14" ht="62.5" thickBot="1" x14ac:dyDescent="0.4">
      <c r="A87" s="32"/>
      <c r="B87" s="40" t="s">
        <v>620</v>
      </c>
      <c r="C87" s="41" t="s">
        <v>15</v>
      </c>
      <c r="D87" s="26"/>
      <c r="E87" s="26"/>
      <c r="F87" s="32"/>
      <c r="G87" s="15" t="s">
        <v>25</v>
      </c>
      <c r="H87" s="26"/>
      <c r="I87" s="26"/>
      <c r="J87" s="26"/>
      <c r="K87" s="26"/>
    </row>
    <row r="88" spans="1:14" ht="47" thickBot="1" x14ac:dyDescent="0.4">
      <c r="A88" s="32"/>
      <c r="B88" s="42" t="s">
        <v>621</v>
      </c>
      <c r="C88" s="39" t="s">
        <v>16</v>
      </c>
      <c r="D88" s="26"/>
      <c r="E88" s="26"/>
      <c r="F88" s="32"/>
      <c r="G88" s="26"/>
      <c r="H88" s="26"/>
      <c r="I88" s="26"/>
      <c r="J88" s="26"/>
      <c r="K88" s="26"/>
    </row>
    <row r="89" spans="1:14" ht="62.5" thickBot="1" x14ac:dyDescent="0.4">
      <c r="A89" s="32"/>
      <c r="B89" s="40" t="s">
        <v>622</v>
      </c>
      <c r="C89" s="41" t="s">
        <v>17</v>
      </c>
      <c r="D89" s="26"/>
      <c r="E89" s="26"/>
      <c r="F89" s="32"/>
      <c r="G89" s="26"/>
      <c r="H89" s="26"/>
      <c r="I89" s="26"/>
      <c r="J89" s="26"/>
      <c r="K89" s="26"/>
    </row>
    <row r="90" spans="1:14" ht="62.5" thickBot="1" x14ac:dyDescent="0.4">
      <c r="A90" s="32"/>
      <c r="B90" s="42" t="s">
        <v>623</v>
      </c>
      <c r="C90" s="39" t="s">
        <v>18</v>
      </c>
      <c r="D90" s="26"/>
      <c r="E90" s="26"/>
      <c r="F90" s="32"/>
      <c r="G90" s="26"/>
      <c r="H90" s="26"/>
      <c r="I90" s="26"/>
      <c r="J90" s="26"/>
      <c r="K90" s="26"/>
    </row>
    <row r="91" spans="1:14" ht="31.5" thickBot="1" x14ac:dyDescent="0.4">
      <c r="A91" s="32"/>
      <c r="B91" s="40" t="s">
        <v>624</v>
      </c>
      <c r="C91" s="41" t="s">
        <v>19</v>
      </c>
      <c r="D91" s="26"/>
      <c r="E91" s="26"/>
      <c r="F91" s="32"/>
      <c r="G91" s="26"/>
      <c r="H91" s="26"/>
      <c r="I91" s="26"/>
      <c r="J91" s="26"/>
      <c r="K91" s="26"/>
    </row>
    <row r="92" spans="1:14" ht="47" thickBot="1" x14ac:dyDescent="0.4">
      <c r="A92" s="32"/>
      <c r="B92" s="42" t="s">
        <v>625</v>
      </c>
      <c r="C92" s="39" t="s">
        <v>20</v>
      </c>
      <c r="D92" s="26"/>
      <c r="E92" s="26"/>
      <c r="F92" s="32"/>
      <c r="G92" s="26"/>
      <c r="H92" s="26"/>
      <c r="I92" s="26"/>
      <c r="J92" s="26"/>
      <c r="K92" s="26"/>
    </row>
    <row r="93" spans="1:14" ht="47" thickBot="1" x14ac:dyDescent="0.4">
      <c r="A93" s="32"/>
      <c r="B93" s="40" t="s">
        <v>626</v>
      </c>
      <c r="C93" s="41" t="s">
        <v>21</v>
      </c>
      <c r="D93" s="26"/>
      <c r="E93" s="26"/>
      <c r="F93" s="32"/>
      <c r="G93" s="26"/>
      <c r="H93" s="26"/>
      <c r="I93" s="26"/>
      <c r="J93" s="26"/>
      <c r="K93" s="26"/>
    </row>
    <row r="94" spans="1:14" ht="47" thickBot="1" x14ac:dyDescent="0.4">
      <c r="A94" s="32"/>
      <c r="B94" s="42" t="s">
        <v>627</v>
      </c>
      <c r="C94" s="39" t="s">
        <v>22</v>
      </c>
      <c r="D94" s="26"/>
      <c r="E94" s="26"/>
      <c r="F94" s="32"/>
      <c r="G94" s="26"/>
      <c r="H94" s="26"/>
      <c r="I94" s="53" t="s">
        <v>632</v>
      </c>
      <c r="J94" s="26"/>
      <c r="K94" s="26"/>
    </row>
    <row r="95" spans="1:14" ht="47" thickBot="1" x14ac:dyDescent="0.4">
      <c r="A95" s="32"/>
      <c r="B95" s="43" t="s">
        <v>628</v>
      </c>
      <c r="C95" s="44" t="s">
        <v>23</v>
      </c>
      <c r="D95" s="26"/>
      <c r="E95" s="26"/>
      <c r="F95" s="32"/>
      <c r="G95" s="26"/>
      <c r="H95" s="26"/>
      <c r="I95" s="26"/>
      <c r="J95" s="26"/>
      <c r="K95" s="26"/>
    </row>
    <row r="96" spans="1:14" ht="16" thickBot="1" x14ac:dyDescent="0.4">
      <c r="A96" s="32"/>
      <c r="B96" s="26"/>
      <c r="C96" s="26"/>
      <c r="D96" s="26"/>
      <c r="E96" s="26"/>
      <c r="F96" s="32"/>
      <c r="G96" s="26"/>
      <c r="H96" s="26"/>
      <c r="I96" s="26"/>
      <c r="J96" s="26"/>
      <c r="K96" s="26"/>
    </row>
    <row r="97" spans="1:15" ht="18" thickBot="1" x14ac:dyDescent="0.4">
      <c r="A97" s="32"/>
      <c r="B97" s="61"/>
      <c r="C97" s="62" t="s">
        <v>634</v>
      </c>
      <c r="D97" s="61"/>
      <c r="E97" s="61"/>
      <c r="F97" s="61"/>
      <c r="G97" s="63"/>
      <c r="H97" s="64" t="s">
        <v>634</v>
      </c>
      <c r="I97" s="65"/>
      <c r="J97" s="54"/>
      <c r="K97" s="26"/>
    </row>
    <row r="98" spans="1:15" x14ac:dyDescent="0.35">
      <c r="A98" s="32"/>
      <c r="B98" s="26"/>
      <c r="C98" s="26"/>
      <c r="D98" s="26"/>
      <c r="E98" s="26"/>
      <c r="F98" s="32"/>
      <c r="G98" s="26"/>
      <c r="H98" s="26"/>
      <c r="I98" s="26"/>
      <c r="J98" s="26"/>
      <c r="K98" s="26"/>
    </row>
    <row r="99" spans="1:15" x14ac:dyDescent="0.35">
      <c r="A99" s="32"/>
      <c r="B99" s="26"/>
      <c r="C99" s="26"/>
      <c r="D99" s="26"/>
      <c r="E99" s="32"/>
      <c r="F99" s="26"/>
      <c r="G99" s="26"/>
      <c r="H99" s="26"/>
      <c r="I99" s="26"/>
      <c r="J99" s="27"/>
      <c r="K99" s="27"/>
      <c r="L99" s="27"/>
      <c r="M99" s="27"/>
      <c r="N99" s="27"/>
      <c r="O99" s="27"/>
    </row>
    <row r="100" spans="1:15" x14ac:dyDescent="0.35">
      <c r="A100" s="32"/>
      <c r="B100" s="26"/>
      <c r="C100" s="26"/>
      <c r="D100" s="26"/>
      <c r="E100" s="32"/>
      <c r="F100" s="26"/>
      <c r="G100" s="26"/>
      <c r="H100" s="26"/>
      <c r="I100" s="26"/>
      <c r="J100" s="27"/>
      <c r="K100" s="27"/>
      <c r="L100" s="27"/>
      <c r="M100" s="27"/>
      <c r="N100" s="27"/>
      <c r="O100" s="27"/>
    </row>
    <row r="101" spans="1:15" x14ac:dyDescent="0.35">
      <c r="A101" s="32"/>
      <c r="B101" s="26"/>
      <c r="C101" s="26"/>
      <c r="D101" s="26"/>
      <c r="E101" s="32"/>
      <c r="F101" s="26"/>
      <c r="G101" s="26"/>
      <c r="H101" s="26"/>
      <c r="I101" s="26"/>
      <c r="J101" s="32"/>
      <c r="L101" s="26"/>
    </row>
    <row r="102" spans="1:15" x14ac:dyDescent="0.35">
      <c r="A102" s="32"/>
      <c r="B102" s="26"/>
      <c r="C102" s="26"/>
      <c r="D102" s="26"/>
      <c r="E102" s="32"/>
      <c r="F102" s="26"/>
      <c r="G102" s="26"/>
      <c r="H102" s="26"/>
      <c r="I102" s="26"/>
      <c r="J102" s="32"/>
      <c r="K102" s="26"/>
      <c r="L102" s="26"/>
      <c r="M102" s="26"/>
      <c r="N102" s="27"/>
      <c r="O102" s="27"/>
    </row>
    <row r="103" spans="1:15" x14ac:dyDescent="0.35">
      <c r="A103" s="32"/>
      <c r="B103" s="26"/>
      <c r="C103" s="26"/>
      <c r="D103" s="26"/>
      <c r="E103" s="32"/>
      <c r="F103" s="26"/>
      <c r="G103" s="26"/>
      <c r="H103" s="26"/>
      <c r="I103" s="26"/>
      <c r="J103" s="32"/>
      <c r="K103" s="26"/>
      <c r="L103" s="26"/>
      <c r="M103" s="26"/>
      <c r="N103" s="27"/>
      <c r="O103" s="27"/>
    </row>
    <row r="104" spans="1:15" x14ac:dyDescent="0.35">
      <c r="A104" s="32"/>
      <c r="B104" s="26"/>
      <c r="C104" s="26"/>
      <c r="D104" s="26"/>
      <c r="E104" s="32"/>
      <c r="F104" s="26"/>
      <c r="G104" s="26"/>
      <c r="H104" s="26"/>
      <c r="I104" s="26"/>
      <c r="J104" s="32"/>
      <c r="K104" s="26"/>
      <c r="L104" s="26"/>
      <c r="M104" s="26"/>
      <c r="N104" s="27"/>
      <c r="O104" s="27"/>
    </row>
    <row r="105" spans="1:15" x14ac:dyDescent="0.35">
      <c r="A105" s="32"/>
      <c r="B105" s="26"/>
      <c r="C105" s="26"/>
      <c r="D105" s="26"/>
      <c r="E105" s="32"/>
      <c r="F105" s="26"/>
      <c r="G105" s="26"/>
      <c r="H105" s="26"/>
      <c r="I105" s="26"/>
      <c r="J105" s="32"/>
      <c r="K105" s="26"/>
      <c r="L105" s="26"/>
      <c r="M105" s="26"/>
      <c r="N105" s="27"/>
      <c r="O105" s="27"/>
    </row>
    <row r="106" spans="1:15" x14ac:dyDescent="0.35">
      <c r="A106" s="32"/>
      <c r="B106" s="26"/>
      <c r="C106" s="26"/>
      <c r="D106" s="26"/>
      <c r="E106" s="32"/>
      <c r="F106" s="26"/>
      <c r="G106" s="26"/>
      <c r="H106" s="26"/>
      <c r="I106" s="26"/>
      <c r="J106" s="32"/>
      <c r="K106" s="26"/>
      <c r="L106" s="26"/>
      <c r="M106" s="26"/>
      <c r="N106" s="27"/>
      <c r="O106" s="27"/>
    </row>
    <row r="107" spans="1:15" x14ac:dyDescent="0.35">
      <c r="A107" s="32"/>
      <c r="B107" s="26"/>
      <c r="C107" s="26"/>
      <c r="D107" s="26"/>
      <c r="E107" s="32"/>
      <c r="F107" s="26"/>
      <c r="G107" s="26"/>
      <c r="H107" s="26"/>
      <c r="I107" s="26"/>
      <c r="J107" s="32"/>
      <c r="K107" s="26"/>
      <c r="L107" s="26"/>
      <c r="M107" s="26"/>
      <c r="N107" s="27"/>
      <c r="O107" s="27"/>
    </row>
    <row r="108" spans="1:15" x14ac:dyDescent="0.35">
      <c r="A108" s="32"/>
      <c r="B108" s="26"/>
      <c r="C108" s="26"/>
      <c r="D108" s="26"/>
      <c r="E108" s="32"/>
      <c r="F108" s="26"/>
      <c r="G108" s="26"/>
      <c r="H108" s="26"/>
      <c r="I108" s="26"/>
      <c r="J108" s="32"/>
      <c r="K108" s="26"/>
      <c r="L108" s="26"/>
      <c r="M108" s="26"/>
      <c r="N108" s="27"/>
      <c r="O108" s="27"/>
    </row>
    <row r="109" spans="1:15" x14ac:dyDescent="0.35">
      <c r="A109" s="32"/>
      <c r="B109" s="26"/>
      <c r="C109" s="26"/>
      <c r="D109" s="26"/>
      <c r="E109" s="32"/>
      <c r="F109" s="26"/>
      <c r="G109" s="26"/>
      <c r="H109" s="26"/>
      <c r="I109" s="26"/>
      <c r="J109" s="32"/>
      <c r="K109" s="26"/>
      <c r="L109" s="26"/>
      <c r="M109" s="26"/>
      <c r="N109" s="27"/>
      <c r="O109" s="27"/>
    </row>
    <row r="110" spans="1:15" x14ac:dyDescent="0.35">
      <c r="A110" s="32"/>
      <c r="B110" s="26"/>
      <c r="C110" s="26"/>
      <c r="D110" s="26"/>
      <c r="E110" s="32"/>
      <c r="F110" s="26"/>
      <c r="G110" s="26"/>
      <c r="H110" s="26"/>
      <c r="I110" s="26"/>
      <c r="J110" s="32"/>
      <c r="K110" s="26"/>
      <c r="L110" s="26"/>
      <c r="M110" s="26"/>
      <c r="N110" s="27"/>
      <c r="O110" s="27"/>
    </row>
    <row r="111" spans="1:15" x14ac:dyDescent="0.35">
      <c r="A111" s="32"/>
      <c r="B111" s="26"/>
      <c r="C111" s="26"/>
      <c r="D111" s="26"/>
      <c r="E111" s="32"/>
      <c r="F111" s="26"/>
      <c r="G111" s="26"/>
      <c r="H111" s="26"/>
      <c r="I111" s="26"/>
      <c r="J111" s="32"/>
      <c r="K111" s="26"/>
      <c r="L111" s="26"/>
      <c r="M111" s="26"/>
      <c r="N111" s="27"/>
      <c r="O111" s="27"/>
    </row>
    <row r="112" spans="1:15" x14ac:dyDescent="0.35">
      <c r="A112" s="32"/>
      <c r="B112" s="26"/>
      <c r="C112" s="26"/>
      <c r="D112" s="26"/>
      <c r="E112" s="32"/>
      <c r="F112" s="26"/>
      <c r="G112" s="26"/>
      <c r="H112" s="26"/>
      <c r="I112" s="26"/>
      <c r="J112" s="32"/>
      <c r="K112" s="26"/>
      <c r="L112" s="26"/>
      <c r="M112" s="26"/>
      <c r="N112" s="27"/>
      <c r="O112" s="27"/>
    </row>
    <row r="113" spans="1:15" x14ac:dyDescent="0.35">
      <c r="A113" s="32"/>
      <c r="B113" s="26"/>
      <c r="C113" s="26"/>
      <c r="D113" s="26"/>
      <c r="E113" s="32"/>
      <c r="F113" s="26"/>
      <c r="G113" s="26"/>
      <c r="H113" s="26"/>
      <c r="I113" s="26"/>
      <c r="J113" s="32"/>
      <c r="K113" s="26"/>
      <c r="L113" s="26"/>
      <c r="M113" s="26"/>
      <c r="N113" s="27"/>
      <c r="O113" s="27"/>
    </row>
    <row r="114" spans="1:15" x14ac:dyDescent="0.35">
      <c r="A114" s="32"/>
      <c r="B114" s="26"/>
      <c r="C114" s="26"/>
      <c r="D114" s="26"/>
      <c r="E114" s="32"/>
      <c r="F114" s="26"/>
      <c r="G114" s="26"/>
      <c r="H114" s="26"/>
      <c r="I114" s="26"/>
      <c r="J114" s="32"/>
      <c r="K114" s="26"/>
      <c r="L114" s="26"/>
      <c r="M114" s="26"/>
      <c r="N114" s="27"/>
      <c r="O114" s="27"/>
    </row>
    <row r="115" spans="1:15" x14ac:dyDescent="0.35">
      <c r="A115" s="32"/>
      <c r="B115" s="26"/>
      <c r="C115" s="26"/>
      <c r="D115" s="26"/>
      <c r="E115" s="32"/>
      <c r="F115" s="26"/>
      <c r="G115" s="26"/>
      <c r="H115" s="26"/>
      <c r="I115" s="26"/>
      <c r="J115" s="32"/>
      <c r="K115" s="26"/>
      <c r="L115" s="26"/>
      <c r="M115" s="26"/>
      <c r="N115" s="27"/>
      <c r="O115" s="27"/>
    </row>
    <row r="116" spans="1:15" x14ac:dyDescent="0.35">
      <c r="A116" s="32"/>
      <c r="B116" s="26"/>
      <c r="C116" s="26"/>
      <c r="D116" s="26"/>
      <c r="E116" s="32"/>
      <c r="F116" s="26"/>
      <c r="G116" s="26"/>
      <c r="H116" s="26"/>
      <c r="I116" s="26"/>
      <c r="J116" s="32"/>
      <c r="K116" s="26"/>
      <c r="L116" s="26"/>
      <c r="M116" s="26"/>
      <c r="N116" s="27"/>
      <c r="O116" s="27"/>
    </row>
    <row r="117" spans="1:15" x14ac:dyDescent="0.35">
      <c r="A117" s="32"/>
      <c r="B117" s="26"/>
      <c r="C117" s="26"/>
      <c r="D117" s="26"/>
      <c r="E117" s="32"/>
      <c r="F117" s="26"/>
      <c r="G117" s="26"/>
      <c r="H117" s="26"/>
      <c r="I117" s="26"/>
      <c r="J117" s="32"/>
      <c r="K117" s="26"/>
      <c r="L117" s="26"/>
      <c r="M117" s="26"/>
      <c r="N117" s="27"/>
      <c r="O117" s="27"/>
    </row>
    <row r="118" spans="1:15" x14ac:dyDescent="0.35">
      <c r="A118" s="32"/>
      <c r="B118" s="26"/>
      <c r="C118" s="26"/>
      <c r="D118" s="26"/>
      <c r="E118" s="32"/>
      <c r="F118" s="26"/>
      <c r="G118" s="26"/>
      <c r="H118" s="26"/>
      <c r="I118" s="26"/>
      <c r="J118" s="32"/>
      <c r="K118" s="26"/>
      <c r="L118" s="26"/>
      <c r="M118" s="26"/>
      <c r="N118" s="27"/>
      <c r="O118" s="27"/>
    </row>
    <row r="119" spans="1:15" x14ac:dyDescent="0.35">
      <c r="A119" s="32"/>
      <c r="B119" s="26"/>
      <c r="C119" s="26"/>
      <c r="D119" s="26"/>
      <c r="E119" s="32"/>
      <c r="F119" s="26"/>
      <c r="G119" s="26"/>
      <c r="H119" s="26"/>
      <c r="I119" s="26"/>
      <c r="J119" s="32"/>
      <c r="K119" s="26"/>
      <c r="L119" s="26"/>
      <c r="M119" s="26"/>
      <c r="N119" s="27"/>
      <c r="O119" s="27"/>
    </row>
    <row r="120" spans="1:15" x14ac:dyDescent="0.35">
      <c r="A120" s="32"/>
      <c r="B120" s="26"/>
      <c r="C120" s="26"/>
      <c r="D120" s="26"/>
      <c r="E120" s="32"/>
      <c r="F120" s="26"/>
      <c r="G120" s="26"/>
      <c r="H120" s="26"/>
      <c r="I120" s="26"/>
      <c r="J120" s="32"/>
      <c r="K120" s="26"/>
      <c r="L120" s="26"/>
      <c r="M120" s="26"/>
      <c r="N120" s="27"/>
      <c r="O120" s="27"/>
    </row>
    <row r="121" spans="1:15" x14ac:dyDescent="0.35">
      <c r="A121" s="32"/>
      <c r="B121" s="26"/>
      <c r="C121" s="26"/>
      <c r="D121" s="26"/>
      <c r="E121" s="32"/>
      <c r="F121" s="26"/>
      <c r="G121" s="26"/>
      <c r="H121" s="26"/>
      <c r="I121" s="26"/>
      <c r="J121" s="32"/>
      <c r="K121" s="26"/>
      <c r="L121" s="26"/>
      <c r="M121" s="26"/>
      <c r="N121" s="27"/>
      <c r="O121" s="27"/>
    </row>
    <row r="122" spans="1:15" x14ac:dyDescent="0.35">
      <c r="A122" s="32"/>
      <c r="B122" s="26"/>
      <c r="C122" s="26"/>
      <c r="D122" s="26"/>
      <c r="E122" s="32"/>
      <c r="F122" s="26"/>
      <c r="G122" s="26"/>
      <c r="H122" s="26"/>
      <c r="I122" s="26"/>
      <c r="J122" s="32"/>
      <c r="K122" s="26"/>
      <c r="L122" s="26"/>
      <c r="M122" s="26"/>
      <c r="N122" s="27"/>
      <c r="O122" s="27"/>
    </row>
    <row r="123" spans="1:15" x14ac:dyDescent="0.35">
      <c r="A123" s="32"/>
      <c r="B123" s="26"/>
      <c r="C123" s="26"/>
      <c r="D123" s="26"/>
      <c r="E123" s="32"/>
      <c r="F123" s="26"/>
      <c r="G123" s="26"/>
      <c r="H123" s="26"/>
      <c r="I123" s="26"/>
      <c r="J123" s="32"/>
      <c r="K123" s="26"/>
      <c r="L123" s="26"/>
      <c r="M123" s="26"/>
      <c r="N123" s="27"/>
      <c r="O123" s="27"/>
    </row>
    <row r="124" spans="1:15" x14ac:dyDescent="0.35">
      <c r="A124" s="32"/>
      <c r="B124" s="26"/>
      <c r="C124" s="26"/>
      <c r="D124" s="26"/>
      <c r="E124" s="32"/>
      <c r="F124" s="26"/>
      <c r="G124" s="26"/>
      <c r="H124" s="26"/>
      <c r="I124" s="26"/>
      <c r="J124" s="27"/>
      <c r="K124" s="27"/>
      <c r="L124" s="27"/>
      <c r="M124" s="27"/>
      <c r="N124" s="27"/>
      <c r="O124" s="27"/>
    </row>
    <row r="125" spans="1:15" x14ac:dyDescent="0.35">
      <c r="A125" s="32"/>
      <c r="B125" s="26"/>
      <c r="C125" s="26"/>
      <c r="D125" s="26"/>
      <c r="E125" s="32"/>
      <c r="F125" s="26"/>
      <c r="G125" s="26"/>
      <c r="H125" s="26"/>
      <c r="I125" s="26"/>
      <c r="J125" s="27"/>
      <c r="K125" s="27"/>
      <c r="L125" s="27"/>
      <c r="M125" s="27"/>
      <c r="N125" s="27"/>
      <c r="O125" s="27"/>
    </row>
    <row r="126" spans="1:15" x14ac:dyDescent="0.35">
      <c r="A126" s="32"/>
      <c r="B126" s="26"/>
      <c r="C126" s="26"/>
      <c r="D126" s="26"/>
      <c r="E126" s="32"/>
      <c r="F126" s="26"/>
      <c r="G126" s="26"/>
      <c r="H126" s="26"/>
      <c r="I126" s="26"/>
      <c r="J126" s="27"/>
      <c r="K126" s="27"/>
      <c r="L126" s="27"/>
      <c r="M126" s="27"/>
      <c r="N126" s="27"/>
      <c r="O126" s="27"/>
    </row>
    <row r="127" spans="1:15" x14ac:dyDescent="0.35">
      <c r="A127" s="32"/>
      <c r="B127" s="26"/>
      <c r="C127" s="26"/>
      <c r="D127" s="26"/>
      <c r="E127" s="32"/>
      <c r="F127" s="26"/>
      <c r="G127" s="26"/>
      <c r="H127" s="26"/>
      <c r="I127" s="26"/>
      <c r="J127" s="27"/>
      <c r="K127" s="27"/>
      <c r="L127" s="27"/>
      <c r="M127" s="27"/>
      <c r="N127" s="27"/>
      <c r="O127" s="27"/>
    </row>
    <row r="128" spans="1:15" x14ac:dyDescent="0.35">
      <c r="A128" s="32"/>
      <c r="B128" s="26"/>
      <c r="C128" s="26"/>
      <c r="D128" s="26"/>
      <c r="E128" s="32"/>
      <c r="F128" s="26"/>
      <c r="G128" s="26"/>
      <c r="H128" s="26"/>
      <c r="I128" s="26"/>
      <c r="J128" s="27"/>
      <c r="K128" s="27"/>
      <c r="L128" s="27"/>
      <c r="M128" s="27"/>
      <c r="N128" s="27"/>
      <c r="O128" s="27"/>
    </row>
    <row r="129" spans="1:15" x14ac:dyDescent="0.35">
      <c r="A129" s="32"/>
      <c r="B129" s="26"/>
      <c r="C129" s="26"/>
      <c r="D129" s="26"/>
      <c r="E129" s="32"/>
      <c r="F129" s="26"/>
      <c r="G129" s="26"/>
      <c r="H129" s="26"/>
      <c r="I129" s="26"/>
      <c r="J129" s="27"/>
      <c r="K129" s="27"/>
      <c r="L129" s="27"/>
      <c r="M129" s="27"/>
      <c r="N129" s="27"/>
      <c r="O129" s="27"/>
    </row>
    <row r="130" spans="1:15" x14ac:dyDescent="0.35">
      <c r="A130" s="32"/>
      <c r="B130" s="26"/>
      <c r="C130" s="26"/>
      <c r="D130" s="26"/>
      <c r="E130" s="32"/>
      <c r="F130" s="26"/>
      <c r="G130" s="26"/>
      <c r="H130" s="26"/>
      <c r="I130" s="26"/>
      <c r="J130" s="27"/>
      <c r="K130" s="27"/>
      <c r="L130" s="27"/>
      <c r="M130" s="27"/>
      <c r="N130" s="27"/>
      <c r="O130" s="27"/>
    </row>
    <row r="131" spans="1:15" x14ac:dyDescent="0.35">
      <c r="A131" s="32"/>
      <c r="B131" s="26"/>
      <c r="C131" s="26"/>
      <c r="D131" s="26"/>
      <c r="E131" s="32"/>
      <c r="F131" s="26"/>
      <c r="G131" s="26"/>
      <c r="H131" s="26"/>
      <c r="I131" s="26"/>
      <c r="J131" s="27"/>
      <c r="K131" s="27"/>
      <c r="L131" s="27"/>
      <c r="M131" s="27"/>
      <c r="N131" s="27"/>
      <c r="O131" s="27"/>
    </row>
    <row r="132" spans="1:15" x14ac:dyDescent="0.35">
      <c r="A132" s="32"/>
      <c r="B132" s="26"/>
      <c r="C132" s="26"/>
      <c r="D132" s="26"/>
      <c r="E132" s="32"/>
      <c r="F132" s="26"/>
      <c r="G132" s="26"/>
      <c r="H132" s="26"/>
      <c r="I132" s="26"/>
      <c r="J132" s="27"/>
      <c r="K132" s="27"/>
      <c r="L132" s="27"/>
      <c r="M132" s="27"/>
      <c r="N132" s="27"/>
      <c r="O132" s="27"/>
    </row>
    <row r="133" spans="1:15" x14ac:dyDescent="0.35">
      <c r="A133" s="32"/>
      <c r="B133" s="26"/>
      <c r="C133" s="26"/>
      <c r="D133" s="26"/>
      <c r="E133" s="32"/>
      <c r="F133" s="26"/>
      <c r="G133" s="26"/>
      <c r="H133" s="26"/>
      <c r="I133" s="26"/>
      <c r="J133" s="27"/>
      <c r="K133" s="27"/>
      <c r="L133" s="27"/>
      <c r="M133" s="27"/>
      <c r="N133" s="27"/>
      <c r="O133" s="27"/>
    </row>
    <row r="134" spans="1:15" x14ac:dyDescent="0.35">
      <c r="A134" s="32"/>
      <c r="B134" s="26"/>
      <c r="C134" s="26"/>
      <c r="D134" s="26"/>
      <c r="E134" s="32"/>
      <c r="F134" s="26"/>
      <c r="G134" s="26"/>
      <c r="H134" s="26"/>
      <c r="I134" s="26"/>
      <c r="J134" s="27"/>
      <c r="K134" s="27"/>
      <c r="L134" s="27"/>
      <c r="M134" s="27"/>
      <c r="N134" s="27"/>
      <c r="O134" s="27"/>
    </row>
    <row r="135" spans="1:15" x14ac:dyDescent="0.35">
      <c r="A135" s="32"/>
      <c r="B135" s="26"/>
      <c r="C135" s="26"/>
      <c r="D135" s="26"/>
      <c r="E135" s="32"/>
      <c r="F135" s="26"/>
      <c r="G135" s="26"/>
      <c r="H135" s="26"/>
      <c r="I135" s="26"/>
      <c r="J135" s="27"/>
      <c r="K135" s="27"/>
      <c r="L135" s="27"/>
      <c r="M135" s="27"/>
      <c r="N135" s="27"/>
      <c r="O135" s="27"/>
    </row>
    <row r="136" spans="1:15" x14ac:dyDescent="0.35">
      <c r="A136" s="32"/>
      <c r="B136" s="26"/>
      <c r="C136" s="26"/>
      <c r="D136" s="26"/>
      <c r="E136" s="32"/>
      <c r="F136" s="26"/>
      <c r="G136" s="26"/>
      <c r="H136" s="26"/>
      <c r="I136" s="26"/>
      <c r="J136" s="27"/>
      <c r="K136" s="27"/>
      <c r="L136" s="27"/>
      <c r="M136" s="27"/>
      <c r="N136" s="27"/>
      <c r="O136" s="27"/>
    </row>
    <row r="137" spans="1:15" x14ac:dyDescent="0.35">
      <c r="A137" s="32"/>
      <c r="B137" s="26"/>
      <c r="C137" s="26"/>
      <c r="D137" s="26"/>
      <c r="I137" s="26"/>
      <c r="J137" s="27"/>
      <c r="K137" s="27"/>
      <c r="L137" s="27"/>
      <c r="M137" s="27"/>
      <c r="N137" s="27"/>
      <c r="O137" s="27"/>
    </row>
    <row r="138" spans="1:15" x14ac:dyDescent="0.35">
      <c r="A138" s="32"/>
      <c r="B138" s="26"/>
      <c r="C138" s="26"/>
      <c r="D138" s="26"/>
      <c r="E138" s="26"/>
      <c r="F138" s="27"/>
      <c r="G138" s="27"/>
      <c r="H138" s="27"/>
      <c r="I138" s="27"/>
      <c r="J138" s="27"/>
      <c r="K138" s="27"/>
    </row>
    <row r="139" spans="1:15" x14ac:dyDescent="0.35">
      <c r="A139" s="32"/>
      <c r="B139" s="26"/>
      <c r="C139" s="26"/>
      <c r="D139" s="26"/>
      <c r="E139" s="26"/>
      <c r="F139" s="27"/>
      <c r="G139" s="27"/>
      <c r="H139" s="27"/>
      <c r="I139" s="27"/>
      <c r="J139" s="27"/>
      <c r="K139" s="27"/>
    </row>
    <row r="140" spans="1:15" x14ac:dyDescent="0.35">
      <c r="A140" s="32"/>
      <c r="B140" s="26"/>
      <c r="C140" s="26"/>
      <c r="D140" s="26"/>
      <c r="E140" s="26"/>
      <c r="F140" s="27"/>
      <c r="G140" s="27"/>
      <c r="H140" s="27"/>
      <c r="I140" s="27"/>
      <c r="J140" s="27"/>
      <c r="K140" s="27"/>
    </row>
    <row r="141" spans="1:15" x14ac:dyDescent="0.35">
      <c r="A141" s="32"/>
      <c r="B141" s="26"/>
      <c r="C141" s="26"/>
      <c r="D141" s="26"/>
      <c r="E141" s="15" t="s">
        <v>26</v>
      </c>
      <c r="F141" s="27"/>
      <c r="G141" s="27"/>
      <c r="I141" s="27"/>
      <c r="J141" s="27"/>
      <c r="K141" s="27"/>
    </row>
    <row r="142" spans="1:15" x14ac:dyDescent="0.35">
      <c r="A142" s="32"/>
      <c r="B142" s="26"/>
      <c r="C142" s="26"/>
      <c r="D142" s="26"/>
      <c r="E142" s="26"/>
      <c r="F142" s="27"/>
      <c r="G142" s="27"/>
      <c r="H142" s="27"/>
      <c r="I142" s="27"/>
      <c r="J142" s="27"/>
      <c r="K142" s="27"/>
    </row>
    <row r="143" spans="1:15" x14ac:dyDescent="0.35">
      <c r="A143" s="32"/>
      <c r="B143" s="26"/>
      <c r="C143" s="26"/>
      <c r="D143" s="26"/>
      <c r="E143" s="26"/>
      <c r="F143" s="27"/>
      <c r="G143" s="27"/>
      <c r="H143" s="27"/>
      <c r="I143" s="27"/>
      <c r="J143" s="27"/>
      <c r="K143" s="27"/>
    </row>
    <row r="144" spans="1:15" x14ac:dyDescent="0.35">
      <c r="A144" s="32"/>
      <c r="B144" s="26"/>
      <c r="C144" s="26"/>
      <c r="D144" s="26"/>
      <c r="E144" s="26"/>
      <c r="F144" s="27"/>
      <c r="G144" s="27"/>
      <c r="H144" s="27"/>
      <c r="I144" s="27"/>
      <c r="J144" s="27"/>
      <c r="K144" s="27"/>
    </row>
    <row r="145" spans="1:11" x14ac:dyDescent="0.35">
      <c r="A145" s="32"/>
      <c r="B145" s="26"/>
      <c r="C145" s="26"/>
      <c r="D145" s="26"/>
      <c r="E145" s="26"/>
      <c r="F145" s="27"/>
      <c r="G145" s="27"/>
      <c r="H145" s="27"/>
      <c r="I145" s="27"/>
      <c r="J145" s="27"/>
      <c r="K145" s="27"/>
    </row>
    <row r="146" spans="1:11" x14ac:dyDescent="0.35">
      <c r="A146" s="32"/>
      <c r="B146" s="26"/>
      <c r="C146" s="26"/>
      <c r="D146" s="26"/>
      <c r="E146" s="26"/>
      <c r="F146" s="27"/>
      <c r="G146" s="27"/>
      <c r="H146" s="27"/>
      <c r="I146" s="27"/>
      <c r="J146" s="27"/>
      <c r="K146" s="27"/>
    </row>
    <row r="147" spans="1:11" x14ac:dyDescent="0.35">
      <c r="A147" s="32"/>
      <c r="B147" s="26"/>
      <c r="C147" s="26"/>
      <c r="D147" s="26"/>
      <c r="E147" s="26"/>
      <c r="F147" s="27"/>
      <c r="G147" s="27"/>
      <c r="H147" s="27"/>
      <c r="I147" s="27"/>
      <c r="J147" s="27"/>
      <c r="K147" s="27"/>
    </row>
    <row r="148" spans="1:11" x14ac:dyDescent="0.35">
      <c r="A148" s="32"/>
      <c r="B148" s="26"/>
      <c r="C148" s="26"/>
      <c r="D148" s="26"/>
      <c r="E148" s="26"/>
      <c r="F148" s="27"/>
      <c r="G148" s="27"/>
      <c r="H148" s="27"/>
      <c r="I148" s="27"/>
      <c r="J148" s="27"/>
      <c r="K148" s="27"/>
    </row>
    <row r="149" spans="1:11" x14ac:dyDescent="0.35">
      <c r="A149" s="32"/>
      <c r="B149" s="26"/>
      <c r="C149" s="26"/>
      <c r="D149" s="26"/>
      <c r="E149" s="26"/>
      <c r="F149" s="27"/>
      <c r="G149" s="27"/>
      <c r="H149" s="27"/>
      <c r="I149" s="27"/>
      <c r="J149" s="27"/>
      <c r="K149" s="27"/>
    </row>
    <row r="150" spans="1:11" x14ac:dyDescent="0.35">
      <c r="A150" s="32"/>
      <c r="B150" s="26"/>
      <c r="C150" s="26"/>
      <c r="D150" s="26"/>
      <c r="E150" s="26"/>
      <c r="F150" s="27"/>
      <c r="G150" s="27"/>
      <c r="H150" s="27"/>
      <c r="I150" s="27"/>
      <c r="J150" s="27"/>
      <c r="K150" s="27"/>
    </row>
    <row r="151" spans="1:11" x14ac:dyDescent="0.35">
      <c r="A151" s="32"/>
      <c r="B151" s="26"/>
      <c r="C151" s="26"/>
      <c r="D151" s="26"/>
      <c r="E151" s="26"/>
      <c r="F151" s="27"/>
      <c r="G151" s="27"/>
      <c r="H151" s="27"/>
      <c r="I151" s="27"/>
      <c r="J151" s="27"/>
      <c r="K151" s="27"/>
    </row>
    <row r="152" spans="1:11" x14ac:dyDescent="0.35">
      <c r="A152" s="32"/>
      <c r="B152" s="26"/>
      <c r="C152" s="26"/>
      <c r="D152" s="26"/>
      <c r="E152" s="26"/>
      <c r="F152" s="27"/>
      <c r="G152" s="27"/>
      <c r="H152" s="27"/>
      <c r="I152" s="27"/>
      <c r="J152" s="27"/>
      <c r="K152" s="27"/>
    </row>
    <row r="153" spans="1:11" x14ac:dyDescent="0.35">
      <c r="A153" s="32"/>
      <c r="B153" s="26"/>
      <c r="C153" s="26"/>
      <c r="D153" s="26"/>
      <c r="E153" s="26"/>
      <c r="F153" s="27"/>
      <c r="G153" s="27"/>
      <c r="H153" s="27"/>
      <c r="I153" s="27"/>
      <c r="J153" s="27"/>
      <c r="K153" s="27"/>
    </row>
    <row r="154" spans="1:11" x14ac:dyDescent="0.35">
      <c r="A154" s="32"/>
      <c r="B154" s="26"/>
      <c r="C154" s="26"/>
      <c r="D154" s="26"/>
      <c r="E154" s="26"/>
      <c r="F154" s="27"/>
      <c r="G154" s="27"/>
      <c r="H154" s="27"/>
      <c r="I154" s="27"/>
      <c r="J154" s="27"/>
      <c r="K154" s="27"/>
    </row>
    <row r="155" spans="1:11" x14ac:dyDescent="0.35">
      <c r="A155" s="32"/>
      <c r="B155" s="26"/>
      <c r="C155" s="26"/>
      <c r="D155" s="26"/>
      <c r="E155" s="26"/>
      <c r="F155" s="27"/>
      <c r="G155" s="27"/>
      <c r="H155" s="27"/>
      <c r="I155" s="27"/>
      <c r="J155" s="27"/>
      <c r="K155" s="27"/>
    </row>
    <row r="156" spans="1:11" x14ac:dyDescent="0.35">
      <c r="A156" s="32"/>
      <c r="B156" s="26"/>
      <c r="C156" s="26"/>
      <c r="D156" s="26"/>
      <c r="E156" s="26"/>
      <c r="F156" s="27"/>
      <c r="G156" s="27"/>
      <c r="H156" s="27"/>
      <c r="I156" s="27"/>
      <c r="J156" s="27"/>
      <c r="K156" s="27"/>
    </row>
    <row r="157" spans="1:11" x14ac:dyDescent="0.35">
      <c r="A157" s="32"/>
      <c r="B157" s="26"/>
      <c r="C157" s="26"/>
      <c r="D157" s="26"/>
      <c r="E157" s="26"/>
      <c r="F157" s="27"/>
      <c r="G157" s="27"/>
      <c r="H157" s="27"/>
      <c r="I157" s="27"/>
      <c r="J157" s="27"/>
      <c r="K157" s="27"/>
    </row>
    <row r="158" spans="1:11" x14ac:dyDescent="0.35">
      <c r="A158" s="32"/>
      <c r="B158" s="26"/>
      <c r="C158" s="26"/>
      <c r="D158" s="26"/>
      <c r="E158" s="26"/>
      <c r="F158" s="27"/>
      <c r="G158" s="27"/>
      <c r="H158" s="27"/>
      <c r="I158" s="27"/>
      <c r="J158" s="27"/>
      <c r="K158" s="27"/>
    </row>
    <row r="159" spans="1:11" x14ac:dyDescent="0.35">
      <c r="A159" s="32"/>
      <c r="B159" s="26"/>
      <c r="C159" s="26"/>
      <c r="D159" s="26"/>
      <c r="E159" s="26"/>
      <c r="F159" s="27"/>
      <c r="G159" s="27"/>
      <c r="H159" s="27"/>
      <c r="I159" s="27"/>
      <c r="J159" s="27"/>
      <c r="K159" s="27"/>
    </row>
    <row r="160" spans="1:11" x14ac:dyDescent="0.35">
      <c r="A160" s="32"/>
      <c r="B160" s="26"/>
      <c r="C160" s="26"/>
      <c r="D160" s="26"/>
      <c r="E160" s="26"/>
      <c r="F160" s="27"/>
      <c r="G160" s="27"/>
      <c r="H160" s="27"/>
      <c r="I160" s="27"/>
      <c r="J160" s="27"/>
      <c r="K160" s="27"/>
    </row>
    <row r="161" spans="1:13" x14ac:dyDescent="0.35">
      <c r="E161" s="26"/>
      <c r="F161" s="27"/>
      <c r="G161" s="27"/>
      <c r="H161" s="27"/>
      <c r="I161" s="27"/>
      <c r="J161" s="27"/>
      <c r="K161" s="27"/>
    </row>
    <row r="162" spans="1:13" x14ac:dyDescent="0.35">
      <c r="E162" s="26"/>
      <c r="F162" s="27"/>
      <c r="G162" s="27"/>
      <c r="H162" s="27"/>
      <c r="I162" s="27"/>
      <c r="J162" s="27"/>
      <c r="K162" s="27"/>
    </row>
    <row r="163" spans="1:13" x14ac:dyDescent="0.35">
      <c r="E163" s="26"/>
      <c r="F163" s="27"/>
      <c r="G163" s="27"/>
      <c r="H163" s="27"/>
      <c r="I163" s="27"/>
      <c r="J163" s="27"/>
      <c r="K163" s="27"/>
    </row>
    <row r="164" spans="1:13" ht="16" thickBot="1" x14ac:dyDescent="0.4">
      <c r="E164" s="26"/>
      <c r="F164" s="27"/>
      <c r="G164" s="27"/>
      <c r="H164" s="27"/>
      <c r="I164" s="27"/>
      <c r="J164" s="27"/>
      <c r="K164" s="27"/>
    </row>
    <row r="165" spans="1:13" ht="18" thickBot="1" x14ac:dyDescent="0.4">
      <c r="A165" s="66"/>
      <c r="B165" s="62" t="s">
        <v>634</v>
      </c>
      <c r="E165" s="26"/>
      <c r="F165" s="27"/>
      <c r="G165" s="27"/>
      <c r="H165" s="27"/>
      <c r="I165" s="27"/>
      <c r="J165" s="27"/>
      <c r="K165" s="27"/>
    </row>
    <row r="166" spans="1:13" x14ac:dyDescent="0.35">
      <c r="A166" s="32"/>
      <c r="B166" s="26"/>
      <c r="C166" s="26"/>
      <c r="D166" s="26"/>
      <c r="E166" s="26"/>
      <c r="F166" s="27"/>
      <c r="G166" s="27"/>
      <c r="H166" s="27"/>
      <c r="I166" s="27"/>
      <c r="J166" s="27"/>
      <c r="K166" s="27"/>
    </row>
    <row r="167" spans="1:13" x14ac:dyDescent="0.35">
      <c r="A167" s="32"/>
      <c r="B167" s="26"/>
      <c r="C167" s="26"/>
      <c r="M167" s="26"/>
    </row>
    <row r="168" spans="1:13" x14ac:dyDescent="0.35">
      <c r="A168" s="32"/>
      <c r="B168" s="26"/>
      <c r="C168" s="26"/>
      <c r="D168" s="26"/>
      <c r="E168" s="26"/>
      <c r="F168" s="27"/>
      <c r="G168" s="27"/>
      <c r="H168" s="27"/>
      <c r="I168" s="27"/>
      <c r="J168" s="27"/>
      <c r="K168" s="27"/>
    </row>
    <row r="169" spans="1:13" x14ac:dyDescent="0.35">
      <c r="A169" s="32"/>
      <c r="B169" s="26"/>
      <c r="C169" s="26"/>
      <c r="D169" s="26"/>
      <c r="E169" s="26"/>
      <c r="F169" s="27"/>
      <c r="G169" s="27"/>
      <c r="H169" s="27"/>
      <c r="I169" s="27"/>
      <c r="J169" s="27"/>
      <c r="K169" s="27"/>
    </row>
    <row r="170" spans="1:13" x14ac:dyDescent="0.35">
      <c r="A170" s="32"/>
      <c r="B170" s="26"/>
      <c r="C170" s="26"/>
      <c r="D170" s="26"/>
      <c r="E170" s="26"/>
      <c r="F170" s="27"/>
      <c r="G170" s="27"/>
      <c r="H170" s="27"/>
      <c r="I170" s="27"/>
      <c r="J170" s="27"/>
      <c r="K170" s="27"/>
    </row>
    <row r="171" spans="1:13" x14ac:dyDescent="0.35">
      <c r="A171" s="32"/>
      <c r="B171" s="26"/>
      <c r="C171" s="26"/>
      <c r="D171" s="26"/>
      <c r="E171" s="26"/>
      <c r="F171" s="27"/>
      <c r="G171" s="27"/>
      <c r="H171" s="27"/>
      <c r="I171" s="27"/>
      <c r="J171" s="27"/>
      <c r="K171" s="27"/>
    </row>
    <row r="172" spans="1:13" x14ac:dyDescent="0.35">
      <c r="A172" s="32"/>
      <c r="B172" s="26"/>
      <c r="C172" s="26"/>
    </row>
    <row r="173" spans="1:13" x14ac:dyDescent="0.35">
      <c r="A173" s="32"/>
      <c r="B173" s="26"/>
      <c r="C173" s="26"/>
      <c r="D173" s="26"/>
      <c r="E173" s="26"/>
      <c r="F173" s="27"/>
      <c r="G173" s="27"/>
      <c r="H173" s="27"/>
      <c r="I173" s="27"/>
      <c r="J173" s="27"/>
      <c r="K173" s="27"/>
    </row>
    <row r="174" spans="1:13" x14ac:dyDescent="0.35">
      <c r="A174" s="32"/>
      <c r="B174" s="26"/>
      <c r="C174" s="26"/>
      <c r="D174" s="26"/>
      <c r="E174" s="26"/>
      <c r="F174" s="27"/>
      <c r="G174" s="27"/>
      <c r="H174" s="27"/>
      <c r="I174" s="27"/>
      <c r="J174" s="27"/>
      <c r="K174" s="27"/>
    </row>
    <row r="175" spans="1:13" x14ac:dyDescent="0.35">
      <c r="A175" s="32"/>
      <c r="B175" s="26"/>
      <c r="C175" s="26"/>
      <c r="D175" s="26"/>
      <c r="E175" s="26"/>
      <c r="F175" s="27"/>
      <c r="G175" s="27"/>
      <c r="H175" s="27"/>
      <c r="I175" s="27"/>
      <c r="J175" s="27"/>
      <c r="K175" s="27"/>
    </row>
    <row r="176" spans="1:13" x14ac:dyDescent="0.35">
      <c r="A176" s="32"/>
      <c r="B176" s="26"/>
      <c r="C176" s="26"/>
      <c r="D176" s="26"/>
      <c r="E176" s="26"/>
      <c r="F176" s="27"/>
      <c r="G176" s="27"/>
      <c r="H176" s="27"/>
      <c r="I176" s="27"/>
      <c r="J176" s="27"/>
      <c r="K176" s="27"/>
    </row>
    <row r="177" spans="1:11" x14ac:dyDescent="0.35">
      <c r="A177" s="32"/>
      <c r="B177" s="26"/>
      <c r="C177" s="26"/>
      <c r="D177" s="26"/>
      <c r="E177" s="26"/>
      <c r="F177" s="27"/>
      <c r="G177" s="27"/>
      <c r="H177" s="27"/>
      <c r="I177" s="27"/>
      <c r="J177" s="27"/>
      <c r="K177" s="27"/>
    </row>
    <row r="178" spans="1:11" x14ac:dyDescent="0.35">
      <c r="A178" s="32"/>
      <c r="B178" s="26"/>
      <c r="C178" s="26"/>
      <c r="D178" s="26"/>
      <c r="E178" s="26"/>
      <c r="F178" s="27"/>
      <c r="G178" s="27"/>
      <c r="H178" s="27"/>
      <c r="I178" s="27"/>
      <c r="J178" s="27"/>
      <c r="K178" s="27"/>
    </row>
    <row r="179" spans="1:11" x14ac:dyDescent="0.35">
      <c r="A179" s="32"/>
      <c r="B179" s="26"/>
      <c r="C179" s="26"/>
      <c r="D179" s="26"/>
      <c r="E179" s="26"/>
      <c r="F179" s="27"/>
      <c r="G179" s="27"/>
      <c r="H179" s="27"/>
      <c r="I179" s="27"/>
      <c r="J179" s="27"/>
      <c r="K179" s="27"/>
    </row>
    <row r="180" spans="1:11" x14ac:dyDescent="0.35">
      <c r="A180" s="32"/>
      <c r="B180" s="26"/>
      <c r="C180" s="26"/>
      <c r="D180" s="26"/>
      <c r="E180" s="26"/>
      <c r="F180" s="27"/>
      <c r="G180" s="27"/>
      <c r="H180" s="27"/>
      <c r="I180" s="27"/>
      <c r="J180" s="27"/>
      <c r="K180" s="27"/>
    </row>
    <row r="181" spans="1:11" x14ac:dyDescent="0.35">
      <c r="A181" s="32"/>
      <c r="B181" s="26"/>
      <c r="C181" s="26"/>
      <c r="D181" s="26"/>
      <c r="E181" s="26"/>
      <c r="F181" s="27"/>
      <c r="G181" s="27"/>
      <c r="H181" s="27"/>
      <c r="I181" s="27"/>
      <c r="J181" s="27"/>
      <c r="K181" s="27"/>
    </row>
    <row r="182" spans="1:11" x14ac:dyDescent="0.35">
      <c r="A182" s="32"/>
      <c r="B182" s="26"/>
      <c r="C182" s="26"/>
      <c r="D182" s="26"/>
      <c r="E182" s="26"/>
      <c r="F182" s="27"/>
      <c r="G182" s="27"/>
      <c r="H182" s="27"/>
      <c r="I182" s="27"/>
      <c r="J182" s="27"/>
      <c r="K182" s="27"/>
    </row>
    <row r="183" spans="1:11" x14ac:dyDescent="0.35">
      <c r="A183" s="32"/>
      <c r="B183" s="26"/>
      <c r="C183" s="26"/>
      <c r="D183" s="26"/>
      <c r="E183" s="26"/>
      <c r="F183" s="27"/>
      <c r="G183" s="27"/>
      <c r="H183" s="27"/>
      <c r="I183" s="27"/>
      <c r="J183" s="27"/>
      <c r="K183" s="27"/>
    </row>
    <row r="184" spans="1:11" x14ac:dyDescent="0.35">
      <c r="A184" s="32"/>
      <c r="B184" s="26"/>
      <c r="C184" s="26"/>
      <c r="D184" s="26"/>
      <c r="E184" s="26"/>
      <c r="F184" s="27"/>
      <c r="G184" s="27"/>
      <c r="H184" s="27"/>
      <c r="I184" s="27"/>
      <c r="J184" s="27"/>
      <c r="K184" s="27"/>
    </row>
    <row r="185" spans="1:11" x14ac:dyDescent="0.35">
      <c r="A185" s="32"/>
      <c r="B185" s="26"/>
      <c r="C185" s="26"/>
      <c r="D185" s="26"/>
      <c r="E185" s="26"/>
      <c r="F185" s="27"/>
      <c r="G185" s="27"/>
      <c r="H185" s="27"/>
      <c r="I185" s="27"/>
      <c r="J185" s="27"/>
      <c r="K185" s="27"/>
    </row>
    <row r="186" spans="1:11" x14ac:dyDescent="0.35">
      <c r="A186" s="32"/>
      <c r="B186" s="26"/>
      <c r="C186" s="26"/>
      <c r="D186" s="26"/>
      <c r="E186" s="26"/>
      <c r="F186" s="27"/>
      <c r="G186" s="27"/>
      <c r="H186" s="27"/>
      <c r="I186" s="27"/>
      <c r="J186" s="27"/>
      <c r="K186" s="27"/>
    </row>
    <row r="187" spans="1:11" x14ac:dyDescent="0.35">
      <c r="A187" s="32"/>
      <c r="B187" s="26"/>
      <c r="C187" s="26"/>
      <c r="D187" s="26"/>
      <c r="E187" s="26"/>
      <c r="F187" s="27"/>
      <c r="G187" s="27"/>
      <c r="H187" s="27"/>
      <c r="I187" s="27"/>
      <c r="J187" s="27"/>
    </row>
    <row r="188" spans="1:11" x14ac:dyDescent="0.35">
      <c r="A188" s="32"/>
      <c r="B188" s="26"/>
      <c r="C188" s="26"/>
      <c r="D188" s="26"/>
      <c r="E188" s="26"/>
      <c r="F188" s="27"/>
      <c r="G188" s="27"/>
      <c r="H188" s="27"/>
      <c r="I188" s="27"/>
      <c r="J188" s="27"/>
    </row>
    <row r="189" spans="1:11" x14ac:dyDescent="0.35">
      <c r="A189" s="32"/>
      <c r="B189" s="26"/>
      <c r="C189" s="26"/>
      <c r="D189" s="26"/>
      <c r="E189" s="26"/>
      <c r="F189" s="27"/>
      <c r="G189" s="27"/>
      <c r="H189" s="27"/>
      <c r="I189" s="27"/>
      <c r="J189" s="27"/>
    </row>
    <row r="190" spans="1:11" x14ac:dyDescent="0.35">
      <c r="A190" s="32"/>
      <c r="B190" s="26"/>
      <c r="C190" s="26"/>
      <c r="D190" s="26"/>
      <c r="E190" s="26"/>
      <c r="F190" s="27"/>
      <c r="G190" s="27"/>
      <c r="H190" s="27"/>
      <c r="I190" s="27"/>
      <c r="J190" s="27"/>
    </row>
    <row r="191" spans="1:11" x14ac:dyDescent="0.35">
      <c r="A191" s="32"/>
      <c r="B191" s="26"/>
      <c r="C191" s="26"/>
      <c r="D191" s="26"/>
      <c r="E191" s="26"/>
      <c r="F191" s="27"/>
      <c r="G191" s="27"/>
      <c r="H191" s="27"/>
      <c r="I191" s="27"/>
      <c r="J191" s="27"/>
    </row>
    <row r="192" spans="1:11" x14ac:dyDescent="0.35">
      <c r="A192" s="32"/>
      <c r="B192" s="26"/>
      <c r="C192" s="26"/>
      <c r="D192" s="26"/>
      <c r="E192" s="26"/>
      <c r="F192" s="27"/>
      <c r="G192" s="27"/>
      <c r="H192" s="27"/>
      <c r="I192" s="27"/>
      <c r="J192" s="27"/>
    </row>
    <row r="193" spans="1:16" x14ac:dyDescent="0.35">
      <c r="A193" s="32"/>
      <c r="B193" s="26"/>
      <c r="C193" s="26"/>
      <c r="D193" s="26"/>
      <c r="E193" s="26"/>
      <c r="F193" s="27"/>
      <c r="G193" s="27"/>
      <c r="H193" s="27"/>
      <c r="I193" s="27"/>
      <c r="J193" s="27"/>
    </row>
    <row r="194" spans="1:16" x14ac:dyDescent="0.35">
      <c r="A194" s="32"/>
      <c r="B194" s="26"/>
      <c r="C194" s="26"/>
      <c r="D194" s="26"/>
      <c r="E194" s="26"/>
      <c r="F194" s="27"/>
      <c r="G194" s="27"/>
      <c r="H194" s="27"/>
      <c r="I194" s="27"/>
      <c r="J194" s="27"/>
    </row>
    <row r="195" spans="1:16" x14ac:dyDescent="0.35">
      <c r="A195" s="32"/>
      <c r="B195" s="26"/>
      <c r="C195" s="26"/>
      <c r="D195" s="26"/>
      <c r="E195" s="26"/>
      <c r="F195" s="27"/>
      <c r="G195" s="27"/>
      <c r="H195" s="27"/>
      <c r="I195" s="27"/>
      <c r="J195" s="27"/>
    </row>
    <row r="196" spans="1:16" x14ac:dyDescent="0.35">
      <c r="A196" s="32"/>
      <c r="B196" s="26"/>
      <c r="C196" s="26"/>
      <c r="D196" s="26"/>
      <c r="E196" s="26"/>
      <c r="F196" s="27"/>
      <c r="G196" s="27"/>
      <c r="H196" s="27"/>
      <c r="I196" s="27"/>
      <c r="J196" s="27"/>
    </row>
    <row r="197" spans="1:16" x14ac:dyDescent="0.35">
      <c r="A197" s="32"/>
      <c r="B197" s="26"/>
      <c r="C197" s="26"/>
      <c r="D197" s="26"/>
      <c r="E197" s="26"/>
      <c r="F197" s="27"/>
      <c r="G197" s="27"/>
      <c r="H197" s="27"/>
      <c r="I197" s="27"/>
      <c r="J197" s="27"/>
    </row>
    <row r="198" spans="1:16" x14ac:dyDescent="0.35">
      <c r="A198" s="32"/>
      <c r="B198" s="26"/>
      <c r="C198" s="26"/>
      <c r="D198" s="26"/>
      <c r="E198" s="26"/>
      <c r="F198" s="27"/>
      <c r="G198" s="32"/>
    </row>
    <row r="199" spans="1:16" x14ac:dyDescent="0.35">
      <c r="A199" s="32"/>
      <c r="B199" s="26"/>
      <c r="C199" s="26"/>
      <c r="D199" s="26"/>
      <c r="E199" s="26"/>
      <c r="F199" s="27"/>
      <c r="G199" s="27"/>
      <c r="H199" s="27"/>
      <c r="I199" s="27"/>
      <c r="J199" s="27"/>
    </row>
    <row r="200" spans="1:16" x14ac:dyDescent="0.35">
      <c r="A200" s="32"/>
      <c r="B200" s="26"/>
      <c r="C200" s="26"/>
      <c r="D200" s="26"/>
      <c r="E200" s="26"/>
      <c r="F200" s="27"/>
      <c r="G200" s="27"/>
      <c r="H200" s="27"/>
      <c r="I200" s="27"/>
      <c r="J200" s="27"/>
    </row>
    <row r="201" spans="1:16" x14ac:dyDescent="0.35">
      <c r="A201" s="32"/>
      <c r="B201" s="26"/>
      <c r="C201" s="26"/>
      <c r="D201" s="26"/>
      <c r="E201" s="26"/>
      <c r="F201" s="27"/>
      <c r="G201" s="27"/>
      <c r="H201" s="27"/>
      <c r="I201" s="27"/>
      <c r="J201" s="27"/>
    </row>
    <row r="202" spans="1:16" x14ac:dyDescent="0.35">
      <c r="A202" s="32"/>
      <c r="B202" s="26"/>
      <c r="C202" s="26"/>
      <c r="D202" s="26"/>
      <c r="E202" s="26"/>
      <c r="F202" s="27"/>
      <c r="G202" s="27"/>
      <c r="H202" s="27"/>
      <c r="I202" s="27"/>
      <c r="J202" s="27"/>
    </row>
    <row r="203" spans="1:16" x14ac:dyDescent="0.35">
      <c r="A203" s="32"/>
      <c r="B203" s="26"/>
      <c r="C203" s="26"/>
      <c r="D203" s="26"/>
      <c r="E203" s="26"/>
      <c r="F203" s="27"/>
      <c r="G203" s="27"/>
      <c r="H203" s="27"/>
      <c r="I203" s="27"/>
      <c r="J203" s="27"/>
    </row>
    <row r="204" spans="1:16" x14ac:dyDescent="0.35">
      <c r="A204" s="32"/>
      <c r="B204" s="26"/>
      <c r="C204" s="26"/>
      <c r="D204" s="26"/>
      <c r="E204" s="26"/>
      <c r="F204" s="27"/>
      <c r="G204" s="27"/>
      <c r="H204" s="27"/>
      <c r="I204" s="27"/>
      <c r="J204" s="27"/>
    </row>
    <row r="205" spans="1:16" x14ac:dyDescent="0.35">
      <c r="D205" s="26"/>
      <c r="E205" s="26"/>
      <c r="F205" s="27"/>
      <c r="G205" s="27"/>
      <c r="H205" s="27"/>
      <c r="I205" s="27"/>
      <c r="J205" s="27"/>
    </row>
    <row r="206" spans="1:16" ht="16" thickBot="1" x14ac:dyDescent="0.4">
      <c r="A206" s="32"/>
      <c r="B206" s="26"/>
      <c r="C206" s="26"/>
      <c r="D206" s="26"/>
      <c r="E206" s="26"/>
      <c r="F206" s="27"/>
      <c r="P206" s="27"/>
    </row>
    <row r="207" spans="1:16" ht="18" thickBot="1" x14ac:dyDescent="0.4">
      <c r="A207" s="32"/>
      <c r="B207" s="53" t="s">
        <v>632</v>
      </c>
      <c r="C207" s="32"/>
      <c r="D207" s="32"/>
      <c r="E207" s="32"/>
      <c r="F207" s="27"/>
      <c r="G207" s="50"/>
      <c r="H207" s="69" t="s">
        <v>634</v>
      </c>
      <c r="I207" s="70"/>
      <c r="J207" s="59"/>
    </row>
    <row r="208" spans="1:16" ht="18" x14ac:dyDescent="0.4">
      <c r="A208" s="32"/>
      <c r="B208" s="14" t="s">
        <v>24</v>
      </c>
      <c r="C208" s="26"/>
      <c r="D208" s="26"/>
      <c r="E208" s="26"/>
      <c r="F208" s="27"/>
      <c r="G208" s="27"/>
      <c r="H208" s="27"/>
      <c r="I208" s="27"/>
      <c r="J208" s="27"/>
    </row>
    <row r="209" spans="1:11" x14ac:dyDescent="0.35">
      <c r="A209" s="32"/>
      <c r="B209" s="26"/>
      <c r="C209" s="26"/>
      <c r="D209" s="26"/>
      <c r="E209" s="26"/>
      <c r="F209" s="27"/>
      <c r="G209" s="27"/>
      <c r="H209" s="27"/>
      <c r="I209" s="27"/>
      <c r="J209" s="27"/>
    </row>
    <row r="210" spans="1:11" x14ac:dyDescent="0.35">
      <c r="A210" s="32"/>
      <c r="B210" s="26"/>
      <c r="C210" s="26"/>
      <c r="D210" s="26"/>
      <c r="E210" s="26"/>
      <c r="F210" s="27"/>
      <c r="G210" s="27"/>
      <c r="H210" s="27"/>
      <c r="I210" s="27"/>
      <c r="J210" s="27"/>
    </row>
    <row r="211" spans="1:11" x14ac:dyDescent="0.35">
      <c r="A211" s="32"/>
      <c r="B211" s="26"/>
      <c r="C211" s="26"/>
      <c r="D211" s="26"/>
      <c r="E211" s="26"/>
      <c r="F211" s="27"/>
      <c r="G211" s="27"/>
      <c r="H211" s="27"/>
      <c r="I211" s="27"/>
      <c r="J211" s="27"/>
    </row>
    <row r="212" spans="1:11" x14ac:dyDescent="0.35">
      <c r="A212" s="32"/>
      <c r="B212" s="26"/>
      <c r="C212" s="26"/>
      <c r="D212" s="26"/>
      <c r="E212" s="26"/>
      <c r="F212" s="27"/>
      <c r="G212" s="27"/>
      <c r="H212" s="27"/>
      <c r="I212" s="27"/>
      <c r="J212" s="27"/>
    </row>
    <row r="213" spans="1:11" x14ac:dyDescent="0.35">
      <c r="A213" s="32"/>
      <c r="B213" s="26"/>
      <c r="C213" s="26"/>
      <c r="D213" s="26"/>
      <c r="E213" s="26"/>
      <c r="F213" s="27"/>
      <c r="G213" s="27"/>
      <c r="H213" s="27"/>
      <c r="I213" s="15" t="s">
        <v>28</v>
      </c>
      <c r="J213" s="26"/>
      <c r="K213" s="27"/>
    </row>
    <row r="214" spans="1:11" x14ac:dyDescent="0.35">
      <c r="A214" s="32"/>
      <c r="B214" s="26"/>
      <c r="C214" s="26"/>
      <c r="D214" s="26"/>
      <c r="E214" s="26"/>
      <c r="F214" s="27"/>
      <c r="G214" s="27"/>
      <c r="H214" s="27"/>
      <c r="I214" s="27"/>
      <c r="J214" s="27"/>
    </row>
    <row r="215" spans="1:11" x14ac:dyDescent="0.35">
      <c r="A215" s="32"/>
      <c r="B215" s="26"/>
      <c r="C215" s="26"/>
      <c r="D215" s="26"/>
      <c r="E215" s="26"/>
      <c r="F215" s="27"/>
      <c r="G215" s="27"/>
      <c r="H215" s="27"/>
      <c r="I215" s="27"/>
      <c r="J215" s="27"/>
    </row>
    <row r="216" spans="1:11" x14ac:dyDescent="0.35">
      <c r="A216" s="32"/>
      <c r="B216" s="26"/>
      <c r="C216" s="26"/>
      <c r="D216" s="26"/>
      <c r="E216" s="26"/>
      <c r="F216" s="27"/>
      <c r="G216" s="27"/>
      <c r="H216" s="27"/>
      <c r="I216" s="27"/>
      <c r="J216" s="27"/>
    </row>
    <row r="217" spans="1:11" x14ac:dyDescent="0.35">
      <c r="A217" s="32"/>
      <c r="B217" s="26"/>
      <c r="C217" s="26"/>
      <c r="D217" s="26"/>
      <c r="E217" s="26"/>
      <c r="F217" s="27"/>
      <c r="G217" s="27"/>
      <c r="H217" s="27"/>
      <c r="I217" s="27"/>
      <c r="J217" s="27"/>
    </row>
    <row r="218" spans="1:11" x14ac:dyDescent="0.35">
      <c r="A218" s="32"/>
      <c r="B218" s="26"/>
      <c r="C218" s="26"/>
      <c r="D218" s="26"/>
      <c r="E218" s="26"/>
      <c r="F218" s="27"/>
      <c r="G218" s="27"/>
      <c r="H218" s="27"/>
      <c r="I218" s="27"/>
      <c r="J218" s="27"/>
    </row>
    <row r="219" spans="1:11" x14ac:dyDescent="0.35">
      <c r="A219" s="32"/>
      <c r="B219" s="26"/>
      <c r="C219" s="26"/>
      <c r="D219" s="26"/>
      <c r="E219" s="26"/>
      <c r="F219" s="27"/>
      <c r="G219" s="27"/>
      <c r="H219" s="27"/>
      <c r="I219" s="27"/>
      <c r="J219" s="27"/>
    </row>
    <row r="220" spans="1:11" x14ac:dyDescent="0.35">
      <c r="A220" s="32"/>
      <c r="B220" s="26"/>
      <c r="C220" s="26"/>
      <c r="D220" s="26"/>
      <c r="E220" s="26"/>
      <c r="F220" s="27"/>
      <c r="G220" s="27"/>
      <c r="H220" s="27"/>
      <c r="I220" s="27"/>
      <c r="J220" s="27"/>
    </row>
    <row r="221" spans="1:11" x14ac:dyDescent="0.35">
      <c r="A221" s="32"/>
      <c r="B221" s="26"/>
      <c r="C221" s="26"/>
      <c r="D221" s="26"/>
      <c r="E221" s="26"/>
      <c r="F221" s="27"/>
      <c r="G221" s="27"/>
      <c r="H221" s="27"/>
      <c r="I221" s="27"/>
      <c r="J221" s="27"/>
    </row>
    <row r="222" spans="1:11" x14ac:dyDescent="0.35">
      <c r="A222" s="32"/>
      <c r="B222" s="26"/>
      <c r="C222" s="26"/>
      <c r="D222" s="26"/>
      <c r="E222" s="26"/>
      <c r="F222" s="27"/>
      <c r="G222" s="27"/>
      <c r="H222" s="27"/>
      <c r="I222" s="27"/>
      <c r="J222" s="27"/>
    </row>
    <row r="223" spans="1:11" x14ac:dyDescent="0.35">
      <c r="A223" s="32"/>
      <c r="B223" s="26"/>
      <c r="C223" s="26"/>
      <c r="D223" s="26"/>
      <c r="E223" s="26"/>
      <c r="F223" s="27"/>
      <c r="G223" s="27"/>
      <c r="H223" s="27"/>
      <c r="I223" s="27"/>
      <c r="J223" s="27"/>
    </row>
    <row r="224" spans="1:11" x14ac:dyDescent="0.35">
      <c r="A224" s="32"/>
      <c r="B224" s="26"/>
      <c r="C224" s="26"/>
      <c r="D224" s="26"/>
      <c r="E224" s="26"/>
      <c r="F224" s="27"/>
      <c r="G224" s="27"/>
      <c r="H224" s="27"/>
      <c r="I224" s="27"/>
      <c r="J224" s="27"/>
    </row>
    <row r="225" spans="1:15" x14ac:dyDescent="0.35">
      <c r="A225" s="32"/>
      <c r="B225" s="26"/>
      <c r="C225" s="26"/>
      <c r="D225" s="26"/>
      <c r="E225" s="26"/>
      <c r="F225" s="27"/>
      <c r="G225" s="27"/>
      <c r="H225" s="27"/>
      <c r="I225" s="27"/>
      <c r="J225" s="27"/>
    </row>
    <row r="226" spans="1:15" x14ac:dyDescent="0.35">
      <c r="A226" s="32"/>
      <c r="B226" s="26"/>
      <c r="C226" s="26"/>
      <c r="D226" s="26"/>
      <c r="E226" s="26"/>
      <c r="F226" s="27"/>
      <c r="G226" s="27"/>
      <c r="H226" s="27"/>
      <c r="I226" s="27"/>
      <c r="J226" s="27"/>
      <c r="K226" s="27"/>
    </row>
    <row r="227" spans="1:15" x14ac:dyDescent="0.35">
      <c r="A227" s="32"/>
      <c r="B227" s="26"/>
      <c r="C227" s="26"/>
      <c r="D227" s="26"/>
      <c r="E227" s="26"/>
      <c r="F227" s="27"/>
      <c r="G227" s="27"/>
      <c r="H227" s="27"/>
      <c r="I227" s="27"/>
      <c r="J227" s="27"/>
      <c r="K227" s="27"/>
    </row>
    <row r="228" spans="1:15" x14ac:dyDescent="0.35">
      <c r="A228" s="32"/>
      <c r="B228" s="26"/>
      <c r="C228" s="26"/>
      <c r="D228" s="26"/>
      <c r="E228" s="26"/>
      <c r="F228" s="27"/>
      <c r="G228" s="27"/>
      <c r="H228" s="27"/>
      <c r="I228" s="27"/>
      <c r="J228" s="27"/>
      <c r="K228" s="27"/>
    </row>
    <row r="229" spans="1:15" ht="16" thickBot="1" x14ac:dyDescent="0.4">
      <c r="A229" s="32"/>
      <c r="B229" s="26"/>
      <c r="C229" s="26"/>
      <c r="D229" s="26"/>
      <c r="E229" s="26"/>
      <c r="F229" s="27"/>
      <c r="G229" s="27"/>
      <c r="H229" s="27"/>
      <c r="I229" s="27"/>
      <c r="J229" s="27"/>
      <c r="K229" s="27"/>
    </row>
    <row r="230" spans="1:15" ht="18" thickBot="1" x14ac:dyDescent="0.4">
      <c r="A230" s="61"/>
      <c r="B230" s="62" t="s">
        <v>4</v>
      </c>
      <c r="C230" s="15" t="s">
        <v>528</v>
      </c>
      <c r="D230" s="26"/>
      <c r="E230" s="26"/>
      <c r="F230" s="32"/>
      <c r="G230" s="32"/>
      <c r="H230" s="32"/>
      <c r="I230" s="32"/>
      <c r="J230" s="32"/>
      <c r="K230" s="27"/>
      <c r="L230" s="27"/>
      <c r="M230" s="27"/>
      <c r="N230" s="27"/>
      <c r="O230" s="27"/>
    </row>
    <row r="231" spans="1:15" ht="16" thickBot="1" x14ac:dyDescent="0.4">
      <c r="A231" s="32"/>
      <c r="B231" s="26"/>
      <c r="C231" s="26"/>
      <c r="D231" s="26"/>
      <c r="E231" s="26"/>
      <c r="F231" s="32"/>
      <c r="G231" s="26"/>
      <c r="H231" s="26"/>
      <c r="I231" s="26"/>
      <c r="J231" s="26"/>
      <c r="K231" s="27"/>
      <c r="L231" s="27"/>
      <c r="M231" s="27"/>
      <c r="N231" s="27"/>
      <c r="O231" s="27"/>
    </row>
    <row r="232" spans="1:15" ht="18" thickBot="1" x14ac:dyDescent="0.4">
      <c r="A232" s="32"/>
      <c r="B232" s="26"/>
      <c r="C232" s="26"/>
      <c r="D232" s="26"/>
      <c r="E232" s="32"/>
      <c r="F232" s="64" t="s">
        <v>365</v>
      </c>
      <c r="G232" s="65"/>
      <c r="H232" s="65"/>
      <c r="I232" s="65"/>
      <c r="J232" s="65"/>
      <c r="K232" s="65"/>
      <c r="L232" s="65"/>
      <c r="M232" s="65"/>
      <c r="N232" s="65"/>
      <c r="O232" s="54"/>
    </row>
    <row r="233" spans="1:15" x14ac:dyDescent="0.35">
      <c r="A233" s="32"/>
      <c r="B233" s="26"/>
      <c r="C233" s="26"/>
      <c r="D233" s="26"/>
      <c r="E233" s="26"/>
      <c r="F233" s="32"/>
      <c r="G233" s="26"/>
      <c r="H233" s="26"/>
      <c r="I233" s="26"/>
      <c r="J233" s="26"/>
      <c r="K233" s="27"/>
      <c r="L233" s="27"/>
      <c r="M233" s="27"/>
      <c r="N233" s="27"/>
      <c r="O233" s="27"/>
    </row>
    <row r="234" spans="1:15" x14ac:dyDescent="0.35">
      <c r="A234" s="32"/>
      <c r="B234" s="26"/>
      <c r="C234" s="26"/>
      <c r="D234" s="26"/>
      <c r="E234" s="26"/>
      <c r="F234" s="32"/>
      <c r="G234" s="26"/>
      <c r="H234" s="26"/>
      <c r="I234" s="26"/>
      <c r="J234" s="26"/>
      <c r="K234" s="27"/>
      <c r="L234" s="27"/>
      <c r="M234" s="27"/>
      <c r="N234" s="27"/>
      <c r="O234" s="27"/>
    </row>
    <row r="235" spans="1:15" x14ac:dyDescent="0.35">
      <c r="A235" s="32"/>
      <c r="B235" s="26"/>
      <c r="C235" s="26"/>
      <c r="D235" s="26"/>
      <c r="E235" s="26"/>
      <c r="F235" s="32"/>
      <c r="G235" s="26"/>
      <c r="H235" s="26"/>
      <c r="I235" s="26"/>
      <c r="J235" s="26"/>
      <c r="K235" s="27"/>
      <c r="L235" s="27"/>
      <c r="M235" s="27"/>
      <c r="N235" s="27"/>
      <c r="O235" s="27"/>
    </row>
    <row r="236" spans="1:15" x14ac:dyDescent="0.35">
      <c r="A236" s="32"/>
      <c r="B236" s="26"/>
      <c r="C236" s="26"/>
      <c r="D236" s="26"/>
      <c r="E236" s="26"/>
      <c r="F236" s="32"/>
      <c r="G236" s="26"/>
      <c r="H236" s="26"/>
      <c r="I236" s="26"/>
      <c r="J236" s="26"/>
      <c r="K236" s="27"/>
      <c r="L236" s="27"/>
      <c r="M236" s="27"/>
      <c r="N236" s="27"/>
      <c r="O236" s="27"/>
    </row>
    <row r="237" spans="1:15" x14ac:dyDescent="0.35">
      <c r="A237" s="32"/>
      <c r="B237" s="26"/>
      <c r="C237" s="26"/>
      <c r="D237" s="26"/>
      <c r="E237" s="26"/>
      <c r="F237" s="32"/>
      <c r="G237" s="26"/>
      <c r="H237" s="26"/>
      <c r="I237" s="26"/>
      <c r="J237" s="26"/>
      <c r="K237" s="27"/>
      <c r="L237" s="27"/>
      <c r="M237" s="27"/>
      <c r="N237" s="27"/>
      <c r="O237" s="27"/>
    </row>
    <row r="238" spans="1:15" x14ac:dyDescent="0.35">
      <c r="A238" s="32"/>
      <c r="B238" s="26"/>
      <c r="C238" s="26"/>
      <c r="D238" s="26"/>
      <c r="E238" s="26"/>
      <c r="F238" s="32"/>
      <c r="G238" s="26"/>
      <c r="H238" s="26"/>
      <c r="I238" s="26"/>
      <c r="J238" s="26"/>
      <c r="K238" s="27"/>
      <c r="L238" s="27"/>
      <c r="M238" s="27"/>
      <c r="N238" s="27"/>
      <c r="O238" s="27"/>
    </row>
    <row r="239" spans="1:15" x14ac:dyDescent="0.35">
      <c r="A239" s="32"/>
      <c r="B239" s="26"/>
      <c r="C239" s="26"/>
      <c r="D239" s="26"/>
      <c r="E239" s="26"/>
      <c r="F239" s="32"/>
      <c r="G239" s="26"/>
      <c r="H239" s="26"/>
      <c r="I239" s="26"/>
      <c r="J239" s="26"/>
      <c r="K239" s="27"/>
      <c r="L239" s="27"/>
      <c r="M239" s="27"/>
      <c r="N239" s="27"/>
      <c r="O239" s="27"/>
    </row>
    <row r="240" spans="1:15" x14ac:dyDescent="0.35">
      <c r="A240" s="32"/>
      <c r="B240" s="26"/>
      <c r="C240" s="26"/>
      <c r="D240" s="26"/>
      <c r="E240" s="26"/>
      <c r="F240" s="32"/>
      <c r="G240" s="26"/>
      <c r="H240" s="26"/>
      <c r="I240" s="26"/>
      <c r="J240" s="26"/>
      <c r="K240" s="27"/>
      <c r="L240" s="27"/>
      <c r="M240" s="27"/>
      <c r="N240" s="27"/>
      <c r="O240" s="27"/>
    </row>
    <row r="241" spans="1:15" x14ac:dyDescent="0.35">
      <c r="A241" s="32"/>
      <c r="B241" s="26"/>
      <c r="C241" s="26"/>
      <c r="D241" s="26"/>
      <c r="E241" s="26"/>
      <c r="F241" s="32"/>
      <c r="G241" s="26"/>
      <c r="H241" s="26"/>
      <c r="I241" s="26"/>
      <c r="J241" s="26"/>
      <c r="K241" s="27"/>
      <c r="L241" s="27"/>
      <c r="M241" s="27"/>
      <c r="N241" s="27"/>
      <c r="O241" s="27"/>
    </row>
    <row r="242" spans="1:15" x14ac:dyDescent="0.35">
      <c r="A242" s="32"/>
      <c r="B242" s="26"/>
      <c r="C242" s="26"/>
      <c r="D242" s="26"/>
      <c r="E242" s="26"/>
      <c r="F242" s="32"/>
      <c r="G242" s="26"/>
      <c r="H242" s="26"/>
      <c r="I242" s="26"/>
      <c r="J242" s="26"/>
      <c r="K242" s="27"/>
      <c r="L242" s="27"/>
      <c r="M242" s="27"/>
      <c r="N242" s="27"/>
      <c r="O242" s="27"/>
    </row>
    <row r="243" spans="1:15" x14ac:dyDescent="0.35">
      <c r="A243" s="32"/>
      <c r="B243" s="26"/>
      <c r="C243" s="26"/>
      <c r="D243" s="26"/>
      <c r="E243" s="26"/>
      <c r="F243" s="32"/>
      <c r="G243" s="26"/>
      <c r="H243" s="26"/>
      <c r="I243" s="26"/>
      <c r="J243" s="26"/>
      <c r="K243" s="27"/>
      <c r="L243" s="27"/>
      <c r="M243" s="27"/>
      <c r="N243" s="27"/>
      <c r="O243" s="27"/>
    </row>
    <row r="244" spans="1:15" x14ac:dyDescent="0.35">
      <c r="A244" s="32"/>
      <c r="B244" s="26"/>
      <c r="C244" s="26"/>
      <c r="D244" s="26"/>
      <c r="E244" s="26"/>
      <c r="F244" s="32"/>
      <c r="G244" s="26"/>
      <c r="H244" s="26"/>
      <c r="I244" s="26"/>
      <c r="J244" s="26"/>
      <c r="K244" s="27"/>
      <c r="L244" s="27"/>
      <c r="M244" s="27"/>
      <c r="N244" s="27"/>
      <c r="O244" s="27"/>
    </row>
    <row r="245" spans="1:15" x14ac:dyDescent="0.35">
      <c r="A245" s="32"/>
      <c r="B245" s="26"/>
      <c r="C245" s="26"/>
      <c r="D245" s="26"/>
      <c r="E245" s="26"/>
      <c r="F245" s="32"/>
      <c r="G245" s="26"/>
      <c r="H245" s="26"/>
      <c r="I245" s="26"/>
      <c r="J245" s="26"/>
      <c r="K245" s="27"/>
      <c r="L245" s="27"/>
      <c r="M245" s="27"/>
      <c r="N245" s="27"/>
      <c r="O245" s="27"/>
    </row>
    <row r="246" spans="1:15" x14ac:dyDescent="0.35">
      <c r="A246" s="32"/>
      <c r="B246" s="26"/>
      <c r="C246" s="26"/>
      <c r="D246" s="26"/>
      <c r="E246" s="26"/>
      <c r="F246" s="32"/>
      <c r="G246" s="26"/>
      <c r="H246" s="26"/>
      <c r="I246" s="26"/>
      <c r="J246" s="26"/>
      <c r="K246" s="27"/>
      <c r="L246" s="27"/>
      <c r="M246" s="27"/>
      <c r="N246" s="27"/>
      <c r="O246" s="27"/>
    </row>
    <row r="247" spans="1:15" x14ac:dyDescent="0.35">
      <c r="A247" s="32"/>
      <c r="B247" s="26"/>
      <c r="C247" s="26"/>
      <c r="D247" s="26"/>
      <c r="E247" s="26"/>
      <c r="F247" s="32"/>
      <c r="G247" s="26"/>
      <c r="H247" s="26"/>
      <c r="I247" s="26"/>
      <c r="J247" s="26"/>
      <c r="K247" s="27"/>
      <c r="L247" s="27"/>
      <c r="M247" s="27"/>
      <c r="N247" s="27"/>
      <c r="O247" s="27"/>
    </row>
    <row r="248" spans="1:15" x14ac:dyDescent="0.35">
      <c r="A248" s="32"/>
      <c r="B248" s="26"/>
      <c r="C248" s="26"/>
      <c r="D248" s="26"/>
      <c r="E248" s="26"/>
      <c r="F248" s="32"/>
      <c r="G248" s="26"/>
      <c r="H248" s="26"/>
      <c r="I248" s="26"/>
      <c r="J248" s="26"/>
      <c r="K248" s="27"/>
      <c r="L248" s="27"/>
      <c r="M248" s="27"/>
      <c r="N248" s="27"/>
      <c r="O248" s="27"/>
    </row>
    <row r="249" spans="1:15" x14ac:dyDescent="0.35">
      <c r="A249" s="32"/>
      <c r="B249" s="26"/>
      <c r="C249" s="26"/>
      <c r="D249" s="26"/>
      <c r="E249" s="26"/>
      <c r="F249" s="32"/>
      <c r="G249" s="26"/>
      <c r="H249" s="26"/>
      <c r="I249" s="26"/>
      <c r="J249" s="26"/>
      <c r="K249" s="27"/>
      <c r="L249" s="27"/>
      <c r="M249" s="27"/>
      <c r="N249" s="27"/>
      <c r="O249" s="27"/>
    </row>
    <row r="250" spans="1:15" x14ac:dyDescent="0.35">
      <c r="A250" s="32"/>
      <c r="B250" s="26"/>
      <c r="C250" s="26"/>
      <c r="D250" s="26"/>
      <c r="E250" s="26"/>
      <c r="F250" s="32"/>
      <c r="G250" s="26"/>
      <c r="H250" s="26"/>
      <c r="I250" s="26"/>
      <c r="J250" s="26"/>
      <c r="K250" s="27"/>
      <c r="L250" s="27"/>
      <c r="M250" s="27"/>
      <c r="N250" s="27"/>
      <c r="O250" s="27"/>
    </row>
    <row r="251" spans="1:15" x14ac:dyDescent="0.35">
      <c r="A251" s="32"/>
      <c r="B251" s="26"/>
      <c r="C251" s="26"/>
      <c r="D251" s="26"/>
      <c r="E251" s="26"/>
      <c r="F251" s="32"/>
      <c r="G251" s="26"/>
      <c r="H251" s="26"/>
      <c r="I251" s="26"/>
      <c r="J251" s="26"/>
      <c r="K251" s="27"/>
      <c r="L251" s="27"/>
      <c r="M251" s="27"/>
      <c r="N251" s="27"/>
      <c r="O251" s="27"/>
    </row>
    <row r="252" spans="1:15" x14ac:dyDescent="0.35">
      <c r="A252" s="32"/>
      <c r="B252" s="26"/>
      <c r="C252" s="26"/>
      <c r="D252" s="26"/>
      <c r="E252" s="26"/>
      <c r="F252" s="32"/>
      <c r="G252" s="26"/>
      <c r="H252" s="26"/>
      <c r="I252" s="26"/>
      <c r="J252" s="26"/>
      <c r="K252" s="27"/>
      <c r="L252" s="27"/>
      <c r="M252" s="27"/>
      <c r="N252" s="27"/>
      <c r="O252" s="27"/>
    </row>
    <row r="253" spans="1:15" x14ac:dyDescent="0.35">
      <c r="A253" s="32"/>
      <c r="B253" s="26"/>
      <c r="C253" s="26"/>
      <c r="D253" s="26"/>
      <c r="E253" s="26"/>
      <c r="F253" s="32"/>
      <c r="G253" s="26"/>
      <c r="H253" s="26"/>
      <c r="I253" s="26"/>
      <c r="J253" s="26"/>
      <c r="K253" s="27"/>
      <c r="L253" s="27"/>
      <c r="M253" s="27"/>
      <c r="N253" s="27"/>
      <c r="O253" s="27"/>
    </row>
    <row r="254" spans="1:15" x14ac:dyDescent="0.35">
      <c r="A254" s="32"/>
      <c r="B254" s="26"/>
      <c r="C254" s="26"/>
      <c r="D254" s="26"/>
      <c r="E254" s="26"/>
      <c r="F254" s="34"/>
      <c r="K254" s="27"/>
      <c r="L254" s="27"/>
      <c r="M254" s="27"/>
      <c r="N254" s="27"/>
      <c r="O254" s="27"/>
    </row>
    <row r="255" spans="1:15" x14ac:dyDescent="0.35">
      <c r="A255" s="32"/>
      <c r="B255" s="26"/>
      <c r="C255" s="26"/>
      <c r="D255" s="26"/>
      <c r="E255" s="26"/>
      <c r="F255" s="32"/>
      <c r="G255" s="26"/>
      <c r="H255" s="26"/>
      <c r="I255" s="26"/>
      <c r="J255" s="26"/>
      <c r="K255" s="27"/>
      <c r="L255" s="27"/>
      <c r="M255" s="27"/>
      <c r="N255" s="27"/>
      <c r="O255" s="27"/>
    </row>
    <row r="256" spans="1:15" x14ac:dyDescent="0.35">
      <c r="A256" s="32"/>
      <c r="B256" s="26"/>
      <c r="C256" s="26"/>
      <c r="D256" s="26"/>
      <c r="E256" s="26"/>
      <c r="F256" s="32"/>
      <c r="H256" s="26"/>
      <c r="I256" s="26"/>
      <c r="J256" s="26"/>
      <c r="K256" s="27"/>
      <c r="L256" s="27"/>
      <c r="M256" s="27"/>
      <c r="N256" s="27"/>
      <c r="O256" s="27"/>
    </row>
    <row r="257" spans="1:15" x14ac:dyDescent="0.35">
      <c r="A257" s="32"/>
      <c r="B257" s="26"/>
      <c r="C257" s="26"/>
      <c r="D257" s="26"/>
      <c r="E257" s="26"/>
      <c r="F257" s="32"/>
      <c r="G257" s="26"/>
      <c r="H257" s="26"/>
      <c r="I257" s="26"/>
      <c r="J257" s="26"/>
      <c r="K257" s="27"/>
      <c r="L257" s="27"/>
      <c r="M257" s="27"/>
      <c r="N257" s="27"/>
      <c r="O257" s="27"/>
    </row>
    <row r="258" spans="1:15" x14ac:dyDescent="0.35">
      <c r="A258" s="32"/>
      <c r="B258" s="26"/>
      <c r="C258" s="26"/>
      <c r="D258" s="26"/>
      <c r="E258" s="26"/>
      <c r="F258" s="32"/>
      <c r="G258" s="26"/>
      <c r="H258" s="26"/>
      <c r="I258" s="26"/>
      <c r="J258" s="26"/>
      <c r="N258" s="27"/>
      <c r="O258" s="27"/>
    </row>
    <row r="259" spans="1:15" x14ac:dyDescent="0.35">
      <c r="A259" s="32"/>
      <c r="B259" s="26"/>
      <c r="C259" s="26"/>
      <c r="D259" s="26"/>
      <c r="E259" s="26"/>
      <c r="F259" s="34"/>
      <c r="N259" s="27"/>
      <c r="O259" s="27"/>
    </row>
    <row r="260" spans="1:15" x14ac:dyDescent="0.35">
      <c r="A260" s="32"/>
      <c r="B260" s="26"/>
      <c r="C260" s="26"/>
      <c r="D260" s="26"/>
      <c r="E260" s="26"/>
      <c r="F260" s="34"/>
      <c r="N260" s="27"/>
      <c r="O260" s="27"/>
    </row>
    <row r="261" spans="1:15" x14ac:dyDescent="0.35">
      <c r="A261" s="32"/>
      <c r="B261" s="26"/>
      <c r="C261" s="26"/>
      <c r="D261" s="26"/>
      <c r="E261" s="26"/>
      <c r="F261" s="34"/>
      <c r="N261" s="27"/>
      <c r="O261" s="27"/>
    </row>
    <row r="262" spans="1:15" x14ac:dyDescent="0.35">
      <c r="A262" s="32"/>
      <c r="B262" s="26"/>
      <c r="C262" s="26"/>
      <c r="D262" s="26"/>
      <c r="E262" s="26"/>
      <c r="F262" s="34"/>
      <c r="N262" s="27"/>
      <c r="O262" s="27"/>
    </row>
    <row r="263" spans="1:15" x14ac:dyDescent="0.35">
      <c r="A263" s="32"/>
      <c r="B263" s="26"/>
      <c r="C263" s="26"/>
      <c r="D263" s="26"/>
      <c r="E263" s="26"/>
      <c r="F263" s="32"/>
      <c r="G263" s="26"/>
      <c r="H263" s="26"/>
      <c r="I263" s="26"/>
      <c r="J263" s="26"/>
      <c r="N263" s="27"/>
      <c r="O263" s="27"/>
    </row>
    <row r="264" spans="1:15" x14ac:dyDescent="0.35">
      <c r="A264" s="32"/>
      <c r="B264" s="26"/>
      <c r="C264" s="26"/>
      <c r="D264" s="26"/>
      <c r="E264" s="26"/>
      <c r="F264" s="32"/>
      <c r="G264" s="26"/>
      <c r="H264" s="26"/>
      <c r="I264" s="26"/>
      <c r="J264" s="26"/>
      <c r="N264" s="27"/>
      <c r="O264" s="27"/>
    </row>
    <row r="265" spans="1:15" x14ac:dyDescent="0.35">
      <c r="A265" s="32"/>
      <c r="B265" s="26"/>
      <c r="C265" s="26"/>
      <c r="D265" s="26"/>
      <c r="E265" s="26"/>
      <c r="F265" s="32"/>
      <c r="G265" s="26"/>
      <c r="H265" s="26"/>
      <c r="I265" s="26"/>
      <c r="J265" s="26"/>
      <c r="N265" s="27"/>
      <c r="O265" s="27"/>
    </row>
    <row r="266" spans="1:15" x14ac:dyDescent="0.35">
      <c r="F266" s="34"/>
      <c r="N266" s="27"/>
      <c r="O266" s="27"/>
    </row>
    <row r="267" spans="1:15" x14ac:dyDescent="0.35">
      <c r="F267" s="34"/>
      <c r="N267" s="27"/>
      <c r="O267" s="27"/>
    </row>
    <row r="268" spans="1:15" x14ac:dyDescent="0.35">
      <c r="F268" s="34"/>
      <c r="N268" s="27"/>
      <c r="O268" s="27"/>
    </row>
    <row r="269" spans="1:15" x14ac:dyDescent="0.35">
      <c r="F269" s="34"/>
      <c r="M269" s="46"/>
      <c r="N269" s="27"/>
      <c r="O269" s="27"/>
    </row>
    <row r="270" spans="1:15" x14ac:dyDescent="0.35">
      <c r="F270" s="34"/>
      <c r="N270" s="27"/>
      <c r="O270" s="27"/>
    </row>
    <row r="271" spans="1:15" x14ac:dyDescent="0.35">
      <c r="F271" s="34"/>
      <c r="N271" s="27"/>
      <c r="O271" s="27"/>
    </row>
    <row r="272" spans="1:15" x14ac:dyDescent="0.35">
      <c r="F272" s="34"/>
      <c r="N272" s="27"/>
      <c r="O272" s="27"/>
    </row>
    <row r="273" spans="2:15" x14ac:dyDescent="0.35">
      <c r="F273" s="34"/>
      <c r="N273" s="27"/>
      <c r="O273" s="27"/>
    </row>
    <row r="274" spans="2:15" ht="16" thickBot="1" x14ac:dyDescent="0.4">
      <c r="F274" s="34"/>
      <c r="N274" s="27"/>
      <c r="O274" s="27"/>
    </row>
    <row r="275" spans="2:15" ht="18" thickBot="1" x14ac:dyDescent="0.4">
      <c r="B275" s="56" t="s">
        <v>633</v>
      </c>
      <c r="F275" s="34"/>
      <c r="N275" s="27"/>
      <c r="O275" s="27"/>
    </row>
    <row r="276" spans="2:15" x14ac:dyDescent="0.35">
      <c r="F276" s="34"/>
      <c r="M276" s="46"/>
      <c r="N276" s="27"/>
      <c r="O276" s="27"/>
    </row>
    <row r="277" spans="2:15" x14ac:dyDescent="0.35">
      <c r="F277" s="34"/>
      <c r="N277" s="27"/>
      <c r="O277" s="27"/>
    </row>
    <row r="278" spans="2:15" x14ac:dyDescent="0.35">
      <c r="F278" s="34"/>
      <c r="N278" s="27"/>
      <c r="O278" s="27"/>
    </row>
    <row r="279" spans="2:15" x14ac:dyDescent="0.35">
      <c r="F279" s="34"/>
      <c r="N279" s="27"/>
      <c r="O279" s="27"/>
    </row>
    <row r="280" spans="2:15" x14ac:dyDescent="0.35">
      <c r="F280" s="34"/>
      <c r="N280" s="27"/>
      <c r="O280" s="27"/>
    </row>
    <row r="281" spans="2:15" x14ac:dyDescent="0.35">
      <c r="F281" s="34"/>
      <c r="N281" s="27"/>
      <c r="O281" s="27"/>
    </row>
    <row r="282" spans="2:15" x14ac:dyDescent="0.35">
      <c r="F282" s="34"/>
      <c r="N282" s="27"/>
      <c r="O282" s="27"/>
    </row>
    <row r="283" spans="2:15" x14ac:dyDescent="0.35">
      <c r="F283" s="34"/>
      <c r="N283" s="27"/>
      <c r="O283" s="27"/>
    </row>
    <row r="284" spans="2:15" x14ac:dyDescent="0.35">
      <c r="F284" s="34"/>
      <c r="N284" s="27"/>
      <c r="O284" s="27"/>
    </row>
    <row r="285" spans="2:15" x14ac:dyDescent="0.35">
      <c r="F285" s="32"/>
      <c r="G285" s="32"/>
      <c r="H285" s="32"/>
      <c r="I285" s="32"/>
      <c r="J285" s="32"/>
      <c r="N285" s="27"/>
      <c r="O285" s="27"/>
    </row>
    <row r="286" spans="2:15" x14ac:dyDescent="0.35">
      <c r="F286" s="34"/>
      <c r="N286" s="27"/>
      <c r="O286" s="27"/>
    </row>
    <row r="289" spans="3:13" x14ac:dyDescent="0.35">
      <c r="K289" s="27"/>
    </row>
    <row r="290" spans="3:13" x14ac:dyDescent="0.35">
      <c r="K290" s="27"/>
    </row>
    <row r="291" spans="3:13" x14ac:dyDescent="0.35">
      <c r="K291" s="27"/>
    </row>
    <row r="292" spans="3:13" x14ac:dyDescent="0.35">
      <c r="K292" s="27"/>
    </row>
    <row r="293" spans="3:13" ht="16" thickBot="1" x14ac:dyDescent="0.4">
      <c r="K293" s="27"/>
    </row>
    <row r="294" spans="3:13" ht="18" thickBot="1" x14ac:dyDescent="0.4">
      <c r="H294" s="66"/>
      <c r="I294" s="64" t="s">
        <v>636</v>
      </c>
      <c r="J294" s="65"/>
      <c r="K294" s="71"/>
      <c r="L294" s="66"/>
      <c r="M294" s="66"/>
    </row>
    <row r="295" spans="3:13" x14ac:dyDescent="0.35">
      <c r="K295" s="27"/>
    </row>
    <row r="296" spans="3:13" x14ac:dyDescent="0.35">
      <c r="K296" s="27"/>
    </row>
    <row r="297" spans="3:13" x14ac:dyDescent="0.35">
      <c r="K297" s="27"/>
    </row>
    <row r="298" spans="3:13" x14ac:dyDescent="0.35">
      <c r="C298" s="25" t="s">
        <v>631</v>
      </c>
      <c r="K298" s="27"/>
    </row>
    <row r="299" spans="3:13" x14ac:dyDescent="0.35">
      <c r="K299" s="27"/>
    </row>
    <row r="300" spans="3:13" x14ac:dyDescent="0.35">
      <c r="K300" s="27"/>
    </row>
    <row r="301" spans="3:13" x14ac:dyDescent="0.35">
      <c r="K301" s="27"/>
    </row>
    <row r="302" spans="3:13" x14ac:dyDescent="0.35">
      <c r="K302" s="27"/>
    </row>
    <row r="303" spans="3:13" x14ac:dyDescent="0.35">
      <c r="K303" s="27"/>
    </row>
    <row r="304" spans="3:13" x14ac:dyDescent="0.35">
      <c r="K304" s="27"/>
    </row>
    <row r="305" spans="11:11" x14ac:dyDescent="0.35">
      <c r="K305" s="27"/>
    </row>
    <row r="306" spans="11:11" x14ac:dyDescent="0.35">
      <c r="K306" s="27"/>
    </row>
    <row r="307" spans="11:11" x14ac:dyDescent="0.35">
      <c r="K307" s="27"/>
    </row>
    <row r="308" spans="11:11" x14ac:dyDescent="0.35">
      <c r="K308" s="27"/>
    </row>
    <row r="309" spans="11:11" x14ac:dyDescent="0.35">
      <c r="K309" s="27"/>
    </row>
    <row r="310" spans="11:11" x14ac:dyDescent="0.35">
      <c r="K310" s="27"/>
    </row>
    <row r="311" spans="11:11" x14ac:dyDescent="0.35">
      <c r="K311" s="27"/>
    </row>
    <row r="312" spans="11:11" x14ac:dyDescent="0.35">
      <c r="K312" s="27"/>
    </row>
    <row r="313" spans="11:11" x14ac:dyDescent="0.35">
      <c r="K313" s="27"/>
    </row>
    <row r="314" spans="11:11" x14ac:dyDescent="0.35">
      <c r="K314" s="27"/>
    </row>
    <row r="315" spans="11:11" x14ac:dyDescent="0.35">
      <c r="K315" s="27"/>
    </row>
    <row r="316" spans="11:11" x14ac:dyDescent="0.35">
      <c r="K316" s="27"/>
    </row>
    <row r="317" spans="11:11" x14ac:dyDescent="0.35">
      <c r="K317" s="27"/>
    </row>
    <row r="318" spans="11:11" x14ac:dyDescent="0.35">
      <c r="K318" s="27"/>
    </row>
    <row r="319" spans="11:11" x14ac:dyDescent="0.35">
      <c r="K319" s="27"/>
    </row>
    <row r="320" spans="11:11" x14ac:dyDescent="0.35">
      <c r="K320" s="27"/>
    </row>
    <row r="321" spans="1:11" x14ac:dyDescent="0.35">
      <c r="K321" s="27"/>
    </row>
    <row r="322" spans="1:11" x14ac:dyDescent="0.35">
      <c r="K322" s="27"/>
    </row>
    <row r="323" spans="1:11" x14ac:dyDescent="0.35">
      <c r="A323" s="34"/>
      <c r="B323" s="6"/>
      <c r="I323" s="27"/>
      <c r="J323" s="27"/>
      <c r="K323" s="27"/>
    </row>
    <row r="324" spans="1:11" x14ac:dyDescent="0.35">
      <c r="A324" s="34"/>
      <c r="I324" s="27"/>
      <c r="J324" s="27"/>
      <c r="K324" s="27"/>
    </row>
    <row r="325" spans="1:11" x14ac:dyDescent="0.35">
      <c r="I325" s="27"/>
      <c r="J325" s="27"/>
      <c r="K325" s="27"/>
    </row>
    <row r="379" spans="9:11" x14ac:dyDescent="0.35">
      <c r="I379" s="27"/>
      <c r="J379" s="27"/>
      <c r="K379" s="27"/>
    </row>
    <row r="380" spans="9:11" x14ac:dyDescent="0.35">
      <c r="I380" s="27"/>
      <c r="J380" s="27"/>
      <c r="K380" s="27"/>
    </row>
    <row r="381" spans="9:11" x14ac:dyDescent="0.35">
      <c r="I381" s="27"/>
      <c r="J381" s="27"/>
      <c r="K381" s="27"/>
    </row>
    <row r="382" spans="9:11" x14ac:dyDescent="0.35">
      <c r="I382" s="27"/>
      <c r="J382" s="27"/>
      <c r="K382" s="27"/>
    </row>
    <row r="383" spans="9:11" x14ac:dyDescent="0.35">
      <c r="K383" s="27"/>
    </row>
    <row r="384" spans="9:11" x14ac:dyDescent="0.35">
      <c r="K384" s="27"/>
    </row>
    <row r="385" spans="11:14" x14ac:dyDescent="0.35">
      <c r="K385" s="27"/>
    </row>
    <row r="386" spans="11:14" x14ac:dyDescent="0.35">
      <c r="K386" s="27"/>
    </row>
    <row r="387" spans="11:14" x14ac:dyDescent="0.35">
      <c r="K387" s="27"/>
      <c r="N387" s="45" t="s">
        <v>7</v>
      </c>
    </row>
    <row r="388" spans="11:14" x14ac:dyDescent="0.35">
      <c r="K388" s="27"/>
    </row>
    <row r="389" spans="11:14" x14ac:dyDescent="0.35">
      <c r="K389" s="27"/>
    </row>
    <row r="390" spans="11:14" x14ac:dyDescent="0.35">
      <c r="K390" s="27"/>
    </row>
    <row r="391" spans="11:14" x14ac:dyDescent="0.35">
      <c r="K391" s="27"/>
    </row>
    <row r="392" spans="11:14" x14ac:dyDescent="0.35">
      <c r="K392" s="27"/>
    </row>
    <row r="393" spans="11:14" x14ac:dyDescent="0.35">
      <c r="K393" s="27"/>
    </row>
    <row r="394" spans="11:14" x14ac:dyDescent="0.35">
      <c r="K394" s="27"/>
    </row>
    <row r="395" spans="11:14" x14ac:dyDescent="0.35">
      <c r="K395" s="27"/>
    </row>
    <row r="396" spans="11:14" x14ac:dyDescent="0.35">
      <c r="K396" s="27"/>
    </row>
    <row r="397" spans="11:14" x14ac:dyDescent="0.35">
      <c r="K397" s="27"/>
    </row>
    <row r="398" spans="11:14" x14ac:dyDescent="0.35">
      <c r="K398" s="27"/>
    </row>
    <row r="399" spans="11:14" x14ac:dyDescent="0.35">
      <c r="K399" s="27"/>
    </row>
    <row r="400" spans="11:14" x14ac:dyDescent="0.35">
      <c r="K400" s="27"/>
    </row>
    <row r="401" spans="11:11" x14ac:dyDescent="0.35">
      <c r="K401" s="27"/>
    </row>
    <row r="402" spans="11:11" x14ac:dyDescent="0.35">
      <c r="K402" s="27"/>
    </row>
    <row r="403" spans="11:11" x14ac:dyDescent="0.35">
      <c r="K403" s="27"/>
    </row>
    <row r="404" spans="11:11" x14ac:dyDescent="0.35">
      <c r="K404" s="27"/>
    </row>
    <row r="405" spans="11:11" x14ac:dyDescent="0.35">
      <c r="K405" s="27"/>
    </row>
    <row r="406" spans="11:11" x14ac:dyDescent="0.35">
      <c r="K406" s="27"/>
    </row>
    <row r="407" spans="11:11" x14ac:dyDescent="0.35">
      <c r="K407" s="27"/>
    </row>
    <row r="408" spans="11:11" x14ac:dyDescent="0.35">
      <c r="K408" s="27"/>
    </row>
    <row r="409" spans="11:11" x14ac:dyDescent="0.35">
      <c r="K409" s="27"/>
    </row>
    <row r="410" spans="11:11" x14ac:dyDescent="0.35">
      <c r="K410" s="27"/>
    </row>
    <row r="411" spans="11:11" x14ac:dyDescent="0.35">
      <c r="K411" s="27"/>
    </row>
    <row r="412" spans="11:11" x14ac:dyDescent="0.35">
      <c r="K412" s="27"/>
    </row>
    <row r="413" spans="11:11" x14ac:dyDescent="0.35">
      <c r="K413" s="27"/>
    </row>
    <row r="414" spans="11:11" x14ac:dyDescent="0.35">
      <c r="K414" s="27"/>
    </row>
    <row r="415" spans="11:11" x14ac:dyDescent="0.35">
      <c r="K415" s="27"/>
    </row>
    <row r="416" spans="11:11" x14ac:dyDescent="0.35">
      <c r="K416" s="27"/>
    </row>
    <row r="417" spans="11:11" x14ac:dyDescent="0.35">
      <c r="K417" s="27"/>
    </row>
    <row r="418" spans="11:11" x14ac:dyDescent="0.35">
      <c r="K418" s="27"/>
    </row>
    <row r="419" spans="11:11" x14ac:dyDescent="0.35">
      <c r="K419" s="27"/>
    </row>
    <row r="420" spans="11:11" x14ac:dyDescent="0.35">
      <c r="K420" s="27"/>
    </row>
    <row r="421" spans="11:11" x14ac:dyDescent="0.35">
      <c r="K421" s="27"/>
    </row>
    <row r="422" spans="11:11" x14ac:dyDescent="0.35">
      <c r="K422" s="27"/>
    </row>
    <row r="423" spans="11:11" x14ac:dyDescent="0.35">
      <c r="K423" s="27"/>
    </row>
    <row r="424" spans="11:11" x14ac:dyDescent="0.35">
      <c r="K424" s="27"/>
    </row>
    <row r="425" spans="11:11" x14ac:dyDescent="0.35">
      <c r="K425" s="27"/>
    </row>
    <row r="426" spans="11:11" x14ac:dyDescent="0.35">
      <c r="K426" s="27"/>
    </row>
    <row r="427" spans="11:11" x14ac:dyDescent="0.35">
      <c r="K427" s="27"/>
    </row>
    <row r="428" spans="11:11" x14ac:dyDescent="0.35">
      <c r="K428" s="27"/>
    </row>
    <row r="429" spans="11:11" x14ac:dyDescent="0.35">
      <c r="K429" s="27"/>
    </row>
    <row r="430" spans="11:11" x14ac:dyDescent="0.35">
      <c r="K430" s="27"/>
    </row>
    <row r="431" spans="11:11" x14ac:dyDescent="0.35">
      <c r="K431" s="27"/>
    </row>
    <row r="432" spans="11:11" x14ac:dyDescent="0.35">
      <c r="K432" s="27"/>
    </row>
    <row r="433" spans="11:11" x14ac:dyDescent="0.35">
      <c r="K433" s="27"/>
    </row>
    <row r="434" spans="11:11" x14ac:dyDescent="0.35">
      <c r="K434" s="27"/>
    </row>
    <row r="435" spans="11:11" x14ac:dyDescent="0.35">
      <c r="K435" s="27"/>
    </row>
    <row r="436" spans="11:11" x14ac:dyDescent="0.35">
      <c r="K436" s="27"/>
    </row>
    <row r="437" spans="11:11" x14ac:dyDescent="0.35">
      <c r="K437" s="27"/>
    </row>
    <row r="438" spans="11:11" x14ac:dyDescent="0.35">
      <c r="K438" s="27"/>
    </row>
    <row r="439" spans="11:11" x14ac:dyDescent="0.35">
      <c r="K439" s="27"/>
    </row>
    <row r="440" spans="11:11" x14ac:dyDescent="0.35">
      <c r="K440" s="27"/>
    </row>
    <row r="441" spans="11:11" x14ac:dyDescent="0.35">
      <c r="K441" s="27"/>
    </row>
    <row r="442" spans="11:11" x14ac:dyDescent="0.35">
      <c r="K442" s="27"/>
    </row>
    <row r="443" spans="11:11" x14ac:dyDescent="0.35">
      <c r="K443" s="27"/>
    </row>
    <row r="444" spans="11:11" x14ac:dyDescent="0.35">
      <c r="K444" s="27"/>
    </row>
    <row r="445" spans="11:11" x14ac:dyDescent="0.35">
      <c r="K445" s="27"/>
    </row>
    <row r="446" spans="11:11" x14ac:dyDescent="0.35">
      <c r="K446" s="27"/>
    </row>
    <row r="447" spans="11:11" x14ac:dyDescent="0.35">
      <c r="K447" s="27"/>
    </row>
    <row r="448" spans="11:11" x14ac:dyDescent="0.35">
      <c r="K448" s="27"/>
    </row>
    <row r="449" spans="11:11" x14ac:dyDescent="0.35">
      <c r="K449" s="27"/>
    </row>
    <row r="450" spans="11:11" x14ac:dyDescent="0.35">
      <c r="K450" s="27"/>
    </row>
    <row r="451" spans="11:11" x14ac:dyDescent="0.35">
      <c r="K451" s="27"/>
    </row>
    <row r="452" spans="11:11" x14ac:dyDescent="0.35">
      <c r="K452" s="27"/>
    </row>
    <row r="453" spans="11:11" x14ac:dyDescent="0.35">
      <c r="K453" s="27"/>
    </row>
    <row r="454" spans="11:11" x14ac:dyDescent="0.35">
      <c r="K454" s="27"/>
    </row>
    <row r="455" spans="11:11" x14ac:dyDescent="0.35">
      <c r="K455" s="27"/>
    </row>
    <row r="456" spans="11:11" x14ac:dyDescent="0.35">
      <c r="K456" s="27"/>
    </row>
    <row r="457" spans="11:11" x14ac:dyDescent="0.35">
      <c r="K457" s="27"/>
    </row>
    <row r="458" spans="11:11" x14ac:dyDescent="0.35">
      <c r="K458" s="27"/>
    </row>
    <row r="459" spans="11:11" x14ac:dyDescent="0.35">
      <c r="K459" s="27"/>
    </row>
    <row r="460" spans="11:11" x14ac:dyDescent="0.35">
      <c r="K460" s="27"/>
    </row>
    <row r="461" spans="11:11" x14ac:dyDescent="0.35">
      <c r="K461" s="27"/>
    </row>
    <row r="462" spans="11:11" x14ac:dyDescent="0.35">
      <c r="K462" s="27"/>
    </row>
    <row r="463" spans="11:11" x14ac:dyDescent="0.35">
      <c r="K463" s="27"/>
    </row>
    <row r="464" spans="11:11" x14ac:dyDescent="0.35">
      <c r="K464" s="27"/>
    </row>
    <row r="465" spans="9:11" x14ac:dyDescent="0.35">
      <c r="K465" s="27"/>
    </row>
    <row r="466" spans="9:11" x14ac:dyDescent="0.35">
      <c r="K466" s="27"/>
    </row>
    <row r="467" spans="9:11" x14ac:dyDescent="0.35">
      <c r="K467" s="27"/>
    </row>
    <row r="468" spans="9:11" x14ac:dyDescent="0.35">
      <c r="K468" s="27"/>
    </row>
    <row r="469" spans="9:11" x14ac:dyDescent="0.35">
      <c r="K469" s="27"/>
    </row>
    <row r="470" spans="9:11" x14ac:dyDescent="0.35">
      <c r="I470" s="27"/>
      <c r="J470" s="27"/>
      <c r="K470" s="27"/>
    </row>
    <row r="471" spans="9:11" x14ac:dyDescent="0.35">
      <c r="I471" s="27"/>
      <c r="J471" s="27"/>
      <c r="K471" s="27"/>
    </row>
    <row r="472" spans="9:11" x14ac:dyDescent="0.35">
      <c r="I472" s="27"/>
      <c r="J472" s="27"/>
      <c r="K472" s="27"/>
    </row>
    <row r="473" spans="9:11" x14ac:dyDescent="0.35">
      <c r="I473" s="27"/>
      <c r="J473" s="27"/>
      <c r="K473" s="27"/>
    </row>
    <row r="474" spans="9:11" x14ac:dyDescent="0.35">
      <c r="I474" s="27"/>
      <c r="J474" s="27"/>
      <c r="K474" s="27"/>
    </row>
    <row r="475" spans="9:11" x14ac:dyDescent="0.35">
      <c r="I475" s="27"/>
      <c r="J475" s="27"/>
      <c r="K475" s="27"/>
    </row>
    <row r="476" spans="9:11" x14ac:dyDescent="0.35">
      <c r="I476" s="27"/>
      <c r="J476" s="27"/>
      <c r="K476" s="27"/>
    </row>
    <row r="477" spans="9:11" x14ac:dyDescent="0.35">
      <c r="I477" s="27"/>
      <c r="J477" s="27"/>
      <c r="K477" s="27"/>
    </row>
    <row r="478" spans="9:11" x14ac:dyDescent="0.35">
      <c r="I478" s="27"/>
      <c r="J478" s="27"/>
      <c r="K478" s="27"/>
    </row>
    <row r="479" spans="9:11" x14ac:dyDescent="0.35">
      <c r="I479" s="27"/>
      <c r="J479" s="27"/>
      <c r="K479" s="27"/>
    </row>
    <row r="480" spans="9:11" x14ac:dyDescent="0.35">
      <c r="I480" s="27"/>
      <c r="J480" s="27"/>
      <c r="K480" s="27"/>
    </row>
    <row r="481" spans="9:11" x14ac:dyDescent="0.35">
      <c r="I481" s="27"/>
      <c r="J481" s="27"/>
      <c r="K481" s="27"/>
    </row>
    <row r="482" spans="9:11" x14ac:dyDescent="0.35">
      <c r="I482" s="27"/>
      <c r="J482" s="27"/>
      <c r="K482" s="27"/>
    </row>
    <row r="483" spans="9:11" x14ac:dyDescent="0.35">
      <c r="I483" s="27"/>
      <c r="J483" s="27"/>
      <c r="K483" s="27"/>
    </row>
    <row r="484" spans="9:11" x14ac:dyDescent="0.35">
      <c r="I484" s="27"/>
      <c r="J484" s="27"/>
      <c r="K484" s="27"/>
    </row>
    <row r="485" spans="9:11" x14ac:dyDescent="0.35">
      <c r="I485" s="27"/>
      <c r="J485" s="27"/>
      <c r="K485" s="27"/>
    </row>
    <row r="486" spans="9:11" x14ac:dyDescent="0.35">
      <c r="I486" s="27"/>
      <c r="J486" s="27"/>
      <c r="K486" s="27"/>
    </row>
    <row r="487" spans="9:11" x14ac:dyDescent="0.35">
      <c r="I487" s="27"/>
      <c r="J487" s="27"/>
      <c r="K487" s="27"/>
    </row>
    <row r="488" spans="9:11" x14ac:dyDescent="0.35">
      <c r="I488" s="27"/>
      <c r="J488" s="27"/>
      <c r="K488" s="27"/>
    </row>
    <row r="489" spans="9:11" x14ac:dyDescent="0.35">
      <c r="I489" s="27"/>
      <c r="J489" s="27"/>
      <c r="K489" s="27"/>
    </row>
    <row r="490" spans="9:11" x14ac:dyDescent="0.35">
      <c r="I490" s="27"/>
      <c r="J490" s="27"/>
      <c r="K490" s="27"/>
    </row>
    <row r="491" spans="9:11" x14ac:dyDescent="0.35">
      <c r="I491" s="27"/>
      <c r="J491" s="27"/>
      <c r="K491" s="27"/>
    </row>
    <row r="492" spans="9:11" x14ac:dyDescent="0.35">
      <c r="I492" s="27"/>
      <c r="J492" s="27"/>
      <c r="K492" s="27"/>
    </row>
    <row r="493" spans="9:11" x14ac:dyDescent="0.35">
      <c r="I493" s="27"/>
      <c r="J493" s="27"/>
      <c r="K493" s="27"/>
    </row>
    <row r="494" spans="9:11" x14ac:dyDescent="0.35">
      <c r="I494" s="27"/>
      <c r="J494" s="27"/>
      <c r="K494" s="27"/>
    </row>
    <row r="495" spans="9:11" x14ac:dyDescent="0.35">
      <c r="I495" s="27"/>
      <c r="J495" s="27"/>
      <c r="K495" s="27"/>
    </row>
    <row r="496" spans="9:11" x14ac:dyDescent="0.35">
      <c r="I496" s="27"/>
      <c r="J496" s="27"/>
      <c r="K496" s="27"/>
    </row>
    <row r="497" spans="9:11" x14ac:dyDescent="0.35">
      <c r="I497" s="27"/>
      <c r="J497" s="27"/>
      <c r="K497" s="27"/>
    </row>
    <row r="498" spans="9:11" x14ac:dyDescent="0.35">
      <c r="I498" s="27"/>
      <c r="J498" s="27"/>
      <c r="K498" s="27"/>
    </row>
    <row r="499" spans="9:11" x14ac:dyDescent="0.35">
      <c r="I499" s="27"/>
      <c r="J499" s="27"/>
      <c r="K499" s="27"/>
    </row>
    <row r="500" spans="9:11" x14ac:dyDescent="0.35">
      <c r="I500" s="27"/>
      <c r="J500" s="27"/>
      <c r="K500" s="27"/>
    </row>
    <row r="501" spans="9:11" x14ac:dyDescent="0.35">
      <c r="I501" s="27"/>
      <c r="J501" s="27"/>
      <c r="K501" s="27"/>
    </row>
    <row r="502" spans="9:11" x14ac:dyDescent="0.35">
      <c r="I502" s="27"/>
      <c r="J502" s="27"/>
      <c r="K502" s="27"/>
    </row>
    <row r="503" spans="9:11" x14ac:dyDescent="0.35">
      <c r="I503" s="27"/>
      <c r="J503" s="27"/>
      <c r="K503" s="27"/>
    </row>
    <row r="504" spans="9:11" x14ac:dyDescent="0.35">
      <c r="I504" s="27"/>
      <c r="J504" s="27"/>
      <c r="K504" s="27"/>
    </row>
    <row r="505" spans="9:11" x14ac:dyDescent="0.35">
      <c r="I505" s="27"/>
      <c r="J505" s="27"/>
      <c r="K505" s="27"/>
    </row>
    <row r="506" spans="9:11" x14ac:dyDescent="0.35">
      <c r="I506" s="27"/>
      <c r="J506" s="27"/>
      <c r="K506" s="27"/>
    </row>
    <row r="507" spans="9:11" x14ac:dyDescent="0.35">
      <c r="I507" s="27"/>
      <c r="J507" s="27"/>
      <c r="K507" s="27"/>
    </row>
    <row r="508" spans="9:11" x14ac:dyDescent="0.35">
      <c r="I508" s="27"/>
      <c r="J508" s="27"/>
      <c r="K508" s="27"/>
    </row>
    <row r="509" spans="9:11" x14ac:dyDescent="0.35">
      <c r="I509" s="27"/>
      <c r="J509" s="27"/>
      <c r="K509" s="27"/>
    </row>
    <row r="510" spans="9:11" x14ac:dyDescent="0.35">
      <c r="I510" s="27"/>
      <c r="J510" s="27"/>
      <c r="K510" s="27"/>
    </row>
    <row r="511" spans="9:11" x14ac:dyDescent="0.35">
      <c r="I511" s="27"/>
      <c r="J511" s="27"/>
      <c r="K511" s="27"/>
    </row>
    <row r="512" spans="9:11" x14ac:dyDescent="0.35">
      <c r="I512" s="27"/>
      <c r="J512" s="27"/>
      <c r="K512" s="27"/>
    </row>
    <row r="513" spans="9:11" x14ac:dyDescent="0.35">
      <c r="I513" s="27"/>
      <c r="J513" s="27"/>
      <c r="K513" s="27"/>
    </row>
    <row r="514" spans="9:11" x14ac:dyDescent="0.35">
      <c r="I514" s="27"/>
      <c r="J514" s="27"/>
      <c r="K514" s="27"/>
    </row>
    <row r="515" spans="9:11" x14ac:dyDescent="0.35">
      <c r="I515" s="27"/>
      <c r="J515" s="27"/>
      <c r="K515" s="27"/>
    </row>
    <row r="516" spans="9:11" x14ac:dyDescent="0.35">
      <c r="I516" s="27"/>
      <c r="J516" s="27"/>
      <c r="K516" s="27"/>
    </row>
    <row r="517" spans="9:11" x14ac:dyDescent="0.35">
      <c r="I517" s="27"/>
      <c r="J517" s="27"/>
      <c r="K517" s="27"/>
    </row>
    <row r="518" spans="9:11" x14ac:dyDescent="0.35">
      <c r="I518" s="27"/>
      <c r="J518" s="27"/>
      <c r="K518" s="27"/>
    </row>
    <row r="519" spans="9:11" x14ac:dyDescent="0.35">
      <c r="I519" s="27"/>
      <c r="J519" s="27"/>
      <c r="K519" s="27"/>
    </row>
    <row r="520" spans="9:11" x14ac:dyDescent="0.35">
      <c r="I520" s="27"/>
      <c r="J520" s="27"/>
      <c r="K520" s="27"/>
    </row>
    <row r="521" spans="9:11" x14ac:dyDescent="0.35">
      <c r="I521" s="27"/>
      <c r="J521" s="27"/>
      <c r="K521" s="27"/>
    </row>
    <row r="522" spans="9:11" x14ac:dyDescent="0.35">
      <c r="I522" s="27"/>
      <c r="J522" s="27"/>
      <c r="K522" s="27"/>
    </row>
    <row r="523" spans="9:11" x14ac:dyDescent="0.35">
      <c r="I523" s="27"/>
      <c r="J523" s="27"/>
      <c r="K523" s="27"/>
    </row>
    <row r="524" spans="9:11" x14ac:dyDescent="0.35">
      <c r="I524" s="27"/>
      <c r="J524" s="27"/>
      <c r="K524" s="27"/>
    </row>
    <row r="525" spans="9:11" x14ac:dyDescent="0.35">
      <c r="I525" s="27"/>
      <c r="J525" s="27"/>
      <c r="K525" s="27"/>
    </row>
    <row r="526" spans="9:11" x14ac:dyDescent="0.35">
      <c r="I526" s="27"/>
      <c r="J526" s="27"/>
      <c r="K526" s="27"/>
    </row>
    <row r="527" spans="9:11" x14ac:dyDescent="0.35">
      <c r="I527" s="27"/>
      <c r="J527" s="27"/>
      <c r="K527" s="27"/>
    </row>
    <row r="528" spans="9:11" x14ac:dyDescent="0.35">
      <c r="I528" s="27"/>
      <c r="J528" s="27"/>
      <c r="K528" s="27"/>
    </row>
    <row r="529" spans="9:11" x14ac:dyDescent="0.35">
      <c r="I529" s="27"/>
      <c r="J529" s="27"/>
      <c r="K529" s="27"/>
    </row>
    <row r="530" spans="9:11" x14ac:dyDescent="0.35">
      <c r="I530" s="27"/>
      <c r="J530" s="27"/>
      <c r="K530" s="27"/>
    </row>
    <row r="531" spans="9:11" x14ac:dyDescent="0.35">
      <c r="I531" s="27"/>
      <c r="J531" s="27"/>
      <c r="K531" s="27"/>
    </row>
    <row r="532" spans="9:11" x14ac:dyDescent="0.35">
      <c r="I532" s="27"/>
      <c r="J532" s="27"/>
      <c r="K532" s="27"/>
    </row>
    <row r="533" spans="9:11" x14ac:dyDescent="0.35">
      <c r="I533" s="27"/>
      <c r="J533" s="27"/>
      <c r="K533" s="27"/>
    </row>
    <row r="534" spans="9:11" x14ac:dyDescent="0.35">
      <c r="I534" s="27"/>
      <c r="J534" s="27"/>
      <c r="K534" s="27"/>
    </row>
    <row r="535" spans="9:11" x14ac:dyDescent="0.35">
      <c r="I535" s="27"/>
      <c r="J535" s="27"/>
      <c r="K535" s="27"/>
    </row>
    <row r="536" spans="9:11" x14ac:dyDescent="0.35">
      <c r="I536" s="27"/>
      <c r="J536" s="27"/>
      <c r="K536" s="27"/>
    </row>
    <row r="537" spans="9:11" x14ac:dyDescent="0.35">
      <c r="I537" s="27"/>
      <c r="J537" s="27"/>
      <c r="K537" s="27"/>
    </row>
    <row r="538" spans="9:11" x14ac:dyDescent="0.35">
      <c r="I538" s="27"/>
      <c r="J538" s="27"/>
      <c r="K538" s="27"/>
    </row>
    <row r="539" spans="9:11" x14ac:dyDescent="0.35">
      <c r="I539" s="27"/>
      <c r="J539" s="27"/>
      <c r="K539" s="27"/>
    </row>
    <row r="540" spans="9:11" x14ac:dyDescent="0.35">
      <c r="I540" s="27"/>
      <c r="J540" s="27"/>
      <c r="K540" s="27"/>
    </row>
    <row r="541" spans="9:11" x14ac:dyDescent="0.35">
      <c r="I541" s="27"/>
      <c r="J541" s="27"/>
      <c r="K541" s="27"/>
    </row>
    <row r="542" spans="9:11" x14ac:dyDescent="0.35">
      <c r="I542" s="27"/>
      <c r="J542" s="27"/>
      <c r="K542" s="27"/>
    </row>
    <row r="543" spans="9:11" x14ac:dyDescent="0.35">
      <c r="I543" s="27"/>
      <c r="J543" s="27"/>
      <c r="K543" s="27"/>
    </row>
    <row r="544" spans="9:11" x14ac:dyDescent="0.35">
      <c r="I544" s="27"/>
      <c r="J544" s="27"/>
      <c r="K544" s="27"/>
    </row>
    <row r="545" spans="9:11" x14ac:dyDescent="0.35">
      <c r="I545" s="27"/>
      <c r="J545" s="27"/>
      <c r="K545" s="27"/>
    </row>
    <row r="546" spans="9:11" x14ac:dyDescent="0.35">
      <c r="I546" s="27"/>
      <c r="J546" s="27"/>
      <c r="K546" s="27"/>
    </row>
    <row r="547" spans="9:11" x14ac:dyDescent="0.35">
      <c r="I547" s="27"/>
      <c r="J547" s="27"/>
      <c r="K547" s="27"/>
    </row>
    <row r="548" spans="9:11" x14ac:dyDescent="0.35">
      <c r="I548" s="27"/>
      <c r="J548" s="27"/>
      <c r="K548" s="27"/>
    </row>
    <row r="549" spans="9:11" x14ac:dyDescent="0.35">
      <c r="I549" s="27"/>
      <c r="J549" s="27"/>
      <c r="K549" s="27"/>
    </row>
    <row r="550" spans="9:11" x14ac:dyDescent="0.35">
      <c r="I550" s="27"/>
      <c r="J550" s="27"/>
      <c r="K550" s="27"/>
    </row>
    <row r="551" spans="9:11" x14ac:dyDescent="0.35">
      <c r="I551" s="27"/>
      <c r="J551" s="27"/>
      <c r="K551" s="27"/>
    </row>
    <row r="552" spans="9:11" x14ac:dyDescent="0.35">
      <c r="I552" s="27"/>
      <c r="J552" s="27"/>
      <c r="K552" s="27"/>
    </row>
    <row r="553" spans="9:11" x14ac:dyDescent="0.35">
      <c r="I553" s="27"/>
      <c r="J553" s="27"/>
      <c r="K553" s="27"/>
    </row>
    <row r="554" spans="9:11" x14ac:dyDescent="0.35">
      <c r="I554" s="27"/>
      <c r="J554" s="27"/>
      <c r="K554" s="27"/>
    </row>
    <row r="555" spans="9:11" x14ac:dyDescent="0.35">
      <c r="I555" s="27"/>
      <c r="J555" s="27"/>
      <c r="K555" s="27"/>
    </row>
    <row r="556" spans="9:11" x14ac:dyDescent="0.35">
      <c r="I556" s="27"/>
      <c r="J556" s="27"/>
      <c r="K556" s="27"/>
    </row>
    <row r="557" spans="9:11" x14ac:dyDescent="0.35">
      <c r="I557" s="27"/>
      <c r="J557" s="27"/>
      <c r="K557" s="27"/>
    </row>
    <row r="558" spans="9:11" x14ac:dyDescent="0.35">
      <c r="I558" s="27"/>
      <c r="J558" s="27"/>
      <c r="K558" s="27"/>
    </row>
    <row r="559" spans="9:11" x14ac:dyDescent="0.35">
      <c r="I559" s="27"/>
      <c r="J559" s="27"/>
      <c r="K559" s="27"/>
    </row>
  </sheetData>
  <sheetProtection sheet="1" objects="1" scenarios="1" selectLockedCells="1"/>
  <hyperlinks>
    <hyperlink ref="B80" r:id="rId1" display="http://www.cat.com/agriculture" xr:uid="{00000000-0004-0000-0000-000000000000}"/>
    <hyperlink ref="B230" r:id="rId2" xr:uid="{00000000-0004-0000-0000-000001000000}"/>
    <hyperlink ref="F232" r:id="rId3" display="http://www.made-in-china.com/showroom/vansonix/product-detailXeqmZcTAHfRb/China-Bulldozer-Spares-D155-.html" xr:uid="{00000000-0004-0000-0000-000003000000}"/>
    <hyperlink ref="C97" r:id="rId4" xr:uid="{4AFB7C12-9E03-4157-8B71-E05626136E78}"/>
    <hyperlink ref="H97" r:id="rId5" xr:uid="{214AFF5C-34D2-4928-BDCA-B8FF30A89BFB}"/>
    <hyperlink ref="B77" r:id="rId6" xr:uid="{2402C797-6FAB-4387-8EB6-9810C6A14E5A}"/>
    <hyperlink ref="I68" r:id="rId7" xr:uid="{4B386AF7-488D-4B93-BBD4-6D0A0848A415}"/>
    <hyperlink ref="B54" r:id="rId8" xr:uid="{DB72D6D8-A8F2-4FBF-A8E4-1C2B938F974D}"/>
    <hyperlink ref="B165" r:id="rId9" xr:uid="{51D7B944-F3E5-4FFE-ABBC-E0AAAF849688}"/>
    <hyperlink ref="H207" r:id="rId10" xr:uid="{FCE6DF7C-1C52-4B05-AC6D-736402471219}"/>
    <hyperlink ref="I294" r:id="rId11" xr:uid="{2FEBC556-9775-4917-AD44-A9E84718504B}"/>
  </hyperlinks>
  <printOptions gridLines="1"/>
  <pageMargins left="0.7" right="0.7" top="0.75" bottom="0.75" header="0.3" footer="0.3"/>
  <pageSetup orientation="portrait" horizontalDpi="300" verticalDpi="300" r:id="rId12"/>
  <drawing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422"/>
  <sheetViews>
    <sheetView zoomScaleNormal="100" workbookViewId="0">
      <selection activeCell="F1" sqref="F1"/>
    </sheetView>
  </sheetViews>
  <sheetFormatPr defaultRowHeight="15.5" x14ac:dyDescent="0.35"/>
  <cols>
    <col min="1" max="1" width="8.54296875" style="34" customWidth="1"/>
    <col min="2" max="2" width="50.26953125" style="76" customWidth="1"/>
    <col min="3" max="3" width="22.7265625" style="73" customWidth="1"/>
    <col min="4" max="4" width="15.54296875" style="25" customWidth="1"/>
    <col min="5" max="5" width="8.7265625" style="25"/>
    <col min="6" max="6" width="10.453125" style="25" customWidth="1"/>
    <col min="7" max="7" width="11.7265625" style="25" customWidth="1"/>
    <col min="8" max="8" width="18.7265625" style="25" customWidth="1"/>
    <col min="9" max="9" width="13.81640625" style="25" customWidth="1"/>
    <col min="10" max="10" width="9.1796875" style="76"/>
    <col min="11" max="16384" width="8.7265625" style="25"/>
  </cols>
  <sheetData>
    <row r="1" spans="1:10" ht="20" x14ac:dyDescent="0.4">
      <c r="A1" s="138"/>
      <c r="B1" s="137" t="s">
        <v>29</v>
      </c>
      <c r="F1" s="27"/>
      <c r="G1" s="27"/>
      <c r="H1" s="27"/>
      <c r="I1" s="27"/>
      <c r="J1" s="74"/>
    </row>
    <row r="2" spans="1:10" x14ac:dyDescent="0.35">
      <c r="A2" s="139"/>
      <c r="B2" s="7"/>
      <c r="F2" s="27"/>
      <c r="G2" s="27"/>
      <c r="H2" s="27"/>
      <c r="I2" s="27"/>
      <c r="J2" s="74"/>
    </row>
    <row r="3" spans="1:10" x14ac:dyDescent="0.35">
      <c r="F3" s="27"/>
      <c r="G3" s="27"/>
      <c r="H3" s="27"/>
      <c r="I3" s="27"/>
      <c r="J3" s="74"/>
    </row>
    <row r="4" spans="1:10" ht="18" x14ac:dyDescent="0.4">
      <c r="B4" s="161" t="s">
        <v>121</v>
      </c>
      <c r="F4" s="27"/>
      <c r="G4" s="27"/>
      <c r="H4" s="27"/>
      <c r="I4" s="27"/>
      <c r="J4" s="74"/>
    </row>
    <row r="5" spans="1:10" x14ac:dyDescent="0.35">
      <c r="F5" s="27"/>
      <c r="G5" s="27"/>
      <c r="H5" s="27"/>
      <c r="I5" s="27"/>
      <c r="J5" s="74"/>
    </row>
    <row r="6" spans="1:10" x14ac:dyDescent="0.35">
      <c r="F6" s="27"/>
      <c r="G6" s="27"/>
      <c r="H6" s="27"/>
      <c r="I6" s="27"/>
      <c r="J6" s="74"/>
    </row>
    <row r="7" spans="1:10" x14ac:dyDescent="0.35">
      <c r="F7" s="27"/>
      <c r="G7" s="27"/>
      <c r="H7" s="27"/>
      <c r="I7" s="27"/>
      <c r="J7" s="74"/>
    </row>
    <row r="8" spans="1:10" x14ac:dyDescent="0.35">
      <c r="F8" s="27"/>
      <c r="G8" s="27"/>
      <c r="H8" s="27"/>
      <c r="I8" s="27"/>
      <c r="J8" s="74"/>
    </row>
    <row r="9" spans="1:10" x14ac:dyDescent="0.35">
      <c r="F9" s="27"/>
      <c r="G9" s="27"/>
      <c r="H9" s="27"/>
      <c r="I9" s="27"/>
      <c r="J9" s="74"/>
    </row>
    <row r="10" spans="1:10" x14ac:dyDescent="0.35">
      <c r="F10" s="27"/>
      <c r="G10" s="27"/>
      <c r="H10" s="27"/>
      <c r="I10" s="27"/>
      <c r="J10" s="74"/>
    </row>
    <row r="11" spans="1:10" x14ac:dyDescent="0.35">
      <c r="F11" s="27"/>
      <c r="G11" s="27"/>
      <c r="H11" s="27"/>
      <c r="I11" s="27"/>
      <c r="J11" s="74"/>
    </row>
    <row r="12" spans="1:10" x14ac:dyDescent="0.35">
      <c r="F12" s="27"/>
      <c r="G12" s="27"/>
      <c r="H12" s="27"/>
      <c r="I12" s="27"/>
      <c r="J12" s="74"/>
    </row>
    <row r="13" spans="1:10" x14ac:dyDescent="0.35">
      <c r="F13" s="27"/>
      <c r="G13" s="27"/>
      <c r="H13" s="27"/>
      <c r="I13" s="27"/>
      <c r="J13" s="74"/>
    </row>
    <row r="14" spans="1:10" x14ac:dyDescent="0.35">
      <c r="F14" s="27"/>
      <c r="G14" s="27"/>
      <c r="H14" s="27"/>
      <c r="I14" s="27"/>
      <c r="J14" s="74"/>
    </row>
    <row r="15" spans="1:10" x14ac:dyDescent="0.35">
      <c r="F15" s="27"/>
      <c r="G15" s="27"/>
      <c r="H15" s="27"/>
      <c r="I15" s="27"/>
      <c r="J15" s="74"/>
    </row>
    <row r="16" spans="1:10" x14ac:dyDescent="0.35">
      <c r="F16" s="27"/>
      <c r="G16" s="27"/>
      <c r="H16" s="27"/>
      <c r="I16" s="27"/>
      <c r="J16" s="74"/>
    </row>
    <row r="17" spans="3:10" ht="16" thickBot="1" x14ac:dyDescent="0.4">
      <c r="F17" s="27"/>
      <c r="G17" s="27"/>
      <c r="H17" s="27"/>
      <c r="I17" s="27"/>
      <c r="J17" s="74"/>
    </row>
    <row r="18" spans="3:10" ht="18.5" thickBot="1" x14ac:dyDescent="0.45">
      <c r="C18" s="160" t="s">
        <v>94</v>
      </c>
      <c r="D18" s="160" t="s">
        <v>118</v>
      </c>
      <c r="F18" s="27"/>
      <c r="G18" s="27"/>
      <c r="H18" s="27"/>
      <c r="I18" s="27"/>
      <c r="J18" s="74"/>
    </row>
    <row r="19" spans="3:10" x14ac:dyDescent="0.35">
      <c r="C19" s="80" t="s">
        <v>95</v>
      </c>
      <c r="D19" s="81">
        <v>10</v>
      </c>
      <c r="F19" s="27"/>
      <c r="G19" s="27"/>
      <c r="H19" s="27"/>
      <c r="I19" s="27"/>
      <c r="J19" s="74"/>
    </row>
    <row r="20" spans="3:10" x14ac:dyDescent="0.35">
      <c r="C20" s="80" t="s">
        <v>96</v>
      </c>
      <c r="D20" s="81">
        <v>15</v>
      </c>
      <c r="F20" s="27"/>
      <c r="G20" s="27"/>
      <c r="H20" s="27"/>
      <c r="I20" s="27"/>
      <c r="J20" s="74"/>
    </row>
    <row r="21" spans="3:10" x14ac:dyDescent="0.35">
      <c r="C21" s="80" t="s">
        <v>97</v>
      </c>
      <c r="D21" s="81">
        <v>20</v>
      </c>
      <c r="F21" s="27"/>
      <c r="G21" s="27"/>
      <c r="H21" s="27"/>
      <c r="I21" s="27"/>
      <c r="J21" s="74"/>
    </row>
    <row r="22" spans="3:10" x14ac:dyDescent="0.35">
      <c r="C22" s="80" t="s">
        <v>98</v>
      </c>
      <c r="D22" s="81">
        <v>12</v>
      </c>
      <c r="F22" s="27"/>
      <c r="G22" s="27"/>
      <c r="H22" s="27"/>
      <c r="I22" s="27"/>
      <c r="J22" s="74"/>
    </row>
    <row r="23" spans="3:10" x14ac:dyDescent="0.35">
      <c r="C23" s="80" t="s">
        <v>99</v>
      </c>
      <c r="D23" s="81">
        <v>17</v>
      </c>
      <c r="F23" s="27"/>
      <c r="G23" s="27"/>
      <c r="H23" s="27"/>
      <c r="I23" s="27"/>
      <c r="J23" s="74"/>
    </row>
    <row r="24" spans="3:10" x14ac:dyDescent="0.35">
      <c r="C24" s="80" t="s">
        <v>100</v>
      </c>
      <c r="D24" s="81">
        <v>22</v>
      </c>
      <c r="F24" s="27"/>
      <c r="G24" s="27"/>
      <c r="H24" s="27"/>
      <c r="I24" s="27"/>
      <c r="J24" s="74"/>
    </row>
    <row r="25" spans="3:10" x14ac:dyDescent="0.35">
      <c r="C25" s="80" t="s">
        <v>101</v>
      </c>
      <c r="D25" s="81">
        <v>15</v>
      </c>
      <c r="F25" s="27"/>
      <c r="G25" s="27"/>
      <c r="H25" s="27"/>
      <c r="I25" s="27"/>
      <c r="J25" s="74"/>
    </row>
    <row r="26" spans="3:10" x14ac:dyDescent="0.35">
      <c r="C26" s="80" t="s">
        <v>102</v>
      </c>
      <c r="D26" s="81">
        <v>22</v>
      </c>
      <c r="F26" s="27"/>
      <c r="G26" s="27"/>
      <c r="H26" s="27"/>
      <c r="I26" s="27"/>
      <c r="J26" s="74"/>
    </row>
    <row r="27" spans="3:10" x14ac:dyDescent="0.35">
      <c r="C27" s="80" t="s">
        <v>103</v>
      </c>
      <c r="D27" s="81">
        <v>37</v>
      </c>
      <c r="F27" s="27"/>
      <c r="G27" s="27"/>
      <c r="H27" s="27"/>
      <c r="I27" s="27"/>
      <c r="J27" s="74"/>
    </row>
    <row r="28" spans="3:10" x14ac:dyDescent="0.35">
      <c r="C28" s="80" t="s">
        <v>104</v>
      </c>
      <c r="D28" s="81">
        <v>55</v>
      </c>
      <c r="F28" s="27"/>
      <c r="G28" s="27"/>
      <c r="H28" s="27"/>
      <c r="I28" s="27"/>
      <c r="J28" s="74"/>
    </row>
    <row r="29" spans="3:10" x14ac:dyDescent="0.35">
      <c r="C29" s="80" t="s">
        <v>105</v>
      </c>
      <c r="D29" s="81">
        <v>85</v>
      </c>
      <c r="F29" s="27"/>
      <c r="G29" s="27"/>
      <c r="H29" s="27"/>
      <c r="I29" s="74"/>
      <c r="J29" s="74"/>
    </row>
    <row r="30" spans="3:10" x14ac:dyDescent="0.35">
      <c r="C30" s="80" t="s">
        <v>106</v>
      </c>
      <c r="D30" s="81">
        <v>25</v>
      </c>
      <c r="F30" s="27"/>
      <c r="G30" s="27"/>
      <c r="H30" s="27"/>
      <c r="I30" s="27"/>
      <c r="J30" s="74"/>
    </row>
    <row r="31" spans="3:10" x14ac:dyDescent="0.35">
      <c r="C31" s="80" t="s">
        <v>107</v>
      </c>
      <c r="D31" s="81">
        <v>37</v>
      </c>
      <c r="F31" s="27"/>
      <c r="G31" s="27"/>
      <c r="H31" s="27"/>
      <c r="I31" s="27"/>
      <c r="J31" s="74"/>
    </row>
    <row r="32" spans="3:10" x14ac:dyDescent="0.35">
      <c r="C32" s="80" t="s">
        <v>108</v>
      </c>
      <c r="D32" s="81">
        <v>25</v>
      </c>
      <c r="F32" s="27"/>
      <c r="G32" s="27"/>
      <c r="H32" s="27"/>
      <c r="I32" s="27"/>
      <c r="J32" s="74"/>
    </row>
    <row r="33" spans="2:10" x14ac:dyDescent="0.35">
      <c r="C33" s="80" t="s">
        <v>109</v>
      </c>
      <c r="D33" s="81">
        <v>37</v>
      </c>
      <c r="F33" s="27"/>
      <c r="G33" s="27"/>
      <c r="H33" s="27"/>
      <c r="I33" s="27"/>
      <c r="J33" s="74"/>
    </row>
    <row r="34" spans="2:10" x14ac:dyDescent="0.35">
      <c r="C34" s="80" t="s">
        <v>110</v>
      </c>
      <c r="D34" s="81" t="s">
        <v>113</v>
      </c>
      <c r="F34" s="27"/>
      <c r="G34" s="27"/>
      <c r="H34" s="27"/>
      <c r="I34" s="27"/>
      <c r="J34" s="74"/>
    </row>
    <row r="35" spans="2:10" x14ac:dyDescent="0.35">
      <c r="C35" s="80" t="s">
        <v>111</v>
      </c>
      <c r="D35" s="81" t="s">
        <v>114</v>
      </c>
      <c r="F35" s="27"/>
      <c r="G35" s="27"/>
      <c r="H35" s="27"/>
      <c r="I35" s="27"/>
      <c r="J35" s="74"/>
    </row>
    <row r="36" spans="2:10" ht="16" thickBot="1" x14ac:dyDescent="0.4">
      <c r="C36" s="83" t="s">
        <v>112</v>
      </c>
      <c r="D36" s="84" t="s">
        <v>115</v>
      </c>
      <c r="F36" s="27"/>
      <c r="G36" s="27"/>
      <c r="H36" s="27"/>
      <c r="I36" s="27"/>
      <c r="J36" s="74"/>
    </row>
    <row r="37" spans="2:10" x14ac:dyDescent="0.35">
      <c r="F37" s="27"/>
      <c r="G37" s="27"/>
      <c r="H37" s="27"/>
      <c r="I37" s="27"/>
      <c r="J37" s="74"/>
    </row>
    <row r="38" spans="2:10" ht="18" x14ac:dyDescent="0.4">
      <c r="B38" s="159" t="s">
        <v>637</v>
      </c>
      <c r="F38" s="27"/>
      <c r="G38" s="27"/>
      <c r="H38" s="82"/>
      <c r="I38" s="27"/>
      <c r="J38" s="74"/>
    </row>
    <row r="39" spans="2:10" ht="18" x14ac:dyDescent="0.4">
      <c r="B39" s="161" t="s">
        <v>648</v>
      </c>
      <c r="C39" s="141"/>
      <c r="D39" s="34"/>
      <c r="E39" s="34"/>
      <c r="F39" s="27"/>
      <c r="G39" s="27"/>
      <c r="H39" s="27"/>
      <c r="I39" s="27"/>
      <c r="J39" s="74"/>
    </row>
    <row r="40" spans="2:10" x14ac:dyDescent="0.35">
      <c r="F40" s="27"/>
      <c r="G40" s="27"/>
      <c r="H40" s="27"/>
      <c r="I40" s="27"/>
      <c r="J40" s="74"/>
    </row>
    <row r="41" spans="2:10" ht="18" x14ac:dyDescent="0.4">
      <c r="B41" s="159" t="s">
        <v>638</v>
      </c>
      <c r="F41" s="27"/>
      <c r="G41" s="27"/>
      <c r="H41" s="27"/>
      <c r="I41" s="27"/>
      <c r="J41" s="74"/>
    </row>
    <row r="42" spans="2:10" x14ac:dyDescent="0.35">
      <c r="C42" s="141"/>
      <c r="D42" s="34"/>
      <c r="E42" s="34"/>
      <c r="F42" s="27"/>
      <c r="G42" s="27"/>
      <c r="H42" s="27"/>
      <c r="I42" s="27"/>
      <c r="J42" s="74"/>
    </row>
    <row r="43" spans="2:10" ht="18" x14ac:dyDescent="0.4">
      <c r="B43" s="159" t="s">
        <v>532</v>
      </c>
      <c r="C43" s="141"/>
      <c r="D43" s="34"/>
      <c r="E43" s="34"/>
      <c r="F43" s="27"/>
      <c r="G43" s="27"/>
      <c r="H43" s="27"/>
      <c r="I43" s="27"/>
      <c r="J43" s="74"/>
    </row>
    <row r="44" spans="2:10" ht="16" thickBot="1" x14ac:dyDescent="0.4">
      <c r="B44" s="142"/>
      <c r="C44" s="143" t="s">
        <v>30</v>
      </c>
      <c r="D44" s="34"/>
      <c r="E44" s="34"/>
      <c r="F44" s="27"/>
      <c r="G44" s="27"/>
      <c r="H44" s="27"/>
      <c r="I44" s="27"/>
      <c r="J44" s="74"/>
    </row>
    <row r="45" spans="2:10" ht="16" thickBot="1" x14ac:dyDescent="0.4">
      <c r="B45" s="142" t="s">
        <v>120</v>
      </c>
      <c r="C45" s="144" t="s">
        <v>100</v>
      </c>
      <c r="D45" s="145"/>
      <c r="E45" s="34"/>
      <c r="F45" s="27"/>
      <c r="G45" s="27"/>
      <c r="H45" s="27"/>
      <c r="I45" s="27"/>
      <c r="J45" s="74"/>
    </row>
    <row r="46" spans="2:10" x14ac:dyDescent="0.35">
      <c r="B46" s="146" t="s">
        <v>117</v>
      </c>
      <c r="C46" s="147">
        <v>22</v>
      </c>
      <c r="D46" s="148" t="s">
        <v>116</v>
      </c>
      <c r="E46" s="34"/>
      <c r="F46" s="27"/>
      <c r="G46" s="27"/>
      <c r="H46" s="27"/>
      <c r="I46" s="27"/>
      <c r="J46" s="74"/>
    </row>
    <row r="47" spans="2:10" x14ac:dyDescent="0.35">
      <c r="B47" s="142" t="s">
        <v>123</v>
      </c>
      <c r="C47" s="171">
        <v>100000</v>
      </c>
      <c r="D47" s="148" t="s">
        <v>48</v>
      </c>
      <c r="E47" s="34"/>
      <c r="F47" s="27"/>
      <c r="G47" s="27"/>
      <c r="H47" s="27"/>
      <c r="I47" s="27"/>
      <c r="J47" s="74"/>
    </row>
    <row r="48" spans="2:10" ht="16" thickBot="1" x14ac:dyDescent="0.4">
      <c r="B48" s="142" t="s">
        <v>138</v>
      </c>
      <c r="C48" s="150">
        <v>0.7</v>
      </c>
      <c r="D48" s="32" t="s">
        <v>79</v>
      </c>
      <c r="E48" s="34"/>
      <c r="F48" s="27"/>
      <c r="G48" s="27"/>
      <c r="H48" s="27"/>
      <c r="I48" s="27"/>
      <c r="J48" s="74"/>
    </row>
    <row r="49" spans="2:10" ht="16" thickBot="1" x14ac:dyDescent="0.4">
      <c r="B49" s="142" t="s">
        <v>141</v>
      </c>
      <c r="C49" s="172">
        <v>40</v>
      </c>
      <c r="D49" s="32" t="s">
        <v>93</v>
      </c>
      <c r="E49" s="34"/>
      <c r="F49" s="27"/>
      <c r="G49" s="27"/>
      <c r="H49" s="27"/>
      <c r="I49" s="27"/>
      <c r="J49" s="74"/>
    </row>
    <row r="50" spans="2:10" x14ac:dyDescent="0.35">
      <c r="B50" s="142"/>
      <c r="C50" s="151" t="s">
        <v>32</v>
      </c>
      <c r="D50" s="32"/>
      <c r="E50" s="34"/>
      <c r="F50" s="27"/>
      <c r="G50" s="27"/>
      <c r="H50" s="27"/>
      <c r="I50" s="27"/>
      <c r="J50" s="74"/>
    </row>
    <row r="51" spans="2:10" x14ac:dyDescent="0.35">
      <c r="B51" s="152" t="s">
        <v>145</v>
      </c>
      <c r="C51" s="153" t="s">
        <v>119</v>
      </c>
      <c r="D51" s="32"/>
      <c r="E51" s="34"/>
      <c r="F51" s="27"/>
      <c r="G51" s="27"/>
      <c r="H51" s="27"/>
      <c r="I51" s="27"/>
      <c r="J51" s="74"/>
    </row>
    <row r="52" spans="2:10" x14ac:dyDescent="0.35">
      <c r="B52" s="154" t="s">
        <v>42</v>
      </c>
      <c r="C52" s="155">
        <f>C47*C46/1000</f>
        <v>2200</v>
      </c>
      <c r="D52" s="156" t="s">
        <v>48</v>
      </c>
      <c r="E52" s="34"/>
      <c r="F52" s="27"/>
      <c r="G52" s="27"/>
      <c r="H52" s="27"/>
      <c r="I52" s="27"/>
      <c r="J52" s="74"/>
    </row>
    <row r="53" spans="2:10" x14ac:dyDescent="0.35">
      <c r="B53" s="154" t="s">
        <v>142</v>
      </c>
      <c r="C53" s="153" t="s">
        <v>143</v>
      </c>
      <c r="D53" s="156"/>
      <c r="E53" s="34"/>
      <c r="F53" s="27"/>
      <c r="G53" s="27"/>
      <c r="H53" s="27"/>
      <c r="I53" s="27"/>
      <c r="J53" s="74"/>
    </row>
    <row r="54" spans="2:10" x14ac:dyDescent="0.35">
      <c r="B54" s="154" t="s">
        <v>42</v>
      </c>
      <c r="C54" s="153">
        <f>C49*5280/60</f>
        <v>3520</v>
      </c>
      <c r="D54" s="156" t="s">
        <v>49</v>
      </c>
      <c r="E54" s="34"/>
      <c r="F54" s="34"/>
    </row>
    <row r="55" spans="2:10" x14ac:dyDescent="0.35">
      <c r="B55" s="154" t="s">
        <v>129</v>
      </c>
      <c r="C55" s="153" t="s">
        <v>146</v>
      </c>
      <c r="D55" s="156"/>
      <c r="E55" s="34"/>
      <c r="F55" s="34"/>
    </row>
    <row r="56" spans="2:10" x14ac:dyDescent="0.35">
      <c r="B56" s="154" t="s">
        <v>42</v>
      </c>
      <c r="C56" s="155">
        <f>C52</f>
        <v>2200</v>
      </c>
      <c r="D56" s="156" t="s">
        <v>48</v>
      </c>
      <c r="E56" s="34"/>
      <c r="F56" s="34"/>
    </row>
    <row r="57" spans="2:10" x14ac:dyDescent="0.35">
      <c r="B57" s="154" t="s">
        <v>131</v>
      </c>
      <c r="C57" s="153" t="s">
        <v>144</v>
      </c>
      <c r="D57" s="156"/>
      <c r="E57" s="34"/>
      <c r="F57" s="34"/>
    </row>
    <row r="58" spans="2:10" x14ac:dyDescent="0.35">
      <c r="B58" s="154" t="s">
        <v>42</v>
      </c>
      <c r="C58" s="157">
        <f>C56*C54 / 33000</f>
        <v>234.66666666666666</v>
      </c>
      <c r="D58" s="156" t="s">
        <v>56</v>
      </c>
      <c r="E58" s="34"/>
      <c r="F58" s="34"/>
    </row>
    <row r="59" spans="2:10" ht="16" thickBot="1" x14ac:dyDescent="0.4">
      <c r="B59" s="154" t="s">
        <v>139</v>
      </c>
      <c r="C59" s="153" t="s">
        <v>140</v>
      </c>
      <c r="D59" s="156"/>
      <c r="E59" s="34"/>
      <c r="F59" s="34"/>
    </row>
    <row r="60" spans="2:10" ht="16" thickBot="1" x14ac:dyDescent="0.4">
      <c r="B60" s="154" t="s">
        <v>42</v>
      </c>
      <c r="C60" s="168">
        <f>C58 / C48</f>
        <v>335.23809523809524</v>
      </c>
      <c r="D60" s="156" t="s">
        <v>56</v>
      </c>
      <c r="E60" s="34"/>
      <c r="F60" s="34"/>
    </row>
    <row r="61" spans="2:10" x14ac:dyDescent="0.35">
      <c r="B61" s="142"/>
      <c r="C61" s="158"/>
      <c r="D61" s="32"/>
      <c r="E61" s="34"/>
      <c r="F61" s="34"/>
    </row>
    <row r="62" spans="2:10" x14ac:dyDescent="0.35">
      <c r="B62" s="142"/>
      <c r="C62" s="158"/>
      <c r="D62" s="32"/>
      <c r="E62" s="34"/>
      <c r="F62" s="34"/>
    </row>
    <row r="63" spans="2:10" ht="18" x14ac:dyDescent="0.4">
      <c r="B63" s="159" t="s">
        <v>641</v>
      </c>
      <c r="C63" s="158"/>
      <c r="D63" s="32"/>
      <c r="E63" s="34"/>
      <c r="F63" s="34"/>
    </row>
    <row r="64" spans="2:10" ht="18" x14ac:dyDescent="0.4">
      <c r="B64" s="163" t="s">
        <v>640</v>
      </c>
      <c r="F64" s="34"/>
    </row>
    <row r="65" spans="2:11" ht="18" x14ac:dyDescent="0.4">
      <c r="B65" s="161" t="s">
        <v>642</v>
      </c>
      <c r="C65" s="158"/>
      <c r="D65" s="32"/>
      <c r="E65" s="34"/>
      <c r="F65" s="34"/>
      <c r="H65" s="141"/>
      <c r="I65" s="34"/>
      <c r="J65" s="34"/>
      <c r="K65" s="27"/>
    </row>
    <row r="66" spans="2:11" ht="18.5" thickBot="1" x14ac:dyDescent="0.45">
      <c r="B66" s="142"/>
      <c r="C66" s="151" t="s">
        <v>30</v>
      </c>
      <c r="D66" s="32"/>
      <c r="E66" s="34"/>
      <c r="F66" s="170" t="s">
        <v>639</v>
      </c>
      <c r="H66" s="141"/>
      <c r="I66" s="34"/>
      <c r="J66" s="34"/>
      <c r="K66" s="27"/>
    </row>
    <row r="67" spans="2:11" ht="16" thickBot="1" x14ac:dyDescent="0.4">
      <c r="B67" s="142" t="s">
        <v>120</v>
      </c>
      <c r="C67" s="164" t="s">
        <v>100</v>
      </c>
      <c r="D67" s="167"/>
      <c r="E67" s="34"/>
      <c r="F67" s="140" t="s">
        <v>644</v>
      </c>
      <c r="H67" s="141"/>
      <c r="I67" s="34"/>
      <c r="J67" s="34"/>
      <c r="K67" s="27"/>
    </row>
    <row r="68" spans="2:11" x14ac:dyDescent="0.35">
      <c r="B68" s="146" t="s">
        <v>117</v>
      </c>
      <c r="C68" s="165">
        <v>22</v>
      </c>
      <c r="D68" s="148" t="s">
        <v>116</v>
      </c>
      <c r="E68" s="34"/>
      <c r="F68" s="1"/>
      <c r="H68" s="141"/>
      <c r="I68" s="34"/>
      <c r="J68" s="34"/>
      <c r="K68" s="27"/>
    </row>
    <row r="69" spans="2:11" x14ac:dyDescent="0.35">
      <c r="B69" s="142" t="s">
        <v>123</v>
      </c>
      <c r="C69" s="171">
        <v>100000</v>
      </c>
      <c r="D69" s="148" t="s">
        <v>48</v>
      </c>
      <c r="E69" s="34"/>
      <c r="F69" s="140" t="s">
        <v>643</v>
      </c>
      <c r="H69" s="141"/>
      <c r="I69" s="34"/>
      <c r="J69" s="34"/>
      <c r="K69" s="27"/>
    </row>
    <row r="70" spans="2:11" ht="16" thickBot="1" x14ac:dyDescent="0.4">
      <c r="B70" s="142" t="s">
        <v>138</v>
      </c>
      <c r="C70" s="166">
        <v>0.7</v>
      </c>
      <c r="D70" s="32" t="s">
        <v>79</v>
      </c>
      <c r="E70" s="34"/>
      <c r="F70" s="1"/>
      <c r="G70" s="141"/>
      <c r="H70" s="141"/>
      <c r="I70" s="34"/>
      <c r="J70" s="34"/>
      <c r="K70" s="27"/>
    </row>
    <row r="71" spans="2:11" ht="16" thickBot="1" x14ac:dyDescent="0.4">
      <c r="B71" s="142" t="s">
        <v>141</v>
      </c>
      <c r="C71" s="169">
        <v>40</v>
      </c>
      <c r="D71" s="32" t="s">
        <v>93</v>
      </c>
      <c r="E71" s="34"/>
      <c r="F71" s="140" t="s">
        <v>645</v>
      </c>
      <c r="G71" s="141"/>
      <c r="H71" s="141"/>
      <c r="I71" s="34"/>
      <c r="J71" s="34"/>
      <c r="K71" s="27"/>
    </row>
    <row r="72" spans="2:11" x14ac:dyDescent="0.35">
      <c r="B72" s="142"/>
      <c r="C72" s="151" t="s">
        <v>32</v>
      </c>
      <c r="D72" s="32"/>
      <c r="E72" s="34"/>
      <c r="F72" s="1"/>
      <c r="G72" s="142"/>
      <c r="H72" s="141"/>
      <c r="I72" s="34"/>
      <c r="J72" s="34"/>
      <c r="K72" s="27"/>
    </row>
    <row r="73" spans="2:11" x14ac:dyDescent="0.35">
      <c r="B73" s="152" t="s">
        <v>145</v>
      </c>
      <c r="C73" s="153" t="s">
        <v>119</v>
      </c>
      <c r="D73" s="32"/>
      <c r="E73" s="34"/>
      <c r="F73" s="140" t="s">
        <v>646</v>
      </c>
      <c r="G73" s="142"/>
      <c r="H73" s="141"/>
      <c r="I73" s="34"/>
      <c r="J73" s="34"/>
    </row>
    <row r="74" spans="2:11" x14ac:dyDescent="0.35">
      <c r="B74" s="154" t="s">
        <v>42</v>
      </c>
      <c r="C74" s="155">
        <f>C69*C68/1000</f>
        <v>2200</v>
      </c>
      <c r="D74" s="156" t="s">
        <v>48</v>
      </c>
      <c r="E74" s="34"/>
      <c r="F74" s="27"/>
      <c r="G74" s="142"/>
      <c r="H74" s="141"/>
      <c r="I74" s="34"/>
      <c r="J74" s="34"/>
      <c r="K74" s="27"/>
    </row>
    <row r="75" spans="2:11" x14ac:dyDescent="0.35">
      <c r="B75" s="154" t="s">
        <v>142</v>
      </c>
      <c r="C75" s="153" t="s">
        <v>143</v>
      </c>
      <c r="D75" s="156"/>
      <c r="E75" s="34"/>
      <c r="F75" s="27"/>
      <c r="G75" s="142"/>
      <c r="H75" s="141"/>
      <c r="I75" s="34"/>
      <c r="J75" s="34"/>
      <c r="K75" s="27"/>
    </row>
    <row r="76" spans="2:11" x14ac:dyDescent="0.35">
      <c r="B76" s="154" t="s">
        <v>42</v>
      </c>
      <c r="C76" s="153">
        <f>C71*5280/60</f>
        <v>3520</v>
      </c>
      <c r="D76" s="156" t="s">
        <v>49</v>
      </c>
      <c r="E76" s="34"/>
      <c r="F76" s="27"/>
      <c r="G76" s="27"/>
      <c r="H76" s="27"/>
      <c r="I76" s="27"/>
      <c r="J76" s="34"/>
      <c r="K76" s="27"/>
    </row>
    <row r="77" spans="2:11" x14ac:dyDescent="0.35">
      <c r="B77" s="154" t="s">
        <v>129</v>
      </c>
      <c r="C77" s="153" t="s">
        <v>146</v>
      </c>
      <c r="D77" s="156"/>
      <c r="E77" s="34"/>
      <c r="F77" s="27"/>
      <c r="G77" s="27"/>
      <c r="H77" s="27"/>
      <c r="I77" s="27"/>
      <c r="J77" s="34"/>
      <c r="K77" s="27"/>
    </row>
    <row r="78" spans="2:11" x14ac:dyDescent="0.35">
      <c r="B78" s="154" t="s">
        <v>42</v>
      </c>
      <c r="C78" s="155">
        <f>C74</f>
        <v>2200</v>
      </c>
      <c r="D78" s="156" t="s">
        <v>48</v>
      </c>
      <c r="E78" s="34"/>
      <c r="F78" s="27"/>
      <c r="G78" s="27"/>
      <c r="H78" s="27"/>
      <c r="I78" s="27"/>
      <c r="J78" s="74"/>
    </row>
    <row r="79" spans="2:11" x14ac:dyDescent="0.35">
      <c r="B79" s="154" t="s">
        <v>131</v>
      </c>
      <c r="C79" s="153" t="s">
        <v>144</v>
      </c>
      <c r="D79" s="156"/>
      <c r="E79" s="34"/>
      <c r="F79" s="27"/>
      <c r="G79" s="27"/>
      <c r="H79" s="27"/>
      <c r="I79" s="27"/>
      <c r="J79" s="74"/>
    </row>
    <row r="80" spans="2:11" x14ac:dyDescent="0.35">
      <c r="B80" s="154" t="s">
        <v>42</v>
      </c>
      <c r="C80" s="157">
        <f>C78*C76 / 33000</f>
        <v>234.66666666666666</v>
      </c>
      <c r="D80" s="156" t="s">
        <v>56</v>
      </c>
      <c r="E80" s="34"/>
      <c r="G80" s="27"/>
      <c r="H80" s="27"/>
      <c r="I80" s="27"/>
      <c r="J80" s="74"/>
    </row>
    <row r="81" spans="2:10" ht="16" thickBot="1" x14ac:dyDescent="0.4">
      <c r="B81" s="154" t="s">
        <v>139</v>
      </c>
      <c r="C81" s="153" t="s">
        <v>140</v>
      </c>
      <c r="D81" s="156"/>
      <c r="E81" s="34"/>
      <c r="G81" s="27"/>
      <c r="H81" s="27"/>
      <c r="I81" s="27"/>
      <c r="J81" s="74"/>
    </row>
    <row r="82" spans="2:10" ht="16" thickBot="1" x14ac:dyDescent="0.4">
      <c r="B82" s="154" t="s">
        <v>42</v>
      </c>
      <c r="C82" s="168">
        <f>C80 / C70</f>
        <v>335.23809523809524</v>
      </c>
      <c r="D82" s="156" t="s">
        <v>56</v>
      </c>
      <c r="E82" s="34"/>
      <c r="G82" s="27"/>
      <c r="H82" s="27"/>
      <c r="I82" s="27"/>
      <c r="J82" s="74"/>
    </row>
    <row r="83" spans="2:10" x14ac:dyDescent="0.35">
      <c r="B83" s="142"/>
      <c r="C83" s="141"/>
      <c r="D83" s="34"/>
      <c r="E83" s="34"/>
      <c r="J83" s="74"/>
    </row>
    <row r="84" spans="2:10" x14ac:dyDescent="0.35">
      <c r="B84" s="78"/>
      <c r="C84" s="79"/>
      <c r="D84" s="77"/>
      <c r="E84" s="77"/>
      <c r="F84" s="27"/>
      <c r="G84" s="27"/>
      <c r="H84" s="27"/>
      <c r="J84" s="74"/>
    </row>
    <row r="85" spans="2:10" x14ac:dyDescent="0.35">
      <c r="F85" s="27"/>
      <c r="G85" s="27"/>
      <c r="H85" s="27"/>
      <c r="I85" s="27"/>
      <c r="J85" s="74"/>
    </row>
    <row r="86" spans="2:10" ht="18" x14ac:dyDescent="0.4">
      <c r="B86" s="161" t="s">
        <v>647</v>
      </c>
      <c r="F86" s="27"/>
      <c r="G86" s="88"/>
      <c r="H86" s="27"/>
      <c r="I86" s="27"/>
      <c r="J86" s="74"/>
    </row>
    <row r="87" spans="2:10" x14ac:dyDescent="0.35">
      <c r="F87" s="27"/>
      <c r="G87" s="88"/>
      <c r="H87" s="27"/>
      <c r="I87" s="27"/>
      <c r="J87" s="74"/>
    </row>
    <row r="88" spans="2:10" x14ac:dyDescent="0.35">
      <c r="F88" s="27"/>
      <c r="G88" s="86"/>
      <c r="H88" s="27"/>
      <c r="I88" s="27"/>
      <c r="J88" s="74"/>
    </row>
    <row r="89" spans="2:10" x14ac:dyDescent="0.35">
      <c r="F89" s="27"/>
      <c r="G89" s="86"/>
      <c r="H89" s="27"/>
      <c r="I89" s="27"/>
      <c r="J89" s="74"/>
    </row>
    <row r="90" spans="2:10" x14ac:dyDescent="0.35">
      <c r="F90" s="27"/>
      <c r="G90" s="93"/>
      <c r="H90" s="27"/>
      <c r="I90" s="27"/>
      <c r="J90" s="74"/>
    </row>
    <row r="91" spans="2:10" x14ac:dyDescent="0.35">
      <c r="F91" s="27"/>
      <c r="G91" s="86"/>
      <c r="H91" s="27"/>
      <c r="I91" s="27"/>
      <c r="J91" s="74"/>
    </row>
    <row r="92" spans="2:10" x14ac:dyDescent="0.35">
      <c r="F92" s="27"/>
      <c r="G92" s="86"/>
      <c r="H92" s="27"/>
      <c r="I92" s="27"/>
      <c r="J92" s="74"/>
    </row>
    <row r="93" spans="2:10" x14ac:dyDescent="0.35">
      <c r="F93" s="27"/>
      <c r="G93" s="86"/>
      <c r="H93" s="27"/>
      <c r="I93" s="27"/>
      <c r="J93" s="74"/>
    </row>
    <row r="94" spans="2:10" x14ac:dyDescent="0.35">
      <c r="F94" s="27"/>
      <c r="G94" s="86"/>
      <c r="H94" s="27"/>
      <c r="I94" s="27"/>
      <c r="J94" s="74"/>
    </row>
    <row r="95" spans="2:10" x14ac:dyDescent="0.35">
      <c r="F95" s="27"/>
      <c r="G95" s="100"/>
      <c r="H95" s="27"/>
      <c r="I95" s="27"/>
      <c r="J95" s="74"/>
    </row>
    <row r="96" spans="2:10" x14ac:dyDescent="0.35">
      <c r="F96" s="27"/>
      <c r="G96" s="104"/>
      <c r="H96" s="27"/>
      <c r="I96" s="27"/>
      <c r="J96" s="74"/>
    </row>
    <row r="97" spans="2:10" x14ac:dyDescent="0.35">
      <c r="F97" s="27"/>
      <c r="G97" s="104"/>
      <c r="H97" s="27"/>
      <c r="I97" s="27"/>
      <c r="J97" s="74"/>
    </row>
    <row r="98" spans="2:10" x14ac:dyDescent="0.35">
      <c r="B98" s="102"/>
      <c r="F98" s="27"/>
      <c r="G98" s="104"/>
      <c r="H98" s="27"/>
      <c r="I98" s="27"/>
      <c r="J98" s="74"/>
    </row>
    <row r="99" spans="2:10" x14ac:dyDescent="0.35">
      <c r="F99" s="27"/>
      <c r="G99" s="104"/>
      <c r="H99" s="27"/>
      <c r="I99" s="27"/>
      <c r="J99" s="74"/>
    </row>
    <row r="100" spans="2:10" x14ac:dyDescent="0.35">
      <c r="F100" s="27"/>
      <c r="G100" s="104"/>
      <c r="H100" s="87"/>
      <c r="I100" s="27"/>
      <c r="J100" s="74"/>
    </row>
    <row r="101" spans="2:10" x14ac:dyDescent="0.35">
      <c r="F101" s="27"/>
      <c r="G101" s="104"/>
      <c r="H101" s="89"/>
      <c r="I101" s="27"/>
      <c r="J101" s="74"/>
    </row>
    <row r="102" spans="2:10" x14ac:dyDescent="0.35">
      <c r="F102" s="27"/>
      <c r="G102" s="104"/>
      <c r="H102" s="89"/>
      <c r="I102" s="27"/>
      <c r="J102" s="74"/>
    </row>
    <row r="103" spans="2:10" x14ac:dyDescent="0.35">
      <c r="F103" s="27"/>
      <c r="G103" s="104"/>
      <c r="H103" s="89"/>
      <c r="I103" s="27"/>
      <c r="J103" s="74"/>
    </row>
    <row r="104" spans="2:10" ht="18" x14ac:dyDescent="0.4">
      <c r="B104" s="161" t="s">
        <v>532</v>
      </c>
      <c r="F104" s="27"/>
      <c r="G104" s="104"/>
      <c r="H104" s="97"/>
      <c r="I104" s="27"/>
      <c r="J104" s="74"/>
    </row>
    <row r="105" spans="2:10" ht="16" thickBot="1" x14ac:dyDescent="0.4">
      <c r="B105" s="3" t="s">
        <v>147</v>
      </c>
      <c r="C105" s="85" t="s">
        <v>30</v>
      </c>
      <c r="F105" s="27"/>
      <c r="G105" s="88"/>
      <c r="H105" s="98"/>
      <c r="I105" s="27"/>
      <c r="J105" s="74"/>
    </row>
    <row r="106" spans="2:10" x14ac:dyDescent="0.35">
      <c r="B106" s="76" t="s">
        <v>133</v>
      </c>
      <c r="C106" s="109">
        <v>2</v>
      </c>
      <c r="D106" s="25" t="s">
        <v>71</v>
      </c>
      <c r="F106" s="27"/>
      <c r="G106" s="27"/>
      <c r="H106" s="87"/>
      <c r="I106" s="27"/>
      <c r="J106" s="74"/>
    </row>
    <row r="107" spans="2:10" x14ac:dyDescent="0.35">
      <c r="B107" s="76" t="s">
        <v>124</v>
      </c>
      <c r="C107" s="95">
        <v>24</v>
      </c>
      <c r="D107" s="25" t="s">
        <v>125</v>
      </c>
      <c r="F107" s="27"/>
      <c r="G107" s="27"/>
      <c r="H107" s="101"/>
      <c r="I107" s="27"/>
      <c r="J107" s="74"/>
    </row>
    <row r="108" spans="2:10" x14ac:dyDescent="0.35">
      <c r="B108" s="76" t="s">
        <v>123</v>
      </c>
      <c r="C108" s="171">
        <v>100000</v>
      </c>
      <c r="D108" s="25" t="s">
        <v>48</v>
      </c>
      <c r="F108" s="27"/>
      <c r="G108" s="27"/>
      <c r="H108" s="105"/>
      <c r="I108" s="27"/>
      <c r="J108" s="74"/>
    </row>
    <row r="109" spans="2:10" x14ac:dyDescent="0.35">
      <c r="B109" s="76" t="s">
        <v>138</v>
      </c>
      <c r="C109" s="96">
        <v>0.7</v>
      </c>
      <c r="D109" s="25" t="s">
        <v>79</v>
      </c>
      <c r="F109" s="27"/>
      <c r="G109" s="27"/>
      <c r="H109" s="101"/>
      <c r="I109" s="27"/>
      <c r="J109" s="74"/>
    </row>
    <row r="110" spans="2:10" ht="16" thickBot="1" x14ac:dyDescent="0.4">
      <c r="B110" s="76" t="s">
        <v>141</v>
      </c>
      <c r="C110" s="110">
        <v>10</v>
      </c>
      <c r="D110" s="25" t="s">
        <v>93</v>
      </c>
      <c r="F110" s="27"/>
      <c r="G110" s="27"/>
      <c r="H110" s="101"/>
      <c r="I110" s="27"/>
      <c r="J110" s="74"/>
    </row>
    <row r="111" spans="2:10" x14ac:dyDescent="0.35">
      <c r="C111" s="85" t="s">
        <v>32</v>
      </c>
      <c r="F111" s="27"/>
      <c r="G111" s="27"/>
      <c r="H111" s="101"/>
      <c r="I111" s="27"/>
      <c r="J111" s="74"/>
    </row>
    <row r="112" spans="2:10" x14ac:dyDescent="0.35">
      <c r="B112" s="102" t="s">
        <v>134</v>
      </c>
      <c r="C112" s="3" t="s">
        <v>127</v>
      </c>
      <c r="D112" s="1"/>
      <c r="F112" s="27"/>
      <c r="G112" s="27"/>
      <c r="H112" s="105"/>
      <c r="I112" s="88"/>
      <c r="J112" s="74"/>
    </row>
    <row r="113" spans="2:10" x14ac:dyDescent="0.35">
      <c r="B113" s="102" t="s">
        <v>42</v>
      </c>
      <c r="C113" s="111">
        <f>C106 / C107</f>
        <v>8.3333333333333329E-2</v>
      </c>
      <c r="D113" s="1"/>
      <c r="F113" s="27"/>
      <c r="G113" s="27"/>
      <c r="H113" s="101"/>
      <c r="I113" s="88"/>
      <c r="J113" s="74"/>
    </row>
    <row r="114" spans="2:10" x14ac:dyDescent="0.35">
      <c r="B114" s="102" t="s">
        <v>135</v>
      </c>
      <c r="C114" s="3" t="s">
        <v>126</v>
      </c>
      <c r="D114" s="1"/>
      <c r="F114" s="27"/>
      <c r="G114" s="27"/>
      <c r="H114" s="108"/>
      <c r="I114" s="94"/>
      <c r="J114" s="74"/>
    </row>
    <row r="115" spans="2:10" x14ac:dyDescent="0.35">
      <c r="B115" s="102" t="s">
        <v>42</v>
      </c>
      <c r="C115" s="112">
        <f>57.3*ATAN(C106/C107)</f>
        <v>4.7639925872076816</v>
      </c>
      <c r="D115" s="1" t="s">
        <v>128</v>
      </c>
      <c r="F115" s="27"/>
      <c r="G115" s="27"/>
      <c r="H115" s="101"/>
      <c r="I115" s="94"/>
      <c r="J115" s="74"/>
    </row>
    <row r="116" spans="2:10" x14ac:dyDescent="0.35">
      <c r="B116" s="102" t="s">
        <v>137</v>
      </c>
      <c r="C116" s="3" t="s">
        <v>136</v>
      </c>
      <c r="D116" s="1"/>
      <c r="F116" s="27"/>
      <c r="G116" s="27"/>
      <c r="H116" s="108"/>
      <c r="I116" s="88"/>
      <c r="J116" s="74"/>
    </row>
    <row r="117" spans="2:10" x14ac:dyDescent="0.35">
      <c r="B117" s="102" t="s">
        <v>42</v>
      </c>
      <c r="C117" s="103">
        <f>C108 * SIN(C115/57.3)</f>
        <v>8304.5479853739962</v>
      </c>
      <c r="D117" s="1" t="s">
        <v>48</v>
      </c>
      <c r="F117" s="27"/>
      <c r="G117" s="27"/>
      <c r="H117" s="88"/>
      <c r="I117" s="88"/>
      <c r="J117" s="74"/>
    </row>
    <row r="118" spans="2:10" x14ac:dyDescent="0.35">
      <c r="B118" s="102" t="s">
        <v>142</v>
      </c>
      <c r="C118" s="3" t="s">
        <v>143</v>
      </c>
      <c r="D118" s="1"/>
      <c r="F118" s="27"/>
      <c r="G118" s="27"/>
      <c r="H118" s="27"/>
      <c r="I118" s="88"/>
      <c r="J118" s="74"/>
    </row>
    <row r="119" spans="2:10" x14ac:dyDescent="0.35">
      <c r="B119" s="102" t="s">
        <v>42</v>
      </c>
      <c r="C119" s="3">
        <f>C110*5280/60</f>
        <v>880</v>
      </c>
      <c r="D119" s="1" t="s">
        <v>49</v>
      </c>
      <c r="F119" s="27"/>
      <c r="G119" s="27"/>
      <c r="H119" s="27"/>
      <c r="I119" s="88"/>
      <c r="J119" s="74"/>
    </row>
    <row r="120" spans="2:10" x14ac:dyDescent="0.35">
      <c r="B120" s="102" t="s">
        <v>531</v>
      </c>
      <c r="C120" s="3" t="s">
        <v>130</v>
      </c>
      <c r="D120" s="1"/>
      <c r="F120" s="27"/>
      <c r="G120" s="27"/>
      <c r="H120" s="27"/>
      <c r="I120" s="106"/>
      <c r="J120" s="74"/>
    </row>
    <row r="121" spans="2:10" x14ac:dyDescent="0.35">
      <c r="B121" s="102" t="s">
        <v>42</v>
      </c>
      <c r="C121" s="103">
        <f>C117</f>
        <v>8304.5479853739962</v>
      </c>
      <c r="D121" s="1" t="s">
        <v>48</v>
      </c>
      <c r="F121" s="27"/>
      <c r="G121" s="27"/>
      <c r="H121" s="27"/>
      <c r="I121" s="106"/>
      <c r="J121" s="74"/>
    </row>
    <row r="122" spans="2:10" x14ac:dyDescent="0.35">
      <c r="B122" s="102" t="s">
        <v>530</v>
      </c>
      <c r="C122" s="3" t="s">
        <v>144</v>
      </c>
      <c r="D122" s="1"/>
      <c r="F122" s="27"/>
      <c r="G122" s="27"/>
      <c r="H122" s="27"/>
      <c r="I122" s="106"/>
      <c r="J122" s="74"/>
    </row>
    <row r="123" spans="2:10" x14ac:dyDescent="0.35">
      <c r="B123" s="102" t="s">
        <v>42</v>
      </c>
      <c r="C123" s="107">
        <f>C121*C119/33000</f>
        <v>221.45461294330656</v>
      </c>
      <c r="D123" s="1" t="s">
        <v>132</v>
      </c>
      <c r="F123" s="27"/>
      <c r="G123" s="27"/>
      <c r="H123" s="27"/>
      <c r="I123" s="106"/>
      <c r="J123" s="74"/>
    </row>
    <row r="124" spans="2:10" x14ac:dyDescent="0.35">
      <c r="B124" s="102" t="s">
        <v>529</v>
      </c>
      <c r="C124" s="3" t="s">
        <v>140</v>
      </c>
      <c r="D124" s="1"/>
      <c r="F124" s="27"/>
      <c r="G124" s="27"/>
      <c r="H124" s="27"/>
      <c r="I124" s="106"/>
      <c r="J124" s="74"/>
    </row>
    <row r="125" spans="2:10" x14ac:dyDescent="0.35">
      <c r="B125" s="102" t="s">
        <v>42</v>
      </c>
      <c r="C125" s="107">
        <f>C123/C109</f>
        <v>316.36373277615223</v>
      </c>
      <c r="D125" s="1" t="s">
        <v>132</v>
      </c>
      <c r="F125" s="27"/>
      <c r="G125" s="27"/>
      <c r="H125" s="27"/>
      <c r="I125" s="106"/>
      <c r="J125" s="74"/>
    </row>
    <row r="126" spans="2:10" x14ac:dyDescent="0.35">
      <c r="F126" s="27"/>
      <c r="G126" s="98"/>
      <c r="H126" s="27"/>
      <c r="I126" s="106"/>
      <c r="J126" s="74"/>
    </row>
    <row r="127" spans="2:10" x14ac:dyDescent="0.35">
      <c r="F127" s="27"/>
      <c r="G127" s="89"/>
      <c r="H127" s="27"/>
      <c r="I127" s="106"/>
      <c r="J127" s="74"/>
    </row>
    <row r="128" spans="2:10" x14ac:dyDescent="0.35">
      <c r="F128" s="27"/>
      <c r="G128" s="89"/>
      <c r="H128" s="27"/>
      <c r="I128" s="106"/>
      <c r="J128" s="74"/>
    </row>
    <row r="129" spans="6:10" x14ac:dyDescent="0.35">
      <c r="F129" s="27"/>
      <c r="G129" s="97"/>
      <c r="H129" s="27"/>
      <c r="I129" s="88"/>
      <c r="J129" s="74"/>
    </row>
    <row r="130" spans="6:10" x14ac:dyDescent="0.35">
      <c r="F130" s="27"/>
      <c r="G130" s="89"/>
      <c r="H130" s="27"/>
      <c r="I130" s="27"/>
      <c r="J130" s="74"/>
    </row>
    <row r="131" spans="6:10" x14ac:dyDescent="0.35">
      <c r="F131" s="27"/>
      <c r="G131" s="27"/>
      <c r="H131" s="27"/>
      <c r="I131" s="27"/>
      <c r="J131" s="74"/>
    </row>
    <row r="132" spans="6:10" x14ac:dyDescent="0.35">
      <c r="F132" s="27"/>
      <c r="G132" s="27"/>
      <c r="H132" s="27"/>
      <c r="I132" s="27"/>
      <c r="J132" s="74"/>
    </row>
    <row r="133" spans="6:10" x14ac:dyDescent="0.35">
      <c r="F133" s="27"/>
      <c r="G133" s="27"/>
      <c r="H133" s="27"/>
      <c r="I133" s="27"/>
      <c r="J133" s="74"/>
    </row>
    <row r="134" spans="6:10" x14ac:dyDescent="0.35">
      <c r="F134" s="27"/>
      <c r="G134" s="27"/>
      <c r="H134" s="27"/>
      <c r="I134" s="27"/>
      <c r="J134" s="74"/>
    </row>
    <row r="135" spans="6:10" x14ac:dyDescent="0.35">
      <c r="F135" s="27"/>
      <c r="G135" s="27"/>
      <c r="H135" s="27"/>
      <c r="I135" s="27"/>
      <c r="J135" s="74"/>
    </row>
    <row r="136" spans="6:10" x14ac:dyDescent="0.35">
      <c r="F136" s="27"/>
      <c r="G136" s="27"/>
      <c r="H136" s="27"/>
      <c r="I136" s="27"/>
      <c r="J136" s="74"/>
    </row>
    <row r="137" spans="6:10" x14ac:dyDescent="0.35">
      <c r="F137" s="27"/>
      <c r="G137" s="27"/>
      <c r="H137" s="27"/>
      <c r="I137" s="27"/>
      <c r="J137" s="74"/>
    </row>
    <row r="138" spans="6:10" x14ac:dyDescent="0.35">
      <c r="F138" s="27"/>
      <c r="G138" s="27"/>
      <c r="H138" s="27"/>
      <c r="I138" s="27"/>
      <c r="J138" s="74"/>
    </row>
    <row r="139" spans="6:10" x14ac:dyDescent="0.35">
      <c r="F139" s="27"/>
      <c r="G139" s="27"/>
      <c r="H139" s="27"/>
      <c r="I139" s="27"/>
      <c r="J139" s="74"/>
    </row>
    <row r="140" spans="6:10" x14ac:dyDescent="0.35">
      <c r="F140" s="27"/>
      <c r="G140" s="27"/>
      <c r="H140" s="27"/>
      <c r="I140" s="27"/>
      <c r="J140" s="74"/>
    </row>
    <row r="141" spans="6:10" x14ac:dyDescent="0.35">
      <c r="F141" s="27"/>
      <c r="G141" s="74"/>
      <c r="H141" s="27"/>
      <c r="I141" s="27"/>
      <c r="J141" s="74"/>
    </row>
    <row r="142" spans="6:10" x14ac:dyDescent="0.35">
      <c r="F142" s="27"/>
      <c r="G142" s="27"/>
      <c r="H142" s="27"/>
      <c r="I142" s="27"/>
      <c r="J142" s="74"/>
    </row>
    <row r="143" spans="6:10" x14ac:dyDescent="0.35">
      <c r="F143" s="27"/>
      <c r="G143" s="27"/>
      <c r="H143" s="27"/>
      <c r="I143" s="27"/>
      <c r="J143" s="74"/>
    </row>
    <row r="144" spans="6:10" x14ac:dyDescent="0.35">
      <c r="F144" s="27"/>
      <c r="G144" s="27"/>
      <c r="H144" s="27"/>
      <c r="I144" s="27"/>
      <c r="J144" s="74"/>
    </row>
    <row r="145" spans="2:10" x14ac:dyDescent="0.35">
      <c r="F145" s="27"/>
      <c r="G145" s="27"/>
      <c r="H145" s="27"/>
      <c r="I145" s="27"/>
      <c r="J145" s="74"/>
    </row>
    <row r="146" spans="2:10" x14ac:dyDescent="0.35">
      <c r="F146" s="27"/>
      <c r="G146" s="27"/>
      <c r="H146" s="27"/>
      <c r="I146" s="27"/>
      <c r="J146" s="74"/>
    </row>
    <row r="147" spans="2:10" x14ac:dyDescent="0.35">
      <c r="B147" s="5"/>
      <c r="C147" s="79"/>
      <c r="D147" s="77"/>
      <c r="E147" s="77"/>
      <c r="F147" s="27"/>
      <c r="G147" s="27"/>
      <c r="H147" s="27"/>
      <c r="I147" s="27"/>
      <c r="J147" s="74"/>
    </row>
    <row r="148" spans="2:10" x14ac:dyDescent="0.35">
      <c r="C148" s="85"/>
      <c r="F148" s="27"/>
      <c r="G148" s="27"/>
      <c r="H148" s="27"/>
      <c r="I148" s="27"/>
      <c r="J148" s="74"/>
    </row>
    <row r="149" spans="2:10" ht="18" x14ac:dyDescent="0.4">
      <c r="B149" s="161" t="s">
        <v>31</v>
      </c>
      <c r="F149" s="27"/>
      <c r="G149" s="27"/>
      <c r="H149" s="27"/>
      <c r="I149" s="27"/>
      <c r="J149" s="74"/>
    </row>
    <row r="150" spans="2:10" x14ac:dyDescent="0.35">
      <c r="B150" s="113"/>
      <c r="C150" s="114"/>
      <c r="D150" s="72"/>
      <c r="E150" s="72"/>
      <c r="F150" s="27"/>
      <c r="G150" s="27"/>
      <c r="H150" s="27"/>
      <c r="I150" s="27"/>
      <c r="J150" s="74"/>
    </row>
    <row r="151" spans="2:10" ht="18.5" thickBot="1" x14ac:dyDescent="0.45">
      <c r="B151" s="174" t="s">
        <v>649</v>
      </c>
      <c r="C151" s="115"/>
      <c r="D151" s="72"/>
      <c r="E151" s="72"/>
      <c r="F151" s="27"/>
      <c r="G151" s="27"/>
      <c r="H151" s="27"/>
      <c r="I151" s="27"/>
      <c r="J151" s="74"/>
    </row>
    <row r="152" spans="2:10" ht="16" thickBot="1" x14ac:dyDescent="0.4">
      <c r="B152" s="116" t="s">
        <v>62</v>
      </c>
      <c r="C152" s="4" t="s">
        <v>61</v>
      </c>
      <c r="D152" s="72"/>
      <c r="E152" s="72"/>
      <c r="F152" s="27"/>
      <c r="G152" s="27"/>
      <c r="H152" s="27"/>
      <c r="I152" s="27"/>
      <c r="J152" s="74"/>
    </row>
    <row r="153" spans="2:10" ht="16" thickBot="1" x14ac:dyDescent="0.4">
      <c r="B153" s="117" t="s">
        <v>60</v>
      </c>
      <c r="C153" s="118">
        <v>0.04</v>
      </c>
      <c r="D153" s="72"/>
      <c r="E153" s="72"/>
      <c r="F153" s="27"/>
      <c r="G153" s="27"/>
      <c r="H153" s="52"/>
      <c r="I153" s="27"/>
      <c r="J153" s="74"/>
    </row>
    <row r="154" spans="2:10" ht="16" thickBot="1" x14ac:dyDescent="0.4">
      <c r="B154" s="119" t="s">
        <v>65</v>
      </c>
      <c r="C154" s="120" t="s">
        <v>63</v>
      </c>
      <c r="D154" s="72"/>
      <c r="E154" s="72"/>
      <c r="F154" s="27"/>
      <c r="G154" s="27"/>
      <c r="H154" s="27"/>
      <c r="I154" s="27"/>
      <c r="J154" s="74"/>
    </row>
    <row r="155" spans="2:10" ht="16" thickBot="1" x14ac:dyDescent="0.4">
      <c r="B155" s="119" t="s">
        <v>66</v>
      </c>
      <c r="C155" s="120" t="s">
        <v>64</v>
      </c>
      <c r="D155" s="72"/>
      <c r="E155" s="72"/>
      <c r="F155" s="27"/>
      <c r="G155" s="27"/>
      <c r="H155" s="27"/>
      <c r="I155" s="27"/>
      <c r="J155" s="74"/>
    </row>
    <row r="156" spans="2:10" ht="16" thickBot="1" x14ac:dyDescent="0.4">
      <c r="B156" s="121" t="s">
        <v>59</v>
      </c>
      <c r="C156" s="122">
        <v>0.8</v>
      </c>
      <c r="D156" s="72"/>
      <c r="E156" s="72"/>
      <c r="F156" s="27"/>
      <c r="G156" s="27"/>
      <c r="H156" s="27"/>
      <c r="I156" s="27"/>
      <c r="J156" s="74"/>
    </row>
    <row r="157" spans="2:10" ht="16" thickBot="1" x14ac:dyDescent="0.4">
      <c r="B157" s="117" t="s">
        <v>57</v>
      </c>
      <c r="C157" s="123">
        <v>1.17</v>
      </c>
      <c r="D157" s="72"/>
      <c r="E157" s="72"/>
      <c r="F157" s="27"/>
      <c r="G157" s="27"/>
      <c r="H157" s="27"/>
      <c r="I157" s="27"/>
      <c r="J157" s="74"/>
    </row>
    <row r="158" spans="2:10" ht="16" thickBot="1" x14ac:dyDescent="0.4">
      <c r="B158" s="121" t="s">
        <v>58</v>
      </c>
      <c r="C158" s="122">
        <v>1.98</v>
      </c>
      <c r="F158" s="27"/>
      <c r="G158" s="27"/>
      <c r="H158" s="27"/>
      <c r="I158" s="27"/>
      <c r="J158" s="74"/>
    </row>
    <row r="159" spans="2:10" x14ac:dyDescent="0.35">
      <c r="F159" s="27"/>
      <c r="G159" s="27"/>
      <c r="H159" s="27"/>
      <c r="I159" s="27"/>
      <c r="J159" s="74"/>
    </row>
    <row r="160" spans="2:10" ht="18" x14ac:dyDescent="0.4">
      <c r="B160" s="161" t="s">
        <v>533</v>
      </c>
      <c r="F160" s="27"/>
      <c r="G160" s="27"/>
      <c r="H160" s="27"/>
      <c r="I160" s="27"/>
      <c r="J160" s="74"/>
    </row>
    <row r="161" spans="2:10" ht="16" thickBot="1" x14ac:dyDescent="0.4">
      <c r="B161" s="3" t="s">
        <v>55</v>
      </c>
      <c r="C161" s="85" t="s">
        <v>30</v>
      </c>
      <c r="F161" s="27"/>
      <c r="G161" s="27"/>
      <c r="H161" s="27"/>
      <c r="I161" s="27"/>
      <c r="J161" s="74"/>
    </row>
    <row r="162" spans="2:10" x14ac:dyDescent="0.35">
      <c r="B162" s="76" t="s">
        <v>34</v>
      </c>
      <c r="C162" s="91">
        <v>50</v>
      </c>
      <c r="D162" s="25" t="s">
        <v>35</v>
      </c>
      <c r="F162" s="27"/>
      <c r="G162" s="27"/>
      <c r="H162" s="27"/>
      <c r="I162" s="27"/>
      <c r="J162" s="74"/>
    </row>
    <row r="163" spans="2:10" x14ac:dyDescent="0.35">
      <c r="B163" s="76" t="s">
        <v>36</v>
      </c>
      <c r="C163" s="95">
        <v>70</v>
      </c>
      <c r="D163" s="25" t="s">
        <v>37</v>
      </c>
      <c r="F163" s="27"/>
      <c r="G163" s="27"/>
      <c r="H163" s="27"/>
      <c r="I163" s="27"/>
      <c r="J163" s="74"/>
    </row>
    <row r="164" spans="2:10" ht="16" thickBot="1" x14ac:dyDescent="0.4">
      <c r="B164" s="76" t="s">
        <v>38</v>
      </c>
      <c r="C164" s="124">
        <v>0.35</v>
      </c>
      <c r="F164" s="27"/>
      <c r="G164" s="27"/>
      <c r="H164" s="27"/>
      <c r="I164" s="27"/>
      <c r="J164" s="74"/>
    </row>
    <row r="165" spans="2:10" x14ac:dyDescent="0.35">
      <c r="C165" s="85" t="s">
        <v>32</v>
      </c>
      <c r="F165" s="27"/>
      <c r="G165" s="27"/>
      <c r="H165" s="27"/>
      <c r="I165" s="27"/>
      <c r="J165" s="27"/>
    </row>
    <row r="166" spans="2:10" x14ac:dyDescent="0.35">
      <c r="B166" s="102" t="s">
        <v>52</v>
      </c>
      <c r="C166" s="3" t="s">
        <v>40</v>
      </c>
      <c r="D166" s="1"/>
      <c r="F166" s="27"/>
      <c r="G166" s="27"/>
      <c r="H166" s="27"/>
      <c r="I166" s="27"/>
      <c r="J166" s="74"/>
    </row>
    <row r="167" spans="2:10" x14ac:dyDescent="0.35">
      <c r="B167" s="102" t="s">
        <v>42</v>
      </c>
      <c r="C167" s="3">
        <f>1.467*C162</f>
        <v>73.350000000000009</v>
      </c>
      <c r="D167" s="1" t="s">
        <v>41</v>
      </c>
      <c r="F167" s="27"/>
      <c r="G167" s="27"/>
      <c r="H167" s="27"/>
      <c r="I167" s="27"/>
      <c r="J167" s="74"/>
    </row>
    <row r="168" spans="2:10" x14ac:dyDescent="0.35">
      <c r="B168" s="102" t="s">
        <v>39</v>
      </c>
      <c r="C168" s="3" t="s">
        <v>54</v>
      </c>
      <c r="D168" s="1"/>
      <c r="F168" s="27"/>
      <c r="G168" s="27"/>
      <c r="H168" s="27"/>
      <c r="I168" s="27"/>
      <c r="J168" s="74"/>
    </row>
    <row r="169" spans="2:10" x14ac:dyDescent="0.35">
      <c r="B169" s="102" t="s">
        <v>42</v>
      </c>
      <c r="C169" s="103">
        <f>C167*60</f>
        <v>4401.0000000000009</v>
      </c>
      <c r="D169" s="1" t="s">
        <v>49</v>
      </c>
      <c r="F169" s="27"/>
      <c r="G169" s="27"/>
      <c r="H169" s="27"/>
      <c r="I169" s="27"/>
      <c r="J169" s="74"/>
    </row>
    <row r="170" spans="2:10" x14ac:dyDescent="0.35">
      <c r="B170" s="102" t="s">
        <v>44</v>
      </c>
      <c r="C170" s="125">
        <v>7.6499999999999999E-2</v>
      </c>
      <c r="D170" s="1" t="s">
        <v>43</v>
      </c>
      <c r="F170" s="27"/>
      <c r="G170" s="27"/>
      <c r="H170" s="27"/>
      <c r="I170" s="27"/>
      <c r="J170" s="74"/>
    </row>
    <row r="171" spans="2:10" x14ac:dyDescent="0.35">
      <c r="B171" s="102" t="s">
        <v>45</v>
      </c>
      <c r="C171" s="3" t="s">
        <v>46</v>
      </c>
      <c r="D171" s="1"/>
      <c r="F171" s="27"/>
      <c r="G171" s="27"/>
      <c r="H171" s="27"/>
      <c r="I171" s="27"/>
      <c r="J171" s="74"/>
    </row>
    <row r="172" spans="2:10" x14ac:dyDescent="0.35">
      <c r="B172" s="102" t="s">
        <v>42</v>
      </c>
      <c r="C172" s="126">
        <f>C170/32.3</f>
        <v>2.3684210526315791E-3</v>
      </c>
      <c r="D172" s="1" t="s">
        <v>47</v>
      </c>
      <c r="F172" s="27"/>
      <c r="G172" s="27"/>
      <c r="H172" s="27"/>
      <c r="I172" s="27"/>
      <c r="J172" s="74"/>
    </row>
    <row r="173" spans="2:10" x14ac:dyDescent="0.35">
      <c r="B173" s="102" t="s">
        <v>33</v>
      </c>
      <c r="C173" s="3" t="s">
        <v>53</v>
      </c>
      <c r="D173" s="1"/>
      <c r="F173" s="27"/>
      <c r="G173" s="27"/>
      <c r="H173" s="27"/>
      <c r="I173" s="27"/>
      <c r="J173" s="74"/>
    </row>
    <row r="174" spans="2:10" x14ac:dyDescent="0.35">
      <c r="B174" s="102" t="s">
        <v>42</v>
      </c>
      <c r="C174" s="103">
        <f>(1/2)*C172*C167^2*C163*C164</f>
        <v>156.09724490131586</v>
      </c>
      <c r="D174" s="1" t="s">
        <v>48</v>
      </c>
      <c r="F174" s="27"/>
      <c r="G174" s="27"/>
      <c r="H174" s="27"/>
      <c r="I174" s="27"/>
      <c r="J174" s="74"/>
    </row>
    <row r="175" spans="2:10" x14ac:dyDescent="0.35">
      <c r="B175" s="102" t="s">
        <v>50</v>
      </c>
      <c r="C175" s="3" t="s">
        <v>51</v>
      </c>
      <c r="D175" s="1"/>
      <c r="F175" s="27"/>
      <c r="G175" s="27"/>
      <c r="H175" s="27"/>
      <c r="I175" s="27"/>
      <c r="J175" s="74"/>
    </row>
    <row r="176" spans="2:10" x14ac:dyDescent="0.35">
      <c r="B176" s="127" t="s">
        <v>42</v>
      </c>
      <c r="C176" s="107">
        <f>C174 * C169 / 33000</f>
        <v>20.817696206384582</v>
      </c>
      <c r="D176" s="1" t="s">
        <v>56</v>
      </c>
      <c r="F176" s="27"/>
      <c r="G176" s="27"/>
      <c r="H176" s="27"/>
      <c r="I176" s="27"/>
      <c r="J176" s="74"/>
    </row>
    <row r="177" spans="2:10" x14ac:dyDescent="0.35">
      <c r="F177" s="27"/>
      <c r="G177" s="27"/>
      <c r="H177" s="27"/>
      <c r="I177" s="27"/>
      <c r="J177" s="74"/>
    </row>
    <row r="178" spans="2:10" x14ac:dyDescent="0.35">
      <c r="B178" s="78"/>
      <c r="C178" s="79"/>
      <c r="D178" s="77"/>
      <c r="E178" s="77"/>
      <c r="F178" s="27"/>
      <c r="G178" s="27"/>
      <c r="H178" s="27"/>
      <c r="I178" s="27"/>
      <c r="J178" s="74"/>
    </row>
    <row r="179" spans="2:10" x14ac:dyDescent="0.35">
      <c r="F179" s="27"/>
      <c r="G179" s="27"/>
      <c r="H179" s="27"/>
      <c r="I179" s="27"/>
      <c r="J179" s="74"/>
    </row>
    <row r="180" spans="2:10" ht="18" x14ac:dyDescent="0.4">
      <c r="B180" s="175" t="s">
        <v>67</v>
      </c>
      <c r="C180" s="25"/>
      <c r="D180" s="76"/>
      <c r="F180" s="27"/>
      <c r="G180" s="27"/>
      <c r="H180" s="27"/>
      <c r="I180" s="27"/>
      <c r="J180" s="74"/>
    </row>
    <row r="181" spans="2:10" x14ac:dyDescent="0.35">
      <c r="F181" s="27"/>
      <c r="G181" s="27"/>
      <c r="H181" s="27"/>
      <c r="I181" s="27"/>
      <c r="J181" s="74"/>
    </row>
    <row r="182" spans="2:10" x14ac:dyDescent="0.35">
      <c r="F182" s="27"/>
      <c r="G182" s="27"/>
      <c r="H182" s="27"/>
      <c r="I182" s="27"/>
      <c r="J182" s="74"/>
    </row>
    <row r="183" spans="2:10" x14ac:dyDescent="0.35">
      <c r="F183" s="27"/>
      <c r="G183" s="27"/>
      <c r="H183" s="27"/>
      <c r="I183" s="27"/>
      <c r="J183" s="74"/>
    </row>
    <row r="184" spans="2:10" x14ac:dyDescent="0.35">
      <c r="F184" s="27"/>
      <c r="G184" s="27"/>
      <c r="H184" s="27"/>
      <c r="I184" s="27"/>
      <c r="J184" s="74"/>
    </row>
    <row r="185" spans="2:10" x14ac:dyDescent="0.35">
      <c r="F185" s="27"/>
      <c r="G185" s="27"/>
      <c r="H185" s="27"/>
      <c r="I185" s="27"/>
      <c r="J185" s="74"/>
    </row>
    <row r="186" spans="2:10" x14ac:dyDescent="0.35">
      <c r="F186" s="27"/>
      <c r="G186" s="27"/>
      <c r="H186" s="27"/>
      <c r="I186" s="27"/>
      <c r="J186" s="74"/>
    </row>
    <row r="187" spans="2:10" x14ac:dyDescent="0.35">
      <c r="F187" s="27"/>
      <c r="G187" s="27"/>
      <c r="H187" s="27"/>
      <c r="I187" s="27"/>
      <c r="J187" s="74"/>
    </row>
    <row r="188" spans="2:10" x14ac:dyDescent="0.35">
      <c r="F188" s="27"/>
      <c r="G188" s="27"/>
      <c r="H188" s="27"/>
      <c r="I188" s="27"/>
      <c r="J188" s="74"/>
    </row>
    <row r="189" spans="2:10" x14ac:dyDescent="0.35">
      <c r="F189" s="27"/>
      <c r="G189" s="27"/>
      <c r="H189" s="27"/>
      <c r="I189" s="27"/>
      <c r="J189" s="74"/>
    </row>
    <row r="190" spans="2:10" x14ac:dyDescent="0.35">
      <c r="F190" s="27"/>
      <c r="G190" s="27"/>
      <c r="H190" s="27"/>
      <c r="I190" s="27"/>
      <c r="J190" s="74"/>
    </row>
    <row r="191" spans="2:10" x14ac:dyDescent="0.35">
      <c r="F191" s="27"/>
      <c r="G191" s="27"/>
      <c r="H191" s="27"/>
      <c r="I191" s="27"/>
      <c r="J191" s="74"/>
    </row>
    <row r="192" spans="2:10" x14ac:dyDescent="0.35">
      <c r="F192" s="27"/>
      <c r="G192" s="27"/>
      <c r="H192" s="27"/>
      <c r="I192" s="27"/>
      <c r="J192" s="74"/>
    </row>
    <row r="193" spans="2:10" x14ac:dyDescent="0.35">
      <c r="F193" s="27"/>
      <c r="G193" s="27"/>
      <c r="H193" s="27"/>
      <c r="I193" s="27"/>
      <c r="J193" s="74"/>
    </row>
    <row r="194" spans="2:10" x14ac:dyDescent="0.35">
      <c r="F194" s="27"/>
      <c r="G194" s="27"/>
      <c r="H194" s="27"/>
      <c r="I194" s="27"/>
      <c r="J194" s="74"/>
    </row>
    <row r="195" spans="2:10" x14ac:dyDescent="0.35">
      <c r="F195" s="27"/>
      <c r="G195" s="27"/>
      <c r="H195" s="27"/>
      <c r="I195" s="27"/>
      <c r="J195" s="74"/>
    </row>
    <row r="196" spans="2:10" x14ac:dyDescent="0.35">
      <c r="F196" s="27"/>
      <c r="G196" s="27"/>
      <c r="H196" s="27"/>
      <c r="I196" s="27"/>
      <c r="J196" s="74"/>
    </row>
    <row r="197" spans="2:10" x14ac:dyDescent="0.35">
      <c r="F197" s="27"/>
      <c r="G197" s="27"/>
      <c r="H197" s="27"/>
      <c r="I197" s="27"/>
      <c r="J197" s="74"/>
    </row>
    <row r="198" spans="2:10" x14ac:dyDescent="0.35">
      <c r="F198" s="27"/>
      <c r="G198" s="27"/>
      <c r="H198" s="27"/>
      <c r="I198" s="27"/>
      <c r="J198" s="74"/>
    </row>
    <row r="199" spans="2:10" x14ac:dyDescent="0.35">
      <c r="F199" s="27"/>
      <c r="G199" s="27"/>
      <c r="H199" s="27"/>
      <c r="I199" s="27"/>
      <c r="J199" s="74"/>
    </row>
    <row r="200" spans="2:10" x14ac:dyDescent="0.35">
      <c r="F200" s="27"/>
      <c r="G200" s="27"/>
      <c r="H200" s="27"/>
      <c r="I200" s="27"/>
      <c r="J200" s="74"/>
    </row>
    <row r="201" spans="2:10" x14ac:dyDescent="0.35">
      <c r="F201" s="27"/>
      <c r="G201" s="27"/>
      <c r="H201" s="27"/>
      <c r="I201" s="27"/>
      <c r="J201" s="74"/>
    </row>
    <row r="202" spans="2:10" x14ac:dyDescent="0.35">
      <c r="F202" s="27"/>
      <c r="G202" s="27"/>
      <c r="H202" s="27"/>
      <c r="I202" s="27"/>
      <c r="J202" s="74"/>
    </row>
    <row r="203" spans="2:10" x14ac:dyDescent="0.35">
      <c r="F203" s="27"/>
      <c r="G203" s="27"/>
      <c r="H203" s="27"/>
      <c r="I203" s="27"/>
      <c r="J203" s="74"/>
    </row>
    <row r="204" spans="2:10" x14ac:dyDescent="0.35">
      <c r="F204" s="27"/>
      <c r="G204" s="27"/>
      <c r="H204" s="27"/>
      <c r="I204" s="27"/>
      <c r="J204" s="74"/>
    </row>
    <row r="205" spans="2:10" ht="16" thickBot="1" x14ac:dyDescent="0.4">
      <c r="F205" s="27"/>
      <c r="G205" s="27"/>
      <c r="H205" s="27"/>
      <c r="I205" s="27"/>
      <c r="J205" s="74"/>
    </row>
    <row r="206" spans="2:10" ht="16" thickBot="1" x14ac:dyDescent="0.4">
      <c r="B206" s="76" t="s">
        <v>80</v>
      </c>
      <c r="C206" s="57" t="s">
        <v>4</v>
      </c>
      <c r="F206" s="27"/>
      <c r="G206" s="27" t="s">
        <v>148</v>
      </c>
      <c r="H206" s="27"/>
      <c r="I206" s="27"/>
      <c r="J206" s="74"/>
    </row>
    <row r="207" spans="2:10" x14ac:dyDescent="0.35">
      <c r="F207" s="27"/>
      <c r="G207" s="27"/>
      <c r="H207" s="27"/>
      <c r="I207" s="27"/>
      <c r="J207" s="74"/>
    </row>
    <row r="208" spans="2:10" x14ac:dyDescent="0.35">
      <c r="F208" s="27"/>
      <c r="G208" s="27"/>
      <c r="H208" s="27"/>
      <c r="I208" s="27"/>
      <c r="J208" s="74"/>
    </row>
    <row r="209" spans="2:10" x14ac:dyDescent="0.35">
      <c r="F209" s="27"/>
      <c r="G209" s="27"/>
      <c r="H209" s="27"/>
      <c r="I209" s="27"/>
      <c r="J209" s="74"/>
    </row>
    <row r="210" spans="2:10" x14ac:dyDescent="0.35">
      <c r="F210" s="27"/>
      <c r="G210" s="27"/>
      <c r="H210" s="27"/>
      <c r="I210" s="27"/>
      <c r="J210" s="74"/>
    </row>
    <row r="211" spans="2:10" x14ac:dyDescent="0.35">
      <c r="D211" s="76"/>
      <c r="F211" s="27"/>
      <c r="G211" s="27"/>
      <c r="H211" s="27"/>
      <c r="I211" s="27"/>
      <c r="J211" s="74"/>
    </row>
    <row r="212" spans="2:10" x14ac:dyDescent="0.35">
      <c r="F212" s="27"/>
      <c r="G212" s="27"/>
      <c r="H212" s="27"/>
      <c r="I212" s="27"/>
      <c r="J212" s="74"/>
    </row>
    <row r="213" spans="2:10" x14ac:dyDescent="0.35">
      <c r="B213" s="25"/>
      <c r="C213" s="25"/>
      <c r="D213" s="76"/>
      <c r="F213" s="27"/>
      <c r="G213" s="27"/>
      <c r="H213" s="27"/>
      <c r="I213" s="27"/>
      <c r="J213" s="74"/>
    </row>
    <row r="214" spans="2:10" x14ac:dyDescent="0.35">
      <c r="B214" s="25"/>
      <c r="C214" s="25"/>
      <c r="D214" s="76"/>
      <c r="F214" s="27"/>
      <c r="G214" s="27"/>
      <c r="H214" s="27"/>
      <c r="I214" s="27"/>
      <c r="J214" s="74"/>
    </row>
    <row r="215" spans="2:10" x14ac:dyDescent="0.35">
      <c r="B215" s="25"/>
      <c r="C215" s="25"/>
      <c r="D215" s="76"/>
      <c r="F215" s="27"/>
      <c r="G215" s="27"/>
      <c r="H215" s="27"/>
      <c r="I215" s="27"/>
      <c r="J215" s="74"/>
    </row>
    <row r="216" spans="2:10" x14ac:dyDescent="0.35">
      <c r="B216" s="25"/>
      <c r="C216" s="25"/>
      <c r="D216" s="76"/>
      <c r="F216" s="27"/>
      <c r="G216" s="27"/>
      <c r="H216" s="27"/>
      <c r="I216" s="27"/>
      <c r="J216" s="74"/>
    </row>
    <row r="217" spans="2:10" x14ac:dyDescent="0.35">
      <c r="B217" s="128"/>
      <c r="C217" s="25"/>
      <c r="D217" s="76"/>
      <c r="F217" s="27"/>
      <c r="G217" s="27"/>
      <c r="H217" s="27"/>
      <c r="I217" s="27"/>
      <c r="J217" s="74"/>
    </row>
    <row r="218" spans="2:10" x14ac:dyDescent="0.35">
      <c r="B218" s="25"/>
      <c r="C218" s="25"/>
      <c r="D218" s="76"/>
      <c r="F218" s="27"/>
      <c r="G218" s="27"/>
      <c r="H218" s="27"/>
      <c r="I218" s="27"/>
      <c r="J218" s="74"/>
    </row>
    <row r="219" spans="2:10" x14ac:dyDescent="0.35">
      <c r="B219" s="25"/>
      <c r="C219" s="25"/>
      <c r="D219" s="76"/>
      <c r="F219" s="27"/>
      <c r="G219" s="27"/>
      <c r="H219" s="27"/>
      <c r="I219" s="27"/>
      <c r="J219" s="74"/>
    </row>
    <row r="220" spans="2:10" x14ac:dyDescent="0.35">
      <c r="B220" s="25"/>
      <c r="C220" s="25"/>
      <c r="D220" s="76"/>
      <c r="F220" s="27"/>
      <c r="G220" s="27"/>
      <c r="H220" s="27"/>
      <c r="I220" s="27"/>
      <c r="J220" s="74"/>
    </row>
    <row r="221" spans="2:10" x14ac:dyDescent="0.35">
      <c r="B221" s="25"/>
      <c r="C221" s="25"/>
      <c r="D221" s="76"/>
      <c r="F221" s="27"/>
      <c r="G221" s="27"/>
      <c r="H221" s="27"/>
      <c r="I221" s="27"/>
      <c r="J221" s="74"/>
    </row>
    <row r="222" spans="2:10" x14ac:dyDescent="0.35">
      <c r="B222" s="25"/>
      <c r="C222" s="25"/>
      <c r="D222" s="76"/>
      <c r="F222" s="27"/>
      <c r="G222" s="27"/>
      <c r="H222" s="27"/>
      <c r="I222" s="27"/>
      <c r="J222" s="74"/>
    </row>
    <row r="223" spans="2:10" x14ac:dyDescent="0.35">
      <c r="B223" s="25"/>
      <c r="C223" s="25"/>
      <c r="D223" s="76"/>
      <c r="F223" s="27"/>
      <c r="G223" s="27"/>
      <c r="H223" s="27"/>
      <c r="I223" s="27"/>
      <c r="J223" s="74"/>
    </row>
    <row r="224" spans="2:10" x14ac:dyDescent="0.35">
      <c r="B224" s="25"/>
      <c r="C224" s="25"/>
      <c r="D224" s="76"/>
      <c r="F224" s="27"/>
      <c r="G224" s="27"/>
      <c r="H224" s="27"/>
      <c r="I224" s="27"/>
      <c r="J224" s="74"/>
    </row>
    <row r="225" spans="2:10" ht="18" x14ac:dyDescent="0.4">
      <c r="B225" s="161" t="s">
        <v>534</v>
      </c>
      <c r="C225" s="25"/>
      <c r="D225" s="76"/>
      <c r="F225" s="27"/>
      <c r="G225" s="27"/>
      <c r="H225" s="27"/>
      <c r="I225" s="27"/>
      <c r="J225" s="74"/>
    </row>
    <row r="226" spans="2:10" ht="16" thickBot="1" x14ac:dyDescent="0.4">
      <c r="C226" s="85" t="s">
        <v>30</v>
      </c>
      <c r="F226" s="27"/>
      <c r="G226" s="27"/>
      <c r="H226" s="27"/>
      <c r="I226" s="27"/>
      <c r="J226" s="74"/>
    </row>
    <row r="227" spans="2:10" x14ac:dyDescent="0.35">
      <c r="B227" s="129" t="s">
        <v>122</v>
      </c>
      <c r="C227" s="91">
        <v>1000</v>
      </c>
      <c r="D227" s="25" t="s">
        <v>48</v>
      </c>
      <c r="F227" s="27"/>
      <c r="G227" s="27"/>
      <c r="H227" s="27"/>
      <c r="I227" s="27"/>
      <c r="J227" s="74"/>
    </row>
    <row r="228" spans="2:10" x14ac:dyDescent="0.35">
      <c r="B228" s="76" t="s">
        <v>68</v>
      </c>
      <c r="C228" s="96">
        <v>9.5</v>
      </c>
      <c r="D228" s="25" t="s">
        <v>70</v>
      </c>
      <c r="F228" s="27"/>
      <c r="G228" s="27"/>
      <c r="H228" s="27"/>
      <c r="I228" s="27"/>
      <c r="J228" s="74"/>
    </row>
    <row r="229" spans="2:10" x14ac:dyDescent="0.35">
      <c r="B229" s="76" t="s">
        <v>69</v>
      </c>
      <c r="C229" s="96">
        <v>6</v>
      </c>
      <c r="D229" s="25" t="s">
        <v>70</v>
      </c>
      <c r="F229" s="27"/>
      <c r="G229" s="27"/>
      <c r="H229" s="27"/>
      <c r="I229" s="27"/>
      <c r="J229" s="74"/>
    </row>
    <row r="230" spans="2:10" x14ac:dyDescent="0.35">
      <c r="B230" s="76" t="s">
        <v>149</v>
      </c>
      <c r="C230" s="95">
        <v>4</v>
      </c>
      <c r="D230" s="25" t="s">
        <v>79</v>
      </c>
      <c r="F230" s="27"/>
      <c r="G230" s="27"/>
      <c r="H230" s="27"/>
      <c r="I230" s="27"/>
      <c r="J230" s="74"/>
    </row>
    <row r="231" spans="2:10" x14ac:dyDescent="0.35">
      <c r="B231" s="129" t="s">
        <v>76</v>
      </c>
      <c r="C231" s="95">
        <v>0.25</v>
      </c>
      <c r="D231" s="25" t="s">
        <v>79</v>
      </c>
      <c r="F231" s="27"/>
      <c r="G231" s="27"/>
      <c r="H231" s="27"/>
      <c r="I231" s="27"/>
      <c r="J231" s="74"/>
    </row>
    <row r="232" spans="2:10" ht="16" thickBot="1" x14ac:dyDescent="0.4">
      <c r="B232" s="76" t="s">
        <v>535</v>
      </c>
      <c r="C232" s="110">
        <v>1000</v>
      </c>
      <c r="D232" s="25" t="s">
        <v>151</v>
      </c>
      <c r="F232" s="27"/>
      <c r="G232" s="27"/>
      <c r="H232" s="27"/>
      <c r="I232" s="27"/>
      <c r="J232" s="74"/>
    </row>
    <row r="233" spans="2:10" x14ac:dyDescent="0.35">
      <c r="C233" s="85" t="s">
        <v>32</v>
      </c>
      <c r="F233" s="27"/>
      <c r="G233" s="27"/>
      <c r="H233" s="27"/>
      <c r="I233" s="27"/>
      <c r="J233" s="74"/>
    </row>
    <row r="234" spans="2:10" x14ac:dyDescent="0.35">
      <c r="B234" s="102" t="s">
        <v>74</v>
      </c>
      <c r="C234" s="130">
        <f>C228/24</f>
        <v>0.39583333333333331</v>
      </c>
      <c r="D234" s="1" t="s">
        <v>71</v>
      </c>
      <c r="F234" s="27"/>
      <c r="G234" s="27"/>
      <c r="H234" s="27"/>
      <c r="I234" s="27"/>
      <c r="J234" s="74"/>
    </row>
    <row r="235" spans="2:10" x14ac:dyDescent="0.35">
      <c r="B235" s="102" t="s">
        <v>75</v>
      </c>
      <c r="C235" s="130">
        <f>C229/24</f>
        <v>0.25</v>
      </c>
      <c r="D235" s="1" t="s">
        <v>71</v>
      </c>
      <c r="F235" s="27"/>
      <c r="G235" s="27"/>
      <c r="H235" s="27"/>
      <c r="I235" s="27"/>
      <c r="J235" s="74"/>
    </row>
    <row r="236" spans="2:10" x14ac:dyDescent="0.35">
      <c r="B236" s="102" t="s">
        <v>73</v>
      </c>
      <c r="C236" s="3" t="s">
        <v>72</v>
      </c>
      <c r="D236" s="1"/>
      <c r="F236" s="27"/>
      <c r="G236" s="27"/>
      <c r="H236" s="27"/>
      <c r="I236" s="27"/>
      <c r="J236" s="74"/>
    </row>
    <row r="237" spans="2:10" x14ac:dyDescent="0.35">
      <c r="B237" s="102" t="s">
        <v>42</v>
      </c>
      <c r="C237" s="130">
        <f>((C234^2 + C235^2) / 2)^(1/2)</f>
        <v>0.33104684545980628</v>
      </c>
      <c r="D237" s="1" t="s">
        <v>71</v>
      </c>
      <c r="F237" s="27"/>
      <c r="G237" s="27"/>
      <c r="H237" s="27"/>
      <c r="I237" s="27"/>
      <c r="J237" s="74"/>
    </row>
    <row r="238" spans="2:10" x14ac:dyDescent="0.35">
      <c r="B238" s="102" t="s">
        <v>77</v>
      </c>
      <c r="C238" s="3" t="s">
        <v>150</v>
      </c>
      <c r="D238" s="1"/>
      <c r="F238" s="27"/>
      <c r="G238" s="27"/>
      <c r="H238" s="27"/>
      <c r="I238" s="27"/>
      <c r="J238" s="74"/>
    </row>
    <row r="239" spans="2:10" x14ac:dyDescent="0.35">
      <c r="B239" s="102" t="s">
        <v>42</v>
      </c>
      <c r="C239" s="107">
        <f>C227 * C237 * C230 *C231</f>
        <v>331.04684545980626</v>
      </c>
      <c r="D239" s="1" t="s">
        <v>78</v>
      </c>
      <c r="F239" s="27"/>
      <c r="G239" s="27"/>
      <c r="H239" s="27"/>
      <c r="I239" s="27"/>
      <c r="J239" s="74"/>
    </row>
    <row r="240" spans="2:10" x14ac:dyDescent="0.35">
      <c r="B240" s="102" t="s">
        <v>536</v>
      </c>
      <c r="C240" s="3" t="s">
        <v>537</v>
      </c>
      <c r="D240" s="1"/>
      <c r="F240" s="27"/>
      <c r="G240" s="13"/>
      <c r="H240" s="27"/>
      <c r="I240" s="27"/>
      <c r="J240" s="74"/>
    </row>
    <row r="241" spans="2:10" x14ac:dyDescent="0.35">
      <c r="B241" s="102" t="s">
        <v>42</v>
      </c>
      <c r="C241" s="107">
        <f>2*3.1416*C232*C239 / 33000</f>
        <v>63.031319375547106</v>
      </c>
      <c r="D241" s="1" t="s">
        <v>56</v>
      </c>
      <c r="F241" s="27"/>
      <c r="G241" s="27"/>
      <c r="H241" s="27"/>
      <c r="I241" s="27"/>
      <c r="J241" s="74"/>
    </row>
    <row r="242" spans="2:10" x14ac:dyDescent="0.35">
      <c r="F242" s="27"/>
      <c r="G242" s="27"/>
      <c r="H242" s="27"/>
      <c r="I242" s="27"/>
      <c r="J242" s="74"/>
    </row>
    <row r="243" spans="2:10" x14ac:dyDescent="0.35">
      <c r="B243" s="78"/>
      <c r="C243" s="79"/>
      <c r="D243" s="77"/>
      <c r="E243" s="77"/>
      <c r="F243" s="27"/>
      <c r="G243" s="27"/>
      <c r="H243" s="27"/>
      <c r="I243" s="27"/>
      <c r="J243" s="74"/>
    </row>
    <row r="244" spans="2:10" x14ac:dyDescent="0.35">
      <c r="F244" s="27"/>
      <c r="G244" s="27"/>
      <c r="H244" s="27"/>
      <c r="I244" s="27"/>
      <c r="J244" s="74"/>
    </row>
    <row r="245" spans="2:10" ht="18" x14ac:dyDescent="0.4">
      <c r="B245" s="175" t="s">
        <v>152</v>
      </c>
      <c r="F245" s="27"/>
      <c r="G245" s="27"/>
      <c r="H245" s="27"/>
      <c r="I245" s="27"/>
      <c r="J245" s="74"/>
    </row>
    <row r="246" spans="2:10" ht="16" thickBot="1" x14ac:dyDescent="0.4">
      <c r="C246" s="85" t="s">
        <v>30</v>
      </c>
      <c r="F246" s="27"/>
      <c r="G246" s="27"/>
      <c r="H246" s="27"/>
      <c r="I246" s="27"/>
      <c r="J246" s="74"/>
    </row>
    <row r="247" spans="2:10" x14ac:dyDescent="0.35">
      <c r="B247" s="76" t="s">
        <v>153</v>
      </c>
      <c r="C247" s="91">
        <v>1200</v>
      </c>
      <c r="D247" s="25" t="s">
        <v>151</v>
      </c>
      <c r="F247" s="27"/>
      <c r="G247" s="27"/>
      <c r="H247" s="27"/>
      <c r="I247" s="27"/>
      <c r="J247" s="74"/>
    </row>
    <row r="248" spans="2:10" ht="16" thickBot="1" x14ac:dyDescent="0.4">
      <c r="B248" s="76" t="s">
        <v>155</v>
      </c>
      <c r="C248" s="110">
        <v>200</v>
      </c>
      <c r="F248" s="27"/>
      <c r="G248" s="27"/>
      <c r="H248" s="27"/>
      <c r="I248" s="27"/>
      <c r="J248" s="74"/>
    </row>
    <row r="249" spans="2:10" x14ac:dyDescent="0.35">
      <c r="C249" s="85" t="s">
        <v>32</v>
      </c>
      <c r="F249" s="27"/>
      <c r="G249" s="27"/>
      <c r="H249" s="27"/>
      <c r="I249" s="27"/>
      <c r="J249" s="74"/>
    </row>
    <row r="250" spans="2:10" x14ac:dyDescent="0.35">
      <c r="B250" s="102" t="s">
        <v>154</v>
      </c>
      <c r="C250" s="3" t="s">
        <v>156</v>
      </c>
      <c r="D250" s="1"/>
      <c r="F250" s="27"/>
      <c r="G250" s="27"/>
      <c r="H250" s="27"/>
      <c r="I250" s="27"/>
      <c r="J250" s="74"/>
    </row>
    <row r="251" spans="2:10" x14ac:dyDescent="0.35">
      <c r="B251" s="102" t="s">
        <v>42</v>
      </c>
      <c r="C251" s="107">
        <f>5252*C248/ C247</f>
        <v>875.33333333333337</v>
      </c>
      <c r="D251" s="1" t="s">
        <v>78</v>
      </c>
      <c r="F251" s="27"/>
      <c r="G251" s="27"/>
      <c r="H251" s="27"/>
      <c r="I251" s="27"/>
      <c r="J251" s="74"/>
    </row>
    <row r="252" spans="2:10" x14ac:dyDescent="0.35">
      <c r="F252" s="27"/>
      <c r="G252" s="27"/>
      <c r="H252" s="27"/>
      <c r="I252" s="27"/>
      <c r="J252" s="74"/>
    </row>
    <row r="253" spans="2:10" x14ac:dyDescent="0.35">
      <c r="B253" s="78"/>
      <c r="C253" s="79"/>
      <c r="D253" s="77"/>
      <c r="E253" s="77"/>
      <c r="F253" s="27"/>
      <c r="G253" s="27"/>
      <c r="H253" s="27"/>
      <c r="I253" s="27"/>
      <c r="J253" s="74"/>
    </row>
    <row r="254" spans="2:10" x14ac:dyDescent="0.35">
      <c r="F254" s="27"/>
      <c r="G254" s="27"/>
      <c r="H254" s="27"/>
      <c r="I254" s="27"/>
      <c r="J254" s="74"/>
    </row>
    <row r="255" spans="2:10" ht="18" x14ac:dyDescent="0.4">
      <c r="B255" s="175" t="s">
        <v>538</v>
      </c>
      <c r="F255" s="27"/>
      <c r="G255" s="27"/>
      <c r="H255" s="27"/>
      <c r="I255" s="27"/>
      <c r="J255" s="74"/>
    </row>
    <row r="256" spans="2:10" x14ac:dyDescent="0.35">
      <c r="F256" s="27"/>
      <c r="G256" s="27"/>
      <c r="H256" s="52"/>
      <c r="I256" s="27"/>
      <c r="J256" s="74"/>
    </row>
    <row r="257" spans="2:10" ht="16" thickBot="1" x14ac:dyDescent="0.4">
      <c r="B257" s="3"/>
      <c r="C257" s="85" t="s">
        <v>30</v>
      </c>
      <c r="F257" s="27"/>
      <c r="G257" s="27"/>
      <c r="H257" s="27"/>
      <c r="I257" s="27"/>
      <c r="J257" s="74"/>
    </row>
    <row r="258" spans="2:10" x14ac:dyDescent="0.35">
      <c r="B258" s="76" t="s">
        <v>123</v>
      </c>
      <c r="C258" s="131">
        <v>7000</v>
      </c>
      <c r="D258" s="25" t="s">
        <v>48</v>
      </c>
      <c r="F258" s="27"/>
      <c r="G258" s="27"/>
      <c r="H258" s="27"/>
      <c r="I258" s="27"/>
      <c r="J258" s="74"/>
    </row>
    <row r="259" spans="2:10" x14ac:dyDescent="0.35">
      <c r="B259" s="76" t="s">
        <v>258</v>
      </c>
      <c r="C259" s="95">
        <v>0.5</v>
      </c>
      <c r="D259" s="25" t="s">
        <v>79</v>
      </c>
      <c r="F259" s="27"/>
      <c r="G259" s="27"/>
      <c r="H259" s="27"/>
      <c r="I259" s="27"/>
      <c r="J259" s="74"/>
    </row>
    <row r="260" spans="2:10" x14ac:dyDescent="0.35">
      <c r="B260" s="76" t="s">
        <v>539</v>
      </c>
      <c r="C260" s="95">
        <v>19.5</v>
      </c>
      <c r="D260" s="25" t="s">
        <v>70</v>
      </c>
      <c r="F260" s="27"/>
      <c r="G260" s="27"/>
      <c r="H260" s="27"/>
      <c r="I260" s="27"/>
      <c r="J260" s="74"/>
    </row>
    <row r="261" spans="2:10" x14ac:dyDescent="0.35">
      <c r="B261" s="76" t="s">
        <v>259</v>
      </c>
      <c r="C261" s="95">
        <v>10</v>
      </c>
      <c r="D261" s="25" t="s">
        <v>79</v>
      </c>
      <c r="F261" s="27"/>
      <c r="G261" s="27"/>
      <c r="H261" s="27"/>
      <c r="I261" s="27"/>
      <c r="J261" s="74"/>
    </row>
    <row r="262" spans="2:10" ht="16" thickBot="1" x14ac:dyDescent="0.4">
      <c r="B262" s="76" t="s">
        <v>256</v>
      </c>
      <c r="C262" s="124">
        <v>0.7</v>
      </c>
      <c r="D262" s="25" t="s">
        <v>79</v>
      </c>
      <c r="F262" s="27"/>
      <c r="G262" s="27"/>
      <c r="H262" s="27"/>
      <c r="I262" s="27"/>
      <c r="J262" s="74"/>
    </row>
    <row r="263" spans="2:10" x14ac:dyDescent="0.35">
      <c r="C263" s="85" t="s">
        <v>32</v>
      </c>
      <c r="F263" s="27"/>
      <c r="G263" s="27"/>
      <c r="H263" s="27"/>
      <c r="I263" s="27"/>
      <c r="J263" s="74"/>
    </row>
    <row r="264" spans="2:10" x14ac:dyDescent="0.35">
      <c r="B264" s="102" t="s">
        <v>257</v>
      </c>
      <c r="C264" s="3" t="s">
        <v>260</v>
      </c>
      <c r="D264" s="1"/>
      <c r="F264" s="27"/>
      <c r="G264" s="27"/>
      <c r="H264" s="27"/>
      <c r="I264" s="27"/>
      <c r="J264" s="74"/>
    </row>
    <row r="265" spans="2:10" x14ac:dyDescent="0.35">
      <c r="B265" s="102" t="s">
        <v>42</v>
      </c>
      <c r="C265" s="3">
        <f>(C258*C259*C260) / (C261*C262)</f>
        <v>9750</v>
      </c>
      <c r="D265" s="1" t="s">
        <v>261</v>
      </c>
      <c r="F265" s="27"/>
      <c r="G265" s="27"/>
      <c r="H265" s="27"/>
      <c r="I265" s="27"/>
      <c r="J265" s="74"/>
    </row>
    <row r="266" spans="2:10" x14ac:dyDescent="0.35">
      <c r="B266" s="102" t="s">
        <v>42</v>
      </c>
      <c r="C266" s="103">
        <f>C265/12</f>
        <v>812.5</v>
      </c>
      <c r="D266" s="1" t="s">
        <v>78</v>
      </c>
      <c r="F266" s="27"/>
      <c r="G266" s="27"/>
      <c r="H266" s="27"/>
      <c r="I266" s="27"/>
      <c r="J266" s="74"/>
    </row>
    <row r="267" spans="2:10" x14ac:dyDescent="0.35">
      <c r="F267" s="27"/>
      <c r="G267" s="27"/>
      <c r="H267" s="27"/>
      <c r="I267" s="27"/>
      <c r="J267" s="74"/>
    </row>
    <row r="268" spans="2:10" x14ac:dyDescent="0.35">
      <c r="B268" s="78"/>
      <c r="C268" s="79"/>
      <c r="D268" s="77"/>
      <c r="E268" s="77"/>
      <c r="F268" s="27"/>
      <c r="G268" s="27"/>
      <c r="H268" s="27"/>
      <c r="I268" s="27"/>
      <c r="J268" s="27"/>
    </row>
    <row r="269" spans="2:10" x14ac:dyDescent="0.35">
      <c r="F269" s="27"/>
      <c r="G269" s="27"/>
      <c r="H269" s="27"/>
      <c r="I269" s="27"/>
      <c r="J269" s="74"/>
    </row>
    <row r="270" spans="2:10" ht="18" x14ac:dyDescent="0.4">
      <c r="B270" s="175" t="s">
        <v>262</v>
      </c>
      <c r="F270" s="27"/>
      <c r="G270" s="27"/>
      <c r="H270" s="27"/>
      <c r="I270" s="27"/>
      <c r="J270" s="74"/>
    </row>
    <row r="271" spans="2:10" x14ac:dyDescent="0.35">
      <c r="F271" s="27"/>
      <c r="G271" s="27"/>
      <c r="H271" s="27"/>
      <c r="I271" s="27"/>
      <c r="J271" s="74"/>
    </row>
    <row r="272" spans="2:10" ht="16" thickBot="1" x14ac:dyDescent="0.4">
      <c r="B272" s="3"/>
      <c r="C272" s="85" t="s">
        <v>30</v>
      </c>
      <c r="F272" s="27"/>
      <c r="G272" s="27"/>
      <c r="H272" s="27"/>
      <c r="I272" s="27"/>
      <c r="J272" s="74"/>
    </row>
    <row r="273" spans="2:10" x14ac:dyDescent="0.35">
      <c r="B273" s="76" t="s">
        <v>269</v>
      </c>
      <c r="C273" s="91">
        <v>15</v>
      </c>
      <c r="D273" s="25" t="s">
        <v>93</v>
      </c>
      <c r="F273" s="27"/>
      <c r="G273" s="27"/>
      <c r="H273" s="27"/>
      <c r="I273" s="27"/>
      <c r="J273" s="74"/>
    </row>
    <row r="274" spans="2:10" x14ac:dyDescent="0.35">
      <c r="B274" s="76" t="s">
        <v>263</v>
      </c>
      <c r="C274" s="132">
        <v>1326.8479060208342</v>
      </c>
      <c r="D274" s="25" t="s">
        <v>82</v>
      </c>
      <c r="F274" s="27"/>
      <c r="G274" s="27"/>
      <c r="H274" s="27"/>
      <c r="I274" s="27"/>
      <c r="J274" s="74"/>
    </row>
    <row r="275" spans="2:10" ht="16" thickBot="1" x14ac:dyDescent="0.4">
      <c r="B275" s="76" t="s">
        <v>259</v>
      </c>
      <c r="C275" s="110">
        <v>10</v>
      </c>
      <c r="D275" s="25" t="s">
        <v>79</v>
      </c>
      <c r="F275" s="27"/>
      <c r="G275" s="27"/>
      <c r="H275" s="27"/>
      <c r="I275" s="27"/>
      <c r="J275" s="74"/>
    </row>
    <row r="276" spans="2:10" x14ac:dyDescent="0.35">
      <c r="C276" s="85" t="s">
        <v>32</v>
      </c>
      <c r="F276" s="27"/>
      <c r="G276" s="27"/>
      <c r="H276" s="27"/>
      <c r="I276" s="27"/>
      <c r="J276" s="74"/>
    </row>
    <row r="277" spans="2:10" x14ac:dyDescent="0.35">
      <c r="B277" s="102" t="s">
        <v>267</v>
      </c>
      <c r="C277" s="3" t="s">
        <v>268</v>
      </c>
      <c r="D277" s="1" t="s">
        <v>271</v>
      </c>
      <c r="F277" s="27"/>
      <c r="G277" s="27"/>
      <c r="H277" s="27"/>
      <c r="I277" s="27"/>
      <c r="J277" s="74"/>
    </row>
    <row r="278" spans="2:10" x14ac:dyDescent="0.35">
      <c r="B278" s="102" t="s">
        <v>42</v>
      </c>
      <c r="C278" s="3">
        <f>C274/C275</f>
        <v>132.68479060208341</v>
      </c>
      <c r="D278" s="1" t="s">
        <v>82</v>
      </c>
      <c r="F278" s="27"/>
      <c r="G278" s="27"/>
      <c r="H278" s="27"/>
      <c r="I278" s="27"/>
      <c r="J278" s="74"/>
    </row>
    <row r="279" spans="2:10" x14ac:dyDescent="0.35">
      <c r="B279" s="102" t="s">
        <v>270</v>
      </c>
      <c r="C279" s="3" t="s">
        <v>264</v>
      </c>
      <c r="D279" s="1"/>
      <c r="F279" s="27"/>
      <c r="G279" s="27"/>
      <c r="H279" s="27"/>
      <c r="I279" s="27"/>
      <c r="J279" s="74"/>
    </row>
    <row r="280" spans="2:10" x14ac:dyDescent="0.35">
      <c r="B280" s="102" t="s">
        <v>42</v>
      </c>
      <c r="C280" s="3">
        <f>88*C273</f>
        <v>1320</v>
      </c>
      <c r="D280" s="1" t="s">
        <v>49</v>
      </c>
      <c r="F280" s="27"/>
      <c r="G280" s="27"/>
      <c r="H280" s="27"/>
      <c r="I280" s="27"/>
      <c r="J280" s="74"/>
    </row>
    <row r="281" spans="2:10" x14ac:dyDescent="0.35">
      <c r="B281" s="102" t="s">
        <v>266</v>
      </c>
      <c r="C281" s="3" t="s">
        <v>265</v>
      </c>
      <c r="D281" s="1"/>
      <c r="F281" s="27"/>
      <c r="G281" s="27"/>
      <c r="H281" s="27"/>
      <c r="I281" s="27"/>
      <c r="J281" s="74"/>
    </row>
    <row r="282" spans="2:10" x14ac:dyDescent="0.35">
      <c r="B282" s="102" t="s">
        <v>267</v>
      </c>
      <c r="C282" s="3" t="s">
        <v>273</v>
      </c>
      <c r="D282" s="1"/>
      <c r="F282" s="27"/>
      <c r="G282" s="27"/>
      <c r="H282" s="27"/>
      <c r="I282" s="27"/>
      <c r="J282" s="74"/>
    </row>
    <row r="283" spans="2:10" x14ac:dyDescent="0.35">
      <c r="B283" s="102" t="s">
        <v>276</v>
      </c>
      <c r="C283" s="3" t="s">
        <v>274</v>
      </c>
      <c r="D283" s="1" t="s">
        <v>272</v>
      </c>
      <c r="F283" s="27"/>
      <c r="G283" s="27"/>
      <c r="H283" s="27"/>
      <c r="I283" s="27"/>
      <c r="J283" s="74"/>
    </row>
    <row r="284" spans="2:10" x14ac:dyDescent="0.35">
      <c r="B284" s="102" t="s">
        <v>285</v>
      </c>
      <c r="C284" s="3" t="s">
        <v>275</v>
      </c>
      <c r="D284" s="1"/>
      <c r="F284" s="27"/>
      <c r="G284" s="27"/>
      <c r="H284" s="27"/>
      <c r="I284" s="27"/>
      <c r="J284" s="74"/>
    </row>
    <row r="285" spans="2:10" x14ac:dyDescent="0.35">
      <c r="B285" s="102" t="s">
        <v>42</v>
      </c>
      <c r="C285" s="107">
        <f>C280 / (2*3.1416*C278)</f>
        <v>1.5833316890364573</v>
      </c>
      <c r="D285" s="1" t="s">
        <v>125</v>
      </c>
      <c r="F285" s="27"/>
      <c r="G285" s="27"/>
      <c r="H285" s="27"/>
      <c r="I285" s="27"/>
      <c r="J285" s="74"/>
    </row>
    <row r="286" spans="2:10" x14ac:dyDescent="0.35">
      <c r="B286" s="102" t="s">
        <v>42</v>
      </c>
      <c r="C286" s="112">
        <f>12*C285</f>
        <v>18.999980268437486</v>
      </c>
      <c r="D286" s="1" t="s">
        <v>70</v>
      </c>
      <c r="F286" s="27"/>
      <c r="G286" s="27"/>
      <c r="H286" s="27"/>
      <c r="I286" s="27"/>
      <c r="J286" s="74"/>
    </row>
    <row r="287" spans="2:10" x14ac:dyDescent="0.35">
      <c r="F287" s="27"/>
      <c r="G287" s="27"/>
      <c r="H287" s="27"/>
      <c r="I287" s="27"/>
      <c r="J287" s="74"/>
    </row>
    <row r="288" spans="2:10" x14ac:dyDescent="0.35">
      <c r="B288" s="78"/>
      <c r="C288" s="79"/>
      <c r="D288" s="77"/>
      <c r="E288" s="77"/>
      <c r="F288" s="27"/>
      <c r="G288" s="27"/>
      <c r="H288" s="27"/>
      <c r="I288" s="27"/>
      <c r="J288" s="74"/>
    </row>
    <row r="289" spans="2:10" x14ac:dyDescent="0.35">
      <c r="F289" s="27"/>
      <c r="G289" s="27"/>
      <c r="H289" s="27"/>
      <c r="I289" s="27"/>
      <c r="J289" s="74"/>
    </row>
    <row r="290" spans="2:10" ht="18" x14ac:dyDescent="0.4">
      <c r="B290" s="175" t="s">
        <v>540</v>
      </c>
      <c r="F290" s="27"/>
      <c r="G290" s="27"/>
      <c r="H290" s="27"/>
      <c r="I290" s="27"/>
      <c r="J290" s="74"/>
    </row>
    <row r="291" spans="2:10" ht="16" thickBot="1" x14ac:dyDescent="0.4">
      <c r="B291" s="3"/>
      <c r="C291" s="85" t="s">
        <v>30</v>
      </c>
      <c r="F291" s="27"/>
      <c r="G291" s="27"/>
      <c r="H291" s="27"/>
      <c r="I291" s="27"/>
      <c r="J291" s="74"/>
    </row>
    <row r="292" spans="2:10" x14ac:dyDescent="0.35">
      <c r="B292" s="76" t="s">
        <v>278</v>
      </c>
      <c r="C292" s="91">
        <v>200</v>
      </c>
      <c r="D292" s="25" t="s">
        <v>78</v>
      </c>
      <c r="F292" s="27"/>
      <c r="G292" s="27"/>
      <c r="H292" s="27"/>
      <c r="I292" s="27"/>
      <c r="J292" s="74"/>
    </row>
    <row r="293" spans="2:10" x14ac:dyDescent="0.35">
      <c r="B293" s="76" t="s">
        <v>259</v>
      </c>
      <c r="C293" s="95">
        <v>10</v>
      </c>
      <c r="D293" s="25" t="s">
        <v>79</v>
      </c>
      <c r="F293" s="27"/>
      <c r="G293" s="27"/>
      <c r="H293" s="27"/>
      <c r="I293" s="27"/>
      <c r="J293" s="74"/>
    </row>
    <row r="294" spans="2:10" x14ac:dyDescent="0.35">
      <c r="B294" s="76" t="s">
        <v>256</v>
      </c>
      <c r="C294" s="95">
        <v>0.72</v>
      </c>
      <c r="D294" s="25" t="s">
        <v>79</v>
      </c>
      <c r="F294" s="27"/>
      <c r="G294" s="27"/>
      <c r="H294" s="27"/>
      <c r="I294" s="27"/>
      <c r="J294" s="74"/>
    </row>
    <row r="295" spans="2:10" ht="16" thickBot="1" x14ac:dyDescent="0.4">
      <c r="B295" s="76" t="s">
        <v>285</v>
      </c>
      <c r="C295" s="110">
        <v>19.5</v>
      </c>
      <c r="D295" s="25" t="s">
        <v>70</v>
      </c>
      <c r="F295" s="27"/>
      <c r="G295" s="27"/>
      <c r="H295" s="27"/>
      <c r="I295" s="27"/>
      <c r="J295" s="74"/>
    </row>
    <row r="296" spans="2:10" x14ac:dyDescent="0.35">
      <c r="C296" s="85" t="s">
        <v>32</v>
      </c>
      <c r="F296" s="27"/>
      <c r="G296" s="27"/>
      <c r="H296" s="27"/>
      <c r="I296" s="27"/>
      <c r="J296" s="74"/>
    </row>
    <row r="297" spans="2:10" x14ac:dyDescent="0.35">
      <c r="B297" s="102" t="s">
        <v>279</v>
      </c>
      <c r="C297" s="3" t="s">
        <v>281</v>
      </c>
      <c r="D297" s="1"/>
      <c r="F297" s="27"/>
      <c r="G297" s="27"/>
      <c r="H297" s="27"/>
      <c r="I297" s="27"/>
      <c r="J297" s="74"/>
    </row>
    <row r="298" spans="2:10" x14ac:dyDescent="0.35">
      <c r="B298" s="102" t="s">
        <v>42</v>
      </c>
      <c r="C298" s="103">
        <f>C292*12</f>
        <v>2400</v>
      </c>
      <c r="D298" s="1" t="s">
        <v>261</v>
      </c>
      <c r="F298" s="27"/>
      <c r="G298" s="27"/>
      <c r="H298" s="27"/>
      <c r="I298" s="27"/>
      <c r="J298" s="74"/>
    </row>
    <row r="299" spans="2:10" x14ac:dyDescent="0.35">
      <c r="B299" s="102" t="s">
        <v>277</v>
      </c>
      <c r="C299" s="3" t="s">
        <v>280</v>
      </c>
      <c r="D299" s="1"/>
      <c r="F299" s="27"/>
      <c r="G299" s="27"/>
      <c r="H299" s="27"/>
      <c r="I299" s="27"/>
      <c r="J299" s="74"/>
    </row>
    <row r="300" spans="2:10" x14ac:dyDescent="0.35">
      <c r="B300" s="102" t="s">
        <v>42</v>
      </c>
      <c r="C300" s="103">
        <f>(C298*C293*C294) / (C295)</f>
        <v>886.15384615384619</v>
      </c>
      <c r="D300" s="1" t="s">
        <v>48</v>
      </c>
      <c r="F300" s="27"/>
      <c r="G300" s="27"/>
      <c r="H300" s="27"/>
      <c r="I300" s="27"/>
      <c r="J300" s="74"/>
    </row>
    <row r="301" spans="2:10" x14ac:dyDescent="0.35">
      <c r="F301" s="27"/>
      <c r="G301" s="27"/>
      <c r="H301" s="27"/>
      <c r="I301" s="27"/>
      <c r="J301" s="74"/>
    </row>
    <row r="302" spans="2:10" x14ac:dyDescent="0.35">
      <c r="B302" s="78"/>
      <c r="C302" s="79"/>
      <c r="D302" s="77"/>
      <c r="E302" s="77"/>
      <c r="F302" s="27"/>
      <c r="G302" s="74"/>
      <c r="H302" s="27"/>
      <c r="I302" s="27"/>
      <c r="J302" s="74"/>
    </row>
    <row r="303" spans="2:10" x14ac:dyDescent="0.35">
      <c r="F303" s="27"/>
      <c r="G303" s="74"/>
      <c r="H303" s="27"/>
      <c r="I303" s="27"/>
      <c r="J303" s="74"/>
    </row>
    <row r="304" spans="2:10" ht="18" x14ac:dyDescent="0.4">
      <c r="B304" s="175" t="s">
        <v>541</v>
      </c>
      <c r="F304" s="27"/>
      <c r="G304" s="27"/>
      <c r="H304" s="27"/>
      <c r="I304" s="27"/>
      <c r="J304" s="74"/>
    </row>
    <row r="305" spans="2:10" ht="16" thickBot="1" x14ac:dyDescent="0.4">
      <c r="B305" s="3"/>
      <c r="C305" s="85" t="s">
        <v>30</v>
      </c>
      <c r="F305" s="27"/>
      <c r="G305" s="27"/>
      <c r="H305" s="27"/>
      <c r="I305" s="27"/>
      <c r="J305" s="74"/>
    </row>
    <row r="306" spans="2:10" x14ac:dyDescent="0.35">
      <c r="B306" s="76" t="s">
        <v>269</v>
      </c>
      <c r="C306" s="91">
        <v>15</v>
      </c>
      <c r="D306" s="25" t="s">
        <v>93</v>
      </c>
      <c r="F306" s="27"/>
      <c r="G306" s="27"/>
      <c r="H306" s="27"/>
      <c r="I306" s="27"/>
      <c r="J306" s="74"/>
    </row>
    <row r="307" spans="2:10" x14ac:dyDescent="0.35">
      <c r="B307" s="76" t="s">
        <v>263</v>
      </c>
      <c r="C307" s="132">
        <v>1292.8248222365871</v>
      </c>
      <c r="D307" s="25" t="s">
        <v>82</v>
      </c>
      <c r="F307" s="27"/>
      <c r="G307" s="27"/>
      <c r="H307" s="27"/>
      <c r="I307" s="27"/>
      <c r="J307" s="74"/>
    </row>
    <row r="308" spans="2:10" ht="16" thickBot="1" x14ac:dyDescent="0.4">
      <c r="B308" s="76" t="s">
        <v>285</v>
      </c>
      <c r="C308" s="110">
        <v>19.5</v>
      </c>
      <c r="D308" s="25" t="s">
        <v>70</v>
      </c>
      <c r="F308" s="27"/>
      <c r="G308" s="27"/>
      <c r="H308" s="27"/>
      <c r="I308" s="27"/>
      <c r="J308" s="74"/>
    </row>
    <row r="309" spans="2:10" x14ac:dyDescent="0.35">
      <c r="C309" s="85" t="s">
        <v>32</v>
      </c>
      <c r="F309" s="27"/>
      <c r="G309" s="27"/>
      <c r="H309" s="27"/>
      <c r="I309" s="27"/>
      <c r="J309" s="74"/>
    </row>
    <row r="310" spans="2:10" x14ac:dyDescent="0.35">
      <c r="B310" s="102" t="s">
        <v>270</v>
      </c>
      <c r="C310" s="3" t="s">
        <v>264</v>
      </c>
      <c r="D310" s="1"/>
      <c r="F310" s="27"/>
      <c r="G310" s="27"/>
      <c r="H310" s="27"/>
      <c r="I310" s="27"/>
      <c r="J310" s="74"/>
    </row>
    <row r="311" spans="2:10" x14ac:dyDescent="0.35">
      <c r="B311" s="102" t="s">
        <v>42</v>
      </c>
      <c r="C311" s="3">
        <f>88*C306</f>
        <v>1320</v>
      </c>
      <c r="D311" s="1" t="s">
        <v>49</v>
      </c>
      <c r="F311" s="27"/>
      <c r="G311" s="27"/>
      <c r="H311" s="27"/>
      <c r="I311" s="27"/>
      <c r="J311" s="74"/>
    </row>
    <row r="312" spans="2:10" x14ac:dyDescent="0.35">
      <c r="B312" s="102" t="s">
        <v>266</v>
      </c>
      <c r="C312" s="3" t="s">
        <v>265</v>
      </c>
      <c r="F312" s="27"/>
      <c r="G312" s="27"/>
      <c r="H312" s="27"/>
      <c r="I312" s="27"/>
      <c r="J312" s="74"/>
    </row>
    <row r="313" spans="2:10" x14ac:dyDescent="0.35">
      <c r="B313" s="76" t="s">
        <v>42</v>
      </c>
      <c r="C313" s="107">
        <f>2*3.1416*C308</f>
        <v>122.5224</v>
      </c>
      <c r="D313" s="25" t="s">
        <v>70</v>
      </c>
      <c r="F313" s="27"/>
      <c r="G313" s="27"/>
      <c r="H313" s="27"/>
      <c r="I313" s="27"/>
      <c r="J313" s="74"/>
    </row>
    <row r="314" spans="2:10" x14ac:dyDescent="0.35">
      <c r="B314" s="102" t="s">
        <v>267</v>
      </c>
      <c r="C314" s="3" t="s">
        <v>273</v>
      </c>
      <c r="F314" s="27"/>
      <c r="G314" s="27"/>
      <c r="H314" s="27"/>
      <c r="I314" s="27"/>
      <c r="J314" s="74"/>
    </row>
    <row r="315" spans="2:10" x14ac:dyDescent="0.35">
      <c r="B315" s="102" t="s">
        <v>276</v>
      </c>
      <c r="C315" s="3" t="s">
        <v>283</v>
      </c>
      <c r="F315" s="27"/>
      <c r="G315" s="27"/>
      <c r="H315" s="27"/>
      <c r="I315" s="27"/>
      <c r="J315" s="74"/>
    </row>
    <row r="316" spans="2:10" x14ac:dyDescent="0.35">
      <c r="B316" s="102" t="s">
        <v>42</v>
      </c>
      <c r="C316" s="112">
        <f>C311 / (2*3.1416*(C308/12))</f>
        <v>129.28248222365869</v>
      </c>
      <c r="D316" s="1" t="s">
        <v>82</v>
      </c>
      <c r="F316" s="27"/>
      <c r="G316" s="27"/>
      <c r="H316" s="27"/>
      <c r="I316" s="27"/>
      <c r="J316" s="74"/>
    </row>
    <row r="317" spans="2:10" x14ac:dyDescent="0.35">
      <c r="B317" s="102" t="s">
        <v>259</v>
      </c>
      <c r="C317" s="3" t="s">
        <v>282</v>
      </c>
      <c r="D317" s="1"/>
      <c r="F317" s="27"/>
      <c r="G317" s="27"/>
      <c r="H317" s="27"/>
      <c r="I317" s="27"/>
      <c r="J317" s="74"/>
    </row>
    <row r="318" spans="2:10" x14ac:dyDescent="0.35">
      <c r="B318" s="102" t="s">
        <v>42</v>
      </c>
      <c r="C318" s="134">
        <f>C307/C316</f>
        <v>10.000000000000002</v>
      </c>
      <c r="D318" s="1"/>
      <c r="F318" s="27"/>
      <c r="G318" s="27"/>
      <c r="H318" s="52"/>
      <c r="I318" s="27"/>
      <c r="J318" s="74"/>
    </row>
    <row r="319" spans="2:10" x14ac:dyDescent="0.35">
      <c r="C319" s="135"/>
      <c r="F319" s="27"/>
      <c r="G319" s="27"/>
      <c r="H319" s="52"/>
      <c r="I319" s="27"/>
      <c r="J319" s="74"/>
    </row>
    <row r="320" spans="2:10" x14ac:dyDescent="0.35">
      <c r="B320" s="78"/>
      <c r="C320" s="79"/>
      <c r="D320" s="77"/>
      <c r="E320" s="77"/>
      <c r="F320" s="27"/>
      <c r="G320" s="27"/>
      <c r="H320" s="27"/>
      <c r="I320" s="27"/>
      <c r="J320" s="74"/>
    </row>
    <row r="321" spans="2:10" x14ac:dyDescent="0.35">
      <c r="F321" s="27"/>
      <c r="G321" s="27"/>
      <c r="H321" s="27"/>
      <c r="I321" s="27"/>
      <c r="J321" s="74"/>
    </row>
    <row r="322" spans="2:10" ht="18" x14ac:dyDescent="0.4">
      <c r="B322" s="175" t="s">
        <v>284</v>
      </c>
      <c r="F322" s="27"/>
      <c r="G322" s="27"/>
      <c r="H322" s="27"/>
      <c r="I322" s="27"/>
      <c r="J322" s="74"/>
    </row>
    <row r="323" spans="2:10" ht="16" thickBot="1" x14ac:dyDescent="0.4">
      <c r="B323" s="3"/>
      <c r="C323" s="85" t="s">
        <v>30</v>
      </c>
      <c r="F323" s="27"/>
      <c r="G323" s="27"/>
      <c r="H323" s="27"/>
      <c r="I323" s="27"/>
      <c r="J323" s="74"/>
    </row>
    <row r="324" spans="2:10" x14ac:dyDescent="0.35">
      <c r="B324" s="90" t="s">
        <v>117</v>
      </c>
      <c r="C324" s="91">
        <v>15</v>
      </c>
      <c r="D324" s="92" t="s">
        <v>116</v>
      </c>
      <c r="F324" s="27"/>
      <c r="G324" s="27"/>
      <c r="H324" s="27"/>
      <c r="I324" s="27"/>
      <c r="J324" s="74"/>
    </row>
    <row r="325" spans="2:10" x14ac:dyDescent="0.35">
      <c r="B325" s="76" t="s">
        <v>286</v>
      </c>
      <c r="C325" s="95">
        <v>80000</v>
      </c>
      <c r="D325" s="92" t="s">
        <v>48</v>
      </c>
      <c r="F325" s="27"/>
      <c r="G325" s="27"/>
      <c r="H325" s="27"/>
      <c r="I325" s="27"/>
      <c r="J325" s="74"/>
    </row>
    <row r="326" spans="2:10" x14ac:dyDescent="0.35">
      <c r="B326" s="76" t="s">
        <v>278</v>
      </c>
      <c r="C326" s="132">
        <v>372.79411764705878</v>
      </c>
      <c r="D326" s="25" t="s">
        <v>78</v>
      </c>
      <c r="F326" s="27"/>
      <c r="G326" s="27"/>
      <c r="H326" s="27"/>
      <c r="I326" s="27"/>
      <c r="J326" s="74"/>
    </row>
    <row r="327" spans="2:10" x14ac:dyDescent="0.35">
      <c r="B327" s="76" t="s">
        <v>259</v>
      </c>
      <c r="C327" s="95">
        <v>8</v>
      </c>
      <c r="F327" s="27"/>
      <c r="G327" s="27"/>
      <c r="H327" s="27"/>
      <c r="I327" s="27"/>
      <c r="J327" s="74"/>
    </row>
    <row r="328" spans="2:10" x14ac:dyDescent="0.35">
      <c r="B328" s="76" t="s">
        <v>256</v>
      </c>
      <c r="C328" s="95">
        <v>0.85</v>
      </c>
      <c r="D328" s="25" t="s">
        <v>79</v>
      </c>
      <c r="F328" s="27"/>
      <c r="G328" s="27"/>
      <c r="H328" s="27"/>
      <c r="I328" s="27"/>
      <c r="J328" s="74"/>
    </row>
    <row r="329" spans="2:10" ht="16" thickBot="1" x14ac:dyDescent="0.4">
      <c r="B329" s="76" t="s">
        <v>285</v>
      </c>
      <c r="C329" s="110">
        <v>19.5</v>
      </c>
      <c r="D329" s="25" t="s">
        <v>70</v>
      </c>
      <c r="F329" s="27"/>
      <c r="G329" s="27"/>
      <c r="H329" s="27"/>
      <c r="I329" s="27"/>
      <c r="J329" s="74"/>
    </row>
    <row r="330" spans="2:10" x14ac:dyDescent="0.35">
      <c r="C330" s="85" t="s">
        <v>32</v>
      </c>
      <c r="F330" s="27"/>
      <c r="G330" s="27"/>
      <c r="H330" s="27"/>
      <c r="I330" s="27"/>
      <c r="J330" s="27"/>
    </row>
    <row r="331" spans="2:10" x14ac:dyDescent="0.35">
      <c r="B331" s="99" t="s">
        <v>145</v>
      </c>
      <c r="C331" s="3" t="s">
        <v>119</v>
      </c>
      <c r="F331" s="27"/>
      <c r="G331" s="27"/>
      <c r="H331" s="27"/>
      <c r="I331" s="27"/>
      <c r="J331" s="27"/>
    </row>
    <row r="332" spans="2:10" x14ac:dyDescent="0.35">
      <c r="B332" s="102" t="s">
        <v>42</v>
      </c>
      <c r="C332" s="103">
        <f>C325*C324/1000</f>
        <v>1200</v>
      </c>
      <c r="D332" s="1" t="s">
        <v>48</v>
      </c>
      <c r="F332" s="27"/>
      <c r="G332" s="27"/>
      <c r="H332" s="27"/>
      <c r="I332" s="27"/>
      <c r="J332" s="27"/>
    </row>
    <row r="333" spans="2:10" x14ac:dyDescent="0.35">
      <c r="B333" s="102" t="s">
        <v>542</v>
      </c>
      <c r="C333" s="3" t="s">
        <v>287</v>
      </c>
      <c r="D333" s="1"/>
      <c r="F333" s="27"/>
      <c r="G333" s="27"/>
      <c r="H333" s="27"/>
      <c r="I333" s="27"/>
      <c r="J333" s="27"/>
    </row>
    <row r="334" spans="2:10" x14ac:dyDescent="0.35">
      <c r="B334" s="102" t="s">
        <v>42</v>
      </c>
      <c r="C334" s="103">
        <f>((C326*C327*C328) / (C329/12)) - C332</f>
        <v>359.99999999999977</v>
      </c>
      <c r="D334" s="1" t="s">
        <v>48</v>
      </c>
      <c r="F334" s="27"/>
      <c r="G334" s="27"/>
      <c r="H334" s="27"/>
      <c r="I334" s="27"/>
      <c r="J334" s="27"/>
    </row>
    <row r="335" spans="2:10" x14ac:dyDescent="0.35">
      <c r="F335" s="27"/>
      <c r="G335" s="27"/>
      <c r="H335" s="27"/>
      <c r="I335" s="27"/>
      <c r="J335" s="27"/>
    </row>
    <row r="336" spans="2:10" x14ac:dyDescent="0.35">
      <c r="B336" s="78"/>
      <c r="C336" s="79"/>
      <c r="D336" s="77"/>
      <c r="E336" s="77"/>
      <c r="F336" s="27"/>
      <c r="G336" s="27"/>
      <c r="H336" s="27"/>
      <c r="I336" s="27"/>
      <c r="J336" s="27"/>
    </row>
    <row r="337" spans="2:10" x14ac:dyDescent="0.35">
      <c r="F337" s="27"/>
      <c r="G337" s="27"/>
      <c r="H337" s="27"/>
      <c r="I337" s="27"/>
      <c r="J337" s="27"/>
    </row>
    <row r="338" spans="2:10" ht="18" x14ac:dyDescent="0.4">
      <c r="B338" s="175" t="s">
        <v>347</v>
      </c>
      <c r="F338" s="27"/>
      <c r="G338" s="27"/>
      <c r="H338" s="27"/>
      <c r="I338" s="27"/>
      <c r="J338" s="27"/>
    </row>
    <row r="339" spans="2:10" ht="16" thickBot="1" x14ac:dyDescent="0.4">
      <c r="B339" s="3"/>
      <c r="C339" s="85" t="s">
        <v>30</v>
      </c>
      <c r="F339" s="27"/>
      <c r="G339" s="27"/>
      <c r="H339" s="27"/>
      <c r="I339" s="27"/>
      <c r="J339" s="27"/>
    </row>
    <row r="340" spans="2:10" x14ac:dyDescent="0.35">
      <c r="B340" s="90" t="s">
        <v>154</v>
      </c>
      <c r="C340" s="91">
        <v>168</v>
      </c>
      <c r="D340" s="92" t="s">
        <v>78</v>
      </c>
      <c r="F340" s="27"/>
      <c r="G340" s="27"/>
      <c r="H340" s="27"/>
      <c r="I340" s="27"/>
      <c r="J340" s="27"/>
    </row>
    <row r="341" spans="2:10" x14ac:dyDescent="0.35">
      <c r="B341" s="76" t="s">
        <v>348</v>
      </c>
      <c r="C341" s="96">
        <v>6.8</v>
      </c>
      <c r="F341" s="27"/>
      <c r="G341" s="27"/>
      <c r="H341" s="27"/>
      <c r="I341" s="27"/>
      <c r="J341" s="27"/>
    </row>
    <row r="342" spans="2:10" x14ac:dyDescent="0.35">
      <c r="B342" s="76" t="s">
        <v>349</v>
      </c>
      <c r="C342" s="96">
        <v>1.5</v>
      </c>
      <c r="F342" s="27"/>
      <c r="G342" s="27"/>
      <c r="H342" s="27"/>
      <c r="I342" s="27"/>
      <c r="J342" s="27"/>
    </row>
    <row r="343" spans="2:10" ht="16" thickBot="1" x14ac:dyDescent="0.4">
      <c r="B343" s="76" t="s">
        <v>350</v>
      </c>
      <c r="C343" s="124">
        <v>5.14</v>
      </c>
      <c r="F343" s="27"/>
      <c r="G343" s="27"/>
      <c r="H343" s="27"/>
      <c r="I343" s="27"/>
      <c r="J343" s="133"/>
    </row>
    <row r="344" spans="2:10" x14ac:dyDescent="0.35">
      <c r="C344" s="85" t="s">
        <v>32</v>
      </c>
      <c r="F344" s="27"/>
      <c r="G344" s="27"/>
      <c r="H344" s="27"/>
      <c r="I344" s="27"/>
      <c r="J344" s="74"/>
    </row>
    <row r="345" spans="2:10" x14ac:dyDescent="0.35">
      <c r="B345" s="102" t="s">
        <v>351</v>
      </c>
      <c r="C345" s="3" t="s">
        <v>352</v>
      </c>
      <c r="D345" s="1"/>
      <c r="F345" s="27"/>
      <c r="G345" s="27"/>
      <c r="H345" s="27"/>
      <c r="I345" s="27"/>
      <c r="J345" s="74"/>
    </row>
    <row r="346" spans="2:10" x14ac:dyDescent="0.35">
      <c r="B346" s="102" t="s">
        <v>42</v>
      </c>
      <c r="C346" s="103">
        <f>C340*C341*C342*C343</f>
        <v>8807.9039999999986</v>
      </c>
      <c r="D346" s="1" t="s">
        <v>78</v>
      </c>
      <c r="F346" s="27"/>
      <c r="G346" s="27"/>
      <c r="H346" s="27"/>
      <c r="I346" s="27"/>
      <c r="J346" s="74"/>
    </row>
    <row r="347" spans="2:10" x14ac:dyDescent="0.35">
      <c r="F347" s="27"/>
      <c r="G347" s="27"/>
      <c r="H347" s="27"/>
      <c r="I347" s="27"/>
      <c r="J347" s="74"/>
    </row>
    <row r="348" spans="2:10" x14ac:dyDescent="0.35">
      <c r="B348" s="78"/>
      <c r="C348" s="79"/>
      <c r="D348" s="77"/>
      <c r="E348" s="77"/>
      <c r="F348" s="27"/>
      <c r="G348" s="27"/>
      <c r="H348" s="27"/>
      <c r="I348" s="27"/>
      <c r="J348" s="74"/>
    </row>
    <row r="349" spans="2:10" x14ac:dyDescent="0.35">
      <c r="F349" s="27"/>
      <c r="G349" s="27"/>
      <c r="H349" s="27"/>
      <c r="I349" s="27"/>
      <c r="J349" s="74"/>
    </row>
    <row r="350" spans="2:10" ht="18" x14ac:dyDescent="0.4">
      <c r="B350" s="161" t="s">
        <v>81</v>
      </c>
      <c r="F350" s="27"/>
      <c r="G350" s="27"/>
      <c r="H350" s="27"/>
      <c r="I350" s="27"/>
      <c r="J350" s="74"/>
    </row>
    <row r="351" spans="2:10" ht="16" thickBot="1" x14ac:dyDescent="0.4">
      <c r="C351" s="85" t="s">
        <v>30</v>
      </c>
      <c r="F351" s="27"/>
      <c r="G351" s="27"/>
      <c r="H351" s="27"/>
      <c r="I351" s="27"/>
      <c r="J351" s="74"/>
    </row>
    <row r="352" spans="2:10" x14ac:dyDescent="0.35">
      <c r="B352" s="76" t="s">
        <v>608</v>
      </c>
      <c r="C352" s="91">
        <v>1800</v>
      </c>
      <c r="D352" s="25" t="s">
        <v>82</v>
      </c>
      <c r="F352" s="27"/>
      <c r="G352" s="27"/>
      <c r="H352" s="27"/>
      <c r="I352" s="27"/>
      <c r="J352" s="74"/>
    </row>
    <row r="353" spans="2:10" x14ac:dyDescent="0.35">
      <c r="B353" s="76" t="s">
        <v>83</v>
      </c>
      <c r="C353" s="95">
        <v>61</v>
      </c>
      <c r="D353" s="25" t="s">
        <v>79</v>
      </c>
      <c r="F353" s="27"/>
      <c r="G353" s="27"/>
      <c r="H353" s="27"/>
      <c r="I353" s="27"/>
      <c r="J353" s="74"/>
    </row>
    <row r="354" spans="2:10" x14ac:dyDescent="0.35">
      <c r="B354" s="76" t="s">
        <v>84</v>
      </c>
      <c r="C354" s="95">
        <v>41</v>
      </c>
      <c r="D354" s="25" t="s">
        <v>79</v>
      </c>
      <c r="F354" s="27"/>
      <c r="G354" s="27"/>
      <c r="H354" s="27"/>
      <c r="I354" s="27"/>
      <c r="J354" s="74"/>
    </row>
    <row r="355" spans="2:10" ht="16" thickBot="1" x14ac:dyDescent="0.4">
      <c r="B355" s="76" t="s">
        <v>85</v>
      </c>
      <c r="C355" s="110">
        <v>8</v>
      </c>
      <c r="D355" s="25" t="s">
        <v>70</v>
      </c>
      <c r="F355" s="27"/>
      <c r="G355" s="27"/>
      <c r="H355" s="27"/>
      <c r="I355" s="27"/>
      <c r="J355" s="74"/>
    </row>
    <row r="356" spans="2:10" x14ac:dyDescent="0.35">
      <c r="C356" s="85" t="s">
        <v>32</v>
      </c>
      <c r="F356" s="27"/>
      <c r="G356" s="27"/>
      <c r="H356" s="27"/>
      <c r="I356" s="27"/>
      <c r="J356" s="74"/>
    </row>
    <row r="357" spans="2:10" x14ac:dyDescent="0.35">
      <c r="B357" s="102" t="s">
        <v>91</v>
      </c>
      <c r="C357" s="3" t="s">
        <v>88</v>
      </c>
      <c r="D357" s="1"/>
      <c r="F357" s="27"/>
      <c r="G357" s="27"/>
      <c r="H357" s="27"/>
      <c r="I357" s="27"/>
      <c r="J357" s="74"/>
    </row>
    <row r="358" spans="2:10" x14ac:dyDescent="0.35">
      <c r="B358" s="102" t="s">
        <v>87</v>
      </c>
      <c r="C358" s="107">
        <f>C354*C355/12</f>
        <v>27.333333333333332</v>
      </c>
      <c r="D358" s="1" t="s">
        <v>71</v>
      </c>
      <c r="F358" s="27"/>
      <c r="G358" s="27"/>
      <c r="H358" s="27"/>
      <c r="I358" s="27"/>
      <c r="J358" s="74"/>
    </row>
    <row r="359" spans="2:10" x14ac:dyDescent="0.35">
      <c r="B359" s="102" t="s">
        <v>89</v>
      </c>
      <c r="C359" s="3">
        <v>5280</v>
      </c>
      <c r="D359" s="1" t="s">
        <v>90</v>
      </c>
      <c r="F359" s="27"/>
      <c r="G359" s="27"/>
      <c r="H359" s="27"/>
      <c r="I359" s="27"/>
      <c r="J359" s="74"/>
    </row>
    <row r="360" spans="2:10" x14ac:dyDescent="0.35">
      <c r="B360" s="102" t="s">
        <v>86</v>
      </c>
      <c r="C360" s="3" t="s">
        <v>92</v>
      </c>
      <c r="D360" s="1"/>
      <c r="F360" s="27"/>
      <c r="G360" s="27"/>
      <c r="H360" s="27"/>
      <c r="I360" s="27"/>
      <c r="J360" s="74"/>
    </row>
    <row r="361" spans="2:10" x14ac:dyDescent="0.35">
      <c r="B361" s="102" t="s">
        <v>42</v>
      </c>
      <c r="C361" s="130">
        <f>60*C352 * C358 / (C353 * 5280)</f>
        <v>9.165424739195231</v>
      </c>
      <c r="D361" s="1" t="s">
        <v>93</v>
      </c>
      <c r="F361" s="27"/>
      <c r="G361" s="27"/>
      <c r="H361" s="27"/>
      <c r="I361" s="27"/>
      <c r="J361" s="74"/>
    </row>
    <row r="362" spans="2:10" x14ac:dyDescent="0.35">
      <c r="B362" s="25"/>
      <c r="C362" s="25"/>
      <c r="F362" s="27"/>
      <c r="G362" s="27"/>
      <c r="H362" s="27"/>
      <c r="I362" s="27"/>
      <c r="J362" s="74"/>
    </row>
    <row r="363" spans="2:10" x14ac:dyDescent="0.35">
      <c r="B363" s="78"/>
      <c r="C363" s="79"/>
      <c r="D363" s="77"/>
      <c r="E363" s="77"/>
      <c r="F363" s="27"/>
      <c r="G363" s="27"/>
      <c r="H363" s="27"/>
      <c r="I363" s="27"/>
      <c r="J363" s="74"/>
    </row>
    <row r="364" spans="2:10" x14ac:dyDescent="0.35">
      <c r="F364" s="27"/>
      <c r="G364" s="27"/>
      <c r="H364" s="27"/>
      <c r="I364" s="27"/>
      <c r="J364" s="74"/>
    </row>
    <row r="365" spans="2:10" x14ac:dyDescent="0.35">
      <c r="B365" s="7"/>
      <c r="F365" s="27"/>
      <c r="G365" s="27"/>
      <c r="H365" s="27"/>
      <c r="I365" s="27"/>
      <c r="J365" s="74"/>
    </row>
    <row r="366" spans="2:10" x14ac:dyDescent="0.35">
      <c r="C366" s="73" t="s">
        <v>631</v>
      </c>
      <c r="F366" s="27"/>
      <c r="G366" s="27"/>
      <c r="H366" s="27"/>
      <c r="I366" s="27"/>
      <c r="J366" s="74"/>
    </row>
    <row r="367" spans="2:10" x14ac:dyDescent="0.35">
      <c r="F367" s="27"/>
      <c r="G367" s="27"/>
      <c r="H367" s="27"/>
      <c r="I367" s="27"/>
      <c r="J367" s="74"/>
    </row>
    <row r="368" spans="2:10" x14ac:dyDescent="0.35">
      <c r="G368" s="27"/>
      <c r="H368" s="27"/>
      <c r="I368" s="27"/>
      <c r="J368" s="74"/>
    </row>
    <row r="369" spans="7:10" x14ac:dyDescent="0.35">
      <c r="G369" s="27"/>
      <c r="H369" s="27"/>
      <c r="I369" s="27"/>
      <c r="J369" s="74"/>
    </row>
    <row r="370" spans="7:10" x14ac:dyDescent="0.35">
      <c r="G370" s="27"/>
      <c r="H370" s="27"/>
      <c r="I370" s="27"/>
      <c r="J370" s="74"/>
    </row>
    <row r="371" spans="7:10" x14ac:dyDescent="0.35">
      <c r="G371" s="27"/>
      <c r="H371" s="27"/>
      <c r="I371" s="27"/>
      <c r="J371" s="74"/>
    </row>
    <row r="372" spans="7:10" x14ac:dyDescent="0.35">
      <c r="H372" s="27"/>
      <c r="I372" s="27"/>
      <c r="J372" s="74"/>
    </row>
    <row r="373" spans="7:10" x14ac:dyDescent="0.35">
      <c r="H373" s="27"/>
      <c r="I373" s="27"/>
      <c r="J373" s="74"/>
    </row>
    <row r="374" spans="7:10" x14ac:dyDescent="0.35">
      <c r="H374" s="27"/>
      <c r="I374" s="27"/>
      <c r="J374" s="74"/>
    </row>
    <row r="375" spans="7:10" x14ac:dyDescent="0.35">
      <c r="H375" s="27"/>
      <c r="I375" s="27"/>
      <c r="J375" s="74"/>
    </row>
    <row r="376" spans="7:10" x14ac:dyDescent="0.35">
      <c r="G376" s="27"/>
      <c r="H376" s="27"/>
      <c r="I376" s="27"/>
      <c r="J376" s="74"/>
    </row>
    <row r="377" spans="7:10" x14ac:dyDescent="0.35">
      <c r="G377" s="27"/>
      <c r="H377" s="27"/>
      <c r="I377" s="27"/>
      <c r="J377" s="74"/>
    </row>
    <row r="378" spans="7:10" x14ac:dyDescent="0.35">
      <c r="G378" s="27"/>
      <c r="H378" s="27"/>
      <c r="I378" s="27"/>
      <c r="J378" s="74"/>
    </row>
    <row r="379" spans="7:10" x14ac:dyDescent="0.35">
      <c r="G379" s="27"/>
      <c r="H379" s="27"/>
      <c r="I379" s="27"/>
      <c r="J379" s="74"/>
    </row>
    <row r="380" spans="7:10" x14ac:dyDescent="0.35">
      <c r="G380" s="27"/>
      <c r="H380" s="27"/>
      <c r="I380" s="27"/>
      <c r="J380" s="74"/>
    </row>
    <row r="381" spans="7:10" x14ac:dyDescent="0.35">
      <c r="G381" s="27"/>
      <c r="H381" s="27"/>
      <c r="I381" s="27"/>
      <c r="J381" s="74"/>
    </row>
    <row r="382" spans="7:10" x14ac:dyDescent="0.35">
      <c r="G382" s="27"/>
      <c r="H382" s="27"/>
      <c r="I382" s="27"/>
      <c r="J382" s="74"/>
    </row>
    <row r="383" spans="7:10" x14ac:dyDescent="0.35">
      <c r="G383" s="27"/>
      <c r="H383" s="27"/>
      <c r="I383" s="27"/>
      <c r="J383" s="74"/>
    </row>
    <row r="384" spans="7:10" x14ac:dyDescent="0.35">
      <c r="G384" s="27"/>
      <c r="H384" s="27"/>
      <c r="I384" s="27"/>
      <c r="J384" s="74"/>
    </row>
    <row r="385" spans="6:10" x14ac:dyDescent="0.35">
      <c r="G385" s="27"/>
      <c r="H385" s="27"/>
      <c r="I385" s="27"/>
      <c r="J385" s="74"/>
    </row>
    <row r="386" spans="6:10" x14ac:dyDescent="0.35">
      <c r="G386" s="27"/>
      <c r="H386" s="27"/>
      <c r="I386" s="27"/>
      <c r="J386" s="74"/>
    </row>
    <row r="387" spans="6:10" x14ac:dyDescent="0.35">
      <c r="G387" s="27"/>
      <c r="H387" s="27"/>
      <c r="I387" s="27"/>
      <c r="J387" s="74"/>
    </row>
    <row r="388" spans="6:10" x14ac:dyDescent="0.35">
      <c r="G388" s="27"/>
      <c r="H388" s="27"/>
      <c r="I388" s="27"/>
      <c r="J388" s="74"/>
    </row>
    <row r="389" spans="6:10" x14ac:dyDescent="0.35">
      <c r="G389" s="27"/>
      <c r="H389" s="27"/>
      <c r="I389" s="27"/>
      <c r="J389" s="74"/>
    </row>
    <row r="390" spans="6:10" x14ac:dyDescent="0.35">
      <c r="G390" s="27"/>
      <c r="H390" s="27"/>
      <c r="I390" s="27"/>
      <c r="J390" s="74"/>
    </row>
    <row r="391" spans="6:10" x14ac:dyDescent="0.35">
      <c r="G391" s="27"/>
      <c r="H391" s="27"/>
      <c r="I391" s="27"/>
      <c r="J391" s="74"/>
    </row>
    <row r="392" spans="6:10" x14ac:dyDescent="0.35">
      <c r="G392" s="27"/>
      <c r="H392" s="27"/>
      <c r="I392" s="27"/>
      <c r="J392" s="74"/>
    </row>
    <row r="393" spans="6:10" x14ac:dyDescent="0.35">
      <c r="G393" s="27"/>
      <c r="H393" s="27"/>
      <c r="I393" s="27"/>
      <c r="J393" s="74"/>
    </row>
    <row r="394" spans="6:10" x14ac:dyDescent="0.35">
      <c r="G394" s="27"/>
      <c r="H394" s="27"/>
      <c r="I394" s="27"/>
      <c r="J394" s="74"/>
    </row>
    <row r="395" spans="6:10" x14ac:dyDescent="0.35">
      <c r="G395" s="27"/>
      <c r="H395" s="27"/>
      <c r="I395" s="27"/>
      <c r="J395" s="74"/>
    </row>
    <row r="396" spans="6:10" x14ac:dyDescent="0.35">
      <c r="G396" s="27"/>
      <c r="H396" s="27"/>
      <c r="I396" s="27"/>
      <c r="J396" s="74"/>
    </row>
    <row r="397" spans="6:10" x14ac:dyDescent="0.35">
      <c r="F397" s="27"/>
      <c r="G397" s="27"/>
      <c r="H397" s="27"/>
      <c r="I397" s="27"/>
      <c r="J397" s="74"/>
    </row>
    <row r="398" spans="6:10" x14ac:dyDescent="0.35">
      <c r="F398" s="27"/>
      <c r="G398" s="27"/>
      <c r="H398" s="27"/>
      <c r="I398" s="27"/>
      <c r="J398" s="74"/>
    </row>
    <row r="399" spans="6:10" x14ac:dyDescent="0.35">
      <c r="H399" s="27"/>
      <c r="I399" s="27"/>
      <c r="J399" s="74"/>
    </row>
    <row r="400" spans="6:10" x14ac:dyDescent="0.35">
      <c r="H400" s="27"/>
      <c r="I400" s="27"/>
      <c r="J400" s="74"/>
    </row>
    <row r="401" spans="8:10" x14ac:dyDescent="0.35">
      <c r="H401" s="27"/>
      <c r="I401" s="27"/>
      <c r="J401" s="74"/>
    </row>
    <row r="402" spans="8:10" x14ac:dyDescent="0.35">
      <c r="H402" s="27"/>
      <c r="I402" s="27"/>
      <c r="J402" s="74"/>
    </row>
    <row r="403" spans="8:10" x14ac:dyDescent="0.35">
      <c r="H403" s="27"/>
      <c r="I403" s="27"/>
      <c r="J403" s="74"/>
    </row>
    <row r="404" spans="8:10" x14ac:dyDescent="0.35">
      <c r="H404" s="27"/>
      <c r="I404" s="27"/>
      <c r="J404" s="74"/>
    </row>
    <row r="405" spans="8:10" x14ac:dyDescent="0.35">
      <c r="H405" s="27"/>
      <c r="I405" s="27"/>
      <c r="J405" s="74"/>
    </row>
    <row r="406" spans="8:10" x14ac:dyDescent="0.35">
      <c r="H406" s="27"/>
      <c r="I406" s="27"/>
      <c r="J406" s="74"/>
    </row>
    <row r="407" spans="8:10" x14ac:dyDescent="0.35">
      <c r="H407" s="27"/>
      <c r="I407" s="27"/>
      <c r="J407" s="74"/>
    </row>
    <row r="408" spans="8:10" x14ac:dyDescent="0.35">
      <c r="H408" s="27"/>
      <c r="I408" s="27"/>
      <c r="J408" s="74"/>
    </row>
    <row r="409" spans="8:10" x14ac:dyDescent="0.35">
      <c r="H409" s="27"/>
      <c r="I409" s="27"/>
      <c r="J409" s="74"/>
    </row>
    <row r="410" spans="8:10" x14ac:dyDescent="0.35">
      <c r="I410" s="27"/>
      <c r="J410" s="74"/>
    </row>
    <row r="411" spans="8:10" x14ac:dyDescent="0.35">
      <c r="I411" s="27"/>
      <c r="J411" s="74"/>
    </row>
    <row r="412" spans="8:10" x14ac:dyDescent="0.35">
      <c r="I412" s="27"/>
      <c r="J412" s="74"/>
    </row>
    <row r="413" spans="8:10" x14ac:dyDescent="0.35">
      <c r="I413" s="27"/>
      <c r="J413" s="74"/>
    </row>
    <row r="414" spans="8:10" x14ac:dyDescent="0.35">
      <c r="I414" s="27"/>
      <c r="J414" s="74"/>
    </row>
    <row r="415" spans="8:10" x14ac:dyDescent="0.35">
      <c r="I415" s="27"/>
      <c r="J415" s="74"/>
    </row>
    <row r="416" spans="8:10" x14ac:dyDescent="0.35">
      <c r="I416" s="27"/>
      <c r="J416" s="74"/>
    </row>
    <row r="417" spans="8:10" x14ac:dyDescent="0.35">
      <c r="I417" s="27"/>
      <c r="J417" s="74"/>
    </row>
    <row r="418" spans="8:10" x14ac:dyDescent="0.35">
      <c r="I418" s="27"/>
      <c r="J418" s="74"/>
    </row>
    <row r="419" spans="8:10" x14ac:dyDescent="0.35">
      <c r="I419" s="27"/>
      <c r="J419" s="74"/>
    </row>
    <row r="420" spans="8:10" x14ac:dyDescent="0.35">
      <c r="I420" s="27"/>
      <c r="J420" s="74"/>
    </row>
    <row r="421" spans="8:10" x14ac:dyDescent="0.35">
      <c r="I421" s="27"/>
      <c r="J421" s="74"/>
    </row>
    <row r="422" spans="8:10" x14ac:dyDescent="0.35">
      <c r="H422" s="27"/>
      <c r="I422" s="27"/>
      <c r="J422" s="74"/>
    </row>
  </sheetData>
  <sheetProtection sheet="1" objects="1" scenarios="1" selectLockedCells="1"/>
  <hyperlinks>
    <hyperlink ref="C206" r:id="rId1" xr:uid="{00000000-0004-0000-0100-000000000000}"/>
  </hyperlinks>
  <printOptions gridLines="1"/>
  <pageMargins left="0.7" right="0.7" top="0.75" bottom="0.75" header="0.3" footer="0.3"/>
  <pageSetup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43"/>
  <sheetViews>
    <sheetView zoomScaleNormal="100" workbookViewId="0">
      <selection activeCell="H1" sqref="H1"/>
    </sheetView>
  </sheetViews>
  <sheetFormatPr defaultRowHeight="15.5" x14ac:dyDescent="0.35"/>
  <cols>
    <col min="1" max="1" width="7.08984375" style="34" customWidth="1"/>
    <col min="2" max="2" width="47" style="25" customWidth="1"/>
    <col min="3" max="3" width="14.81640625" style="25" customWidth="1"/>
    <col min="4" max="4" width="8.7265625" style="25"/>
    <col min="5" max="5" width="12" style="25" customWidth="1"/>
    <col min="6" max="6" width="24.26953125" style="25" customWidth="1"/>
    <col min="7" max="7" width="8.7265625" style="25"/>
    <col min="8" max="8" width="15.1796875" style="25" customWidth="1"/>
    <col min="9" max="9" width="12.7265625" style="25" customWidth="1"/>
    <col min="10" max="10" width="13" style="25" customWidth="1"/>
    <col min="11" max="16384" width="8.7265625" style="25"/>
  </cols>
  <sheetData>
    <row r="1" spans="1:11" ht="20" x14ac:dyDescent="0.4">
      <c r="A1" s="138"/>
      <c r="B1" s="137" t="s">
        <v>255</v>
      </c>
      <c r="C1" s="73"/>
      <c r="G1" s="27"/>
      <c r="H1" s="27"/>
      <c r="I1" s="27"/>
      <c r="J1" s="27"/>
      <c r="K1" s="27"/>
    </row>
    <row r="2" spans="1:11" x14ac:dyDescent="0.35">
      <c r="A2" s="139"/>
      <c r="B2" s="7"/>
      <c r="C2" s="73"/>
      <c r="G2" s="27"/>
      <c r="H2" s="27"/>
      <c r="I2" s="27"/>
      <c r="J2" s="27"/>
      <c r="K2" s="27"/>
    </row>
    <row r="3" spans="1:11" x14ac:dyDescent="0.35">
      <c r="B3" s="76"/>
      <c r="C3" s="73"/>
      <c r="G3" s="27"/>
      <c r="H3" s="27"/>
      <c r="I3" s="27"/>
      <c r="J3" s="27"/>
      <c r="K3" s="27"/>
    </row>
    <row r="4" spans="1:11" ht="18" x14ac:dyDescent="0.4">
      <c r="B4" s="245" t="s">
        <v>157</v>
      </c>
      <c r="C4" s="68"/>
      <c r="D4" s="26"/>
      <c r="E4" s="26"/>
      <c r="F4" s="26"/>
      <c r="G4" s="27"/>
      <c r="H4" s="27"/>
      <c r="I4" s="27"/>
      <c r="J4" s="27"/>
      <c r="K4" s="27"/>
    </row>
    <row r="5" spans="1:11" x14ac:dyDescent="0.35">
      <c r="B5" s="176"/>
      <c r="C5" s="68"/>
      <c r="D5" s="26"/>
      <c r="E5" s="26"/>
      <c r="F5" s="26"/>
      <c r="G5" s="27"/>
      <c r="H5" s="27"/>
      <c r="I5" s="27"/>
      <c r="J5" s="27"/>
      <c r="K5" s="27"/>
    </row>
    <row r="6" spans="1:11" x14ac:dyDescent="0.35">
      <c r="B6" s="176"/>
      <c r="C6" s="68"/>
      <c r="D6" s="26"/>
      <c r="E6" s="26"/>
      <c r="F6" s="26"/>
      <c r="G6" s="27"/>
      <c r="H6" s="27"/>
      <c r="I6" s="27"/>
      <c r="J6" s="27"/>
      <c r="K6" s="27"/>
    </row>
    <row r="7" spans="1:11" x14ac:dyDescent="0.35">
      <c r="B7" s="176"/>
      <c r="C7" s="68"/>
      <c r="D7" s="26"/>
      <c r="E7" s="26"/>
      <c r="F7" s="26"/>
      <c r="G7" s="27"/>
      <c r="H7" s="27"/>
      <c r="I7" s="27"/>
      <c r="J7" s="27"/>
      <c r="K7" s="27"/>
    </row>
    <row r="8" spans="1:11" x14ac:dyDescent="0.35">
      <c r="B8" s="176"/>
      <c r="C8" s="68"/>
      <c r="D8" s="26"/>
      <c r="E8" s="26"/>
      <c r="F8" s="26"/>
      <c r="G8" s="27"/>
      <c r="H8" s="27"/>
      <c r="I8" s="27"/>
      <c r="J8" s="27"/>
      <c r="K8" s="27"/>
    </row>
    <row r="9" spans="1:11" x14ac:dyDescent="0.35">
      <c r="B9" s="176"/>
      <c r="C9" s="68"/>
      <c r="D9" s="26"/>
      <c r="E9" s="26"/>
      <c r="F9" s="26"/>
      <c r="G9" s="27"/>
      <c r="H9" s="27"/>
      <c r="I9" s="27"/>
      <c r="J9" s="27"/>
      <c r="K9" s="27"/>
    </row>
    <row r="10" spans="1:11" x14ac:dyDescent="0.35">
      <c r="B10" s="176"/>
      <c r="C10" s="68"/>
      <c r="D10" s="26"/>
      <c r="E10" s="26"/>
      <c r="F10" s="26"/>
      <c r="G10" s="27"/>
      <c r="H10" s="27"/>
      <c r="I10" s="27"/>
      <c r="J10" s="27"/>
      <c r="K10" s="27"/>
    </row>
    <row r="11" spans="1:11" x14ac:dyDescent="0.35">
      <c r="B11" s="176"/>
      <c r="C11" s="68"/>
      <c r="D11" s="26"/>
      <c r="E11" s="26"/>
      <c r="F11" s="26"/>
      <c r="G11" s="27"/>
      <c r="H11" s="27"/>
      <c r="I11" s="27"/>
      <c r="J11" s="27"/>
      <c r="K11" s="27"/>
    </row>
    <row r="12" spans="1:11" x14ac:dyDescent="0.35">
      <c r="B12" s="176"/>
      <c r="C12" s="68"/>
      <c r="D12" s="26"/>
      <c r="E12" s="26"/>
      <c r="F12" s="26"/>
      <c r="G12" s="27"/>
      <c r="H12" s="27"/>
      <c r="I12" s="27"/>
      <c r="J12" s="27"/>
      <c r="K12" s="27"/>
    </row>
    <row r="13" spans="1:11" x14ac:dyDescent="0.35">
      <c r="B13" s="176"/>
      <c r="C13" s="68"/>
      <c r="D13" s="26"/>
      <c r="E13" s="26"/>
      <c r="F13" s="26"/>
      <c r="G13" s="27"/>
      <c r="H13" s="27"/>
      <c r="I13" s="27"/>
      <c r="J13" s="27"/>
      <c r="K13" s="27"/>
    </row>
    <row r="14" spans="1:11" x14ac:dyDescent="0.35">
      <c r="B14" s="176"/>
      <c r="C14" s="68"/>
      <c r="D14" s="26"/>
      <c r="E14" s="26"/>
      <c r="F14" s="26"/>
      <c r="G14" s="27"/>
      <c r="H14" s="27"/>
      <c r="I14" s="27"/>
      <c r="J14" s="27"/>
      <c r="K14" s="27"/>
    </row>
    <row r="15" spans="1:11" x14ac:dyDescent="0.35">
      <c r="B15" s="176"/>
      <c r="C15" s="68"/>
      <c r="D15" s="26"/>
      <c r="E15" s="26"/>
      <c r="F15" s="26"/>
      <c r="G15" s="27"/>
      <c r="H15" s="27"/>
      <c r="I15" s="27"/>
      <c r="J15" s="27"/>
      <c r="K15" s="27"/>
    </row>
    <row r="16" spans="1:11" x14ac:dyDescent="0.35">
      <c r="B16" s="176"/>
      <c r="C16" s="68"/>
      <c r="D16" s="26"/>
      <c r="E16" s="26"/>
      <c r="F16" s="26"/>
      <c r="G16" s="27"/>
      <c r="H16" s="27"/>
      <c r="I16" s="27"/>
      <c r="J16" s="27"/>
      <c r="K16" s="27"/>
    </row>
    <row r="17" spans="2:11" x14ac:dyDescent="0.35">
      <c r="B17" s="176"/>
      <c r="C17" s="68"/>
      <c r="D17" s="26"/>
      <c r="E17" s="26"/>
      <c r="F17" s="26"/>
      <c r="G17" s="27"/>
      <c r="H17" s="27"/>
      <c r="I17" s="27"/>
      <c r="J17" s="27"/>
      <c r="K17" s="27"/>
    </row>
    <row r="18" spans="2:11" x14ac:dyDescent="0.35">
      <c r="B18" s="176"/>
      <c r="C18" s="68"/>
      <c r="D18" s="26"/>
      <c r="E18" s="26"/>
      <c r="F18" s="26"/>
      <c r="G18" s="27"/>
      <c r="H18" s="27"/>
      <c r="I18" s="27"/>
      <c r="J18" s="27"/>
      <c r="K18" s="27"/>
    </row>
    <row r="19" spans="2:11" x14ac:dyDescent="0.35">
      <c r="B19" s="176"/>
      <c r="C19" s="68"/>
      <c r="D19" s="26"/>
      <c r="E19" s="26"/>
      <c r="F19" s="26"/>
      <c r="G19" s="27"/>
      <c r="H19" s="27"/>
      <c r="I19" s="27"/>
      <c r="J19" s="27"/>
      <c r="K19" s="27"/>
    </row>
    <row r="20" spans="2:11" x14ac:dyDescent="0.35">
      <c r="B20" s="176"/>
      <c r="C20" s="68"/>
      <c r="D20" s="26"/>
      <c r="E20" s="26"/>
      <c r="F20" s="26"/>
      <c r="G20" s="27"/>
      <c r="H20" s="27"/>
      <c r="I20" s="27"/>
      <c r="J20" s="27"/>
      <c r="K20" s="27"/>
    </row>
    <row r="21" spans="2:11" x14ac:dyDescent="0.35">
      <c r="B21" s="176"/>
      <c r="C21" s="68"/>
      <c r="D21" s="26"/>
      <c r="E21" s="26"/>
      <c r="F21" s="26"/>
      <c r="G21" s="27"/>
      <c r="H21" s="27"/>
      <c r="I21" s="27"/>
      <c r="J21" s="27"/>
      <c r="K21" s="27"/>
    </row>
    <row r="22" spans="2:11" x14ac:dyDescent="0.35">
      <c r="B22" s="176"/>
      <c r="C22" s="68"/>
      <c r="D22" s="26"/>
      <c r="E22" s="26"/>
      <c r="F22" s="26"/>
      <c r="G22" s="27"/>
      <c r="H22" s="27"/>
      <c r="I22" s="27"/>
      <c r="J22" s="27"/>
      <c r="K22" s="27"/>
    </row>
    <row r="23" spans="2:11" x14ac:dyDescent="0.35">
      <c r="B23" s="176"/>
      <c r="C23" s="68"/>
      <c r="D23" s="26"/>
      <c r="E23" s="26"/>
      <c r="F23" s="26"/>
      <c r="G23" s="27"/>
      <c r="H23" s="27"/>
      <c r="I23" s="27"/>
      <c r="J23" s="27"/>
      <c r="K23" s="27"/>
    </row>
    <row r="24" spans="2:11" x14ac:dyDescent="0.35">
      <c r="B24" s="176"/>
      <c r="C24" s="68"/>
      <c r="D24" s="26"/>
      <c r="E24" s="26"/>
      <c r="F24" s="26"/>
      <c r="G24" s="27"/>
      <c r="H24" s="27"/>
      <c r="I24" s="27"/>
      <c r="J24" s="27"/>
      <c r="K24" s="27"/>
    </row>
    <row r="25" spans="2:11" x14ac:dyDescent="0.35">
      <c r="B25" s="176"/>
      <c r="C25" s="68"/>
      <c r="D25" s="26"/>
      <c r="E25" s="26"/>
      <c r="F25" s="26"/>
      <c r="G25" s="27"/>
      <c r="H25" s="27"/>
      <c r="I25" s="27"/>
      <c r="J25" s="27"/>
      <c r="K25" s="27"/>
    </row>
    <row r="26" spans="2:11" x14ac:dyDescent="0.35">
      <c r="B26" s="176"/>
      <c r="C26" s="68"/>
      <c r="D26" s="26"/>
      <c r="E26" s="26"/>
      <c r="F26" s="26"/>
      <c r="G26" s="27"/>
      <c r="H26" s="27"/>
      <c r="I26" s="27"/>
      <c r="J26" s="27"/>
      <c r="K26" s="27"/>
    </row>
    <row r="27" spans="2:11" x14ac:dyDescent="0.35">
      <c r="G27" s="27"/>
      <c r="H27" s="27"/>
      <c r="I27" s="27"/>
      <c r="J27" s="27"/>
      <c r="K27" s="27"/>
    </row>
    <row r="28" spans="2:11" x14ac:dyDescent="0.35">
      <c r="G28" s="27"/>
      <c r="H28" s="27"/>
      <c r="I28" s="27"/>
      <c r="J28" s="27"/>
      <c r="K28" s="27"/>
    </row>
    <row r="29" spans="2:11" x14ac:dyDescent="0.35">
      <c r="G29" s="27"/>
      <c r="H29" s="27"/>
      <c r="I29" s="27"/>
      <c r="J29" s="27"/>
      <c r="K29" s="27"/>
    </row>
    <row r="30" spans="2:11" x14ac:dyDescent="0.35">
      <c r="G30" s="27"/>
      <c r="H30" s="27"/>
      <c r="I30" s="27"/>
      <c r="J30" s="27"/>
      <c r="K30" s="27"/>
    </row>
    <row r="31" spans="2:11" x14ac:dyDescent="0.35">
      <c r="G31" s="27"/>
      <c r="H31" s="27"/>
      <c r="I31" s="27"/>
      <c r="J31" s="27"/>
      <c r="K31" s="27"/>
    </row>
    <row r="32" spans="2:11" x14ac:dyDescent="0.35">
      <c r="G32" s="27"/>
      <c r="H32" s="27"/>
      <c r="I32" s="27"/>
      <c r="J32" s="27"/>
      <c r="K32" s="27"/>
    </row>
    <row r="33" spans="2:11" x14ac:dyDescent="0.35">
      <c r="G33" s="27"/>
      <c r="H33" s="27"/>
      <c r="I33" s="27"/>
      <c r="J33" s="27"/>
      <c r="K33" s="27"/>
    </row>
    <row r="34" spans="2:11" x14ac:dyDescent="0.35">
      <c r="G34" s="27"/>
      <c r="H34" s="27"/>
      <c r="I34" s="27"/>
      <c r="J34" s="27"/>
      <c r="K34" s="27"/>
    </row>
    <row r="35" spans="2:11" x14ac:dyDescent="0.35">
      <c r="G35" s="27"/>
      <c r="H35" s="27"/>
      <c r="I35" s="27"/>
      <c r="J35" s="27"/>
      <c r="K35" s="27"/>
    </row>
    <row r="36" spans="2:11" x14ac:dyDescent="0.35">
      <c r="G36" s="27"/>
      <c r="H36" s="27"/>
      <c r="I36" s="27"/>
      <c r="J36" s="27"/>
      <c r="K36" s="27"/>
    </row>
    <row r="37" spans="2:11" x14ac:dyDescent="0.35">
      <c r="G37" s="27"/>
      <c r="H37" s="27"/>
      <c r="I37" s="27"/>
      <c r="J37" s="27"/>
      <c r="K37" s="27"/>
    </row>
    <row r="38" spans="2:11" x14ac:dyDescent="0.35">
      <c r="G38" s="27"/>
      <c r="H38" s="27"/>
      <c r="I38" s="27"/>
      <c r="J38" s="27"/>
      <c r="K38" s="27"/>
    </row>
    <row r="39" spans="2:11" x14ac:dyDescent="0.35">
      <c r="B39" s="176"/>
      <c r="C39" s="68"/>
      <c r="D39" s="26"/>
      <c r="E39" s="26"/>
      <c r="F39" s="26"/>
      <c r="G39" s="27"/>
      <c r="H39" s="27"/>
      <c r="I39" s="27"/>
      <c r="J39" s="27"/>
      <c r="K39" s="27"/>
    </row>
    <row r="40" spans="2:11" x14ac:dyDescent="0.35">
      <c r="B40" s="176"/>
      <c r="C40" s="68"/>
      <c r="D40" s="26"/>
      <c r="E40" s="26"/>
      <c r="F40" s="26"/>
      <c r="G40" s="27"/>
      <c r="H40" s="27"/>
      <c r="I40" s="27"/>
      <c r="J40" s="27"/>
      <c r="K40" s="27"/>
    </row>
    <row r="41" spans="2:11" x14ac:dyDescent="0.35">
      <c r="B41" s="176"/>
      <c r="C41" s="68"/>
      <c r="D41" s="26"/>
      <c r="E41" s="26"/>
      <c r="F41" s="26"/>
      <c r="G41" s="27"/>
      <c r="H41" s="27"/>
      <c r="I41" s="27"/>
      <c r="J41" s="27"/>
      <c r="K41" s="27"/>
    </row>
    <row r="42" spans="2:11" x14ac:dyDescent="0.35">
      <c r="B42" s="176"/>
      <c r="C42" s="68"/>
      <c r="D42" s="26"/>
      <c r="E42" s="26"/>
      <c r="F42" s="26"/>
      <c r="G42" s="27"/>
      <c r="H42" s="27"/>
      <c r="I42" s="27"/>
      <c r="J42" s="27"/>
      <c r="K42" s="27"/>
    </row>
    <row r="43" spans="2:11" x14ac:dyDescent="0.35">
      <c r="B43" s="176"/>
      <c r="C43" s="68"/>
      <c r="D43" s="26"/>
      <c r="E43" s="26"/>
      <c r="F43" s="26"/>
      <c r="G43" s="27"/>
      <c r="H43" s="27"/>
      <c r="I43" s="27"/>
      <c r="J43" s="27"/>
      <c r="K43" s="27"/>
    </row>
    <row r="44" spans="2:11" x14ac:dyDescent="0.35">
      <c r="B44" s="176"/>
      <c r="C44" s="68"/>
      <c r="D44" s="26"/>
      <c r="E44" s="26"/>
      <c r="F44" s="26"/>
      <c r="G44" s="27"/>
      <c r="H44" s="27"/>
      <c r="I44" s="27"/>
      <c r="J44" s="27"/>
      <c r="K44" s="27"/>
    </row>
    <row r="45" spans="2:11" x14ac:dyDescent="0.35">
      <c r="B45" s="176"/>
      <c r="C45" s="68"/>
      <c r="D45" s="26"/>
      <c r="E45" s="26"/>
      <c r="F45" s="26"/>
      <c r="G45" s="27"/>
      <c r="H45" s="27"/>
      <c r="I45" s="27"/>
      <c r="J45" s="27"/>
      <c r="K45" s="27"/>
    </row>
    <row r="46" spans="2:11" x14ac:dyDescent="0.35">
      <c r="B46" s="176"/>
      <c r="C46" s="68"/>
      <c r="D46" s="26"/>
      <c r="E46" s="26"/>
      <c r="F46" s="26"/>
      <c r="G46" s="27"/>
      <c r="H46" s="27"/>
      <c r="I46" s="27"/>
      <c r="J46" s="27"/>
      <c r="K46" s="27"/>
    </row>
    <row r="47" spans="2:11" x14ac:dyDescent="0.35">
      <c r="B47" s="176"/>
      <c r="C47" s="68"/>
      <c r="D47" s="26"/>
      <c r="E47" s="26"/>
      <c r="F47" s="26"/>
      <c r="G47" s="27"/>
      <c r="H47" s="27"/>
      <c r="I47" s="27"/>
      <c r="J47" s="27"/>
      <c r="K47" s="27"/>
    </row>
    <row r="48" spans="2:11" x14ac:dyDescent="0.35">
      <c r="B48" s="176"/>
      <c r="C48" s="68"/>
      <c r="D48" s="26"/>
      <c r="E48" s="26"/>
      <c r="F48" s="26"/>
      <c r="G48" s="27"/>
      <c r="H48" s="27"/>
      <c r="I48" s="27"/>
      <c r="J48" s="27"/>
      <c r="K48" s="27"/>
    </row>
    <row r="49" spans="2:11" x14ac:dyDescent="0.35">
      <c r="B49" s="176"/>
      <c r="C49" s="68"/>
      <c r="D49" s="26"/>
      <c r="E49" s="26"/>
      <c r="F49" s="26"/>
      <c r="G49" s="27"/>
      <c r="H49" s="27"/>
      <c r="I49" s="27"/>
      <c r="J49" s="27"/>
      <c r="K49" s="27"/>
    </row>
    <row r="50" spans="2:11" x14ac:dyDescent="0.35">
      <c r="B50" s="176"/>
      <c r="C50" s="68"/>
      <c r="D50" s="26"/>
      <c r="E50" s="26"/>
      <c r="F50" s="26"/>
      <c r="G50" s="27"/>
      <c r="H50" s="27"/>
      <c r="I50" s="27"/>
      <c r="J50" s="27"/>
      <c r="K50" s="27"/>
    </row>
    <row r="51" spans="2:11" x14ac:dyDescent="0.35">
      <c r="B51" s="176"/>
      <c r="C51" s="68"/>
      <c r="D51" s="26"/>
      <c r="E51" s="26"/>
      <c r="F51" s="26"/>
      <c r="G51" s="27"/>
      <c r="H51" s="27"/>
      <c r="I51" s="27"/>
      <c r="J51" s="27"/>
      <c r="K51" s="27"/>
    </row>
    <row r="52" spans="2:11" x14ac:dyDescent="0.35">
      <c r="B52" s="176"/>
      <c r="C52" s="68"/>
      <c r="D52" s="26"/>
      <c r="E52" s="26"/>
      <c r="F52" s="26"/>
      <c r="G52" s="27"/>
      <c r="H52" s="27"/>
      <c r="I52" s="27"/>
      <c r="J52" s="27"/>
      <c r="K52" s="27"/>
    </row>
    <row r="53" spans="2:11" x14ac:dyDescent="0.35">
      <c r="B53" s="176"/>
      <c r="C53" s="68"/>
      <c r="D53" s="26"/>
      <c r="E53" s="26"/>
      <c r="F53" s="26"/>
      <c r="G53" s="27"/>
      <c r="H53" s="27"/>
      <c r="I53" s="27"/>
      <c r="J53" s="27"/>
      <c r="K53" s="27"/>
    </row>
    <row r="54" spans="2:11" x14ac:dyDescent="0.35">
      <c r="B54" s="176"/>
      <c r="C54" s="68"/>
      <c r="D54" s="26"/>
      <c r="E54" s="26"/>
      <c r="F54" s="26"/>
      <c r="G54" s="27"/>
      <c r="H54" s="27"/>
      <c r="I54" s="27"/>
      <c r="J54" s="27"/>
      <c r="K54" s="27"/>
    </row>
    <row r="55" spans="2:11" x14ac:dyDescent="0.35">
      <c r="B55" s="176"/>
      <c r="C55" s="68"/>
      <c r="D55" s="26"/>
      <c r="E55" s="26"/>
      <c r="F55" s="26"/>
      <c r="G55" s="27"/>
      <c r="H55" s="27"/>
      <c r="I55" s="27"/>
      <c r="J55" s="27"/>
      <c r="K55" s="27"/>
    </row>
    <row r="56" spans="2:11" x14ac:dyDescent="0.35">
      <c r="B56" s="176"/>
      <c r="C56" s="68"/>
      <c r="D56" s="26"/>
      <c r="E56" s="26"/>
      <c r="F56" s="26"/>
      <c r="G56" s="27"/>
      <c r="H56" s="27"/>
      <c r="I56" s="27"/>
      <c r="J56" s="27"/>
      <c r="K56" s="27"/>
    </row>
    <row r="57" spans="2:11" x14ac:dyDescent="0.35">
      <c r="B57" s="176"/>
      <c r="C57" s="68"/>
      <c r="D57" s="26"/>
      <c r="E57" s="26"/>
      <c r="F57" s="26"/>
      <c r="G57" s="27"/>
      <c r="H57" s="27"/>
      <c r="I57" s="27"/>
      <c r="J57" s="27"/>
      <c r="K57" s="27"/>
    </row>
    <row r="58" spans="2:11" x14ac:dyDescent="0.35">
      <c r="B58" s="176"/>
      <c r="C58" s="68"/>
      <c r="D58" s="26"/>
      <c r="E58" s="26"/>
      <c r="F58" s="26"/>
      <c r="G58" s="27"/>
      <c r="H58" s="27"/>
      <c r="I58" s="27"/>
      <c r="J58" s="27"/>
      <c r="K58" s="27"/>
    </row>
    <row r="59" spans="2:11" x14ac:dyDescent="0.35">
      <c r="B59" s="176"/>
      <c r="C59" s="68"/>
      <c r="D59" s="26"/>
      <c r="E59" s="26"/>
      <c r="F59" s="26"/>
      <c r="G59" s="27"/>
      <c r="H59" s="27"/>
      <c r="I59" s="27"/>
      <c r="J59" s="27"/>
      <c r="K59" s="27"/>
    </row>
    <row r="60" spans="2:11" x14ac:dyDescent="0.35">
      <c r="B60" s="176"/>
      <c r="C60" s="68"/>
      <c r="D60" s="26"/>
      <c r="E60" s="26"/>
      <c r="F60" s="26"/>
      <c r="G60" s="27"/>
      <c r="H60" s="27"/>
      <c r="I60" s="27"/>
      <c r="J60" s="27"/>
      <c r="K60" s="27"/>
    </row>
    <row r="61" spans="2:11" x14ac:dyDescent="0.35">
      <c r="B61" s="176"/>
      <c r="C61" s="68"/>
      <c r="D61" s="26"/>
      <c r="E61" s="26"/>
      <c r="F61" s="26"/>
      <c r="G61" s="27"/>
      <c r="H61" s="27"/>
      <c r="I61" s="27"/>
      <c r="J61" s="27"/>
      <c r="K61" s="27"/>
    </row>
    <row r="62" spans="2:11" x14ac:dyDescent="0.35">
      <c r="B62" s="176"/>
      <c r="C62" s="68"/>
      <c r="D62" s="26"/>
      <c r="E62" s="26"/>
      <c r="F62" s="26"/>
      <c r="G62" s="27"/>
      <c r="H62" s="27"/>
      <c r="I62" s="27"/>
      <c r="J62" s="27"/>
      <c r="K62" s="27"/>
    </row>
    <row r="63" spans="2:11" x14ac:dyDescent="0.35">
      <c r="B63" s="176"/>
      <c r="C63" s="68"/>
      <c r="D63" s="26"/>
      <c r="E63" s="26"/>
      <c r="F63" s="26"/>
      <c r="G63" s="27"/>
      <c r="H63" s="27"/>
      <c r="I63" s="27"/>
      <c r="J63" s="27"/>
      <c r="K63" s="27"/>
    </row>
    <row r="64" spans="2:11" x14ac:dyDescent="0.35">
      <c r="B64" s="176"/>
      <c r="C64" s="68"/>
      <c r="D64" s="26"/>
      <c r="E64" s="26"/>
      <c r="F64" s="26"/>
      <c r="G64" s="27"/>
      <c r="H64" s="27"/>
      <c r="I64" s="27"/>
      <c r="J64" s="27"/>
      <c r="K64" s="27"/>
    </row>
    <row r="65" spans="2:11" x14ac:dyDescent="0.35">
      <c r="B65" s="176"/>
      <c r="C65" s="68"/>
      <c r="D65" s="26"/>
      <c r="E65" s="26"/>
      <c r="F65" s="26"/>
      <c r="G65" s="27"/>
      <c r="H65" s="27"/>
      <c r="I65" s="27"/>
      <c r="J65" s="27"/>
      <c r="K65" s="27"/>
    </row>
    <row r="66" spans="2:11" x14ac:dyDescent="0.35">
      <c r="B66" s="176"/>
      <c r="C66" s="68"/>
      <c r="D66" s="26"/>
      <c r="E66" s="26"/>
      <c r="F66" s="26"/>
      <c r="G66" s="27"/>
      <c r="H66" s="27"/>
      <c r="I66" s="27"/>
      <c r="J66" s="27"/>
      <c r="K66" s="27"/>
    </row>
    <row r="67" spans="2:11" x14ac:dyDescent="0.35">
      <c r="B67" s="176"/>
      <c r="C67" s="68"/>
      <c r="D67" s="26"/>
      <c r="E67" s="26"/>
      <c r="F67" s="26"/>
      <c r="G67" s="27"/>
      <c r="H67" s="27"/>
      <c r="I67" s="27"/>
      <c r="J67" s="27"/>
      <c r="K67" s="27"/>
    </row>
    <row r="68" spans="2:11" x14ac:dyDescent="0.35">
      <c r="B68" s="176"/>
      <c r="C68" s="68"/>
      <c r="D68" s="26"/>
      <c r="E68" s="26"/>
      <c r="F68" s="26"/>
      <c r="G68" s="27"/>
      <c r="H68" s="27"/>
      <c r="I68" s="27"/>
      <c r="J68" s="27"/>
      <c r="K68" s="27"/>
    </row>
    <row r="69" spans="2:11" x14ac:dyDescent="0.35">
      <c r="B69" s="176"/>
      <c r="C69" s="68"/>
      <c r="D69" s="26"/>
      <c r="E69" s="26"/>
      <c r="F69" s="26"/>
      <c r="G69" s="27"/>
      <c r="H69" s="27"/>
      <c r="I69" s="27"/>
      <c r="J69" s="27"/>
      <c r="K69" s="27"/>
    </row>
    <row r="70" spans="2:11" x14ac:dyDescent="0.35">
      <c r="B70" s="176"/>
      <c r="C70" s="68"/>
      <c r="D70" s="26"/>
      <c r="E70" s="26"/>
      <c r="F70" s="26"/>
      <c r="G70" s="27"/>
      <c r="H70" s="27"/>
      <c r="I70" s="27"/>
      <c r="J70" s="27"/>
      <c r="K70" s="27"/>
    </row>
    <row r="71" spans="2:11" x14ac:dyDescent="0.35">
      <c r="B71" s="176"/>
      <c r="C71" s="68"/>
      <c r="D71" s="26"/>
      <c r="E71" s="26"/>
      <c r="F71" s="26"/>
      <c r="G71" s="27"/>
      <c r="H71" s="27"/>
      <c r="I71" s="27"/>
      <c r="J71" s="27"/>
      <c r="K71" s="27"/>
    </row>
    <row r="72" spans="2:11" x14ac:dyDescent="0.35">
      <c r="B72" s="176"/>
      <c r="C72" s="68"/>
      <c r="D72" s="26"/>
      <c r="E72" s="26"/>
      <c r="F72" s="26"/>
      <c r="G72" s="27"/>
      <c r="H72" s="27"/>
      <c r="I72" s="27"/>
      <c r="J72" s="27"/>
      <c r="K72" s="27"/>
    </row>
    <row r="73" spans="2:11" x14ac:dyDescent="0.35">
      <c r="B73" s="176"/>
      <c r="C73" s="68"/>
      <c r="D73" s="26"/>
      <c r="E73" s="26"/>
      <c r="F73" s="26"/>
      <c r="G73" s="27"/>
      <c r="H73" s="27"/>
      <c r="I73" s="27"/>
      <c r="J73" s="27"/>
      <c r="K73" s="27"/>
    </row>
    <row r="74" spans="2:11" x14ac:dyDescent="0.35">
      <c r="B74" s="176"/>
      <c r="C74" s="68"/>
      <c r="D74" s="26"/>
      <c r="E74" s="26"/>
      <c r="F74" s="26"/>
      <c r="G74" s="27"/>
      <c r="H74" s="27"/>
      <c r="I74" s="27"/>
      <c r="J74" s="27"/>
      <c r="K74" s="27"/>
    </row>
    <row r="75" spans="2:11" x14ac:dyDescent="0.35">
      <c r="B75" s="176"/>
      <c r="C75" s="68"/>
      <c r="D75" s="26"/>
      <c r="E75" s="26"/>
      <c r="F75" s="26"/>
      <c r="G75" s="27"/>
      <c r="H75" s="27"/>
      <c r="I75" s="27"/>
      <c r="J75" s="27"/>
      <c r="K75" s="27"/>
    </row>
    <row r="76" spans="2:11" x14ac:dyDescent="0.35">
      <c r="B76" s="176"/>
      <c r="C76" s="68"/>
      <c r="D76" s="26"/>
      <c r="E76" s="26"/>
      <c r="F76" s="26"/>
      <c r="G76" s="27"/>
      <c r="H76" s="27"/>
      <c r="I76" s="27"/>
      <c r="J76" s="27"/>
      <c r="K76" s="27"/>
    </row>
    <row r="77" spans="2:11" x14ac:dyDescent="0.35">
      <c r="B77" s="176"/>
      <c r="C77" s="68"/>
      <c r="D77" s="26"/>
      <c r="E77" s="26"/>
      <c r="F77" s="26"/>
      <c r="G77" s="27"/>
      <c r="H77" s="27"/>
      <c r="I77" s="27"/>
      <c r="J77" s="27"/>
      <c r="K77" s="27"/>
    </row>
    <row r="78" spans="2:11" x14ac:dyDescent="0.35">
      <c r="B78" s="176"/>
      <c r="C78" s="68"/>
      <c r="D78" s="26"/>
      <c r="E78" s="26"/>
      <c r="F78" s="26"/>
      <c r="G78" s="27"/>
      <c r="H78" s="27"/>
      <c r="I78" s="27"/>
      <c r="J78" s="27"/>
      <c r="K78" s="27"/>
    </row>
    <row r="79" spans="2:11" x14ac:dyDescent="0.35">
      <c r="B79" s="176"/>
      <c r="C79" s="68"/>
      <c r="D79" s="26"/>
      <c r="E79" s="26"/>
      <c r="F79" s="26"/>
      <c r="G79" s="27"/>
      <c r="H79" s="27"/>
      <c r="I79" s="27"/>
      <c r="J79" s="27"/>
      <c r="K79" s="27"/>
    </row>
    <row r="80" spans="2:11" x14ac:dyDescent="0.35">
      <c r="B80" s="176"/>
      <c r="C80" s="68"/>
      <c r="D80" s="26"/>
      <c r="E80" s="26"/>
      <c r="F80" s="26"/>
      <c r="G80" s="27"/>
      <c r="H80" s="27"/>
      <c r="I80" s="27"/>
      <c r="J80" s="27"/>
      <c r="K80" s="27"/>
    </row>
    <row r="81" spans="2:11" x14ac:dyDescent="0.35">
      <c r="B81" s="176"/>
      <c r="C81" s="68"/>
      <c r="D81" s="26"/>
      <c r="E81" s="26"/>
      <c r="F81" s="26"/>
      <c r="G81" s="27"/>
      <c r="H81" s="27"/>
      <c r="I81" s="27"/>
      <c r="J81" s="27"/>
      <c r="K81" s="27"/>
    </row>
    <row r="82" spans="2:11" x14ac:dyDescent="0.35">
      <c r="B82" s="176"/>
      <c r="C82" s="68"/>
      <c r="D82" s="26"/>
      <c r="E82" s="26"/>
      <c r="F82" s="26"/>
      <c r="G82" s="27"/>
      <c r="H82" s="27"/>
      <c r="I82" s="27"/>
      <c r="J82" s="27"/>
      <c r="K82" s="27"/>
    </row>
    <row r="83" spans="2:11" x14ac:dyDescent="0.35">
      <c r="B83" s="176"/>
      <c r="C83" s="68"/>
      <c r="D83" s="26"/>
      <c r="E83" s="26"/>
      <c r="F83" s="26"/>
      <c r="G83" s="27"/>
      <c r="H83" s="27"/>
      <c r="I83" s="27"/>
      <c r="J83" s="27"/>
      <c r="K83" s="27"/>
    </row>
    <row r="84" spans="2:11" x14ac:dyDescent="0.35">
      <c r="B84" s="176"/>
      <c r="C84" s="68"/>
      <c r="D84" s="26"/>
      <c r="E84" s="26"/>
      <c r="F84" s="26"/>
      <c r="G84" s="27"/>
      <c r="H84" s="27"/>
      <c r="I84" s="27"/>
      <c r="J84" s="27"/>
      <c r="K84" s="27"/>
    </row>
    <row r="85" spans="2:11" x14ac:dyDescent="0.35">
      <c r="B85" s="176"/>
      <c r="C85" s="68"/>
      <c r="D85" s="26"/>
      <c r="E85" s="26"/>
      <c r="F85" s="26"/>
      <c r="G85" s="27"/>
      <c r="H85" s="27"/>
      <c r="I85" s="27"/>
      <c r="J85" s="27"/>
      <c r="K85" s="27"/>
    </row>
    <row r="86" spans="2:11" x14ac:dyDescent="0.35">
      <c r="B86" s="176"/>
      <c r="C86" s="68"/>
      <c r="D86" s="26"/>
      <c r="E86" s="26"/>
      <c r="F86" s="26"/>
      <c r="G86" s="27"/>
      <c r="H86" s="27"/>
      <c r="I86" s="27"/>
      <c r="J86" s="27"/>
      <c r="K86" s="27"/>
    </row>
    <row r="87" spans="2:11" x14ac:dyDescent="0.35">
      <c r="B87" s="176"/>
      <c r="C87" s="68"/>
      <c r="D87" s="26"/>
      <c r="E87" s="26"/>
      <c r="F87" s="26"/>
      <c r="G87" s="27"/>
      <c r="H87" s="27"/>
      <c r="I87" s="27"/>
      <c r="J87" s="27"/>
      <c r="K87" s="27"/>
    </row>
    <row r="88" spans="2:11" x14ac:dyDescent="0.35">
      <c r="B88" s="176"/>
      <c r="C88" s="68"/>
      <c r="D88" s="26"/>
      <c r="E88" s="26"/>
      <c r="F88" s="26"/>
      <c r="G88" s="27"/>
      <c r="H88" s="27"/>
      <c r="I88" s="27"/>
      <c r="J88" s="27"/>
      <c r="K88" s="27"/>
    </row>
    <row r="89" spans="2:11" x14ac:dyDescent="0.35">
      <c r="B89" s="176"/>
      <c r="C89" s="68"/>
      <c r="D89" s="26"/>
      <c r="E89" s="26"/>
      <c r="F89" s="26"/>
      <c r="G89" s="27"/>
      <c r="H89" s="27"/>
      <c r="I89" s="27"/>
      <c r="J89" s="27"/>
      <c r="K89" s="27"/>
    </row>
    <row r="90" spans="2:11" x14ac:dyDescent="0.35">
      <c r="B90" s="176"/>
      <c r="C90" s="68"/>
      <c r="D90" s="26"/>
      <c r="E90" s="26"/>
      <c r="F90" s="26"/>
      <c r="G90" s="27"/>
      <c r="H90" s="27"/>
      <c r="I90" s="27"/>
      <c r="J90" s="27"/>
      <c r="K90" s="27"/>
    </row>
    <row r="91" spans="2:11" x14ac:dyDescent="0.35">
      <c r="B91" s="176"/>
      <c r="C91" s="68"/>
      <c r="D91" s="26"/>
      <c r="E91" s="26"/>
      <c r="F91" s="26"/>
      <c r="G91" s="27"/>
      <c r="H91" s="27"/>
      <c r="I91" s="27"/>
      <c r="J91" s="27"/>
      <c r="K91" s="27"/>
    </row>
    <row r="92" spans="2:11" x14ac:dyDescent="0.35">
      <c r="B92" s="176"/>
      <c r="C92" s="68"/>
      <c r="D92" s="26"/>
      <c r="E92" s="26"/>
      <c r="F92" s="26"/>
      <c r="G92" s="27"/>
      <c r="H92" s="27"/>
      <c r="I92" s="27"/>
      <c r="J92" s="27"/>
      <c r="K92" s="27"/>
    </row>
    <row r="93" spans="2:11" x14ac:dyDescent="0.35">
      <c r="B93" s="176"/>
      <c r="C93" s="68"/>
      <c r="D93" s="26"/>
      <c r="E93" s="26"/>
      <c r="F93" s="26"/>
      <c r="G93" s="27"/>
      <c r="H93" s="27"/>
      <c r="I93" s="27"/>
      <c r="J93" s="27"/>
      <c r="K93" s="27"/>
    </row>
    <row r="94" spans="2:11" x14ac:dyDescent="0.35">
      <c r="B94" s="176"/>
      <c r="C94" s="68"/>
      <c r="D94" s="26"/>
      <c r="E94" s="26"/>
      <c r="F94" s="26"/>
      <c r="G94" s="27"/>
      <c r="H94" s="27"/>
      <c r="I94" s="27"/>
      <c r="J94" s="27"/>
      <c r="K94" s="27"/>
    </row>
    <row r="95" spans="2:11" x14ac:dyDescent="0.35">
      <c r="B95" s="176"/>
      <c r="C95" s="68"/>
      <c r="D95" s="26"/>
      <c r="E95" s="26"/>
      <c r="F95" s="26"/>
      <c r="G95" s="27"/>
      <c r="H95" s="27"/>
      <c r="I95" s="27"/>
      <c r="J95" s="27"/>
      <c r="K95" s="27"/>
    </row>
    <row r="96" spans="2:11" x14ac:dyDescent="0.35">
      <c r="B96" s="176"/>
      <c r="C96" s="68"/>
      <c r="D96" s="26"/>
      <c r="E96" s="26"/>
      <c r="F96" s="26"/>
      <c r="G96" s="27"/>
      <c r="H96" s="27"/>
      <c r="I96" s="27"/>
      <c r="J96" s="27"/>
      <c r="K96" s="27"/>
    </row>
    <row r="97" spans="2:11" x14ac:dyDescent="0.35">
      <c r="B97" s="176"/>
      <c r="C97" s="68"/>
      <c r="D97" s="26"/>
      <c r="E97" s="26"/>
      <c r="F97" s="26"/>
      <c r="G97" s="27"/>
      <c r="H97" s="27"/>
      <c r="I97" s="27"/>
      <c r="J97" s="27"/>
      <c r="K97" s="27"/>
    </row>
    <row r="98" spans="2:11" x14ac:dyDescent="0.35">
      <c r="B98" s="176"/>
      <c r="C98" s="68"/>
      <c r="D98" s="26"/>
      <c r="E98" s="26"/>
      <c r="F98" s="26"/>
      <c r="G98" s="27"/>
      <c r="H98" s="27"/>
      <c r="I98" s="27"/>
      <c r="J98" s="27"/>
      <c r="K98" s="27"/>
    </row>
    <row r="99" spans="2:11" x14ac:dyDescent="0.35">
      <c r="B99" s="176"/>
      <c r="C99" s="68"/>
      <c r="D99" s="26"/>
      <c r="E99" s="26"/>
      <c r="F99" s="26"/>
      <c r="G99" s="27"/>
      <c r="H99" s="27"/>
      <c r="I99" s="27"/>
      <c r="J99" s="27"/>
      <c r="K99" s="27"/>
    </row>
    <row r="100" spans="2:11" x14ac:dyDescent="0.35">
      <c r="B100" s="176"/>
      <c r="C100" s="68"/>
      <c r="D100" s="26"/>
      <c r="E100" s="26"/>
      <c r="F100" s="26"/>
      <c r="G100" s="27"/>
      <c r="H100" s="27"/>
      <c r="I100" s="27"/>
      <c r="J100" s="27"/>
      <c r="K100" s="27"/>
    </row>
    <row r="101" spans="2:11" x14ac:dyDescent="0.35">
      <c r="B101" s="176"/>
      <c r="C101" s="68"/>
      <c r="D101" s="26"/>
      <c r="E101" s="26"/>
      <c r="F101" s="26"/>
      <c r="G101" s="27"/>
      <c r="H101" s="27"/>
      <c r="I101" s="27"/>
      <c r="J101" s="27"/>
      <c r="K101" s="27"/>
    </row>
    <row r="102" spans="2:11" x14ac:dyDescent="0.35">
      <c r="B102" s="176"/>
      <c r="C102" s="68"/>
      <c r="D102" s="26"/>
      <c r="E102" s="26"/>
      <c r="F102" s="26"/>
      <c r="G102" s="27"/>
      <c r="H102" s="27"/>
      <c r="I102" s="27"/>
      <c r="J102" s="27"/>
      <c r="K102" s="27"/>
    </row>
    <row r="103" spans="2:11" x14ac:dyDescent="0.35">
      <c r="B103" s="176"/>
      <c r="C103" s="68"/>
      <c r="D103" s="26"/>
      <c r="E103" s="26"/>
      <c r="F103" s="26"/>
      <c r="G103" s="27"/>
      <c r="H103" s="27"/>
      <c r="I103" s="27"/>
      <c r="J103" s="27"/>
      <c r="K103" s="27"/>
    </row>
    <row r="104" spans="2:11" x14ac:dyDescent="0.35">
      <c r="B104" s="176"/>
      <c r="C104" s="68"/>
      <c r="D104" s="26"/>
      <c r="E104" s="26"/>
      <c r="F104" s="26"/>
      <c r="G104" s="27"/>
      <c r="H104" s="27"/>
      <c r="I104" s="27"/>
      <c r="J104" s="27"/>
      <c r="K104" s="27"/>
    </row>
    <row r="105" spans="2:11" x14ac:dyDescent="0.35">
      <c r="B105" s="176"/>
      <c r="C105" s="68"/>
      <c r="D105" s="26"/>
      <c r="E105" s="26"/>
      <c r="F105" s="26"/>
      <c r="G105" s="27"/>
      <c r="H105" s="27"/>
      <c r="I105" s="27"/>
      <c r="J105" s="27"/>
      <c r="K105" s="27"/>
    </row>
    <row r="106" spans="2:11" x14ac:dyDescent="0.35">
      <c r="B106" s="176"/>
      <c r="C106" s="68"/>
      <c r="D106" s="26"/>
      <c r="E106" s="26"/>
      <c r="F106" s="26"/>
      <c r="G106" s="27"/>
      <c r="H106" s="27"/>
      <c r="I106" s="27"/>
      <c r="J106" s="27"/>
      <c r="K106" s="27"/>
    </row>
    <row r="107" spans="2:11" x14ac:dyDescent="0.35">
      <c r="B107" s="176"/>
      <c r="C107" s="68"/>
      <c r="D107" s="26"/>
      <c r="E107" s="26"/>
      <c r="F107" s="26"/>
      <c r="G107" s="27"/>
      <c r="H107" s="27"/>
      <c r="I107" s="27"/>
      <c r="J107" s="27"/>
      <c r="K107" s="27"/>
    </row>
    <row r="108" spans="2:11" x14ac:dyDescent="0.35">
      <c r="B108" s="176"/>
      <c r="C108" s="68"/>
      <c r="D108" s="26"/>
      <c r="E108" s="26"/>
      <c r="F108" s="26"/>
      <c r="G108" s="27"/>
      <c r="H108" s="27"/>
      <c r="I108" s="27"/>
      <c r="J108" s="27"/>
      <c r="K108" s="27"/>
    </row>
    <row r="109" spans="2:11" x14ac:dyDescent="0.35">
      <c r="B109" s="176"/>
      <c r="C109" s="68"/>
      <c r="D109" s="26"/>
      <c r="E109" s="26"/>
      <c r="F109" s="26"/>
      <c r="G109" s="27"/>
      <c r="H109" s="27"/>
      <c r="I109" s="27"/>
      <c r="J109" s="27"/>
      <c r="K109" s="27"/>
    </row>
    <row r="110" spans="2:11" x14ac:dyDescent="0.35">
      <c r="B110" s="176"/>
      <c r="C110" s="68"/>
      <c r="D110" s="26"/>
      <c r="E110" s="26"/>
      <c r="F110" s="26"/>
      <c r="G110" s="27"/>
      <c r="H110" s="27"/>
      <c r="I110" s="27"/>
      <c r="J110" s="27"/>
      <c r="K110" s="27"/>
    </row>
    <row r="111" spans="2:11" x14ac:dyDescent="0.35">
      <c r="B111" s="176"/>
      <c r="C111" s="68"/>
      <c r="D111" s="26"/>
      <c r="E111" s="26"/>
      <c r="F111" s="26"/>
      <c r="G111" s="27"/>
      <c r="H111" s="27"/>
      <c r="I111" s="27"/>
      <c r="J111" s="27"/>
      <c r="K111" s="27"/>
    </row>
    <row r="112" spans="2:11" x14ac:dyDescent="0.35">
      <c r="B112" s="176"/>
      <c r="C112" s="68"/>
      <c r="D112" s="26"/>
      <c r="E112" s="26"/>
      <c r="F112" s="26"/>
      <c r="G112" s="27"/>
      <c r="H112" s="27"/>
      <c r="I112" s="27"/>
      <c r="J112" s="27"/>
      <c r="K112" s="27"/>
    </row>
    <row r="113" spans="2:11" x14ac:dyDescent="0.35">
      <c r="B113" s="176"/>
      <c r="C113" s="68"/>
      <c r="D113" s="26"/>
      <c r="E113" s="26"/>
      <c r="F113" s="26"/>
      <c r="G113" s="27"/>
      <c r="H113" s="27"/>
      <c r="I113" s="27"/>
      <c r="J113" s="27"/>
      <c r="K113" s="27"/>
    </row>
    <row r="114" spans="2:11" x14ac:dyDescent="0.35">
      <c r="B114" s="176"/>
      <c r="C114" s="68"/>
      <c r="D114" s="26"/>
      <c r="E114" s="26"/>
      <c r="F114" s="26"/>
      <c r="G114" s="27"/>
      <c r="H114" s="27"/>
      <c r="I114" s="27"/>
      <c r="J114" s="27"/>
      <c r="K114" s="27"/>
    </row>
    <row r="115" spans="2:11" x14ac:dyDescent="0.35">
      <c r="B115" s="176"/>
      <c r="C115" s="68"/>
      <c r="D115" s="26"/>
      <c r="E115" s="26"/>
      <c r="F115" s="26"/>
      <c r="G115" s="27"/>
      <c r="H115" s="27"/>
      <c r="I115" s="27"/>
      <c r="J115" s="27"/>
      <c r="K115" s="27"/>
    </row>
    <row r="116" spans="2:11" x14ac:dyDescent="0.35">
      <c r="B116" s="176"/>
      <c r="C116" s="68"/>
      <c r="D116" s="26"/>
      <c r="E116" s="26"/>
      <c r="F116" s="26"/>
      <c r="G116" s="27"/>
      <c r="H116" s="27"/>
      <c r="I116" s="27"/>
      <c r="J116" s="27"/>
      <c r="K116" s="27"/>
    </row>
    <row r="117" spans="2:11" x14ac:dyDescent="0.35">
      <c r="B117" s="176"/>
      <c r="C117" s="68"/>
      <c r="D117" s="26"/>
      <c r="E117" s="26"/>
      <c r="F117" s="26"/>
      <c r="G117" s="27"/>
      <c r="H117" s="27"/>
      <c r="I117" s="27"/>
      <c r="J117" s="27"/>
      <c r="K117" s="27"/>
    </row>
    <row r="118" spans="2:11" x14ac:dyDescent="0.35">
      <c r="B118" s="176"/>
      <c r="C118" s="68"/>
      <c r="D118" s="26"/>
      <c r="E118" s="26"/>
      <c r="F118" s="26"/>
      <c r="G118" s="27"/>
      <c r="H118" s="27"/>
      <c r="I118" s="27"/>
      <c r="J118" s="27"/>
      <c r="K118" s="27"/>
    </row>
    <row r="119" spans="2:11" x14ac:dyDescent="0.35">
      <c r="B119" s="176"/>
      <c r="C119" s="68"/>
      <c r="D119" s="26"/>
      <c r="E119" s="26"/>
      <c r="F119" s="26"/>
      <c r="G119" s="27"/>
      <c r="H119" s="27"/>
      <c r="I119" s="27"/>
      <c r="J119" s="27"/>
      <c r="K119" s="27"/>
    </row>
    <row r="120" spans="2:11" x14ac:dyDescent="0.35">
      <c r="B120" s="176"/>
      <c r="C120" s="68"/>
      <c r="D120" s="26"/>
      <c r="E120" s="26"/>
      <c r="F120" s="26"/>
      <c r="G120" s="27"/>
      <c r="H120" s="27"/>
      <c r="I120" s="27"/>
      <c r="J120" s="27"/>
      <c r="K120" s="27"/>
    </row>
    <row r="121" spans="2:11" x14ac:dyDescent="0.35">
      <c r="B121" s="176"/>
      <c r="C121" s="68"/>
      <c r="D121" s="26"/>
      <c r="E121" s="26"/>
      <c r="F121" s="26"/>
      <c r="G121" s="27"/>
      <c r="H121" s="27"/>
      <c r="I121" s="27"/>
      <c r="J121" s="27"/>
      <c r="K121" s="27"/>
    </row>
    <row r="122" spans="2:11" x14ac:dyDescent="0.35">
      <c r="B122" s="176"/>
      <c r="C122" s="68"/>
      <c r="D122" s="26"/>
      <c r="E122" s="26"/>
      <c r="F122" s="26"/>
      <c r="G122" s="27"/>
      <c r="H122" s="27"/>
      <c r="I122" s="27"/>
      <c r="J122" s="27"/>
      <c r="K122" s="27"/>
    </row>
    <row r="123" spans="2:11" x14ac:dyDescent="0.35">
      <c r="B123" s="176"/>
      <c r="C123" s="68"/>
      <c r="D123" s="26"/>
      <c r="E123" s="26"/>
      <c r="F123" s="26"/>
      <c r="G123" s="27"/>
      <c r="H123" s="27"/>
      <c r="I123" s="27"/>
      <c r="J123" s="27"/>
      <c r="K123" s="27"/>
    </row>
    <row r="124" spans="2:11" x14ac:dyDescent="0.35">
      <c r="B124" s="176"/>
      <c r="C124" s="68"/>
      <c r="D124" s="26"/>
      <c r="E124" s="26"/>
      <c r="F124" s="26"/>
      <c r="G124" s="27"/>
      <c r="H124" s="27"/>
      <c r="I124" s="27"/>
      <c r="J124" s="27"/>
      <c r="K124" s="27"/>
    </row>
    <row r="125" spans="2:11" x14ac:dyDescent="0.35">
      <c r="B125" s="176"/>
      <c r="C125" s="68"/>
      <c r="D125" s="26"/>
      <c r="E125" s="26"/>
      <c r="F125" s="26"/>
      <c r="G125" s="27"/>
      <c r="H125" s="27"/>
      <c r="I125" s="27"/>
      <c r="J125" s="27"/>
      <c r="K125" s="27"/>
    </row>
    <row r="126" spans="2:11" x14ac:dyDescent="0.35">
      <c r="B126" s="176"/>
      <c r="C126" s="68"/>
      <c r="D126" s="26"/>
      <c r="E126" s="26"/>
      <c r="F126" s="26"/>
      <c r="G126" s="27"/>
      <c r="H126" s="27"/>
      <c r="I126" s="27"/>
      <c r="J126" s="27"/>
      <c r="K126" s="27"/>
    </row>
    <row r="127" spans="2:11" x14ac:dyDescent="0.35">
      <c r="B127" s="176"/>
      <c r="C127" s="68"/>
      <c r="D127" s="26"/>
      <c r="E127" s="26"/>
      <c r="F127" s="26"/>
      <c r="G127" s="27"/>
      <c r="H127" s="27"/>
      <c r="I127" s="27"/>
      <c r="J127" s="27"/>
      <c r="K127" s="27"/>
    </row>
    <row r="128" spans="2:11" x14ac:dyDescent="0.35">
      <c r="B128" s="176"/>
      <c r="C128" s="68"/>
      <c r="D128" s="26"/>
      <c r="E128" s="26"/>
      <c r="F128" s="26"/>
      <c r="G128" s="27"/>
      <c r="H128" s="27"/>
      <c r="I128" s="27"/>
      <c r="J128" s="27"/>
      <c r="K128" s="27"/>
    </row>
    <row r="129" spans="2:11" x14ac:dyDescent="0.35">
      <c r="B129" s="176"/>
      <c r="C129" s="68"/>
      <c r="D129" s="26"/>
      <c r="E129" s="26"/>
      <c r="F129" s="26"/>
      <c r="G129" s="27"/>
      <c r="H129" s="27"/>
      <c r="I129" s="27"/>
      <c r="J129" s="27"/>
      <c r="K129" s="27"/>
    </row>
    <row r="130" spans="2:11" x14ac:dyDescent="0.35">
      <c r="B130" s="176"/>
      <c r="C130" s="68"/>
      <c r="D130" s="26"/>
      <c r="E130" s="26"/>
      <c r="F130" s="26"/>
      <c r="G130" s="27"/>
      <c r="H130" s="27"/>
      <c r="I130" s="27"/>
      <c r="J130" s="27"/>
      <c r="K130" s="27"/>
    </row>
    <row r="131" spans="2:11" x14ac:dyDescent="0.35">
      <c r="B131" s="176"/>
      <c r="C131" s="68"/>
      <c r="D131" s="26"/>
      <c r="E131" s="26"/>
      <c r="F131" s="26"/>
      <c r="G131" s="27"/>
      <c r="H131" s="27"/>
      <c r="I131" s="27"/>
      <c r="J131" s="27"/>
      <c r="K131" s="27"/>
    </row>
    <row r="132" spans="2:11" x14ac:dyDescent="0.35">
      <c r="G132" s="27"/>
      <c r="H132" s="27"/>
      <c r="I132" s="27"/>
      <c r="J132" s="27"/>
      <c r="K132" s="27"/>
    </row>
    <row r="133" spans="2:11" x14ac:dyDescent="0.35">
      <c r="G133" s="27"/>
      <c r="H133" s="27"/>
      <c r="I133" s="27"/>
      <c r="J133" s="27"/>
      <c r="K133" s="27"/>
    </row>
    <row r="134" spans="2:11" x14ac:dyDescent="0.35">
      <c r="G134" s="27"/>
      <c r="H134" s="27"/>
      <c r="I134" s="27"/>
      <c r="J134" s="27"/>
      <c r="K134" s="27"/>
    </row>
    <row r="135" spans="2:11" x14ac:dyDescent="0.35">
      <c r="G135" s="27"/>
      <c r="H135" s="27"/>
      <c r="I135" s="27"/>
      <c r="J135" s="27"/>
      <c r="K135" s="27"/>
    </row>
    <row r="136" spans="2:11" x14ac:dyDescent="0.35">
      <c r="G136" s="27"/>
      <c r="H136" s="27"/>
      <c r="I136" s="27"/>
      <c r="J136" s="27"/>
      <c r="K136" s="27"/>
    </row>
    <row r="137" spans="2:11" x14ac:dyDescent="0.35">
      <c r="G137" s="27"/>
      <c r="H137" s="27"/>
      <c r="I137" s="27"/>
      <c r="J137" s="27"/>
      <c r="K137" s="27"/>
    </row>
    <row r="138" spans="2:11" x14ac:dyDescent="0.35">
      <c r="G138" s="27"/>
      <c r="H138" s="27"/>
      <c r="I138" s="27"/>
      <c r="J138" s="27"/>
      <c r="K138" s="27"/>
    </row>
    <row r="139" spans="2:11" x14ac:dyDescent="0.35">
      <c r="G139" s="27"/>
      <c r="H139" s="27"/>
      <c r="I139" s="27"/>
      <c r="J139" s="27"/>
      <c r="K139" s="27"/>
    </row>
    <row r="140" spans="2:11" x14ac:dyDescent="0.35">
      <c r="G140" s="27"/>
      <c r="H140" s="27"/>
      <c r="I140" s="27"/>
      <c r="J140" s="27"/>
      <c r="K140" s="27"/>
    </row>
    <row r="141" spans="2:11" x14ac:dyDescent="0.35">
      <c r="G141" s="27"/>
      <c r="H141" s="27"/>
      <c r="I141" s="27"/>
      <c r="J141" s="27"/>
      <c r="K141" s="27"/>
    </row>
    <row r="142" spans="2:11" x14ac:dyDescent="0.35">
      <c r="G142" s="27"/>
      <c r="H142" s="27"/>
      <c r="I142" s="27"/>
      <c r="J142" s="27"/>
      <c r="K142" s="27"/>
    </row>
    <row r="143" spans="2:11" x14ac:dyDescent="0.35">
      <c r="G143" s="27"/>
      <c r="H143" s="27"/>
      <c r="I143" s="27"/>
      <c r="J143" s="27"/>
      <c r="K143" s="27"/>
    </row>
    <row r="144" spans="2:11" x14ac:dyDescent="0.35">
      <c r="G144" s="27"/>
      <c r="H144" s="27"/>
      <c r="I144" s="27"/>
      <c r="J144" s="27"/>
      <c r="K144" s="27"/>
    </row>
    <row r="145" spans="2:11" x14ac:dyDescent="0.35">
      <c r="G145" s="27"/>
      <c r="H145" s="27"/>
      <c r="I145" s="27"/>
      <c r="J145" s="27"/>
      <c r="K145" s="27"/>
    </row>
    <row r="146" spans="2:11" x14ac:dyDescent="0.35">
      <c r="G146" s="27"/>
      <c r="H146" s="27"/>
      <c r="I146" s="27"/>
      <c r="J146" s="27"/>
      <c r="K146" s="27"/>
    </row>
    <row r="147" spans="2:11" x14ac:dyDescent="0.35">
      <c r="G147" s="27"/>
      <c r="H147" s="27"/>
      <c r="I147" s="27"/>
      <c r="J147" s="27"/>
      <c r="K147" s="27"/>
    </row>
    <row r="148" spans="2:11" x14ac:dyDescent="0.35">
      <c r="G148" s="27"/>
      <c r="H148" s="27"/>
      <c r="I148" s="27"/>
      <c r="J148" s="27"/>
      <c r="K148" s="27"/>
    </row>
    <row r="149" spans="2:11" x14ac:dyDescent="0.35">
      <c r="G149" s="27"/>
      <c r="H149" s="27"/>
      <c r="I149" s="27"/>
      <c r="J149" s="27"/>
      <c r="K149" s="27"/>
    </row>
    <row r="150" spans="2:11" x14ac:dyDescent="0.35">
      <c r="G150" s="27"/>
      <c r="H150" s="27"/>
      <c r="I150" s="27"/>
      <c r="J150" s="27"/>
      <c r="K150" s="27"/>
    </row>
    <row r="151" spans="2:11" x14ac:dyDescent="0.35">
      <c r="G151" s="27"/>
      <c r="H151" s="27"/>
      <c r="I151" s="27"/>
      <c r="J151" s="27"/>
      <c r="K151" s="27"/>
    </row>
    <row r="152" spans="2:11" x14ac:dyDescent="0.35">
      <c r="G152" s="27"/>
      <c r="H152" s="27"/>
      <c r="I152" s="27"/>
      <c r="J152" s="27"/>
      <c r="K152" s="27"/>
    </row>
    <row r="153" spans="2:11" x14ac:dyDescent="0.35">
      <c r="G153" s="27"/>
      <c r="H153" s="27"/>
      <c r="I153" s="27"/>
      <c r="J153" s="27"/>
      <c r="K153" s="27"/>
    </row>
    <row r="154" spans="2:11" x14ac:dyDescent="0.35">
      <c r="G154" s="27"/>
      <c r="H154" s="27"/>
      <c r="I154" s="27"/>
      <c r="J154" s="27"/>
      <c r="K154" s="27"/>
    </row>
    <row r="155" spans="2:11" x14ac:dyDescent="0.35">
      <c r="G155" s="27"/>
      <c r="H155" s="27"/>
      <c r="I155" s="27"/>
      <c r="J155" s="27"/>
      <c r="K155" s="27"/>
    </row>
    <row r="156" spans="2:11" x14ac:dyDescent="0.35">
      <c r="G156" s="27"/>
      <c r="H156" s="27"/>
      <c r="I156" s="27"/>
      <c r="J156" s="27"/>
      <c r="K156" s="27"/>
    </row>
    <row r="157" spans="2:11" x14ac:dyDescent="0.35">
      <c r="G157" s="27"/>
      <c r="H157" s="27"/>
      <c r="I157" s="27"/>
      <c r="J157" s="27"/>
      <c r="K157" s="27"/>
    </row>
    <row r="158" spans="2:11" x14ac:dyDescent="0.35">
      <c r="G158" s="27"/>
      <c r="H158" s="27"/>
      <c r="I158" s="27"/>
      <c r="J158" s="27"/>
      <c r="K158" s="27"/>
    </row>
    <row r="159" spans="2:11" x14ac:dyDescent="0.35">
      <c r="G159" s="27"/>
      <c r="H159" s="27"/>
      <c r="I159" s="27"/>
      <c r="J159" s="27"/>
      <c r="K159" s="27"/>
    </row>
    <row r="160" spans="2:11" ht="18" x14ac:dyDescent="0.4">
      <c r="B160" s="273" t="s">
        <v>543</v>
      </c>
      <c r="G160" s="27"/>
      <c r="H160" s="27"/>
      <c r="I160" s="27"/>
      <c r="J160" s="27"/>
      <c r="K160" s="27"/>
    </row>
    <row r="161" spans="2:11" ht="17.5" x14ac:dyDescent="0.35">
      <c r="B161" s="66"/>
      <c r="C161" s="34"/>
      <c r="D161" s="34"/>
      <c r="E161" s="34"/>
      <c r="F161" s="34"/>
      <c r="G161" s="27"/>
      <c r="H161" s="27"/>
      <c r="I161" s="27"/>
      <c r="J161" s="27"/>
      <c r="K161" s="27"/>
    </row>
    <row r="162" spans="2:11" ht="18" x14ac:dyDescent="0.4">
      <c r="B162" s="159" t="s">
        <v>544</v>
      </c>
      <c r="C162" s="34"/>
      <c r="D162" s="34"/>
      <c r="E162" s="34"/>
      <c r="F162" s="34"/>
      <c r="G162" s="27"/>
      <c r="H162" s="27"/>
      <c r="I162" s="27"/>
      <c r="J162" s="27"/>
      <c r="K162" s="27"/>
    </row>
    <row r="163" spans="2:11" ht="16" thickBot="1" x14ac:dyDescent="0.4">
      <c r="B163" s="34"/>
      <c r="C163" s="247" t="s">
        <v>30</v>
      </c>
      <c r="D163" s="32"/>
      <c r="E163" s="32"/>
      <c r="F163" s="32"/>
      <c r="G163" s="27"/>
      <c r="H163" s="27"/>
      <c r="I163" s="27"/>
      <c r="J163" s="27"/>
      <c r="K163" s="27"/>
    </row>
    <row r="164" spans="2:11" x14ac:dyDescent="0.35">
      <c r="B164" s="248" t="s">
        <v>158</v>
      </c>
      <c r="C164" s="147">
        <v>18</v>
      </c>
      <c r="D164" s="32"/>
      <c r="E164" s="32"/>
      <c r="F164" s="32"/>
      <c r="G164" s="27"/>
      <c r="H164" s="27"/>
      <c r="I164" s="27"/>
      <c r="J164" s="27"/>
      <c r="K164" s="27"/>
    </row>
    <row r="165" spans="2:11" x14ac:dyDescent="0.35">
      <c r="B165" s="248" t="s">
        <v>159</v>
      </c>
      <c r="C165" s="149">
        <v>200</v>
      </c>
      <c r="D165" s="32" t="s">
        <v>160</v>
      </c>
      <c r="E165" s="32"/>
      <c r="F165" s="32"/>
      <c r="G165" s="27"/>
      <c r="H165" s="27"/>
      <c r="I165" s="27"/>
      <c r="J165" s="27"/>
      <c r="K165" s="27"/>
    </row>
    <row r="166" spans="2:11" x14ac:dyDescent="0.35">
      <c r="B166" s="248" t="s">
        <v>161</v>
      </c>
      <c r="C166" s="149">
        <v>200</v>
      </c>
      <c r="D166" s="32" t="s">
        <v>162</v>
      </c>
      <c r="E166" s="32"/>
      <c r="F166" s="32"/>
      <c r="G166" s="27"/>
      <c r="H166" s="27"/>
      <c r="I166" s="27"/>
      <c r="J166" s="27"/>
      <c r="K166" s="27"/>
    </row>
    <row r="167" spans="2:11" ht="16" thickBot="1" x14ac:dyDescent="0.4">
      <c r="B167" s="248" t="s">
        <v>163</v>
      </c>
      <c r="C167" s="249">
        <v>1000</v>
      </c>
      <c r="D167" s="32" t="s">
        <v>164</v>
      </c>
      <c r="E167" s="32"/>
      <c r="F167" s="32"/>
      <c r="G167" s="27"/>
      <c r="H167" s="27"/>
      <c r="I167" s="27"/>
      <c r="J167" s="27"/>
      <c r="K167" s="27"/>
    </row>
    <row r="168" spans="2:11" x14ac:dyDescent="0.35">
      <c r="B168" s="250"/>
      <c r="C168" s="247" t="s">
        <v>32</v>
      </c>
      <c r="D168" s="251"/>
      <c r="E168" s="32"/>
      <c r="F168" s="32"/>
      <c r="G168" s="27"/>
      <c r="H168" s="27"/>
      <c r="I168" s="27"/>
      <c r="J168" s="27"/>
      <c r="K168" s="27"/>
    </row>
    <row r="169" spans="2:11" x14ac:dyDescent="0.35">
      <c r="B169" s="252" t="s">
        <v>165</v>
      </c>
      <c r="C169" s="253">
        <v>1</v>
      </c>
      <c r="D169" s="254"/>
      <c r="E169" s="32"/>
      <c r="F169" s="32"/>
      <c r="G169" s="27"/>
      <c r="H169" s="27"/>
      <c r="I169" s="27"/>
      <c r="J169" s="27"/>
      <c r="K169" s="27"/>
    </row>
    <row r="170" spans="2:11" x14ac:dyDescent="0.35">
      <c r="B170" s="252" t="s">
        <v>166</v>
      </c>
      <c r="C170" s="255">
        <v>0.71699999999999997</v>
      </c>
      <c r="D170" s="256"/>
      <c r="E170" s="32"/>
      <c r="F170" s="32"/>
      <c r="G170" s="27"/>
      <c r="H170" s="27"/>
      <c r="I170" s="27"/>
      <c r="J170" s="27"/>
      <c r="K170" s="27"/>
    </row>
    <row r="171" spans="2:11" x14ac:dyDescent="0.35">
      <c r="B171" s="252" t="s">
        <v>167</v>
      </c>
      <c r="C171" s="246">
        <v>0.28699999999999998</v>
      </c>
      <c r="D171" s="256"/>
      <c r="E171" s="32"/>
      <c r="F171" s="32"/>
      <c r="G171" s="27"/>
      <c r="H171" s="27"/>
      <c r="I171" s="27"/>
      <c r="J171" s="27"/>
      <c r="K171" s="27"/>
    </row>
    <row r="172" spans="2:11" x14ac:dyDescent="0.35">
      <c r="B172" s="252" t="s">
        <v>168</v>
      </c>
      <c r="C172" s="246" t="s">
        <v>169</v>
      </c>
      <c r="D172" s="256"/>
      <c r="E172" s="32"/>
      <c r="F172" s="32"/>
      <c r="G172" s="27"/>
      <c r="H172" s="27"/>
      <c r="I172" s="27"/>
      <c r="J172" s="27"/>
      <c r="K172" s="27"/>
    </row>
    <row r="173" spans="2:11" x14ac:dyDescent="0.35">
      <c r="B173" s="252" t="s">
        <v>42</v>
      </c>
      <c r="C173" s="246">
        <f>C165+273</f>
        <v>473</v>
      </c>
      <c r="D173" s="256" t="s">
        <v>170</v>
      </c>
      <c r="E173" s="32"/>
      <c r="F173" s="32"/>
      <c r="G173" s="27"/>
      <c r="H173" s="27"/>
      <c r="I173" s="27"/>
      <c r="J173" s="27"/>
      <c r="K173" s="27"/>
    </row>
    <row r="174" spans="2:11" x14ac:dyDescent="0.35">
      <c r="B174" s="252" t="s">
        <v>171</v>
      </c>
      <c r="C174" s="246" t="s">
        <v>172</v>
      </c>
      <c r="D174" s="256"/>
      <c r="E174" s="32"/>
      <c r="F174" s="32"/>
      <c r="G174" s="27"/>
      <c r="H174" s="27"/>
      <c r="I174" s="27"/>
      <c r="J174" s="27"/>
      <c r="K174" s="27"/>
    </row>
    <row r="175" spans="2:11" x14ac:dyDescent="0.35">
      <c r="B175" s="252" t="s">
        <v>42</v>
      </c>
      <c r="C175" s="257">
        <f>C171*C173/C166</f>
        <v>0.67875499999999989</v>
      </c>
      <c r="D175" s="256" t="s">
        <v>173</v>
      </c>
      <c r="E175" s="32"/>
      <c r="F175" s="32"/>
      <c r="G175" s="27"/>
      <c r="H175" s="27"/>
      <c r="I175" s="27"/>
      <c r="J175" s="27"/>
      <c r="K175" s="27"/>
    </row>
    <row r="176" spans="2:11" x14ac:dyDescent="0.35">
      <c r="B176" s="252" t="s">
        <v>174</v>
      </c>
      <c r="C176" s="246" t="s">
        <v>175</v>
      </c>
      <c r="D176" s="256"/>
      <c r="E176" s="32"/>
      <c r="F176" s="32"/>
      <c r="G176" s="27"/>
      <c r="H176" s="27"/>
      <c r="I176" s="27"/>
      <c r="J176" s="27"/>
      <c r="K176" s="27"/>
    </row>
    <row r="177" spans="2:11" x14ac:dyDescent="0.35">
      <c r="B177" s="252" t="s">
        <v>42</v>
      </c>
      <c r="C177" s="258">
        <f>C175/18</f>
        <v>3.7708611111111102E-2</v>
      </c>
      <c r="D177" s="256" t="s">
        <v>173</v>
      </c>
      <c r="E177" s="32"/>
      <c r="F177" s="32"/>
      <c r="G177" s="27"/>
      <c r="H177" s="27"/>
      <c r="I177" s="27"/>
      <c r="J177" s="27"/>
      <c r="K177" s="27"/>
    </row>
    <row r="178" spans="2:11" x14ac:dyDescent="0.35">
      <c r="B178" s="246" t="s">
        <v>176</v>
      </c>
      <c r="C178" s="246"/>
      <c r="D178" s="256"/>
      <c r="E178" s="32"/>
      <c r="F178" s="32"/>
      <c r="G178" s="27"/>
      <c r="H178" s="27"/>
      <c r="I178" s="27"/>
      <c r="J178" s="27"/>
      <c r="K178" s="27"/>
    </row>
    <row r="179" spans="2:11" x14ac:dyDescent="0.35">
      <c r="B179" s="252" t="s">
        <v>177</v>
      </c>
      <c r="C179" s="259">
        <v>1.4</v>
      </c>
      <c r="D179" s="256"/>
      <c r="E179" s="32"/>
      <c r="F179" s="32"/>
      <c r="G179" s="27"/>
      <c r="H179" s="27"/>
      <c r="I179" s="27"/>
      <c r="J179" s="27"/>
      <c r="K179" s="27"/>
    </row>
    <row r="180" spans="2:11" x14ac:dyDescent="0.35">
      <c r="B180" s="252" t="s">
        <v>178</v>
      </c>
      <c r="C180" s="246" t="s">
        <v>179</v>
      </c>
      <c r="D180" s="256"/>
      <c r="E180" s="32"/>
      <c r="F180" s="32"/>
      <c r="G180" s="27"/>
      <c r="H180" s="27"/>
      <c r="I180" s="27"/>
      <c r="J180" s="27"/>
      <c r="K180" s="27"/>
    </row>
    <row r="181" spans="2:11" x14ac:dyDescent="0.35">
      <c r="B181" s="252" t="s">
        <v>42</v>
      </c>
      <c r="C181" s="260">
        <f>C173*(C175/C177)^(C179-1)</f>
        <v>1503.0386304482643</v>
      </c>
      <c r="D181" s="256" t="s">
        <v>170</v>
      </c>
      <c r="E181" s="32"/>
      <c r="F181" s="32"/>
      <c r="G181" s="27"/>
      <c r="H181" s="27"/>
      <c r="I181" s="27"/>
      <c r="J181" s="27"/>
      <c r="K181" s="27"/>
    </row>
    <row r="182" spans="2:11" x14ac:dyDescent="0.35">
      <c r="B182" s="252" t="s">
        <v>180</v>
      </c>
      <c r="C182" s="246" t="s">
        <v>181</v>
      </c>
      <c r="D182" s="256"/>
      <c r="E182" s="32"/>
      <c r="F182" s="32"/>
      <c r="G182" s="27"/>
      <c r="H182" s="27"/>
      <c r="I182" s="27"/>
      <c r="J182" s="27"/>
      <c r="K182" s="27"/>
    </row>
    <row r="183" spans="2:11" x14ac:dyDescent="0.35">
      <c r="B183" s="252" t="s">
        <v>42</v>
      </c>
      <c r="C183" s="260">
        <f>C166*(C175/C177)^C179</f>
        <v>11439.617483327167</v>
      </c>
      <c r="D183" s="256" t="s">
        <v>182</v>
      </c>
      <c r="E183" s="32"/>
      <c r="F183" s="32"/>
      <c r="G183" s="27"/>
      <c r="H183" s="27"/>
      <c r="I183" s="27"/>
      <c r="J183" s="27"/>
      <c r="K183" s="27"/>
    </row>
    <row r="184" spans="2:11" x14ac:dyDescent="0.35">
      <c r="B184" s="252" t="s">
        <v>42</v>
      </c>
      <c r="C184" s="259">
        <f>C183/1000</f>
        <v>11.439617483327167</v>
      </c>
      <c r="D184" s="256" t="s">
        <v>183</v>
      </c>
      <c r="E184" s="32"/>
      <c r="F184" s="32"/>
      <c r="G184" s="27"/>
      <c r="H184" s="27"/>
      <c r="I184" s="27"/>
      <c r="J184" s="27"/>
      <c r="K184" s="27"/>
    </row>
    <row r="185" spans="2:11" x14ac:dyDescent="0.35">
      <c r="B185" s="246" t="s">
        <v>184</v>
      </c>
      <c r="C185" s="246"/>
      <c r="D185" s="256"/>
      <c r="E185" s="32"/>
      <c r="F185" s="32"/>
      <c r="G185" s="27"/>
      <c r="H185" s="27"/>
      <c r="I185" s="27"/>
      <c r="J185" s="27"/>
      <c r="K185" s="27"/>
    </row>
    <row r="186" spans="2:11" x14ac:dyDescent="0.35">
      <c r="B186" s="252" t="s">
        <v>185</v>
      </c>
      <c r="C186" s="246" t="s">
        <v>186</v>
      </c>
      <c r="D186" s="256"/>
      <c r="E186" s="32"/>
      <c r="F186" s="32"/>
      <c r="G186" s="27"/>
      <c r="H186" s="27"/>
      <c r="I186" s="27"/>
      <c r="J186" s="27"/>
      <c r="K186" s="27"/>
    </row>
    <row r="187" spans="2:11" x14ac:dyDescent="0.35">
      <c r="B187" s="252" t="s">
        <v>187</v>
      </c>
      <c r="C187" s="246" t="s">
        <v>188</v>
      </c>
      <c r="D187" s="256"/>
      <c r="E187" s="32"/>
      <c r="F187" s="32"/>
      <c r="G187" s="27"/>
      <c r="H187" s="27"/>
      <c r="I187" s="27"/>
      <c r="J187" s="27"/>
      <c r="K187" s="27"/>
    </row>
    <row r="188" spans="2:11" x14ac:dyDescent="0.35">
      <c r="B188" s="252" t="s">
        <v>189</v>
      </c>
      <c r="C188" s="246" t="s">
        <v>190</v>
      </c>
      <c r="D188" s="256"/>
      <c r="E188" s="32"/>
      <c r="F188" s="32"/>
      <c r="G188" s="27"/>
      <c r="H188" s="27"/>
      <c r="I188" s="27"/>
      <c r="J188" s="27"/>
      <c r="K188" s="27"/>
    </row>
    <row r="189" spans="2:11" x14ac:dyDescent="0.35">
      <c r="B189" s="252" t="s">
        <v>189</v>
      </c>
      <c r="C189" s="257">
        <f>(1 /C175)^(C179-1)</f>
        <v>1.1676556450712234</v>
      </c>
      <c r="D189" s="32"/>
      <c r="E189" s="32"/>
      <c r="F189" s="32"/>
      <c r="G189" s="27"/>
      <c r="H189" s="27"/>
      <c r="I189" s="27"/>
      <c r="J189" s="27"/>
      <c r="K189" s="27"/>
    </row>
    <row r="190" spans="2:11" x14ac:dyDescent="0.35">
      <c r="B190" s="252" t="s">
        <v>191</v>
      </c>
      <c r="C190" s="257">
        <f>C189</f>
        <v>1.1676556450712234</v>
      </c>
      <c r="D190" s="32"/>
      <c r="E190" s="32"/>
      <c r="F190" s="32"/>
      <c r="G190" s="27"/>
      <c r="H190" s="27"/>
      <c r="I190" s="27"/>
      <c r="J190" s="27"/>
      <c r="K190" s="27"/>
    </row>
    <row r="191" spans="2:11" x14ac:dyDescent="0.35">
      <c r="B191" s="252" t="s">
        <v>192</v>
      </c>
      <c r="C191" s="246" t="s">
        <v>193</v>
      </c>
      <c r="D191" s="261" t="s">
        <v>194</v>
      </c>
      <c r="E191" s="32"/>
      <c r="F191" s="32"/>
      <c r="G191" s="27"/>
      <c r="H191" s="27"/>
      <c r="I191" s="27"/>
      <c r="J191" s="27"/>
      <c r="K191" s="27"/>
    </row>
    <row r="192" spans="2:11" x14ac:dyDescent="0.35">
      <c r="B192" s="246" t="s">
        <v>195</v>
      </c>
      <c r="C192" s="246"/>
      <c r="D192" s="262"/>
      <c r="E192" s="32"/>
      <c r="F192" s="32"/>
      <c r="G192" s="27"/>
      <c r="H192" s="27"/>
      <c r="I192" s="27"/>
      <c r="J192" s="27"/>
      <c r="K192" s="27"/>
    </row>
    <row r="193" spans="2:11" x14ac:dyDescent="0.35">
      <c r="B193" s="252" t="s">
        <v>196</v>
      </c>
      <c r="C193" s="246" t="s">
        <v>197</v>
      </c>
      <c r="D193" s="262"/>
      <c r="E193" s="32"/>
      <c r="F193" s="263"/>
      <c r="G193" s="27"/>
      <c r="H193" s="27"/>
      <c r="I193" s="27"/>
      <c r="J193" s="27"/>
      <c r="K193" s="27"/>
    </row>
    <row r="194" spans="2:11" x14ac:dyDescent="0.35">
      <c r="B194" s="252" t="s">
        <v>196</v>
      </c>
      <c r="C194" s="260">
        <f>C181/C177</f>
        <v>39859.294366993636</v>
      </c>
      <c r="D194" s="262"/>
      <c r="E194" s="32"/>
      <c r="F194" s="32"/>
      <c r="G194" s="27"/>
      <c r="H194" s="27"/>
      <c r="I194" s="27"/>
      <c r="J194" s="27"/>
      <c r="K194" s="27"/>
    </row>
    <row r="195" spans="2:11" x14ac:dyDescent="0.35">
      <c r="B195" s="252" t="s">
        <v>198</v>
      </c>
      <c r="C195" s="260">
        <f>C194</f>
        <v>39859.294366993636</v>
      </c>
      <c r="D195" s="262"/>
      <c r="E195" s="32"/>
      <c r="F195" s="32"/>
      <c r="G195" s="27"/>
      <c r="H195" s="27"/>
      <c r="I195" s="27"/>
      <c r="J195" s="27"/>
      <c r="K195" s="27"/>
    </row>
    <row r="196" spans="2:11" x14ac:dyDescent="0.35">
      <c r="B196" s="252" t="s">
        <v>192</v>
      </c>
      <c r="C196" s="246" t="s">
        <v>199</v>
      </c>
      <c r="D196" s="261" t="s">
        <v>200</v>
      </c>
      <c r="E196" s="32"/>
      <c r="F196" s="32"/>
      <c r="G196" s="27"/>
      <c r="H196" s="27"/>
      <c r="I196" s="27"/>
      <c r="J196" s="27"/>
      <c r="K196" s="27"/>
    </row>
    <row r="197" spans="2:11" x14ac:dyDescent="0.35">
      <c r="B197" s="246" t="s">
        <v>201</v>
      </c>
      <c r="C197" s="158"/>
      <c r="D197" s="32"/>
      <c r="E197" s="32"/>
      <c r="F197" s="32"/>
      <c r="G197" s="27"/>
      <c r="H197" s="27"/>
      <c r="I197" s="27"/>
      <c r="J197" s="27"/>
      <c r="K197" s="27"/>
    </row>
    <row r="198" spans="2:11" ht="17.5" x14ac:dyDescent="0.45">
      <c r="B198" s="252" t="s">
        <v>202</v>
      </c>
      <c r="C198" s="246" t="s">
        <v>650</v>
      </c>
      <c r="D198" s="256"/>
      <c r="E198" s="32"/>
      <c r="F198" s="32"/>
      <c r="G198" s="27"/>
      <c r="H198" s="27"/>
      <c r="I198" s="27"/>
      <c r="J198" s="27"/>
      <c r="K198" s="27"/>
    </row>
    <row r="199" spans="2:11" x14ac:dyDescent="0.35">
      <c r="B199" s="252" t="s">
        <v>203</v>
      </c>
      <c r="C199" s="246" t="s">
        <v>204</v>
      </c>
      <c r="D199" s="256"/>
      <c r="E199" s="32"/>
      <c r="F199" s="32"/>
      <c r="G199" s="27"/>
      <c r="H199" s="27"/>
      <c r="I199" s="27"/>
      <c r="J199" s="27"/>
      <c r="K199" s="27"/>
    </row>
    <row r="200" spans="2:11" x14ac:dyDescent="0.35">
      <c r="B200" s="252" t="s">
        <v>205</v>
      </c>
      <c r="C200" s="246" t="s">
        <v>206</v>
      </c>
      <c r="D200" s="32"/>
      <c r="E200" s="32"/>
      <c r="F200" s="32"/>
      <c r="G200" s="27"/>
      <c r="H200" s="27"/>
      <c r="I200" s="27"/>
      <c r="J200" s="27"/>
      <c r="K200" s="27"/>
    </row>
    <row r="201" spans="2:11" x14ac:dyDescent="0.35">
      <c r="B201" s="252" t="s">
        <v>207</v>
      </c>
      <c r="C201" s="246" t="s">
        <v>208</v>
      </c>
      <c r="D201" s="256"/>
      <c r="E201" s="32"/>
      <c r="F201" s="32"/>
      <c r="G201" s="27"/>
      <c r="H201" s="27"/>
      <c r="I201" s="27"/>
      <c r="J201" s="27"/>
      <c r="K201" s="27"/>
    </row>
    <row r="202" spans="2:11" x14ac:dyDescent="0.35">
      <c r="B202" s="252" t="s">
        <v>209</v>
      </c>
      <c r="C202" s="246" t="s">
        <v>210</v>
      </c>
      <c r="D202" s="32"/>
      <c r="E202" s="32"/>
      <c r="F202" s="32"/>
      <c r="G202" s="27"/>
      <c r="H202" s="27"/>
      <c r="I202" s="27"/>
      <c r="J202" s="27"/>
      <c r="K202" s="27"/>
    </row>
    <row r="203" spans="2:11" x14ac:dyDescent="0.35">
      <c r="B203" s="252" t="s">
        <v>211</v>
      </c>
      <c r="C203" s="246" t="s">
        <v>212</v>
      </c>
      <c r="D203" s="256"/>
      <c r="E203" s="32"/>
      <c r="F203" s="248"/>
      <c r="G203" s="27"/>
      <c r="H203" s="27"/>
      <c r="I203" s="27"/>
      <c r="J203" s="27"/>
      <c r="K203" s="27"/>
    </row>
    <row r="204" spans="2:11" x14ac:dyDescent="0.35">
      <c r="B204" s="252" t="s">
        <v>213</v>
      </c>
      <c r="C204" s="260">
        <f>C167/C170 + C179*C181 - C173</f>
        <v>3025.9542220975836</v>
      </c>
      <c r="D204" s="32"/>
      <c r="E204" s="32"/>
      <c r="F204" s="248"/>
      <c r="G204" s="27"/>
      <c r="H204" s="27"/>
      <c r="I204" s="27"/>
      <c r="J204" s="27"/>
      <c r="K204" s="27"/>
    </row>
    <row r="205" spans="2:11" x14ac:dyDescent="0.35">
      <c r="B205" s="252" t="s">
        <v>214</v>
      </c>
      <c r="C205" s="260">
        <f>C204</f>
        <v>3025.9542220975836</v>
      </c>
      <c r="D205" s="256"/>
      <c r="E205" s="32"/>
      <c r="F205" s="248"/>
      <c r="G205" s="27"/>
      <c r="H205" s="27"/>
      <c r="I205" s="27"/>
      <c r="J205" s="27"/>
      <c r="K205" s="27"/>
    </row>
    <row r="206" spans="2:11" x14ac:dyDescent="0.35">
      <c r="B206" s="252" t="s">
        <v>192</v>
      </c>
      <c r="C206" s="246" t="s">
        <v>215</v>
      </c>
      <c r="D206" s="261" t="s">
        <v>216</v>
      </c>
      <c r="E206" s="32"/>
      <c r="F206" s="32"/>
      <c r="G206" s="27"/>
      <c r="H206" s="27"/>
      <c r="I206" s="27"/>
      <c r="J206" s="27"/>
      <c r="K206" s="27"/>
    </row>
    <row r="207" spans="2:11" x14ac:dyDescent="0.35">
      <c r="B207" s="248"/>
      <c r="C207" s="158"/>
      <c r="D207" s="262"/>
      <c r="E207" s="32"/>
      <c r="F207" s="32"/>
      <c r="G207" s="27"/>
      <c r="H207" s="27"/>
      <c r="I207" s="27"/>
      <c r="J207" s="27"/>
      <c r="K207" s="27"/>
    </row>
    <row r="208" spans="2:11" ht="18" x14ac:dyDescent="0.4">
      <c r="B208" s="273" t="s">
        <v>217</v>
      </c>
      <c r="C208" s="158"/>
      <c r="D208" s="262"/>
      <c r="E208" s="32"/>
      <c r="F208" s="32"/>
      <c r="G208" s="27"/>
      <c r="H208" s="27"/>
      <c r="I208" s="27"/>
      <c r="J208" s="27"/>
      <c r="K208" s="27"/>
    </row>
    <row r="209" spans="2:11" x14ac:dyDescent="0.35">
      <c r="B209" s="246" t="s">
        <v>218</v>
      </c>
      <c r="C209" s="158"/>
      <c r="D209" s="262"/>
      <c r="E209" s="32"/>
      <c r="F209" s="32"/>
      <c r="G209" s="27"/>
      <c r="H209" s="27"/>
      <c r="I209" s="27"/>
      <c r="J209" s="27"/>
      <c r="K209" s="27"/>
    </row>
    <row r="210" spans="2:11" x14ac:dyDescent="0.35">
      <c r="B210" s="252" t="s">
        <v>192</v>
      </c>
      <c r="C210" s="246" t="s">
        <v>193</v>
      </c>
      <c r="D210" s="264" t="s">
        <v>194</v>
      </c>
      <c r="E210" s="32"/>
      <c r="F210" s="32"/>
      <c r="G210" s="27"/>
      <c r="H210" s="27"/>
      <c r="I210" s="27"/>
      <c r="J210" s="27"/>
      <c r="K210" s="27"/>
    </row>
    <row r="211" spans="2:11" x14ac:dyDescent="0.35">
      <c r="B211" s="265" t="s">
        <v>192</v>
      </c>
      <c r="C211" s="255" t="s">
        <v>199</v>
      </c>
      <c r="D211" s="264" t="s">
        <v>200</v>
      </c>
      <c r="E211" s="32"/>
      <c r="F211" s="32"/>
      <c r="G211" s="27"/>
      <c r="H211" s="27"/>
      <c r="I211" s="27"/>
      <c r="J211" s="27"/>
      <c r="K211" s="27"/>
    </row>
    <row r="212" spans="2:11" x14ac:dyDescent="0.35">
      <c r="B212" s="252" t="s">
        <v>192</v>
      </c>
      <c r="C212" s="246" t="s">
        <v>215</v>
      </c>
      <c r="D212" s="264" t="s">
        <v>216</v>
      </c>
      <c r="E212" s="32"/>
      <c r="F212" s="32"/>
      <c r="G212" s="27"/>
      <c r="H212" s="27"/>
      <c r="I212" s="27"/>
      <c r="J212" s="27"/>
      <c r="K212" s="27"/>
    </row>
    <row r="213" spans="2:11" x14ac:dyDescent="0.35">
      <c r="B213" s="248"/>
      <c r="C213" s="158"/>
      <c r="D213" s="262"/>
      <c r="E213" s="32"/>
      <c r="F213" s="32"/>
      <c r="G213" s="27"/>
      <c r="H213" s="27"/>
      <c r="I213" s="27"/>
      <c r="J213" s="27"/>
      <c r="K213" s="27"/>
    </row>
    <row r="214" spans="2:11" x14ac:dyDescent="0.35">
      <c r="B214" s="252" t="s">
        <v>219</v>
      </c>
      <c r="C214" s="246" t="s">
        <v>220</v>
      </c>
      <c r="D214" s="264" t="s">
        <v>200</v>
      </c>
      <c r="E214" s="32"/>
      <c r="F214" s="32"/>
      <c r="G214" s="27"/>
      <c r="H214" s="27"/>
      <c r="I214" s="27"/>
      <c r="J214" s="27"/>
      <c r="K214" s="27"/>
    </row>
    <row r="215" spans="2:11" x14ac:dyDescent="0.35">
      <c r="B215" s="252"/>
      <c r="C215" s="246"/>
      <c r="D215" s="262"/>
      <c r="E215" s="32"/>
      <c r="F215" s="32"/>
      <c r="G215" s="27"/>
      <c r="H215" s="27"/>
      <c r="I215" s="27"/>
      <c r="J215" s="27"/>
      <c r="K215" s="27"/>
    </row>
    <row r="216" spans="2:11" x14ac:dyDescent="0.35">
      <c r="B216" s="252" t="s">
        <v>185</v>
      </c>
      <c r="C216" s="246" t="s">
        <v>221</v>
      </c>
      <c r="D216" s="264" t="s">
        <v>216</v>
      </c>
      <c r="E216" s="32"/>
      <c r="F216" s="32"/>
      <c r="G216" s="27"/>
      <c r="H216" s="27"/>
      <c r="I216" s="27"/>
      <c r="J216" s="27"/>
      <c r="K216" s="27"/>
    </row>
    <row r="217" spans="2:11" x14ac:dyDescent="0.35">
      <c r="B217" s="252" t="s">
        <v>219</v>
      </c>
      <c r="C217" s="246" t="s">
        <v>222</v>
      </c>
      <c r="D217" s="264" t="s">
        <v>194</v>
      </c>
      <c r="E217" s="32"/>
      <c r="F217" s="32"/>
      <c r="G217" s="27"/>
      <c r="H217" s="27"/>
      <c r="I217" s="27"/>
      <c r="J217" s="27"/>
      <c r="K217" s="27"/>
    </row>
    <row r="218" spans="2:11" x14ac:dyDescent="0.35">
      <c r="B218" s="248"/>
      <c r="C218" s="158"/>
      <c r="D218" s="32"/>
      <c r="E218" s="32"/>
      <c r="F218" s="32"/>
      <c r="G218" s="27"/>
      <c r="H218" s="27"/>
      <c r="I218" s="27"/>
      <c r="J218" s="27"/>
      <c r="K218" s="27"/>
    </row>
    <row r="219" spans="2:11" x14ac:dyDescent="0.35">
      <c r="B219" s="252" t="s">
        <v>192</v>
      </c>
      <c r="C219" s="246" t="s">
        <v>223</v>
      </c>
      <c r="D219" s="32"/>
      <c r="E219" s="254" t="s">
        <v>224</v>
      </c>
      <c r="F219" s="32"/>
      <c r="G219" s="27"/>
      <c r="H219" s="27"/>
      <c r="I219" s="27"/>
      <c r="J219" s="27"/>
      <c r="K219" s="27"/>
    </row>
    <row r="220" spans="2:11" x14ac:dyDescent="0.35">
      <c r="B220" s="252" t="s">
        <v>225</v>
      </c>
      <c r="C220" s="246" t="s">
        <v>226</v>
      </c>
      <c r="D220" s="264" t="s">
        <v>227</v>
      </c>
      <c r="E220" s="32"/>
      <c r="F220" s="32"/>
      <c r="G220" s="27"/>
      <c r="H220" s="27"/>
      <c r="I220" s="27"/>
      <c r="J220" s="27"/>
      <c r="K220" s="27"/>
    </row>
    <row r="221" spans="2:11" x14ac:dyDescent="0.35">
      <c r="B221" s="248"/>
      <c r="C221" s="158"/>
      <c r="D221" s="262"/>
      <c r="E221" s="32"/>
      <c r="F221" s="32"/>
      <c r="G221" s="27"/>
      <c r="H221" s="27"/>
      <c r="I221" s="27"/>
      <c r="J221" s="27"/>
      <c r="K221" s="27"/>
    </row>
    <row r="222" spans="2:11" x14ac:dyDescent="0.35">
      <c r="B222" s="252" t="s">
        <v>192</v>
      </c>
      <c r="C222" s="246" t="s">
        <v>215</v>
      </c>
      <c r="D222" s="264" t="s">
        <v>216</v>
      </c>
      <c r="E222" s="32"/>
      <c r="F222" s="32"/>
      <c r="G222" s="27"/>
      <c r="H222" s="27"/>
      <c r="I222" s="27"/>
      <c r="J222" s="27"/>
      <c r="K222" s="27"/>
    </row>
    <row r="223" spans="2:11" x14ac:dyDescent="0.35">
      <c r="B223" s="252" t="s">
        <v>185</v>
      </c>
      <c r="C223" s="246" t="s">
        <v>228</v>
      </c>
      <c r="D223" s="256"/>
      <c r="E223" s="32"/>
      <c r="F223" s="32"/>
      <c r="G223" s="27"/>
      <c r="H223" s="27"/>
      <c r="I223" s="27"/>
      <c r="J223" s="27"/>
      <c r="K223" s="27"/>
    </row>
    <row r="224" spans="2:11" x14ac:dyDescent="0.35">
      <c r="B224" s="252" t="s">
        <v>185</v>
      </c>
      <c r="C224" s="246" t="s">
        <v>229</v>
      </c>
      <c r="D224" s="254" t="s">
        <v>230</v>
      </c>
      <c r="E224" s="32"/>
      <c r="F224" s="32"/>
      <c r="G224" s="27"/>
      <c r="H224" s="27"/>
      <c r="I224" s="27"/>
      <c r="J224" s="27"/>
      <c r="K224" s="27"/>
    </row>
    <row r="225" spans="2:11" x14ac:dyDescent="0.35">
      <c r="B225" s="248"/>
      <c r="C225" s="158"/>
      <c r="D225" s="32"/>
      <c r="E225" s="32"/>
      <c r="F225" s="32"/>
      <c r="G225" s="27"/>
      <c r="H225" s="27"/>
      <c r="I225" s="27"/>
      <c r="J225" s="27"/>
      <c r="K225" s="27"/>
    </row>
    <row r="226" spans="2:11" x14ac:dyDescent="0.35">
      <c r="B226" s="252" t="s">
        <v>225</v>
      </c>
      <c r="C226" s="246" t="s">
        <v>229</v>
      </c>
      <c r="D226" s="32"/>
      <c r="E226" s="256" t="s">
        <v>231</v>
      </c>
      <c r="F226" s="32"/>
      <c r="G226" s="27"/>
      <c r="H226" s="27"/>
      <c r="I226" s="27"/>
      <c r="J226" s="27"/>
      <c r="K226" s="27"/>
    </row>
    <row r="227" spans="2:11" x14ac:dyDescent="0.35">
      <c r="B227" s="252" t="s">
        <v>192</v>
      </c>
      <c r="C227" s="246" t="s">
        <v>232</v>
      </c>
      <c r="D227" s="32"/>
      <c r="E227" s="32"/>
      <c r="F227" s="32"/>
      <c r="G227" s="27"/>
      <c r="H227" s="27"/>
      <c r="I227" s="27"/>
      <c r="J227" s="27"/>
      <c r="K227" s="27"/>
    </row>
    <row r="228" spans="2:11" x14ac:dyDescent="0.35">
      <c r="B228" s="248"/>
      <c r="C228" s="158"/>
      <c r="D228" s="32"/>
      <c r="E228" s="32"/>
      <c r="F228" s="32"/>
      <c r="G228" s="27"/>
      <c r="H228" s="27"/>
      <c r="I228" s="27"/>
      <c r="J228" s="27"/>
      <c r="K228" s="27"/>
    </row>
    <row r="229" spans="2:11" ht="18" x14ac:dyDescent="0.4">
      <c r="B229" s="273" t="s">
        <v>233</v>
      </c>
      <c r="C229" s="158"/>
      <c r="D229" s="32"/>
      <c r="E229" s="32"/>
      <c r="F229" s="32"/>
      <c r="G229" s="27"/>
      <c r="H229" s="27"/>
      <c r="I229" s="27"/>
      <c r="J229" s="27"/>
      <c r="K229" s="27"/>
    </row>
    <row r="230" spans="2:11" ht="18" x14ac:dyDescent="0.4">
      <c r="B230" s="273" t="s">
        <v>234</v>
      </c>
      <c r="C230" s="158"/>
      <c r="D230" s="32"/>
      <c r="E230" s="32"/>
      <c r="F230" s="32"/>
      <c r="G230" s="27"/>
      <c r="H230" s="27"/>
      <c r="I230" s="27"/>
      <c r="J230" s="27"/>
      <c r="K230" s="27"/>
    </row>
    <row r="231" spans="2:11" x14ac:dyDescent="0.35">
      <c r="B231" s="246" t="s">
        <v>235</v>
      </c>
      <c r="C231" s="158"/>
      <c r="D231" s="32"/>
      <c r="E231" s="32"/>
      <c r="F231" s="32"/>
      <c r="G231" s="27"/>
      <c r="H231" s="27"/>
      <c r="I231" s="27"/>
      <c r="J231" s="27"/>
      <c r="K231" s="27"/>
    </row>
    <row r="232" spans="2:11" x14ac:dyDescent="0.35">
      <c r="B232" s="248"/>
      <c r="C232" s="158"/>
      <c r="D232" s="32"/>
      <c r="E232" s="32"/>
      <c r="F232" s="32"/>
      <c r="G232" s="27"/>
      <c r="H232" s="27"/>
      <c r="I232" s="27"/>
      <c r="J232" s="27"/>
      <c r="K232" s="27"/>
    </row>
    <row r="233" spans="2:11" x14ac:dyDescent="0.35">
      <c r="B233" s="246" t="s">
        <v>236</v>
      </c>
      <c r="C233" s="158"/>
      <c r="D233" s="32"/>
      <c r="E233" s="32"/>
      <c r="F233" s="32"/>
      <c r="G233" s="27"/>
      <c r="H233" s="27"/>
      <c r="I233" s="27"/>
      <c r="J233" s="27"/>
      <c r="K233" s="27"/>
    </row>
    <row r="234" spans="2:11" x14ac:dyDescent="0.35">
      <c r="B234" s="246"/>
      <c r="C234" s="158"/>
      <c r="D234" s="32"/>
      <c r="E234" s="32"/>
      <c r="F234" s="32"/>
      <c r="G234" s="27"/>
      <c r="H234" s="27"/>
      <c r="I234" s="27"/>
      <c r="J234" s="27"/>
      <c r="K234" s="27"/>
    </row>
    <row r="235" spans="2:11" x14ac:dyDescent="0.35">
      <c r="B235" s="246" t="s">
        <v>661</v>
      </c>
      <c r="C235" s="158"/>
      <c r="D235" s="32"/>
      <c r="E235" s="32"/>
      <c r="F235" s="32"/>
      <c r="G235" s="27"/>
      <c r="H235" s="27"/>
      <c r="I235" s="27"/>
      <c r="J235" s="27"/>
      <c r="K235" s="27"/>
    </row>
    <row r="236" spans="2:11" x14ac:dyDescent="0.35">
      <c r="B236" s="246" t="s">
        <v>237</v>
      </c>
      <c r="C236" s="158"/>
      <c r="D236" s="32"/>
      <c r="E236" s="32"/>
      <c r="F236" s="32"/>
      <c r="G236" s="27"/>
      <c r="H236" s="27"/>
      <c r="I236" s="27"/>
      <c r="J236" s="27"/>
      <c r="K236" s="27"/>
    </row>
    <row r="237" spans="2:11" x14ac:dyDescent="0.35">
      <c r="B237" s="246" t="s">
        <v>238</v>
      </c>
      <c r="C237" s="158"/>
      <c r="D237" s="32"/>
      <c r="E237" s="32"/>
      <c r="F237" s="254"/>
      <c r="G237" s="27"/>
      <c r="H237" s="27"/>
      <c r="I237" s="27"/>
      <c r="J237" s="27"/>
      <c r="K237" s="27"/>
    </row>
    <row r="238" spans="2:11" x14ac:dyDescent="0.35">
      <c r="B238" s="246" t="s">
        <v>660</v>
      </c>
      <c r="C238" s="158"/>
      <c r="D238" s="32"/>
      <c r="E238" s="32"/>
      <c r="F238" s="32"/>
      <c r="G238" s="27"/>
      <c r="H238" s="27"/>
      <c r="I238" s="27"/>
      <c r="J238" s="27"/>
      <c r="K238" s="27"/>
    </row>
    <row r="239" spans="2:11" x14ac:dyDescent="0.35">
      <c r="B239" s="248"/>
      <c r="C239" s="158"/>
      <c r="D239" s="32"/>
      <c r="E239" s="32"/>
      <c r="F239" s="32"/>
      <c r="G239" s="27"/>
      <c r="H239" s="27"/>
      <c r="I239" s="27"/>
      <c r="J239" s="27"/>
      <c r="K239" s="27"/>
    </row>
    <row r="240" spans="2:11" ht="16" thickBot="1" x14ac:dyDescent="0.4">
      <c r="B240" s="252" t="s">
        <v>192</v>
      </c>
      <c r="C240" s="246" t="s">
        <v>232</v>
      </c>
      <c r="D240" s="32"/>
      <c r="E240" s="32"/>
      <c r="F240" s="32"/>
      <c r="G240" s="27"/>
      <c r="H240" s="27"/>
      <c r="I240" s="27"/>
      <c r="J240" s="27"/>
      <c r="K240" s="27"/>
    </row>
    <row r="241" spans="2:11" ht="16" thickBot="1" x14ac:dyDescent="0.4">
      <c r="B241" s="252" t="s">
        <v>192</v>
      </c>
      <c r="C241" s="278">
        <f>1.4*C247*C245 - C248 - C247*C246*C245^1.4</f>
        <v>2.7079600044999097E-4</v>
      </c>
      <c r="D241" s="32"/>
      <c r="E241" s="256" t="s">
        <v>239</v>
      </c>
      <c r="F241" s="32"/>
      <c r="G241" s="27"/>
      <c r="H241" s="27"/>
      <c r="I241" s="27"/>
      <c r="J241" s="27"/>
      <c r="K241" s="27"/>
    </row>
    <row r="242" spans="2:11" x14ac:dyDescent="0.35">
      <c r="B242" s="34"/>
      <c r="C242" s="34"/>
      <c r="D242" s="34"/>
      <c r="E242" s="34"/>
      <c r="F242" s="34"/>
      <c r="G242" s="27"/>
      <c r="H242" s="27"/>
      <c r="I242" s="27"/>
      <c r="J242" s="27"/>
      <c r="K242" s="27"/>
    </row>
    <row r="243" spans="2:11" x14ac:dyDescent="0.35">
      <c r="B243" s="246" t="s">
        <v>240</v>
      </c>
      <c r="C243" s="246"/>
      <c r="D243" s="256"/>
      <c r="E243" s="256"/>
      <c r="F243" s="32"/>
      <c r="G243" s="27"/>
      <c r="H243" s="27"/>
      <c r="I243" s="27"/>
      <c r="J243" s="27"/>
      <c r="K243" s="27"/>
    </row>
    <row r="244" spans="2:11" ht="16" thickBot="1" x14ac:dyDescent="0.4">
      <c r="B244" s="34"/>
      <c r="C244" s="34"/>
      <c r="D244" s="34"/>
      <c r="E244" s="34"/>
      <c r="F244" s="34"/>
      <c r="G244" s="27"/>
      <c r="H244" s="27"/>
      <c r="I244" s="27"/>
      <c r="J244" s="27"/>
      <c r="K244" s="27"/>
    </row>
    <row r="245" spans="2:11" ht="16" thickBot="1" x14ac:dyDescent="0.4">
      <c r="B245" s="266" t="s">
        <v>241</v>
      </c>
      <c r="C245" s="279">
        <v>7.7438311211916938E-2</v>
      </c>
      <c r="D245" s="267" t="s">
        <v>173</v>
      </c>
      <c r="E245" s="32"/>
      <c r="F245" s="32"/>
      <c r="G245" s="27"/>
      <c r="H245" s="27"/>
      <c r="I245" s="27"/>
      <c r="J245" s="27"/>
      <c r="K245" s="27"/>
    </row>
    <row r="246" spans="2:11" x14ac:dyDescent="0.35">
      <c r="B246" s="252" t="s">
        <v>242</v>
      </c>
      <c r="C246" s="257">
        <f>C190</f>
        <v>1.1676556450712234</v>
      </c>
      <c r="D246" s="256"/>
      <c r="E246" s="32"/>
      <c r="F246" s="32"/>
      <c r="G246" s="27"/>
      <c r="H246" s="27"/>
      <c r="I246" s="27"/>
      <c r="J246" s="27"/>
      <c r="K246" s="27"/>
    </row>
    <row r="247" spans="2:11" x14ac:dyDescent="0.35">
      <c r="B247" s="252" t="s">
        <v>243</v>
      </c>
      <c r="C247" s="260">
        <f>C195</f>
        <v>39859.294366993636</v>
      </c>
      <c r="D247" s="256"/>
      <c r="E247" s="32"/>
      <c r="F247" s="32"/>
      <c r="G247" s="27"/>
      <c r="H247" s="27"/>
      <c r="I247" s="27"/>
      <c r="J247" s="27"/>
      <c r="K247" s="27"/>
    </row>
    <row r="248" spans="2:11" x14ac:dyDescent="0.35">
      <c r="B248" s="252" t="s">
        <v>244</v>
      </c>
      <c r="C248" s="260">
        <f>C205</f>
        <v>3025.9542220975836</v>
      </c>
      <c r="D248" s="256"/>
      <c r="E248" s="32"/>
      <c r="F248" s="32"/>
      <c r="G248" s="27"/>
      <c r="H248" s="27"/>
      <c r="I248" s="27"/>
      <c r="J248" s="27"/>
      <c r="K248" s="27"/>
    </row>
    <row r="249" spans="2:11" x14ac:dyDescent="0.35">
      <c r="B249" s="248"/>
      <c r="C249" s="158"/>
      <c r="D249" s="256"/>
      <c r="E249" s="32"/>
      <c r="F249" s="32"/>
      <c r="G249" s="27"/>
      <c r="H249" s="27"/>
      <c r="I249" s="27"/>
      <c r="J249" s="27"/>
      <c r="K249" s="27"/>
    </row>
    <row r="250" spans="2:11" x14ac:dyDescent="0.35">
      <c r="B250" s="252" t="s">
        <v>219</v>
      </c>
      <c r="C250" s="246" t="s">
        <v>220</v>
      </c>
      <c r="D250" s="254" t="s">
        <v>200</v>
      </c>
      <c r="E250" s="32"/>
      <c r="F250" s="32"/>
      <c r="G250" s="27"/>
      <c r="H250" s="27"/>
      <c r="I250" s="27"/>
      <c r="J250" s="27"/>
      <c r="K250" s="27"/>
    </row>
    <row r="251" spans="2:11" ht="16" thickBot="1" x14ac:dyDescent="0.4">
      <c r="B251" s="268" t="s">
        <v>42</v>
      </c>
      <c r="C251" s="269">
        <f>C247*C245</f>
        <v>3086.6364418786611</v>
      </c>
      <c r="D251" s="267" t="s">
        <v>170</v>
      </c>
      <c r="E251" s="32"/>
      <c r="F251" s="32"/>
      <c r="G251" s="27"/>
      <c r="H251" s="27"/>
      <c r="I251" s="27"/>
      <c r="J251" s="27"/>
      <c r="K251" s="27"/>
    </row>
    <row r="252" spans="2:11" x14ac:dyDescent="0.35">
      <c r="B252" s="248"/>
      <c r="C252" s="158"/>
      <c r="D252" s="256"/>
      <c r="E252" s="32"/>
      <c r="F252" s="32"/>
      <c r="G252" s="27"/>
      <c r="H252" s="27"/>
      <c r="I252" s="27"/>
      <c r="J252" s="27"/>
      <c r="K252" s="27"/>
    </row>
    <row r="253" spans="2:11" x14ac:dyDescent="0.35">
      <c r="B253" s="252" t="s">
        <v>185</v>
      </c>
      <c r="C253" s="246" t="s">
        <v>221</v>
      </c>
      <c r="D253" s="254" t="s">
        <v>216</v>
      </c>
      <c r="E253" s="32"/>
      <c r="F253" s="254"/>
      <c r="G253" s="27"/>
      <c r="H253" s="27"/>
      <c r="I253" s="27"/>
      <c r="J253" s="27"/>
      <c r="K253" s="27"/>
    </row>
    <row r="254" spans="2:11" ht="16" thickBot="1" x14ac:dyDescent="0.4">
      <c r="B254" s="268" t="s">
        <v>42</v>
      </c>
      <c r="C254" s="270">
        <f>C246*C251*C245^0.4</f>
        <v>1295.3365257365408</v>
      </c>
      <c r="D254" s="267" t="s">
        <v>170</v>
      </c>
      <c r="E254" s="32"/>
      <c r="F254" s="254"/>
      <c r="G254" s="27"/>
      <c r="H254" s="27"/>
      <c r="I254" s="27"/>
      <c r="J254" s="27"/>
      <c r="K254" s="27"/>
    </row>
    <row r="255" spans="2:11" x14ac:dyDescent="0.35">
      <c r="B255" s="252"/>
      <c r="C255" s="246"/>
      <c r="D255" s="32"/>
      <c r="E255" s="32"/>
      <c r="F255" s="32"/>
      <c r="G255" s="27"/>
      <c r="H255" s="27"/>
      <c r="I255" s="27"/>
      <c r="J255" s="27"/>
      <c r="K255" s="27"/>
    </row>
    <row r="256" spans="2:11" x14ac:dyDescent="0.35">
      <c r="B256" s="252" t="s">
        <v>245</v>
      </c>
      <c r="C256" s="246" t="s">
        <v>246</v>
      </c>
      <c r="D256" s="256"/>
      <c r="E256" s="256"/>
      <c r="F256" s="32"/>
      <c r="G256" s="27"/>
      <c r="H256" s="27"/>
      <c r="I256" s="27"/>
      <c r="J256" s="27"/>
      <c r="K256" s="27"/>
    </row>
    <row r="257" spans="2:11" x14ac:dyDescent="0.35">
      <c r="B257" s="252" t="s">
        <v>42</v>
      </c>
      <c r="C257" s="271">
        <f>C245/C177</f>
        <v>2.0535975452328237</v>
      </c>
      <c r="D257" s="256"/>
      <c r="E257" s="256"/>
      <c r="F257" s="32"/>
      <c r="G257" s="27"/>
      <c r="H257" s="27"/>
      <c r="I257" s="27"/>
      <c r="J257" s="27"/>
      <c r="K257" s="27"/>
    </row>
    <row r="258" spans="2:11" x14ac:dyDescent="0.35">
      <c r="B258" s="252" t="s">
        <v>247</v>
      </c>
      <c r="C258" s="246" t="s">
        <v>248</v>
      </c>
      <c r="D258" s="256"/>
      <c r="E258" s="256"/>
      <c r="F258" s="32"/>
      <c r="G258" s="27"/>
      <c r="H258" s="27"/>
      <c r="I258" s="27"/>
      <c r="J258" s="27"/>
      <c r="K258" s="27"/>
    </row>
    <row r="259" spans="2:11" x14ac:dyDescent="0.35">
      <c r="B259" s="252" t="s">
        <v>42</v>
      </c>
      <c r="C259" s="272">
        <f>1-((1/(C164^(C179-1))*((C257^C179-1)/(C179*(C257-1)))))</f>
        <v>0.62908307372665573</v>
      </c>
      <c r="D259" s="256"/>
      <c r="E259" s="256"/>
      <c r="F259" s="32"/>
      <c r="G259" s="27"/>
      <c r="H259" s="27"/>
      <c r="I259" s="27"/>
      <c r="J259" s="27"/>
      <c r="K259" s="27"/>
    </row>
    <row r="260" spans="2:11" x14ac:dyDescent="0.35">
      <c r="B260" s="252" t="s">
        <v>249</v>
      </c>
      <c r="C260" s="246" t="s">
        <v>250</v>
      </c>
      <c r="D260" s="32"/>
      <c r="E260" s="32"/>
      <c r="F260" s="32"/>
      <c r="G260" s="27"/>
      <c r="H260" s="27"/>
      <c r="I260" s="27"/>
      <c r="J260" s="27"/>
      <c r="K260" s="27"/>
    </row>
    <row r="261" spans="2:11" x14ac:dyDescent="0.35">
      <c r="B261" s="252" t="s">
        <v>42</v>
      </c>
      <c r="C261" s="260">
        <f>C167 / (C175 - C177)</f>
        <v>1559.9495096342052</v>
      </c>
      <c r="D261" s="256" t="s">
        <v>162</v>
      </c>
      <c r="E261" s="32"/>
      <c r="F261" s="32"/>
      <c r="G261" s="27"/>
      <c r="H261" s="27"/>
      <c r="I261" s="27"/>
      <c r="J261" s="27"/>
      <c r="K261" s="27"/>
    </row>
    <row r="262" spans="2:11" x14ac:dyDescent="0.35">
      <c r="B262" s="252" t="s">
        <v>251</v>
      </c>
      <c r="C262" s="246" t="s">
        <v>252</v>
      </c>
      <c r="D262" s="32"/>
      <c r="E262" s="32"/>
      <c r="F262" s="32"/>
      <c r="G262" s="27"/>
      <c r="H262" s="27"/>
      <c r="I262" s="27"/>
      <c r="J262" s="27"/>
      <c r="K262" s="27"/>
    </row>
    <row r="263" spans="2:11" x14ac:dyDescent="0.35">
      <c r="B263" s="252" t="s">
        <v>42</v>
      </c>
      <c r="C263" s="259">
        <f>C175/C245</f>
        <v>8.7651059195044354</v>
      </c>
      <c r="D263" s="32"/>
      <c r="E263" s="32"/>
      <c r="F263" s="32"/>
      <c r="G263" s="27"/>
      <c r="H263" s="27"/>
      <c r="I263" s="27"/>
      <c r="J263" s="27"/>
      <c r="K263" s="27"/>
    </row>
    <row r="264" spans="2:11" x14ac:dyDescent="0.35">
      <c r="B264" s="252" t="s">
        <v>253</v>
      </c>
      <c r="C264" s="246" t="s">
        <v>254</v>
      </c>
      <c r="D264" s="32"/>
      <c r="E264" s="32"/>
      <c r="F264" s="32"/>
      <c r="G264" s="27"/>
      <c r="H264" s="27"/>
      <c r="I264" s="27"/>
      <c r="J264" s="27"/>
      <c r="K264" s="27"/>
    </row>
    <row r="265" spans="2:11" x14ac:dyDescent="0.35">
      <c r="B265" s="248" t="s">
        <v>42</v>
      </c>
      <c r="C265" s="272">
        <f>1 - (1 / (C263^(C179-1)))</f>
        <v>0.5803404287716688</v>
      </c>
      <c r="D265" s="32"/>
      <c r="E265" s="32"/>
      <c r="F265" s="32"/>
      <c r="G265" s="27"/>
      <c r="H265" s="27"/>
      <c r="I265" s="27"/>
      <c r="J265" s="27"/>
      <c r="K265" s="27"/>
    </row>
    <row r="266" spans="2:11" x14ac:dyDescent="0.35">
      <c r="C266" s="73"/>
      <c r="G266" s="27"/>
      <c r="H266" s="27"/>
      <c r="I266" s="27"/>
      <c r="J266" s="27"/>
      <c r="K266" s="27"/>
    </row>
    <row r="267" spans="2:11" x14ac:dyDescent="0.35">
      <c r="B267" s="6" t="s">
        <v>545</v>
      </c>
      <c r="C267" s="73"/>
      <c r="G267" s="27"/>
      <c r="H267" s="3"/>
      <c r="I267" s="27"/>
      <c r="J267" s="27"/>
      <c r="K267" s="27"/>
    </row>
    <row r="268" spans="2:11" x14ac:dyDescent="0.35">
      <c r="I268" s="27"/>
      <c r="J268" s="27"/>
      <c r="K268" s="27"/>
    </row>
    <row r="269" spans="2:11" ht="18" x14ac:dyDescent="0.4">
      <c r="B269" s="161" t="s">
        <v>658</v>
      </c>
      <c r="C269" s="8"/>
      <c r="D269" s="177"/>
      <c r="E269" s="177"/>
      <c r="G269" s="27"/>
      <c r="H269" s="3"/>
      <c r="I269" s="27"/>
      <c r="J269" s="27"/>
      <c r="K269" s="27"/>
    </row>
    <row r="270" spans="2:11" x14ac:dyDescent="0.35">
      <c r="B270" s="178"/>
      <c r="C270" s="8"/>
      <c r="D270" s="177"/>
      <c r="E270" s="177"/>
      <c r="G270" s="27"/>
      <c r="H270" s="27"/>
      <c r="I270" s="27"/>
      <c r="J270" s="27"/>
      <c r="K270" s="27"/>
    </row>
    <row r="271" spans="2:11" x14ac:dyDescent="0.35">
      <c r="B271" s="178"/>
      <c r="C271" s="179"/>
      <c r="D271" s="177"/>
      <c r="E271" s="177"/>
      <c r="G271" s="27"/>
      <c r="H271" s="27"/>
      <c r="I271" s="27"/>
      <c r="J271" s="27"/>
      <c r="K271" s="27"/>
    </row>
    <row r="272" spans="2:11" x14ac:dyDescent="0.35">
      <c r="B272" s="180"/>
      <c r="C272" s="8"/>
      <c r="D272" s="177"/>
      <c r="E272" s="177"/>
      <c r="G272" s="27"/>
      <c r="H272" s="27"/>
      <c r="I272" s="27"/>
      <c r="J272" s="27"/>
      <c r="K272" s="27"/>
    </row>
    <row r="273" spans="2:11" x14ac:dyDescent="0.35">
      <c r="B273" s="178"/>
      <c r="C273" s="179"/>
      <c r="D273" s="181"/>
      <c r="E273" s="177"/>
      <c r="G273" s="27"/>
      <c r="H273" s="27"/>
      <c r="I273" s="27"/>
      <c r="J273" s="27"/>
      <c r="K273" s="27"/>
    </row>
    <row r="274" spans="2:11" x14ac:dyDescent="0.35">
      <c r="B274" s="178"/>
      <c r="C274" s="179"/>
      <c r="D274" s="181"/>
      <c r="E274" s="177"/>
      <c r="G274" s="27"/>
      <c r="H274" s="27"/>
      <c r="I274" s="27"/>
      <c r="J274" s="27"/>
      <c r="K274" s="27"/>
    </row>
    <row r="275" spans="2:11" x14ac:dyDescent="0.35">
      <c r="B275" s="178"/>
      <c r="C275" s="182"/>
      <c r="D275" s="181"/>
      <c r="E275" s="177"/>
      <c r="G275" s="27"/>
      <c r="H275" s="27"/>
      <c r="I275" s="27"/>
      <c r="J275" s="27"/>
      <c r="K275" s="27"/>
    </row>
    <row r="276" spans="2:11" x14ac:dyDescent="0.35">
      <c r="B276" s="178"/>
      <c r="C276" s="182"/>
      <c r="D276" s="181"/>
      <c r="E276" s="177"/>
      <c r="G276" s="27"/>
      <c r="H276" s="27"/>
      <c r="I276" s="27"/>
      <c r="J276" s="27"/>
      <c r="K276" s="27"/>
    </row>
    <row r="277" spans="2:11" x14ac:dyDescent="0.35">
      <c r="B277" s="180"/>
      <c r="C277" s="92"/>
      <c r="D277" s="181"/>
      <c r="E277" s="177"/>
      <c r="G277" s="27"/>
      <c r="H277" s="27"/>
      <c r="I277" s="27"/>
      <c r="J277" s="27"/>
      <c r="K277" s="27"/>
    </row>
    <row r="278" spans="2:11" x14ac:dyDescent="0.35">
      <c r="B278" s="178"/>
      <c r="C278" s="8"/>
      <c r="D278" s="181"/>
      <c r="E278" s="177"/>
      <c r="G278" s="27"/>
      <c r="H278" s="27"/>
      <c r="I278" s="27"/>
      <c r="J278" s="27"/>
      <c r="K278" s="27"/>
    </row>
    <row r="279" spans="2:11" x14ac:dyDescent="0.35">
      <c r="B279" s="180"/>
      <c r="C279" s="182"/>
      <c r="D279" s="181"/>
      <c r="E279" s="177"/>
      <c r="G279" s="27"/>
      <c r="H279" s="27"/>
      <c r="I279" s="27"/>
      <c r="J279" s="27"/>
      <c r="K279" s="27"/>
    </row>
    <row r="280" spans="2:11" x14ac:dyDescent="0.35">
      <c r="B280" s="180"/>
      <c r="C280" s="92"/>
      <c r="D280" s="181"/>
      <c r="E280" s="177"/>
      <c r="G280" s="27"/>
      <c r="H280" s="27"/>
      <c r="I280" s="27"/>
      <c r="J280" s="27"/>
      <c r="K280" s="27"/>
    </row>
    <row r="281" spans="2:11" x14ac:dyDescent="0.35">
      <c r="B281" s="178"/>
      <c r="C281" s="8"/>
      <c r="D281" s="181"/>
      <c r="E281" s="177"/>
      <c r="G281" s="27"/>
      <c r="H281" s="27"/>
      <c r="I281" s="27"/>
      <c r="J281" s="27"/>
      <c r="K281" s="27"/>
    </row>
    <row r="282" spans="2:11" x14ac:dyDescent="0.35">
      <c r="B282" s="180"/>
      <c r="C282" s="182"/>
      <c r="D282" s="181"/>
      <c r="E282" s="177"/>
      <c r="G282" s="27"/>
      <c r="H282" s="27"/>
      <c r="I282" s="27"/>
      <c r="J282" s="27"/>
      <c r="K282" s="27"/>
    </row>
    <row r="283" spans="2:11" x14ac:dyDescent="0.35">
      <c r="B283" s="178"/>
      <c r="C283" s="8"/>
      <c r="D283" s="177"/>
      <c r="E283" s="177"/>
      <c r="G283" s="27"/>
      <c r="H283" s="27"/>
      <c r="I283" s="27"/>
      <c r="J283" s="27"/>
      <c r="K283" s="27"/>
    </row>
    <row r="284" spans="2:11" x14ac:dyDescent="0.35">
      <c r="B284" s="76"/>
      <c r="C284" s="73"/>
      <c r="G284" s="27"/>
      <c r="H284" s="27"/>
      <c r="I284" s="27"/>
      <c r="J284" s="27"/>
      <c r="K284" s="27"/>
    </row>
    <row r="285" spans="2:11" x14ac:dyDescent="0.35">
      <c r="B285" s="76"/>
      <c r="C285" s="73"/>
      <c r="G285" s="27"/>
      <c r="H285" s="27"/>
      <c r="I285" s="27"/>
      <c r="J285" s="27"/>
      <c r="K285" s="27"/>
    </row>
    <row r="286" spans="2:11" x14ac:dyDescent="0.35">
      <c r="B286" s="76"/>
      <c r="C286" s="73"/>
      <c r="G286" s="27"/>
      <c r="H286" s="27"/>
      <c r="I286" s="27"/>
      <c r="J286" s="27"/>
      <c r="K286" s="27"/>
    </row>
    <row r="287" spans="2:11" x14ac:dyDescent="0.35">
      <c r="B287" s="76"/>
      <c r="C287" s="73"/>
      <c r="G287" s="27"/>
      <c r="H287" s="27"/>
      <c r="I287" s="27"/>
      <c r="J287" s="27"/>
      <c r="K287" s="27"/>
    </row>
    <row r="288" spans="2:11" x14ac:dyDescent="0.35">
      <c r="B288" s="76"/>
      <c r="C288" s="73"/>
      <c r="G288" s="27"/>
      <c r="H288" s="27"/>
      <c r="I288" s="27"/>
      <c r="J288" s="27"/>
      <c r="K288" s="27"/>
    </row>
    <row r="289" spans="2:11" x14ac:dyDescent="0.35">
      <c r="B289" s="76"/>
      <c r="C289" s="73"/>
      <c r="G289" s="27"/>
      <c r="H289" s="27"/>
      <c r="I289" s="27"/>
      <c r="J289" s="27"/>
      <c r="K289" s="27"/>
    </row>
    <row r="290" spans="2:11" x14ac:dyDescent="0.35">
      <c r="B290" s="76"/>
      <c r="C290" s="73"/>
      <c r="G290" s="27"/>
      <c r="H290" s="27"/>
      <c r="I290" s="27"/>
      <c r="J290" s="27"/>
      <c r="K290" s="27"/>
    </row>
    <row r="291" spans="2:11" x14ac:dyDescent="0.35">
      <c r="B291" s="76"/>
      <c r="C291" s="73"/>
      <c r="G291" s="27"/>
      <c r="H291" s="27"/>
      <c r="I291" s="27"/>
      <c r="J291" s="27"/>
      <c r="K291" s="27"/>
    </row>
    <row r="292" spans="2:11" ht="18" x14ac:dyDescent="0.4">
      <c r="B292" s="161" t="s">
        <v>659</v>
      </c>
      <c r="C292" s="73"/>
      <c r="G292" s="27"/>
      <c r="H292" s="27"/>
      <c r="I292" s="27"/>
      <c r="J292" s="27"/>
      <c r="K292" s="27"/>
    </row>
    <row r="293" spans="2:11" ht="18.5" thickBot="1" x14ac:dyDescent="0.45">
      <c r="B293" s="174" t="s">
        <v>485</v>
      </c>
      <c r="C293" s="183" t="s">
        <v>30</v>
      </c>
      <c r="G293" s="27"/>
      <c r="H293" s="27"/>
      <c r="I293" s="27"/>
      <c r="J293" s="27"/>
      <c r="K293" s="27"/>
    </row>
    <row r="294" spans="2:11" x14ac:dyDescent="0.35">
      <c r="B294" s="184" t="s">
        <v>158</v>
      </c>
      <c r="C294" s="185">
        <v>18</v>
      </c>
      <c r="G294" s="27"/>
      <c r="H294" s="27"/>
      <c r="I294" s="27"/>
      <c r="J294" s="27"/>
      <c r="K294" s="27"/>
    </row>
    <row r="295" spans="2:11" x14ac:dyDescent="0.35">
      <c r="B295" s="184" t="s">
        <v>159</v>
      </c>
      <c r="C295" s="186">
        <v>200</v>
      </c>
      <c r="D295" s="25" t="s">
        <v>160</v>
      </c>
      <c r="G295" s="27"/>
      <c r="H295" s="27"/>
      <c r="I295" s="27"/>
      <c r="J295" s="27"/>
      <c r="K295" s="27"/>
    </row>
    <row r="296" spans="2:11" x14ac:dyDescent="0.35">
      <c r="B296" s="184" t="s">
        <v>161</v>
      </c>
      <c r="C296" s="186">
        <v>200</v>
      </c>
      <c r="D296" s="25" t="s">
        <v>162</v>
      </c>
      <c r="G296" s="27"/>
      <c r="H296" s="27"/>
      <c r="I296" s="27"/>
      <c r="J296" s="27"/>
      <c r="K296" s="27"/>
    </row>
    <row r="297" spans="2:11" ht="16" thickBot="1" x14ac:dyDescent="0.4">
      <c r="B297" s="184" t="s">
        <v>163</v>
      </c>
      <c r="C297" s="187">
        <v>1000</v>
      </c>
      <c r="D297" s="25" t="s">
        <v>164</v>
      </c>
      <c r="G297" s="27"/>
      <c r="H297" s="27"/>
      <c r="I297" s="27"/>
      <c r="J297" s="27"/>
      <c r="K297" s="27"/>
    </row>
    <row r="298" spans="2:11" x14ac:dyDescent="0.35">
      <c r="B298" s="113"/>
      <c r="C298" s="183" t="s">
        <v>32</v>
      </c>
      <c r="D298" s="72"/>
      <c r="G298" s="27"/>
      <c r="H298" s="27"/>
      <c r="I298" s="27"/>
      <c r="J298" s="27"/>
      <c r="K298" s="27"/>
    </row>
    <row r="299" spans="2:11" x14ac:dyDescent="0.35">
      <c r="B299" s="188" t="s">
        <v>165</v>
      </c>
      <c r="C299" s="189">
        <v>1</v>
      </c>
      <c r="D299" s="190"/>
      <c r="G299" s="27"/>
      <c r="H299" s="27"/>
      <c r="I299" s="27"/>
      <c r="J299" s="27"/>
      <c r="K299" s="27"/>
    </row>
    <row r="300" spans="2:11" x14ac:dyDescent="0.35">
      <c r="B300" s="188" t="s">
        <v>166</v>
      </c>
      <c r="C300" s="9">
        <v>0.71699999999999997</v>
      </c>
      <c r="D300" s="16"/>
      <c r="G300" s="27"/>
      <c r="H300" s="27"/>
      <c r="I300" s="27"/>
      <c r="J300" s="27"/>
      <c r="K300" s="27"/>
    </row>
    <row r="301" spans="2:11" x14ac:dyDescent="0.35">
      <c r="B301" s="188" t="s">
        <v>167</v>
      </c>
      <c r="C301" s="7">
        <v>0.28699999999999998</v>
      </c>
      <c r="D301" s="16"/>
      <c r="G301" s="27"/>
      <c r="H301" s="27"/>
      <c r="I301" s="27"/>
      <c r="J301" s="27"/>
      <c r="K301" s="27"/>
    </row>
    <row r="302" spans="2:11" x14ac:dyDescent="0.35">
      <c r="B302" s="188" t="s">
        <v>168</v>
      </c>
      <c r="C302" s="7" t="s">
        <v>169</v>
      </c>
      <c r="D302" s="16"/>
      <c r="G302" s="27"/>
      <c r="H302" s="27"/>
      <c r="I302" s="27"/>
      <c r="J302" s="27"/>
      <c r="K302" s="27"/>
    </row>
    <row r="303" spans="2:11" x14ac:dyDescent="0.35">
      <c r="B303" s="188" t="s">
        <v>42</v>
      </c>
      <c r="C303" s="7">
        <f>C295+273</f>
        <v>473</v>
      </c>
      <c r="D303" s="16" t="s">
        <v>170</v>
      </c>
      <c r="G303" s="27"/>
      <c r="H303" s="27"/>
      <c r="I303" s="27"/>
      <c r="J303" s="27"/>
      <c r="K303" s="27"/>
    </row>
    <row r="304" spans="2:11" x14ac:dyDescent="0.35">
      <c r="B304" s="188" t="s">
        <v>171</v>
      </c>
      <c r="C304" s="7" t="s">
        <v>172</v>
      </c>
      <c r="D304" s="16"/>
      <c r="G304" s="27"/>
      <c r="H304" s="27"/>
      <c r="I304" s="27"/>
      <c r="J304" s="27"/>
      <c r="K304" s="27"/>
    </row>
    <row r="305" spans="2:11" x14ac:dyDescent="0.35">
      <c r="B305" s="188" t="s">
        <v>42</v>
      </c>
      <c r="C305" s="191">
        <f>C301*C303/C296</f>
        <v>0.67875499999999989</v>
      </c>
      <c r="D305" s="16" t="s">
        <v>173</v>
      </c>
      <c r="G305" s="27"/>
      <c r="H305" s="27"/>
      <c r="I305" s="27"/>
      <c r="J305" s="27"/>
      <c r="K305" s="27"/>
    </row>
    <row r="306" spans="2:11" x14ac:dyDescent="0.35">
      <c r="B306" s="188" t="s">
        <v>174</v>
      </c>
      <c r="C306" s="7" t="s">
        <v>175</v>
      </c>
      <c r="D306" s="16"/>
      <c r="G306" s="27"/>
      <c r="H306" s="27"/>
      <c r="I306" s="27"/>
      <c r="J306" s="27"/>
      <c r="K306" s="27"/>
    </row>
    <row r="307" spans="2:11" x14ac:dyDescent="0.35">
      <c r="B307" s="188" t="s">
        <v>42</v>
      </c>
      <c r="C307" s="192">
        <f>C305/18</f>
        <v>3.7708611111111102E-2</v>
      </c>
      <c r="D307" s="16" t="s">
        <v>173</v>
      </c>
      <c r="G307" s="27"/>
      <c r="H307" s="27"/>
      <c r="I307" s="27"/>
      <c r="J307" s="27"/>
      <c r="K307" s="27"/>
    </row>
    <row r="308" spans="2:11" x14ac:dyDescent="0.35">
      <c r="B308" s="7" t="s">
        <v>176</v>
      </c>
      <c r="C308" s="7"/>
      <c r="D308" s="16"/>
      <c r="G308" s="27"/>
      <c r="H308" s="27"/>
      <c r="I308" s="27"/>
      <c r="J308" s="27"/>
      <c r="K308" s="27"/>
    </row>
    <row r="309" spans="2:11" x14ac:dyDescent="0.35">
      <c r="B309" s="188" t="s">
        <v>177</v>
      </c>
      <c r="C309" s="193">
        <v>1.4</v>
      </c>
      <c r="D309" s="16"/>
      <c r="G309" s="27"/>
      <c r="H309" s="27"/>
      <c r="I309" s="27"/>
      <c r="J309" s="27"/>
      <c r="K309" s="27"/>
    </row>
    <row r="310" spans="2:11" x14ac:dyDescent="0.35">
      <c r="B310" s="188" t="s">
        <v>178</v>
      </c>
      <c r="C310" s="7" t="s">
        <v>179</v>
      </c>
      <c r="D310" s="16"/>
      <c r="G310" s="27"/>
      <c r="H310" s="27"/>
      <c r="I310" s="27"/>
      <c r="J310" s="27"/>
      <c r="K310" s="27"/>
    </row>
    <row r="311" spans="2:11" x14ac:dyDescent="0.35">
      <c r="B311" s="188" t="s">
        <v>42</v>
      </c>
      <c r="C311" s="194">
        <f>C303*(C305/C307)^(C309-1)</f>
        <v>1503.0386304482643</v>
      </c>
      <c r="D311" s="16" t="s">
        <v>170</v>
      </c>
      <c r="G311" s="27"/>
      <c r="H311" s="27"/>
      <c r="I311" s="27"/>
      <c r="J311" s="27"/>
      <c r="K311" s="27"/>
    </row>
    <row r="312" spans="2:11" x14ac:dyDescent="0.35">
      <c r="B312" s="188" t="s">
        <v>180</v>
      </c>
      <c r="C312" s="7" t="s">
        <v>181</v>
      </c>
      <c r="D312" s="16"/>
      <c r="G312" s="27"/>
      <c r="H312" s="27"/>
      <c r="I312" s="27"/>
      <c r="J312" s="27"/>
      <c r="K312" s="27"/>
    </row>
    <row r="313" spans="2:11" x14ac:dyDescent="0.35">
      <c r="B313" s="188" t="s">
        <v>42</v>
      </c>
      <c r="C313" s="194">
        <f>C296*(C305/C307)^C309</f>
        <v>11439.617483327167</v>
      </c>
      <c r="D313" s="16" t="s">
        <v>182</v>
      </c>
      <c r="G313" s="27"/>
      <c r="H313" s="27"/>
      <c r="I313" s="27"/>
      <c r="J313" s="27"/>
      <c r="K313" s="27"/>
    </row>
    <row r="314" spans="2:11" x14ac:dyDescent="0.35">
      <c r="B314" s="188" t="s">
        <v>42</v>
      </c>
      <c r="C314" s="193">
        <f>C313/1000</f>
        <v>11.439617483327167</v>
      </c>
      <c r="D314" s="16" t="s">
        <v>183</v>
      </c>
      <c r="G314" s="27"/>
      <c r="H314" s="27"/>
      <c r="I314" s="27"/>
      <c r="J314" s="27"/>
      <c r="K314" s="27"/>
    </row>
    <row r="315" spans="2:11" x14ac:dyDescent="0.35">
      <c r="B315" s="7" t="s">
        <v>184</v>
      </c>
      <c r="C315" s="7"/>
      <c r="D315" s="16"/>
      <c r="G315" s="27"/>
      <c r="H315" s="27"/>
      <c r="I315" s="27"/>
      <c r="J315" s="27"/>
      <c r="K315" s="27"/>
    </row>
    <row r="316" spans="2:11" x14ac:dyDescent="0.35">
      <c r="B316" s="188" t="s">
        <v>185</v>
      </c>
      <c r="C316" s="7" t="s">
        <v>186</v>
      </c>
      <c r="D316" s="16"/>
      <c r="G316" s="27"/>
      <c r="H316" s="27"/>
      <c r="I316" s="27"/>
      <c r="J316" s="27"/>
      <c r="K316" s="27"/>
    </row>
    <row r="317" spans="2:11" x14ac:dyDescent="0.35">
      <c r="B317" s="188" t="s">
        <v>187</v>
      </c>
      <c r="C317" s="7" t="s">
        <v>188</v>
      </c>
      <c r="D317" s="16"/>
      <c r="G317" s="27"/>
      <c r="H317" s="27"/>
      <c r="I317" s="27"/>
      <c r="J317" s="27"/>
      <c r="K317" s="27"/>
    </row>
    <row r="318" spans="2:11" x14ac:dyDescent="0.35">
      <c r="B318" s="188" t="s">
        <v>189</v>
      </c>
      <c r="C318" s="7" t="s">
        <v>190</v>
      </c>
      <c r="D318" s="16"/>
      <c r="G318" s="27"/>
      <c r="H318" s="27"/>
      <c r="I318" s="27"/>
      <c r="J318" s="27"/>
      <c r="K318" s="27"/>
    </row>
    <row r="319" spans="2:11" x14ac:dyDescent="0.35">
      <c r="B319" s="188" t="s">
        <v>189</v>
      </c>
      <c r="C319" s="191">
        <f>(1 /C305)^(C309-1)</f>
        <v>1.1676556450712234</v>
      </c>
      <c r="G319" s="27"/>
      <c r="H319" s="27"/>
      <c r="I319" s="27"/>
      <c r="J319" s="27"/>
      <c r="K319" s="27"/>
    </row>
    <row r="320" spans="2:11" x14ac:dyDescent="0.35">
      <c r="B320" s="188" t="s">
        <v>191</v>
      </c>
      <c r="C320" s="191">
        <f>C319</f>
        <v>1.1676556450712234</v>
      </c>
      <c r="G320" s="27"/>
      <c r="H320" s="27"/>
      <c r="I320" s="27"/>
      <c r="J320" s="27"/>
      <c r="K320" s="27"/>
    </row>
    <row r="321" spans="2:11" x14ac:dyDescent="0.35">
      <c r="B321" s="188" t="s">
        <v>192</v>
      </c>
      <c r="C321" s="7" t="s">
        <v>193</v>
      </c>
      <c r="D321" s="195" t="s">
        <v>194</v>
      </c>
      <c r="G321" s="27"/>
      <c r="H321" s="27"/>
      <c r="I321" s="27"/>
      <c r="J321" s="27"/>
      <c r="K321" s="27"/>
    </row>
    <row r="322" spans="2:11" x14ac:dyDescent="0.35">
      <c r="B322" s="7" t="s">
        <v>195</v>
      </c>
      <c r="C322" s="7"/>
      <c r="D322" s="196"/>
      <c r="G322" s="27"/>
      <c r="H322" s="27"/>
      <c r="I322" s="27"/>
      <c r="J322" s="27"/>
      <c r="K322" s="27"/>
    </row>
    <row r="323" spans="2:11" x14ac:dyDescent="0.35">
      <c r="B323" s="188" t="s">
        <v>196</v>
      </c>
      <c r="C323" s="7" t="s">
        <v>197</v>
      </c>
      <c r="D323" s="196"/>
      <c r="F323" s="197"/>
      <c r="G323" s="27"/>
      <c r="H323" s="27"/>
      <c r="I323" s="27"/>
      <c r="J323" s="27"/>
      <c r="K323" s="27"/>
    </row>
    <row r="324" spans="2:11" x14ac:dyDescent="0.35">
      <c r="B324" s="188" t="s">
        <v>196</v>
      </c>
      <c r="C324" s="194">
        <f>C311/C307</f>
        <v>39859.294366993636</v>
      </c>
      <c r="D324" s="196"/>
      <c r="G324" s="27"/>
      <c r="H324" s="27"/>
      <c r="I324" s="27"/>
      <c r="J324" s="27"/>
      <c r="K324" s="27"/>
    </row>
    <row r="325" spans="2:11" x14ac:dyDescent="0.35">
      <c r="B325" s="188" t="s">
        <v>198</v>
      </c>
      <c r="C325" s="194">
        <f>C324</f>
        <v>39859.294366993636</v>
      </c>
      <c r="D325" s="196"/>
      <c r="G325" s="27"/>
      <c r="H325" s="27"/>
      <c r="I325" s="27"/>
      <c r="J325" s="27"/>
      <c r="K325" s="27"/>
    </row>
    <row r="326" spans="2:11" x14ac:dyDescent="0.35">
      <c r="B326" s="188" t="s">
        <v>192</v>
      </c>
      <c r="C326" s="7" t="s">
        <v>199</v>
      </c>
      <c r="D326" s="195" t="s">
        <v>200</v>
      </c>
      <c r="G326" s="27"/>
      <c r="H326" s="27"/>
      <c r="I326" s="27"/>
      <c r="J326" s="27"/>
      <c r="K326" s="27"/>
    </row>
    <row r="327" spans="2:11" ht="18" x14ac:dyDescent="0.4">
      <c r="B327" s="136" t="s">
        <v>201</v>
      </c>
      <c r="C327" s="73"/>
      <c r="G327" s="27"/>
      <c r="H327" s="27"/>
      <c r="I327" s="27"/>
      <c r="J327" s="27"/>
      <c r="K327" s="27"/>
    </row>
    <row r="328" spans="2:11" ht="17.5" x14ac:dyDescent="0.45">
      <c r="B328" s="188" t="s">
        <v>202</v>
      </c>
      <c r="C328" s="7" t="s">
        <v>650</v>
      </c>
      <c r="D328" s="16"/>
      <c r="G328" s="27"/>
      <c r="H328" s="27"/>
      <c r="I328" s="27"/>
      <c r="J328" s="27"/>
      <c r="K328" s="27"/>
    </row>
    <row r="329" spans="2:11" x14ac:dyDescent="0.35">
      <c r="B329" s="188" t="s">
        <v>203</v>
      </c>
      <c r="C329" s="7" t="s">
        <v>204</v>
      </c>
      <c r="D329" s="16"/>
      <c r="G329" s="27"/>
      <c r="H329" s="27"/>
      <c r="I329" s="27"/>
      <c r="J329" s="27"/>
      <c r="K329" s="27"/>
    </row>
    <row r="330" spans="2:11" x14ac:dyDescent="0.35">
      <c r="B330" s="188" t="s">
        <v>205</v>
      </c>
      <c r="C330" s="7" t="s">
        <v>206</v>
      </c>
      <c r="G330" s="27"/>
      <c r="H330" s="27"/>
      <c r="I330" s="27"/>
      <c r="J330" s="27"/>
      <c r="K330" s="27"/>
    </row>
    <row r="331" spans="2:11" x14ac:dyDescent="0.35">
      <c r="B331" s="188" t="s">
        <v>207</v>
      </c>
      <c r="C331" s="7" t="s">
        <v>208</v>
      </c>
      <c r="D331" s="16"/>
      <c r="G331" s="27"/>
      <c r="H331" s="27"/>
      <c r="I331" s="27"/>
      <c r="J331" s="27"/>
      <c r="K331" s="27"/>
    </row>
    <row r="332" spans="2:11" x14ac:dyDescent="0.35">
      <c r="B332" s="188" t="s">
        <v>209</v>
      </c>
      <c r="C332" s="7" t="s">
        <v>210</v>
      </c>
      <c r="G332" s="27"/>
      <c r="H332" s="27"/>
      <c r="I332" s="27"/>
      <c r="J332" s="27"/>
      <c r="K332" s="27"/>
    </row>
    <row r="333" spans="2:11" x14ac:dyDescent="0.35">
      <c r="B333" s="188" t="s">
        <v>211</v>
      </c>
      <c r="C333" s="7" t="s">
        <v>212</v>
      </c>
      <c r="D333" s="16"/>
      <c r="F333" s="76"/>
      <c r="G333" s="27"/>
      <c r="H333" s="27"/>
      <c r="I333" s="27"/>
      <c r="J333" s="27"/>
      <c r="K333" s="27"/>
    </row>
    <row r="334" spans="2:11" x14ac:dyDescent="0.35">
      <c r="B334" s="188" t="s">
        <v>213</v>
      </c>
      <c r="C334" s="194">
        <f>C297/C300 + C309*C311 - C303</f>
        <v>3025.9542220975836</v>
      </c>
      <c r="F334" s="76"/>
      <c r="G334" s="27"/>
      <c r="H334" s="27"/>
      <c r="I334" s="27"/>
      <c r="J334" s="27"/>
      <c r="K334" s="27"/>
    </row>
    <row r="335" spans="2:11" x14ac:dyDescent="0.35">
      <c r="B335" s="188" t="s">
        <v>214</v>
      </c>
      <c r="C335" s="194">
        <f>C334</f>
        <v>3025.9542220975836</v>
      </c>
      <c r="D335" s="16"/>
      <c r="F335" s="76"/>
      <c r="G335" s="27"/>
      <c r="H335" s="27"/>
      <c r="I335" s="27"/>
      <c r="J335" s="27"/>
      <c r="K335" s="27"/>
    </row>
    <row r="336" spans="2:11" x14ac:dyDescent="0.35">
      <c r="B336" s="188" t="s">
        <v>192</v>
      </c>
      <c r="C336" s="7" t="s">
        <v>215</v>
      </c>
      <c r="D336" s="195" t="s">
        <v>216</v>
      </c>
      <c r="G336" s="27"/>
      <c r="H336" s="27"/>
      <c r="I336" s="27"/>
      <c r="J336" s="27"/>
      <c r="K336" s="27"/>
    </row>
    <row r="337" spans="2:11" x14ac:dyDescent="0.35">
      <c r="B337" s="76"/>
      <c r="C337" s="73"/>
      <c r="D337" s="196"/>
      <c r="G337" s="27"/>
      <c r="H337" s="27"/>
      <c r="I337" s="27"/>
      <c r="J337" s="27"/>
      <c r="K337" s="27"/>
    </row>
    <row r="338" spans="2:11" ht="18" x14ac:dyDescent="0.4">
      <c r="B338" s="136" t="s">
        <v>217</v>
      </c>
      <c r="C338" s="73"/>
      <c r="D338" s="196"/>
      <c r="G338" s="27"/>
      <c r="H338" s="27"/>
      <c r="I338" s="27"/>
      <c r="J338" s="27"/>
      <c r="K338" s="27"/>
    </row>
    <row r="339" spans="2:11" ht="18" x14ac:dyDescent="0.4">
      <c r="B339" s="136" t="s">
        <v>218</v>
      </c>
      <c r="C339" s="73"/>
      <c r="D339" s="196"/>
      <c r="G339" s="27"/>
      <c r="H339" s="27"/>
      <c r="I339" s="27"/>
      <c r="J339" s="27"/>
      <c r="K339" s="27"/>
    </row>
    <row r="340" spans="2:11" x14ac:dyDescent="0.35">
      <c r="B340" s="188" t="s">
        <v>192</v>
      </c>
      <c r="C340" s="7" t="s">
        <v>193</v>
      </c>
      <c r="D340" s="23" t="s">
        <v>194</v>
      </c>
      <c r="G340" s="27"/>
      <c r="H340" s="27"/>
      <c r="I340" s="27"/>
      <c r="J340" s="27"/>
      <c r="K340" s="27"/>
    </row>
    <row r="341" spans="2:11" x14ac:dyDescent="0.35">
      <c r="B341" s="198" t="s">
        <v>192</v>
      </c>
      <c r="C341" s="9" t="s">
        <v>199</v>
      </c>
      <c r="D341" s="23" t="s">
        <v>200</v>
      </c>
      <c r="G341" s="27"/>
      <c r="H341" s="27"/>
      <c r="I341" s="27"/>
      <c r="J341" s="27"/>
      <c r="K341" s="27"/>
    </row>
    <row r="342" spans="2:11" x14ac:dyDescent="0.35">
      <c r="B342" s="188" t="s">
        <v>192</v>
      </c>
      <c r="C342" s="7" t="s">
        <v>215</v>
      </c>
      <c r="D342" s="23" t="s">
        <v>216</v>
      </c>
      <c r="G342" s="27"/>
      <c r="H342" s="27"/>
      <c r="I342" s="27"/>
      <c r="J342" s="27"/>
      <c r="K342" s="27"/>
    </row>
    <row r="343" spans="2:11" x14ac:dyDescent="0.35">
      <c r="B343" s="76"/>
      <c r="C343" s="73"/>
      <c r="D343" s="196"/>
      <c r="G343" s="27"/>
      <c r="H343" s="27"/>
      <c r="I343" s="27"/>
      <c r="J343" s="27"/>
      <c r="K343" s="27"/>
    </row>
    <row r="344" spans="2:11" x14ac:dyDescent="0.35">
      <c r="B344" s="188" t="s">
        <v>219</v>
      </c>
      <c r="C344" s="7" t="s">
        <v>220</v>
      </c>
      <c r="D344" s="23" t="s">
        <v>200</v>
      </c>
      <c r="G344" s="27"/>
      <c r="H344" s="27"/>
      <c r="I344" s="27"/>
      <c r="J344" s="27"/>
      <c r="K344" s="27"/>
    </row>
    <row r="345" spans="2:11" x14ac:dyDescent="0.35">
      <c r="B345" s="188"/>
      <c r="C345" s="7"/>
      <c r="D345" s="196"/>
      <c r="G345" s="27"/>
      <c r="H345" s="27"/>
      <c r="I345" s="27"/>
      <c r="J345" s="27"/>
      <c r="K345" s="27"/>
    </row>
    <row r="346" spans="2:11" x14ac:dyDescent="0.35">
      <c r="B346" s="188" t="s">
        <v>185</v>
      </c>
      <c r="C346" s="7" t="s">
        <v>221</v>
      </c>
      <c r="D346" s="23" t="s">
        <v>216</v>
      </c>
      <c r="G346" s="27"/>
      <c r="H346" s="27"/>
      <c r="I346" s="27"/>
      <c r="J346" s="27"/>
      <c r="K346" s="27"/>
    </row>
    <row r="347" spans="2:11" x14ac:dyDescent="0.35">
      <c r="B347" s="188" t="s">
        <v>219</v>
      </c>
      <c r="C347" s="7" t="s">
        <v>222</v>
      </c>
      <c r="D347" s="23" t="s">
        <v>194</v>
      </c>
      <c r="G347" s="27"/>
      <c r="H347" s="27"/>
      <c r="I347" s="27"/>
      <c r="J347" s="27"/>
      <c r="K347" s="27"/>
    </row>
    <row r="348" spans="2:11" x14ac:dyDescent="0.35">
      <c r="B348" s="76"/>
      <c r="C348" s="73"/>
      <c r="G348" s="27"/>
      <c r="H348" s="27"/>
      <c r="I348" s="27"/>
      <c r="J348" s="27"/>
      <c r="K348" s="27"/>
    </row>
    <row r="349" spans="2:11" x14ac:dyDescent="0.35">
      <c r="B349" s="188" t="s">
        <v>192</v>
      </c>
      <c r="C349" s="7" t="s">
        <v>223</v>
      </c>
      <c r="E349" s="190" t="s">
        <v>224</v>
      </c>
      <c r="G349" s="27"/>
      <c r="H349" s="27"/>
      <c r="I349" s="27"/>
      <c r="J349" s="27"/>
      <c r="K349" s="27"/>
    </row>
    <row r="350" spans="2:11" x14ac:dyDescent="0.35">
      <c r="B350" s="188" t="s">
        <v>225</v>
      </c>
      <c r="C350" s="7" t="s">
        <v>226</v>
      </c>
      <c r="D350" s="23" t="s">
        <v>227</v>
      </c>
      <c r="G350" s="27"/>
      <c r="H350" s="27"/>
      <c r="I350" s="27"/>
      <c r="J350" s="27"/>
      <c r="K350" s="27"/>
    </row>
    <row r="351" spans="2:11" x14ac:dyDescent="0.35">
      <c r="B351" s="76"/>
      <c r="C351" s="73"/>
      <c r="D351" s="196"/>
      <c r="G351" s="27"/>
      <c r="H351" s="27"/>
      <c r="I351" s="27"/>
      <c r="J351" s="27"/>
      <c r="K351" s="27"/>
    </row>
    <row r="352" spans="2:11" x14ac:dyDescent="0.35">
      <c r="B352" s="188" t="s">
        <v>192</v>
      </c>
      <c r="C352" s="7" t="s">
        <v>215</v>
      </c>
      <c r="D352" s="23" t="s">
        <v>216</v>
      </c>
      <c r="G352" s="27"/>
      <c r="H352" s="27"/>
      <c r="I352" s="27"/>
      <c r="J352" s="27"/>
      <c r="K352" s="27"/>
    </row>
    <row r="353" spans="2:11" x14ac:dyDescent="0.35">
      <c r="B353" s="188" t="s">
        <v>185</v>
      </c>
      <c r="C353" s="7" t="s">
        <v>228</v>
      </c>
      <c r="D353" s="16"/>
      <c r="G353" s="27"/>
      <c r="H353" s="27"/>
      <c r="I353" s="27"/>
      <c r="J353" s="27"/>
      <c r="K353" s="27"/>
    </row>
    <row r="354" spans="2:11" x14ac:dyDescent="0.35">
      <c r="B354" s="188" t="s">
        <v>185</v>
      </c>
      <c r="C354" s="7" t="s">
        <v>229</v>
      </c>
      <c r="D354" s="190" t="s">
        <v>230</v>
      </c>
      <c r="G354" s="27"/>
      <c r="H354" s="27"/>
      <c r="I354" s="27"/>
      <c r="J354" s="27"/>
      <c r="K354" s="27"/>
    </row>
    <row r="355" spans="2:11" x14ac:dyDescent="0.35">
      <c r="B355" s="76"/>
      <c r="C355" s="73"/>
      <c r="G355" s="27"/>
      <c r="H355" s="27"/>
      <c r="I355" s="27"/>
      <c r="J355" s="27"/>
      <c r="K355" s="27"/>
    </row>
    <row r="356" spans="2:11" x14ac:dyDescent="0.35">
      <c r="B356" s="188" t="s">
        <v>225</v>
      </c>
      <c r="C356" s="7" t="s">
        <v>229</v>
      </c>
      <c r="E356" s="16" t="s">
        <v>231</v>
      </c>
      <c r="G356" s="27"/>
      <c r="H356" s="27"/>
      <c r="I356" s="27"/>
      <c r="J356" s="27"/>
      <c r="K356" s="27"/>
    </row>
    <row r="357" spans="2:11" x14ac:dyDescent="0.35">
      <c r="B357" s="188" t="s">
        <v>192</v>
      </c>
      <c r="C357" s="7" t="s">
        <v>232</v>
      </c>
      <c r="G357" s="27"/>
      <c r="H357" s="27"/>
      <c r="I357" s="27"/>
      <c r="J357" s="27"/>
      <c r="K357" s="27"/>
    </row>
    <row r="358" spans="2:11" x14ac:dyDescent="0.35">
      <c r="B358" s="76"/>
      <c r="C358" s="73"/>
      <c r="G358" s="27"/>
      <c r="H358" s="27"/>
      <c r="I358" s="27"/>
      <c r="J358" s="27"/>
      <c r="K358" s="27"/>
    </row>
    <row r="359" spans="2:11" ht="18" x14ac:dyDescent="0.4">
      <c r="B359" s="136" t="s">
        <v>233</v>
      </c>
      <c r="C359" s="73"/>
      <c r="G359" s="27"/>
      <c r="H359" s="27"/>
      <c r="I359" s="27"/>
      <c r="J359" s="27"/>
      <c r="K359" s="27"/>
    </row>
    <row r="360" spans="2:11" ht="18" x14ac:dyDescent="0.4">
      <c r="B360" s="136" t="s">
        <v>234</v>
      </c>
      <c r="C360" s="73"/>
      <c r="G360" s="27"/>
      <c r="H360" s="27"/>
      <c r="I360" s="27"/>
      <c r="J360" s="27"/>
      <c r="K360" s="27"/>
    </row>
    <row r="361" spans="2:11" ht="18" x14ac:dyDescent="0.4">
      <c r="B361" s="136" t="s">
        <v>235</v>
      </c>
      <c r="C361" s="73"/>
      <c r="G361" s="27"/>
      <c r="H361" s="27"/>
      <c r="I361" s="27"/>
      <c r="J361" s="27"/>
      <c r="K361" s="27"/>
    </row>
    <row r="362" spans="2:11" x14ac:dyDescent="0.35">
      <c r="B362" s="76"/>
      <c r="C362" s="73"/>
      <c r="G362" s="27"/>
      <c r="H362" s="27"/>
      <c r="I362" s="27"/>
      <c r="J362" s="27"/>
      <c r="K362" s="27"/>
    </row>
    <row r="363" spans="2:11" ht="18" x14ac:dyDescent="0.4">
      <c r="B363" s="136" t="s">
        <v>236</v>
      </c>
      <c r="C363" s="73"/>
      <c r="G363" s="27"/>
      <c r="H363" s="27"/>
      <c r="I363" s="27"/>
      <c r="J363" s="27"/>
      <c r="K363" s="27"/>
    </row>
    <row r="364" spans="2:11" x14ac:dyDescent="0.35">
      <c r="B364" s="246"/>
      <c r="C364" s="158"/>
      <c r="D364" s="32"/>
      <c r="E364" s="32"/>
      <c r="G364" s="27"/>
      <c r="H364" s="27"/>
      <c r="I364" s="27"/>
      <c r="J364" s="27"/>
      <c r="K364" s="27"/>
    </row>
    <row r="365" spans="2:11" x14ac:dyDescent="0.35">
      <c r="B365" s="246" t="s">
        <v>661</v>
      </c>
      <c r="C365" s="158"/>
      <c r="D365" s="32"/>
      <c r="E365" s="32"/>
      <c r="G365" s="27"/>
      <c r="H365" s="27"/>
      <c r="I365" s="27"/>
      <c r="J365" s="27"/>
      <c r="K365" s="27"/>
    </row>
    <row r="366" spans="2:11" x14ac:dyDescent="0.35">
      <c r="B366" s="246" t="s">
        <v>237</v>
      </c>
      <c r="C366" s="158"/>
      <c r="D366" s="32"/>
      <c r="E366" s="32"/>
      <c r="F366" s="190"/>
      <c r="G366" s="27"/>
      <c r="H366" s="27"/>
      <c r="I366" s="27"/>
      <c r="J366" s="27"/>
      <c r="K366" s="27"/>
    </row>
    <row r="367" spans="2:11" x14ac:dyDescent="0.35">
      <c r="B367" s="246" t="s">
        <v>238</v>
      </c>
      <c r="C367" s="158"/>
      <c r="D367" s="32"/>
      <c r="E367" s="32"/>
      <c r="G367" s="27"/>
      <c r="H367" s="27"/>
      <c r="I367" s="27"/>
      <c r="J367" s="27"/>
      <c r="K367" s="27"/>
    </row>
    <row r="368" spans="2:11" x14ac:dyDescent="0.35">
      <c r="B368" s="246" t="s">
        <v>660</v>
      </c>
      <c r="C368" s="158"/>
      <c r="D368" s="32"/>
      <c r="E368" s="32"/>
      <c r="G368" s="27"/>
      <c r="H368" s="27"/>
      <c r="I368" s="27"/>
      <c r="J368" s="27"/>
      <c r="K368" s="27"/>
    </row>
    <row r="370" spans="2:11" ht="16" thickBot="1" x14ac:dyDescent="0.4">
      <c r="B370" s="188" t="s">
        <v>192</v>
      </c>
      <c r="C370" s="7" t="s">
        <v>232</v>
      </c>
      <c r="G370" s="27"/>
      <c r="H370" s="27"/>
      <c r="I370" s="27"/>
      <c r="J370" s="27"/>
      <c r="K370" s="27"/>
    </row>
    <row r="371" spans="2:11" ht="16" thickBot="1" x14ac:dyDescent="0.4">
      <c r="B371" s="188" t="s">
        <v>192</v>
      </c>
      <c r="C371" s="199">
        <f>1.4*C375*C373 - C376 - C375*C374*C373^1.4</f>
        <v>-244.30081981765693</v>
      </c>
      <c r="E371" s="16" t="s">
        <v>239</v>
      </c>
      <c r="G371" s="27"/>
      <c r="H371" s="27"/>
      <c r="I371" s="27"/>
      <c r="J371" s="27"/>
      <c r="K371" s="27"/>
    </row>
    <row r="372" spans="2:11" ht="16" thickBot="1" x14ac:dyDescent="0.4">
      <c r="B372" s="7" t="s">
        <v>240</v>
      </c>
      <c r="C372" s="7"/>
      <c r="D372" s="16"/>
      <c r="E372" s="16"/>
      <c r="G372" s="27"/>
      <c r="H372" s="27"/>
      <c r="I372" s="27"/>
      <c r="J372" s="27"/>
      <c r="K372" s="27"/>
    </row>
    <row r="373" spans="2:11" ht="16" thickBot="1" x14ac:dyDescent="0.4">
      <c r="B373" s="200" t="s">
        <v>241</v>
      </c>
      <c r="C373" s="201">
        <v>7.0000000000000007E-2</v>
      </c>
      <c r="D373" s="202" t="s">
        <v>173</v>
      </c>
      <c r="G373" s="27"/>
      <c r="H373" s="27"/>
      <c r="I373" s="27"/>
      <c r="J373" s="27"/>
      <c r="K373" s="27"/>
    </row>
    <row r="374" spans="2:11" x14ac:dyDescent="0.35">
      <c r="B374" s="188" t="s">
        <v>242</v>
      </c>
      <c r="C374" s="191">
        <f>C320</f>
        <v>1.1676556450712234</v>
      </c>
      <c r="D374" s="16"/>
      <c r="G374" s="27"/>
      <c r="H374" s="27"/>
      <c r="I374" s="27"/>
      <c r="J374" s="27"/>
      <c r="K374" s="27"/>
    </row>
    <row r="375" spans="2:11" x14ac:dyDescent="0.35">
      <c r="B375" s="188" t="s">
        <v>243</v>
      </c>
      <c r="C375" s="194">
        <f>C325</f>
        <v>39859.294366993636</v>
      </c>
      <c r="D375" s="16"/>
      <c r="G375" s="27"/>
      <c r="H375" s="27"/>
      <c r="I375" s="27"/>
      <c r="J375" s="27"/>
      <c r="K375" s="27"/>
    </row>
    <row r="376" spans="2:11" x14ac:dyDescent="0.35">
      <c r="B376" s="188" t="s">
        <v>244</v>
      </c>
      <c r="C376" s="194">
        <f>C335</f>
        <v>3025.9542220975836</v>
      </c>
      <c r="D376" s="16"/>
      <c r="G376" s="27"/>
      <c r="H376" s="27"/>
      <c r="I376" s="27"/>
      <c r="J376" s="27"/>
      <c r="K376" s="27"/>
    </row>
    <row r="377" spans="2:11" x14ac:dyDescent="0.35">
      <c r="B377" s="76"/>
      <c r="C377" s="73"/>
      <c r="D377" s="16"/>
      <c r="G377" s="27"/>
      <c r="H377" s="27"/>
      <c r="I377" s="27"/>
      <c r="J377" s="27"/>
      <c r="K377" s="27"/>
    </row>
    <row r="378" spans="2:11" x14ac:dyDescent="0.35">
      <c r="B378" s="188" t="s">
        <v>219</v>
      </c>
      <c r="C378" s="7" t="s">
        <v>220</v>
      </c>
      <c r="D378" s="190" t="s">
        <v>200</v>
      </c>
      <c r="G378" s="27"/>
      <c r="H378" s="27"/>
      <c r="I378" s="27"/>
      <c r="J378" s="27"/>
      <c r="K378" s="27"/>
    </row>
    <row r="379" spans="2:11" ht="16" thickBot="1" x14ac:dyDescent="0.4">
      <c r="B379" s="203" t="s">
        <v>42</v>
      </c>
      <c r="C379" s="204">
        <f>C375*C373</f>
        <v>2790.1506056895546</v>
      </c>
      <c r="D379" s="202" t="s">
        <v>170</v>
      </c>
      <c r="G379" s="27"/>
      <c r="H379" s="27"/>
      <c r="I379" s="27"/>
      <c r="J379" s="27"/>
      <c r="K379" s="27"/>
    </row>
    <row r="380" spans="2:11" x14ac:dyDescent="0.35">
      <c r="B380" s="76"/>
      <c r="C380" s="73"/>
      <c r="D380" s="16"/>
      <c r="G380" s="27"/>
      <c r="H380" s="27"/>
      <c r="I380" s="27"/>
      <c r="J380" s="27"/>
      <c r="K380" s="27"/>
    </row>
    <row r="381" spans="2:11" x14ac:dyDescent="0.35">
      <c r="B381" s="188" t="s">
        <v>185</v>
      </c>
      <c r="C381" s="7" t="s">
        <v>221</v>
      </c>
      <c r="D381" s="190" t="s">
        <v>216</v>
      </c>
      <c r="F381" s="190"/>
      <c r="G381" s="27"/>
      <c r="H381" s="27"/>
      <c r="I381" s="27"/>
      <c r="J381" s="27"/>
      <c r="K381" s="27"/>
    </row>
    <row r="382" spans="2:11" ht="16" thickBot="1" x14ac:dyDescent="0.4">
      <c r="B382" s="203" t="s">
        <v>42</v>
      </c>
      <c r="C382" s="204">
        <f>C374*C379*C373^0.4</f>
        <v>1124.5574456854492</v>
      </c>
      <c r="D382" s="202" t="s">
        <v>170</v>
      </c>
      <c r="F382" s="190"/>
      <c r="G382" s="27"/>
      <c r="H382" s="27"/>
      <c r="I382" s="27"/>
      <c r="J382" s="27"/>
      <c r="K382" s="27"/>
    </row>
    <row r="383" spans="2:11" x14ac:dyDescent="0.35">
      <c r="B383" s="188"/>
      <c r="C383" s="7"/>
      <c r="G383" s="27"/>
      <c r="H383" s="27"/>
      <c r="I383" s="27"/>
      <c r="J383" s="27"/>
      <c r="K383" s="27"/>
    </row>
    <row r="384" spans="2:11" x14ac:dyDescent="0.35">
      <c r="B384" s="188" t="s">
        <v>245</v>
      </c>
      <c r="C384" s="7" t="s">
        <v>246</v>
      </c>
      <c r="D384" s="16"/>
      <c r="G384" s="27"/>
      <c r="H384" s="27"/>
      <c r="I384" s="27"/>
      <c r="J384" s="27"/>
      <c r="K384" s="27"/>
    </row>
    <row r="385" spans="2:11" x14ac:dyDescent="0.35">
      <c r="B385" s="188" t="s">
        <v>42</v>
      </c>
      <c r="C385" s="205">
        <f>C373/C307</f>
        <v>1.8563399164647043</v>
      </c>
      <c r="D385" s="16"/>
      <c r="G385" s="27"/>
      <c r="H385" s="27"/>
      <c r="I385" s="27"/>
      <c r="J385" s="27"/>
      <c r="K385" s="27"/>
    </row>
    <row r="386" spans="2:11" x14ac:dyDescent="0.35">
      <c r="B386" s="188" t="s">
        <v>247</v>
      </c>
      <c r="C386" s="7" t="s">
        <v>248</v>
      </c>
      <c r="D386" s="16"/>
      <c r="G386" s="27"/>
      <c r="H386" s="27"/>
      <c r="I386" s="27"/>
      <c r="J386" s="27"/>
      <c r="K386" s="27"/>
    </row>
    <row r="387" spans="2:11" x14ac:dyDescent="0.35">
      <c r="B387" s="188" t="s">
        <v>42</v>
      </c>
      <c r="C387" s="206">
        <f>1-((1/(C294^(C309-1))*((C385^C309-1)/(C309*(C385-1)))))</f>
        <v>0.63841671552907397</v>
      </c>
      <c r="D387" s="16"/>
      <c r="G387" s="27"/>
      <c r="H387" s="27"/>
      <c r="I387" s="27"/>
      <c r="J387" s="27"/>
      <c r="K387" s="27"/>
    </row>
    <row r="388" spans="2:11" x14ac:dyDescent="0.35">
      <c r="B388" s="188" t="s">
        <v>249</v>
      </c>
      <c r="C388" s="7" t="s">
        <v>250</v>
      </c>
      <c r="D388" s="16"/>
      <c r="G388" s="27"/>
      <c r="H388" s="27"/>
      <c r="I388" s="27"/>
      <c r="J388" s="27"/>
      <c r="K388" s="27"/>
    </row>
    <row r="389" spans="2:11" x14ac:dyDescent="0.35">
      <c r="B389" s="188" t="s">
        <v>42</v>
      </c>
      <c r="C389" s="194">
        <f>C297 / (C305 - C307)</f>
        <v>1559.9495096342052</v>
      </c>
      <c r="D389" s="16" t="s">
        <v>162</v>
      </c>
      <c r="G389" s="27"/>
      <c r="H389" s="27"/>
      <c r="I389" s="27"/>
      <c r="J389" s="27"/>
      <c r="K389" s="27"/>
    </row>
    <row r="390" spans="2:11" x14ac:dyDescent="0.35">
      <c r="B390" s="188" t="s">
        <v>251</v>
      </c>
      <c r="C390" s="7" t="s">
        <v>252</v>
      </c>
      <c r="D390" s="16"/>
      <c r="G390" s="27"/>
      <c r="H390" s="27"/>
      <c r="I390" s="27"/>
      <c r="J390" s="27"/>
      <c r="K390" s="27"/>
    </row>
    <row r="391" spans="2:11" x14ac:dyDescent="0.35">
      <c r="B391" s="188" t="s">
        <v>42</v>
      </c>
      <c r="C391" s="193">
        <f>C305 / C373</f>
        <v>9.6964999999999968</v>
      </c>
      <c r="D391" s="16"/>
      <c r="G391" s="27"/>
      <c r="H391" s="27"/>
      <c r="I391" s="27"/>
      <c r="J391" s="27"/>
      <c r="K391" s="27"/>
    </row>
    <row r="392" spans="2:11" x14ac:dyDescent="0.35">
      <c r="B392" s="188" t="s">
        <v>253</v>
      </c>
      <c r="C392" s="7" t="s">
        <v>254</v>
      </c>
      <c r="D392" s="16"/>
      <c r="G392" s="27"/>
      <c r="H392" s="27"/>
      <c r="I392" s="27"/>
      <c r="J392" s="27"/>
      <c r="K392" s="27"/>
    </row>
    <row r="393" spans="2:11" x14ac:dyDescent="0.35">
      <c r="B393" s="188" t="s">
        <v>42</v>
      </c>
      <c r="C393" s="206">
        <f>1 - (1 / (C391^(C309-1)))</f>
        <v>0.59695457177390332</v>
      </c>
      <c r="D393" s="16"/>
      <c r="G393" s="27"/>
      <c r="H393" s="27"/>
      <c r="I393" s="27"/>
      <c r="J393" s="27"/>
      <c r="K393" s="27"/>
    </row>
    <row r="394" spans="2:11" x14ac:dyDescent="0.35">
      <c r="B394" s="76"/>
      <c r="C394" s="73"/>
      <c r="G394" s="27"/>
      <c r="H394" s="27"/>
      <c r="I394" s="27"/>
      <c r="J394" s="27"/>
      <c r="K394" s="27"/>
    </row>
    <row r="395" spans="2:11" x14ac:dyDescent="0.35">
      <c r="B395" s="76"/>
      <c r="C395" s="73"/>
      <c r="G395" s="27"/>
      <c r="H395" s="27"/>
      <c r="I395" s="27"/>
      <c r="J395" s="27"/>
      <c r="K395" s="27"/>
    </row>
    <row r="396" spans="2:11" x14ac:dyDescent="0.35">
      <c r="B396" s="76"/>
      <c r="C396" s="73"/>
      <c r="G396" s="27"/>
      <c r="H396" s="27"/>
      <c r="I396" s="27"/>
      <c r="J396" s="27"/>
      <c r="K396" s="27"/>
    </row>
    <row r="397" spans="2:11" x14ac:dyDescent="0.35">
      <c r="B397" s="76"/>
      <c r="C397" s="73"/>
      <c r="G397" s="27"/>
      <c r="H397" s="27"/>
      <c r="I397" s="27"/>
      <c r="J397" s="27"/>
      <c r="K397" s="27"/>
    </row>
    <row r="398" spans="2:11" x14ac:dyDescent="0.35">
      <c r="B398" s="76"/>
      <c r="C398" s="73"/>
      <c r="G398" s="27"/>
      <c r="H398" s="27"/>
      <c r="I398" s="27"/>
      <c r="J398" s="27"/>
      <c r="K398" s="27"/>
    </row>
    <row r="399" spans="2:11" x14ac:dyDescent="0.35">
      <c r="B399" s="76"/>
      <c r="C399" s="73"/>
      <c r="G399" s="27"/>
      <c r="H399" s="27"/>
      <c r="I399" s="27"/>
      <c r="J399" s="27"/>
      <c r="K399" s="27"/>
    </row>
    <row r="400" spans="2:11" x14ac:dyDescent="0.35">
      <c r="B400" s="76"/>
      <c r="C400" s="73"/>
      <c r="G400" s="27"/>
      <c r="H400" s="27"/>
      <c r="I400" s="27"/>
      <c r="J400" s="27"/>
      <c r="K400" s="27"/>
    </row>
    <row r="401" spans="2:11" x14ac:dyDescent="0.35">
      <c r="B401" s="76"/>
      <c r="C401" s="73"/>
      <c r="G401" s="27"/>
      <c r="H401" s="27"/>
      <c r="I401" s="27"/>
      <c r="J401" s="27"/>
      <c r="K401" s="27"/>
    </row>
    <row r="402" spans="2:11" x14ac:dyDescent="0.35">
      <c r="B402" s="76"/>
      <c r="C402" s="73"/>
      <c r="G402" s="27"/>
      <c r="H402" s="27"/>
      <c r="I402" s="27"/>
      <c r="J402" s="27"/>
      <c r="K402" s="27"/>
    </row>
    <row r="403" spans="2:11" x14ac:dyDescent="0.35">
      <c r="B403" s="76"/>
      <c r="C403" s="73"/>
      <c r="G403" s="27"/>
      <c r="H403" s="27"/>
      <c r="I403" s="27"/>
      <c r="J403" s="27"/>
      <c r="K403" s="27"/>
    </row>
    <row r="404" spans="2:11" x14ac:dyDescent="0.35">
      <c r="B404" s="76"/>
      <c r="C404" s="73"/>
      <c r="G404" s="27"/>
      <c r="H404" s="27"/>
      <c r="I404" s="27"/>
      <c r="J404" s="27"/>
      <c r="K404" s="27"/>
    </row>
    <row r="405" spans="2:11" x14ac:dyDescent="0.35">
      <c r="B405" s="76"/>
      <c r="C405" s="73"/>
      <c r="G405" s="27"/>
      <c r="H405" s="27"/>
      <c r="I405" s="27"/>
      <c r="J405" s="27"/>
      <c r="K405" s="27"/>
    </row>
    <row r="406" spans="2:11" x14ac:dyDescent="0.35">
      <c r="B406" s="76"/>
      <c r="C406" s="73"/>
      <c r="G406" s="27"/>
      <c r="H406" s="27"/>
      <c r="I406" s="27"/>
      <c r="J406" s="27"/>
      <c r="K406" s="27"/>
    </row>
    <row r="407" spans="2:11" x14ac:dyDescent="0.35">
      <c r="B407" s="76"/>
      <c r="C407" s="73"/>
      <c r="G407" s="27"/>
      <c r="H407" s="27"/>
      <c r="I407" s="27"/>
      <c r="J407" s="27"/>
      <c r="K407" s="27"/>
    </row>
    <row r="408" spans="2:11" x14ac:dyDescent="0.35">
      <c r="B408" s="76"/>
      <c r="C408" s="73"/>
      <c r="G408" s="27"/>
      <c r="H408" s="27"/>
      <c r="I408" s="27"/>
      <c r="J408" s="27"/>
      <c r="K408" s="27"/>
    </row>
    <row r="409" spans="2:11" x14ac:dyDescent="0.35">
      <c r="B409" s="76"/>
      <c r="C409" s="73"/>
      <c r="G409" s="27"/>
      <c r="H409" s="27"/>
      <c r="I409" s="27"/>
      <c r="J409" s="27"/>
      <c r="K409" s="27"/>
    </row>
    <row r="410" spans="2:11" x14ac:dyDescent="0.35">
      <c r="B410" s="78"/>
      <c r="C410" s="79"/>
      <c r="D410" s="77"/>
      <c r="E410" s="77"/>
      <c r="F410" s="77"/>
      <c r="G410" s="27"/>
      <c r="H410" s="27"/>
      <c r="I410" s="27"/>
      <c r="J410" s="27"/>
      <c r="K410" s="27"/>
    </row>
    <row r="411" spans="2:11" x14ac:dyDescent="0.35">
      <c r="C411" s="73"/>
      <c r="G411" s="27"/>
      <c r="H411" s="27"/>
      <c r="I411" s="27"/>
      <c r="J411" s="27"/>
      <c r="K411" s="27"/>
    </row>
    <row r="412" spans="2:11" x14ac:dyDescent="0.35">
      <c r="B412" s="7" t="s">
        <v>363</v>
      </c>
      <c r="C412" s="73"/>
      <c r="G412" s="27"/>
      <c r="H412" s="27"/>
      <c r="I412" s="27"/>
      <c r="J412" s="27"/>
      <c r="K412" s="27"/>
    </row>
    <row r="413" spans="2:11" ht="16" thickBot="1" x14ac:dyDescent="0.4">
      <c r="H413" s="27"/>
      <c r="I413" s="27"/>
      <c r="J413" s="27"/>
      <c r="K413" s="27"/>
    </row>
    <row r="414" spans="2:11" ht="18" x14ac:dyDescent="0.35">
      <c r="F414" s="275" t="s">
        <v>353</v>
      </c>
      <c r="G414" s="207" t="s">
        <v>354</v>
      </c>
      <c r="H414" s="208" t="s">
        <v>356</v>
      </c>
      <c r="I414" s="208" t="s">
        <v>357</v>
      </c>
      <c r="J414" s="208" t="s">
        <v>358</v>
      </c>
      <c r="K414" s="27"/>
    </row>
    <row r="415" spans="2:11" ht="18.5" thickBot="1" x14ac:dyDescent="0.4">
      <c r="B415" s="188"/>
      <c r="C415" s="7"/>
      <c r="D415" s="16"/>
      <c r="F415" s="275"/>
      <c r="G415" s="209" t="s">
        <v>355</v>
      </c>
      <c r="H415" s="209" t="s">
        <v>355</v>
      </c>
      <c r="I415" s="274"/>
      <c r="J415" s="274"/>
      <c r="K415" s="27"/>
    </row>
    <row r="416" spans="2:11" ht="21" x14ac:dyDescent="0.4">
      <c r="B416" s="76"/>
      <c r="C416" s="73"/>
      <c r="F416" s="276" t="s">
        <v>654</v>
      </c>
      <c r="G416" s="210">
        <v>34.1</v>
      </c>
      <c r="H416" s="210">
        <v>33.299999999999997</v>
      </c>
      <c r="I416" s="210">
        <v>1.024</v>
      </c>
      <c r="J416" s="210">
        <v>0.97699999999999998</v>
      </c>
      <c r="K416" s="27"/>
    </row>
    <row r="417" spans="2:11" ht="18" x14ac:dyDescent="0.4">
      <c r="B417" s="76"/>
      <c r="C417" s="73"/>
      <c r="F417" s="277" t="s">
        <v>359</v>
      </c>
      <c r="G417" s="210">
        <v>10.9</v>
      </c>
      <c r="H417" s="210">
        <v>10.9</v>
      </c>
      <c r="I417" s="210">
        <v>1</v>
      </c>
      <c r="J417" s="210">
        <v>1</v>
      </c>
      <c r="K417" s="27"/>
    </row>
    <row r="418" spans="2:11" ht="18" x14ac:dyDescent="0.4">
      <c r="B418" s="76"/>
      <c r="C418" s="73"/>
      <c r="F418" s="277" t="s">
        <v>360</v>
      </c>
      <c r="G418" s="210">
        <v>55.5</v>
      </c>
      <c r="H418" s="210">
        <v>50.1</v>
      </c>
      <c r="I418" s="210">
        <v>1.1080000000000001</v>
      </c>
      <c r="J418" s="210">
        <v>0.90300000000000002</v>
      </c>
      <c r="K418" s="27"/>
    </row>
    <row r="419" spans="2:11" ht="21" x14ac:dyDescent="0.4">
      <c r="B419" s="76"/>
      <c r="C419" s="73"/>
      <c r="F419" s="276" t="s">
        <v>655</v>
      </c>
      <c r="G419" s="210">
        <v>52.2</v>
      </c>
      <c r="H419" s="210">
        <v>47.1</v>
      </c>
      <c r="I419" s="210">
        <v>1.1080000000000001</v>
      </c>
      <c r="J419" s="210">
        <v>0.90300000000000002</v>
      </c>
      <c r="K419" s="27"/>
    </row>
    <row r="420" spans="2:11" ht="18" x14ac:dyDescent="0.4">
      <c r="B420" s="76"/>
      <c r="C420" s="73"/>
      <c r="F420" s="277" t="s">
        <v>361</v>
      </c>
      <c r="G420" s="210">
        <v>48.9</v>
      </c>
      <c r="H420" s="210">
        <v>45.8</v>
      </c>
      <c r="I420" s="210">
        <v>1.0680000000000001</v>
      </c>
      <c r="J420" s="210">
        <v>0.93700000000000006</v>
      </c>
      <c r="K420" s="27"/>
    </row>
    <row r="421" spans="2:11" ht="21" x14ac:dyDescent="0.4">
      <c r="B421" s="76"/>
      <c r="C421" s="73"/>
      <c r="F421" s="276" t="s">
        <v>656</v>
      </c>
      <c r="G421" s="210">
        <v>46.7</v>
      </c>
      <c r="H421" s="210">
        <v>42.5</v>
      </c>
      <c r="I421" s="210">
        <v>1.099</v>
      </c>
      <c r="J421" s="210">
        <v>0.91</v>
      </c>
      <c r="K421" s="27"/>
    </row>
    <row r="422" spans="2:11" ht="21" x14ac:dyDescent="0.4">
      <c r="B422" s="76"/>
      <c r="C422" s="73"/>
      <c r="F422" s="276" t="s">
        <v>657</v>
      </c>
      <c r="G422" s="210">
        <v>45.9</v>
      </c>
      <c r="H422" s="210">
        <v>43</v>
      </c>
      <c r="I422" s="210">
        <v>1.0669999999999999</v>
      </c>
      <c r="J422" s="210">
        <v>0.93700000000000006</v>
      </c>
      <c r="K422" s="27"/>
    </row>
    <row r="423" spans="2:11" ht="18.5" thickBot="1" x14ac:dyDescent="0.45">
      <c r="B423" s="76"/>
      <c r="C423" s="73"/>
      <c r="F423" s="277" t="s">
        <v>362</v>
      </c>
      <c r="G423" s="211">
        <v>141.9</v>
      </c>
      <c r="H423" s="211">
        <v>120.1</v>
      </c>
      <c r="I423" s="211">
        <v>1.1819999999999999</v>
      </c>
      <c r="J423" s="211">
        <v>0.84599999999999997</v>
      </c>
      <c r="K423" s="27"/>
    </row>
    <row r="424" spans="2:11" ht="18" x14ac:dyDescent="0.4">
      <c r="B424" s="76"/>
      <c r="C424" s="73"/>
      <c r="F424" s="162"/>
      <c r="G424" s="73"/>
      <c r="K424" s="27"/>
    </row>
    <row r="425" spans="2:11" x14ac:dyDescent="0.35">
      <c r="B425" s="76"/>
      <c r="C425" s="73"/>
      <c r="F425" s="76"/>
      <c r="G425" s="1" t="s">
        <v>651</v>
      </c>
      <c r="K425" s="27"/>
    </row>
    <row r="426" spans="2:11" x14ac:dyDescent="0.35">
      <c r="B426" s="76"/>
      <c r="C426" s="73"/>
      <c r="F426" s="76"/>
      <c r="G426" s="1" t="s">
        <v>652</v>
      </c>
      <c r="K426" s="27"/>
    </row>
    <row r="427" spans="2:11" ht="18" x14ac:dyDescent="0.35">
      <c r="B427" s="76"/>
      <c r="C427" s="73"/>
      <c r="F427" s="76"/>
      <c r="G427" s="25" t="s">
        <v>653</v>
      </c>
      <c r="K427" s="27"/>
    </row>
    <row r="428" spans="2:11" x14ac:dyDescent="0.35">
      <c r="B428" s="76"/>
      <c r="C428" s="73"/>
      <c r="F428" s="76"/>
      <c r="G428" s="73"/>
      <c r="K428" s="27"/>
    </row>
    <row r="429" spans="2:11" x14ac:dyDescent="0.35">
      <c r="B429" s="78"/>
      <c r="C429" s="79"/>
      <c r="D429" s="77"/>
      <c r="E429" s="77"/>
      <c r="F429" s="77"/>
      <c r="G429" s="79"/>
      <c r="H429" s="77"/>
      <c r="I429" s="77"/>
      <c r="J429" s="77"/>
      <c r="K429" s="27"/>
    </row>
    <row r="430" spans="2:11" x14ac:dyDescent="0.35">
      <c r="B430" s="76"/>
      <c r="C430" s="73"/>
      <c r="K430" s="27"/>
    </row>
    <row r="431" spans="2:11" x14ac:dyDescent="0.35">
      <c r="B431" s="76"/>
      <c r="C431" s="73"/>
      <c r="F431" s="7"/>
    </row>
    <row r="432" spans="2:11" x14ac:dyDescent="0.35">
      <c r="B432" s="76"/>
      <c r="C432" s="73"/>
      <c r="E432" s="25" t="s">
        <v>631</v>
      </c>
      <c r="G432" s="27"/>
      <c r="H432" s="27"/>
      <c r="I432" s="27"/>
      <c r="J432" s="27"/>
      <c r="K432" s="27"/>
    </row>
    <row r="433" spans="2:11" x14ac:dyDescent="0.35">
      <c r="B433" s="76"/>
      <c r="C433" s="73"/>
      <c r="G433" s="27"/>
      <c r="H433" s="27"/>
      <c r="I433" s="27"/>
      <c r="J433" s="27"/>
      <c r="K433" s="27"/>
    </row>
    <row r="434" spans="2:11" x14ac:dyDescent="0.35">
      <c r="B434" s="76"/>
      <c r="C434" s="73"/>
      <c r="G434" s="27"/>
      <c r="H434" s="27"/>
      <c r="I434" s="27"/>
      <c r="J434" s="27"/>
      <c r="K434" s="27"/>
    </row>
    <row r="446" spans="2:11" x14ac:dyDescent="0.35">
      <c r="B446" s="76"/>
      <c r="G446" s="27"/>
      <c r="H446" s="27"/>
      <c r="I446" s="27"/>
      <c r="J446" s="27"/>
      <c r="K446" s="27"/>
    </row>
    <row r="447" spans="2:11" x14ac:dyDescent="0.35">
      <c r="H447" s="27"/>
      <c r="I447" s="27"/>
      <c r="J447" s="27"/>
      <c r="K447" s="27"/>
    </row>
    <row r="448" spans="2:11" x14ac:dyDescent="0.35">
      <c r="H448" s="27"/>
      <c r="I448" s="27"/>
      <c r="J448" s="27"/>
      <c r="K448" s="27"/>
    </row>
    <row r="449" spans="8:11" x14ac:dyDescent="0.35">
      <c r="H449" s="27"/>
      <c r="I449" s="27"/>
      <c r="J449" s="27"/>
      <c r="K449" s="27"/>
    </row>
    <row r="450" spans="8:11" x14ac:dyDescent="0.35">
      <c r="H450" s="27"/>
      <c r="I450" s="27"/>
      <c r="J450" s="27"/>
      <c r="K450" s="27"/>
    </row>
    <row r="451" spans="8:11" x14ac:dyDescent="0.35">
      <c r="H451" s="27"/>
      <c r="I451" s="27"/>
      <c r="J451" s="27"/>
      <c r="K451" s="27"/>
    </row>
    <row r="452" spans="8:11" x14ac:dyDescent="0.35">
      <c r="H452" s="27"/>
      <c r="I452" s="27"/>
      <c r="J452" s="27"/>
      <c r="K452" s="27"/>
    </row>
    <row r="453" spans="8:11" x14ac:dyDescent="0.35">
      <c r="H453" s="27"/>
      <c r="I453" s="27"/>
      <c r="J453" s="27"/>
      <c r="K453" s="27"/>
    </row>
    <row r="454" spans="8:11" x14ac:dyDescent="0.35">
      <c r="H454" s="27"/>
      <c r="I454" s="27"/>
      <c r="J454" s="27"/>
      <c r="K454" s="27"/>
    </row>
    <row r="455" spans="8:11" x14ac:dyDescent="0.35">
      <c r="H455" s="27"/>
      <c r="I455" s="27"/>
      <c r="J455" s="27"/>
      <c r="K455" s="27"/>
    </row>
    <row r="456" spans="8:11" x14ac:dyDescent="0.35">
      <c r="H456" s="27"/>
      <c r="I456" s="27"/>
      <c r="J456" s="27"/>
      <c r="K456" s="27"/>
    </row>
    <row r="457" spans="8:11" x14ac:dyDescent="0.35">
      <c r="H457" s="27"/>
      <c r="I457" s="27"/>
      <c r="J457" s="27"/>
      <c r="K457" s="27"/>
    </row>
    <row r="458" spans="8:11" x14ac:dyDescent="0.35">
      <c r="H458" s="27"/>
      <c r="I458" s="27"/>
      <c r="J458" s="27"/>
      <c r="K458" s="27"/>
    </row>
    <row r="459" spans="8:11" x14ac:dyDescent="0.35">
      <c r="H459" s="27"/>
      <c r="I459" s="27"/>
      <c r="J459" s="27"/>
      <c r="K459" s="27"/>
    </row>
    <row r="460" spans="8:11" x14ac:dyDescent="0.35">
      <c r="H460" s="27"/>
      <c r="I460" s="27"/>
      <c r="J460" s="27"/>
      <c r="K460" s="27"/>
    </row>
    <row r="461" spans="8:11" x14ac:dyDescent="0.35">
      <c r="H461" s="27"/>
      <c r="I461" s="27"/>
      <c r="J461" s="27"/>
      <c r="K461" s="27"/>
    </row>
    <row r="462" spans="8:11" x14ac:dyDescent="0.35">
      <c r="H462" s="27"/>
      <c r="I462" s="27"/>
      <c r="J462" s="27"/>
      <c r="K462" s="27"/>
    </row>
    <row r="463" spans="8:11" x14ac:dyDescent="0.35">
      <c r="H463" s="27"/>
      <c r="I463" s="27"/>
      <c r="J463" s="27"/>
      <c r="K463" s="27"/>
    </row>
    <row r="464" spans="8:11" x14ac:dyDescent="0.35">
      <c r="H464" s="27"/>
      <c r="I464" s="27"/>
      <c r="J464" s="27"/>
      <c r="K464" s="27"/>
    </row>
    <row r="465" spans="2:11" x14ac:dyDescent="0.35">
      <c r="H465" s="27"/>
      <c r="I465" s="27"/>
      <c r="J465" s="27"/>
      <c r="K465" s="27"/>
    </row>
    <row r="466" spans="2:11" x14ac:dyDescent="0.35">
      <c r="H466" s="27"/>
      <c r="I466" s="27"/>
      <c r="J466" s="27"/>
      <c r="K466" s="27"/>
    </row>
    <row r="467" spans="2:11" x14ac:dyDescent="0.35">
      <c r="H467" s="27"/>
      <c r="I467" s="27"/>
      <c r="J467" s="27"/>
      <c r="K467" s="27"/>
    </row>
    <row r="468" spans="2:11" x14ac:dyDescent="0.35">
      <c r="H468" s="27"/>
      <c r="I468" s="27"/>
      <c r="J468" s="27"/>
      <c r="K468" s="27"/>
    </row>
    <row r="469" spans="2:11" x14ac:dyDescent="0.35">
      <c r="H469" s="27"/>
      <c r="I469" s="27"/>
      <c r="J469" s="27"/>
      <c r="K469" s="27"/>
    </row>
    <row r="470" spans="2:11" ht="15.5" customHeight="1" x14ac:dyDescent="0.35">
      <c r="H470" s="27"/>
      <c r="I470" s="27"/>
      <c r="J470" s="27"/>
      <c r="K470" s="27"/>
    </row>
    <row r="471" spans="2:11" x14ac:dyDescent="0.35">
      <c r="H471" s="27"/>
      <c r="I471" s="27"/>
      <c r="J471" s="27"/>
      <c r="K471" s="27"/>
    </row>
    <row r="472" spans="2:11" x14ac:dyDescent="0.35">
      <c r="H472" s="27"/>
      <c r="I472" s="27"/>
      <c r="J472" s="27"/>
      <c r="K472" s="27"/>
    </row>
    <row r="473" spans="2:11" x14ac:dyDescent="0.35">
      <c r="I473" s="27"/>
      <c r="J473" s="27"/>
      <c r="K473" s="27"/>
    </row>
    <row r="474" spans="2:11" x14ac:dyDescent="0.35">
      <c r="I474" s="27"/>
      <c r="J474" s="27"/>
      <c r="K474" s="27"/>
    </row>
    <row r="475" spans="2:11" x14ac:dyDescent="0.35">
      <c r="B475" s="72"/>
      <c r="C475" s="72"/>
      <c r="D475" s="72"/>
      <c r="E475" s="72"/>
      <c r="F475" s="72"/>
      <c r="G475" s="72"/>
      <c r="I475" s="27"/>
      <c r="J475" s="27"/>
      <c r="K475" s="27"/>
    </row>
    <row r="476" spans="2:11" x14ac:dyDescent="0.35">
      <c r="I476" s="27"/>
      <c r="J476" s="27"/>
      <c r="K476" s="27"/>
    </row>
    <row r="477" spans="2:11" x14ac:dyDescent="0.35">
      <c r="I477" s="27"/>
      <c r="J477" s="27"/>
      <c r="K477" s="27"/>
    </row>
    <row r="478" spans="2:11" x14ac:dyDescent="0.35">
      <c r="I478" s="27"/>
      <c r="J478" s="27"/>
      <c r="K478" s="27"/>
    </row>
    <row r="479" spans="2:11" x14ac:dyDescent="0.35">
      <c r="I479" s="27"/>
      <c r="J479" s="27"/>
      <c r="K479" s="27"/>
    </row>
    <row r="480" spans="2:11" x14ac:dyDescent="0.35">
      <c r="I480" s="27"/>
      <c r="J480" s="27"/>
      <c r="K480" s="27"/>
    </row>
    <row r="481" spans="1:11" x14ac:dyDescent="0.35">
      <c r="I481" s="27"/>
      <c r="J481" s="27"/>
      <c r="K481" s="27"/>
    </row>
    <row r="482" spans="1:11" x14ac:dyDescent="0.35">
      <c r="I482" s="27"/>
      <c r="J482" s="27"/>
      <c r="K482" s="27"/>
    </row>
    <row r="483" spans="1:11" x14ac:dyDescent="0.35">
      <c r="I483" s="27"/>
      <c r="J483" s="27"/>
      <c r="K483" s="27"/>
    </row>
    <row r="484" spans="1:11" x14ac:dyDescent="0.35">
      <c r="I484" s="27"/>
      <c r="J484" s="27"/>
      <c r="K484" s="27"/>
    </row>
    <row r="485" spans="1:11" x14ac:dyDescent="0.35">
      <c r="I485" s="27"/>
      <c r="J485" s="27"/>
      <c r="K485" s="27"/>
    </row>
    <row r="486" spans="1:11" x14ac:dyDescent="0.35">
      <c r="I486" s="27"/>
      <c r="J486" s="27"/>
      <c r="K486" s="27"/>
    </row>
    <row r="487" spans="1:11" x14ac:dyDescent="0.35">
      <c r="I487" s="27"/>
      <c r="J487" s="27"/>
      <c r="K487" s="27"/>
    </row>
    <row r="488" spans="1:11" x14ac:dyDescent="0.35">
      <c r="A488" s="236"/>
      <c r="I488" s="27"/>
      <c r="J488" s="27"/>
      <c r="K488" s="27"/>
    </row>
    <row r="489" spans="1:11" x14ac:dyDescent="0.35">
      <c r="I489" s="27"/>
      <c r="J489" s="27"/>
      <c r="K489" s="27"/>
    </row>
    <row r="490" spans="1:11" x14ac:dyDescent="0.35">
      <c r="A490" s="237"/>
      <c r="I490" s="27"/>
      <c r="J490" s="27"/>
      <c r="K490" s="27"/>
    </row>
    <row r="491" spans="1:11" x14ac:dyDescent="0.35">
      <c r="A491" s="238"/>
      <c r="B491" s="72"/>
      <c r="C491" s="72"/>
      <c r="D491" s="72"/>
      <c r="E491" s="72"/>
      <c r="F491" s="72"/>
      <c r="G491" s="72"/>
      <c r="I491" s="27"/>
      <c r="J491" s="27"/>
      <c r="K491" s="27"/>
    </row>
    <row r="492" spans="1:11" x14ac:dyDescent="0.35">
      <c r="I492" s="27"/>
      <c r="J492" s="27"/>
      <c r="K492" s="27"/>
    </row>
    <row r="493" spans="1:11" x14ac:dyDescent="0.35">
      <c r="I493" s="27"/>
      <c r="J493" s="27"/>
      <c r="K493" s="27"/>
    </row>
    <row r="494" spans="1:11" x14ac:dyDescent="0.35">
      <c r="I494" s="27"/>
      <c r="J494" s="27"/>
      <c r="K494" s="27"/>
    </row>
    <row r="495" spans="1:11" x14ac:dyDescent="0.35">
      <c r="I495" s="27"/>
      <c r="J495" s="27"/>
      <c r="K495" s="27"/>
    </row>
    <row r="496" spans="1:11" x14ac:dyDescent="0.35">
      <c r="I496" s="27"/>
      <c r="J496" s="27"/>
      <c r="K496" s="27"/>
    </row>
    <row r="497" spans="9:11" x14ac:dyDescent="0.35">
      <c r="I497" s="27"/>
      <c r="J497" s="27"/>
      <c r="K497" s="27"/>
    </row>
    <row r="498" spans="9:11" x14ac:dyDescent="0.35">
      <c r="I498" s="27"/>
      <c r="J498" s="27"/>
      <c r="K498" s="27"/>
    </row>
    <row r="499" spans="9:11" x14ac:dyDescent="0.35">
      <c r="I499" s="27"/>
      <c r="J499" s="27"/>
      <c r="K499" s="27"/>
    </row>
    <row r="500" spans="9:11" x14ac:dyDescent="0.35">
      <c r="I500" s="27"/>
      <c r="J500" s="27"/>
      <c r="K500" s="27"/>
    </row>
    <row r="501" spans="9:11" x14ac:dyDescent="0.35">
      <c r="I501" s="27"/>
      <c r="J501" s="27"/>
      <c r="K501" s="27"/>
    </row>
    <row r="502" spans="9:11" x14ac:dyDescent="0.35">
      <c r="I502" s="27"/>
      <c r="J502" s="27"/>
      <c r="K502" s="27"/>
    </row>
    <row r="503" spans="9:11" x14ac:dyDescent="0.35">
      <c r="I503" s="27"/>
      <c r="J503" s="27"/>
      <c r="K503" s="27"/>
    </row>
    <row r="504" spans="9:11" x14ac:dyDescent="0.35">
      <c r="I504" s="27"/>
      <c r="J504" s="27"/>
      <c r="K504" s="27"/>
    </row>
    <row r="505" spans="9:11" x14ac:dyDescent="0.35">
      <c r="I505" s="27"/>
      <c r="J505" s="27"/>
      <c r="K505" s="27"/>
    </row>
    <row r="506" spans="9:11" x14ac:dyDescent="0.35">
      <c r="I506" s="27"/>
      <c r="J506" s="27"/>
      <c r="K506" s="27"/>
    </row>
    <row r="507" spans="9:11" x14ac:dyDescent="0.35">
      <c r="I507" s="27"/>
      <c r="J507" s="27"/>
      <c r="K507" s="27"/>
    </row>
    <row r="508" spans="9:11" x14ac:dyDescent="0.35">
      <c r="I508" s="27"/>
      <c r="J508" s="27"/>
      <c r="K508" s="27"/>
    </row>
    <row r="509" spans="9:11" x14ac:dyDescent="0.35">
      <c r="I509" s="27"/>
      <c r="J509" s="27"/>
      <c r="K509" s="27"/>
    </row>
    <row r="510" spans="9:11" x14ac:dyDescent="0.35">
      <c r="I510" s="27"/>
      <c r="J510" s="27"/>
      <c r="K510" s="27"/>
    </row>
    <row r="511" spans="9:11" x14ac:dyDescent="0.35">
      <c r="I511" s="27"/>
      <c r="J511" s="27"/>
      <c r="K511" s="27"/>
    </row>
    <row r="512" spans="9:11" x14ac:dyDescent="0.35">
      <c r="I512" s="27"/>
      <c r="J512" s="27"/>
      <c r="K512" s="27"/>
    </row>
    <row r="513" spans="9:11" x14ac:dyDescent="0.35">
      <c r="I513" s="27"/>
      <c r="J513" s="27"/>
      <c r="K513" s="27"/>
    </row>
    <row r="514" spans="9:11" x14ac:dyDescent="0.35">
      <c r="I514" s="27"/>
      <c r="J514" s="27"/>
      <c r="K514" s="27"/>
    </row>
    <row r="515" spans="9:11" x14ac:dyDescent="0.35">
      <c r="I515" s="27"/>
      <c r="J515" s="27"/>
      <c r="K515" s="27"/>
    </row>
    <row r="516" spans="9:11" x14ac:dyDescent="0.35">
      <c r="I516" s="27"/>
      <c r="J516" s="27"/>
      <c r="K516" s="27"/>
    </row>
    <row r="517" spans="9:11" x14ac:dyDescent="0.35">
      <c r="I517" s="27"/>
      <c r="J517" s="27"/>
      <c r="K517" s="27"/>
    </row>
    <row r="518" spans="9:11" x14ac:dyDescent="0.35">
      <c r="I518" s="27"/>
      <c r="J518" s="27"/>
      <c r="K518" s="27"/>
    </row>
    <row r="519" spans="9:11" x14ac:dyDescent="0.35">
      <c r="I519" s="27"/>
      <c r="J519" s="27"/>
      <c r="K519" s="27"/>
    </row>
    <row r="520" spans="9:11" x14ac:dyDescent="0.35">
      <c r="I520" s="27"/>
      <c r="J520" s="27"/>
      <c r="K520" s="27"/>
    </row>
    <row r="521" spans="9:11" x14ac:dyDescent="0.35">
      <c r="I521" s="27"/>
      <c r="J521" s="27"/>
      <c r="K521" s="27"/>
    </row>
    <row r="522" spans="9:11" x14ac:dyDescent="0.35">
      <c r="I522" s="27"/>
      <c r="J522" s="27"/>
      <c r="K522" s="27"/>
    </row>
    <row r="523" spans="9:11" x14ac:dyDescent="0.35">
      <c r="I523" s="27"/>
      <c r="J523" s="27"/>
      <c r="K523" s="27"/>
    </row>
    <row r="524" spans="9:11" x14ac:dyDescent="0.35">
      <c r="I524" s="27"/>
      <c r="J524" s="27"/>
      <c r="K524" s="27"/>
    </row>
    <row r="525" spans="9:11" x14ac:dyDescent="0.35">
      <c r="I525" s="27"/>
      <c r="J525" s="27"/>
      <c r="K525" s="27"/>
    </row>
    <row r="526" spans="9:11" x14ac:dyDescent="0.35">
      <c r="I526" s="27"/>
      <c r="J526" s="27"/>
      <c r="K526" s="27"/>
    </row>
    <row r="527" spans="9:11" x14ac:dyDescent="0.35">
      <c r="J527" s="27"/>
      <c r="K527" s="27"/>
    </row>
    <row r="528" spans="9:11" x14ac:dyDescent="0.35">
      <c r="J528" s="27"/>
      <c r="K528" s="27"/>
    </row>
    <row r="529" spans="1:12" x14ac:dyDescent="0.35">
      <c r="J529" s="212"/>
      <c r="K529" s="212"/>
      <c r="L529" s="212"/>
    </row>
    <row r="531" spans="1:12" x14ac:dyDescent="0.35">
      <c r="A531" s="238"/>
      <c r="B531" s="113"/>
      <c r="C531" s="72"/>
      <c r="D531" s="72"/>
      <c r="E531" s="213"/>
      <c r="F531" s="72"/>
      <c r="G531" s="72"/>
    </row>
    <row r="532" spans="1:12" x14ac:dyDescent="0.35">
      <c r="A532" s="239"/>
      <c r="B532" s="215"/>
      <c r="C532" s="216"/>
      <c r="D532" s="216"/>
      <c r="E532" s="215"/>
      <c r="F532" s="216"/>
      <c r="G532" s="72"/>
      <c r="J532" s="27"/>
      <c r="K532" s="27"/>
    </row>
    <row r="533" spans="1:12" x14ac:dyDescent="0.35">
      <c r="A533" s="239"/>
      <c r="B533" s="217"/>
      <c r="C533" s="218"/>
      <c r="D533" s="214"/>
      <c r="E533" s="217"/>
      <c r="F533" s="218"/>
      <c r="G533" s="72"/>
      <c r="J533" s="27"/>
      <c r="K533" s="27"/>
    </row>
    <row r="534" spans="1:12" x14ac:dyDescent="0.35">
      <c r="A534" s="239"/>
      <c r="B534" s="218"/>
      <c r="C534" s="218"/>
      <c r="D534" s="214"/>
      <c r="E534" s="22"/>
      <c r="F534" s="216"/>
      <c r="G534" s="72"/>
      <c r="J534" s="27"/>
      <c r="K534" s="27"/>
    </row>
    <row r="535" spans="1:12" x14ac:dyDescent="0.35">
      <c r="A535" s="239"/>
      <c r="B535" s="219"/>
      <c r="C535" s="218"/>
      <c r="D535" s="214"/>
      <c r="E535" s="218"/>
      <c r="F535" s="218"/>
      <c r="G535" s="72"/>
      <c r="J535" s="27"/>
      <c r="K535" s="27"/>
    </row>
    <row r="536" spans="1:12" x14ac:dyDescent="0.35">
      <c r="A536" s="239"/>
      <c r="B536" s="216"/>
      <c r="C536" s="216"/>
      <c r="D536" s="216"/>
      <c r="E536" s="216"/>
      <c r="F536" s="216"/>
      <c r="G536" s="72"/>
      <c r="J536" s="27"/>
      <c r="K536" s="27"/>
    </row>
    <row r="537" spans="1:12" x14ac:dyDescent="0.35">
      <c r="A537" s="238"/>
      <c r="B537" s="215"/>
      <c r="C537" s="220"/>
      <c r="D537" s="214"/>
      <c r="E537" s="215"/>
      <c r="F537" s="220"/>
      <c r="G537" s="72"/>
      <c r="J537" s="27"/>
      <c r="K537" s="27"/>
    </row>
    <row r="538" spans="1:12" x14ac:dyDescent="0.35">
      <c r="A538" s="239"/>
      <c r="B538" s="217"/>
      <c r="C538" s="218"/>
      <c r="D538" s="214"/>
      <c r="E538" s="221"/>
      <c r="F538" s="218"/>
      <c r="G538" s="72"/>
      <c r="J538" s="27"/>
      <c r="K538" s="27"/>
    </row>
    <row r="539" spans="1:12" x14ac:dyDescent="0.35">
      <c r="A539" s="239"/>
      <c r="B539" s="218"/>
      <c r="C539" s="218"/>
      <c r="D539" s="214"/>
      <c r="E539" s="22"/>
      <c r="F539" s="218"/>
      <c r="G539" s="72"/>
      <c r="J539" s="27"/>
      <c r="K539" s="27"/>
    </row>
    <row r="540" spans="1:12" x14ac:dyDescent="0.35">
      <c r="A540" s="239"/>
      <c r="B540" s="218"/>
      <c r="C540" s="218"/>
      <c r="D540" s="214"/>
      <c r="E540" s="218"/>
      <c r="F540" s="218"/>
      <c r="G540" s="72"/>
      <c r="J540" s="27"/>
      <c r="K540" s="27"/>
    </row>
    <row r="541" spans="1:12" x14ac:dyDescent="0.35">
      <c r="A541" s="238"/>
      <c r="B541" s="72"/>
      <c r="C541" s="72"/>
      <c r="D541" s="72"/>
      <c r="E541" s="72"/>
      <c r="F541" s="88"/>
      <c r="G541" s="72"/>
      <c r="J541" s="27"/>
      <c r="K541" s="27"/>
    </row>
    <row r="542" spans="1:12" x14ac:dyDescent="0.35">
      <c r="A542" s="240"/>
      <c r="B542" s="23"/>
      <c r="C542" s="23"/>
      <c r="D542" s="23"/>
      <c r="E542" s="213"/>
      <c r="F542" s="88"/>
      <c r="G542" s="72"/>
      <c r="J542" s="27"/>
      <c r="K542" s="27"/>
    </row>
    <row r="543" spans="1:12" x14ac:dyDescent="0.35">
      <c r="A543" s="241"/>
      <c r="B543" s="23"/>
      <c r="C543" s="23"/>
      <c r="D543" s="23"/>
      <c r="E543" s="213"/>
      <c r="F543" s="88"/>
      <c r="G543" s="72"/>
      <c r="J543" s="27"/>
      <c r="K543" s="27"/>
    </row>
    <row r="544" spans="1:12" x14ac:dyDescent="0.35">
      <c r="A544" s="238"/>
      <c r="B544" s="215"/>
      <c r="C544" s="115"/>
      <c r="D544" s="72"/>
      <c r="E544" s="215"/>
      <c r="F544" s="115"/>
      <c r="G544" s="72"/>
      <c r="J544" s="27"/>
      <c r="K544" s="27"/>
    </row>
    <row r="545" spans="1:11" x14ac:dyDescent="0.35">
      <c r="A545" s="239"/>
      <c r="B545" s="221"/>
      <c r="C545" s="218"/>
      <c r="D545" s="214"/>
      <c r="E545" s="221"/>
      <c r="F545" s="218"/>
      <c r="G545" s="72"/>
      <c r="J545" s="27"/>
      <c r="K545" s="27"/>
    </row>
    <row r="546" spans="1:11" x14ac:dyDescent="0.35">
      <c r="A546" s="239"/>
      <c r="B546" s="221"/>
      <c r="C546" s="221"/>
      <c r="D546" s="214"/>
      <c r="E546" s="222"/>
      <c r="F546" s="221"/>
      <c r="G546" s="72"/>
      <c r="J546" s="27"/>
      <c r="K546" s="27"/>
    </row>
    <row r="547" spans="1:11" x14ac:dyDescent="0.35">
      <c r="A547" s="238"/>
      <c r="B547" s="72"/>
      <c r="C547" s="72"/>
      <c r="D547" s="72"/>
      <c r="E547" s="72"/>
      <c r="F547" s="72"/>
      <c r="G547" s="72"/>
      <c r="J547" s="27"/>
      <c r="K547" s="27"/>
    </row>
    <row r="548" spans="1:11" x14ac:dyDescent="0.35">
      <c r="A548" s="242"/>
      <c r="B548" s="23"/>
      <c r="C548" s="23"/>
      <c r="D548" s="23"/>
      <c r="E548" s="23"/>
      <c r="F548" s="88"/>
      <c r="G548" s="72"/>
      <c r="J548" s="27"/>
      <c r="K548" s="27"/>
    </row>
    <row r="549" spans="1:11" x14ac:dyDescent="0.35">
      <c r="A549" s="243"/>
      <c r="B549" s="23"/>
      <c r="C549" s="23"/>
      <c r="D549" s="223"/>
      <c r="E549" s="23"/>
      <c r="F549" s="88"/>
      <c r="G549" s="72"/>
      <c r="J549" s="27"/>
      <c r="K549" s="27"/>
    </row>
    <row r="550" spans="1:11" x14ac:dyDescent="0.35">
      <c r="A550" s="243"/>
      <c r="B550" s="23"/>
      <c r="C550" s="23"/>
      <c r="D550" s="223"/>
      <c r="E550" s="23"/>
      <c r="F550" s="88"/>
      <c r="G550" s="72"/>
      <c r="J550" s="27"/>
      <c r="K550" s="27"/>
    </row>
    <row r="551" spans="1:11" x14ac:dyDescent="0.35">
      <c r="A551" s="243"/>
      <c r="B551" s="23"/>
      <c r="C551" s="224"/>
      <c r="D551" s="225"/>
      <c r="E551" s="23"/>
      <c r="F551" s="88"/>
      <c r="G551" s="72"/>
      <c r="J551" s="27"/>
      <c r="K551" s="27"/>
    </row>
    <row r="552" spans="1:11" x14ac:dyDescent="0.35">
      <c r="A552" s="243"/>
      <c r="B552" s="23"/>
      <c r="C552" s="226"/>
      <c r="D552" s="223"/>
      <c r="E552" s="23"/>
      <c r="F552" s="88"/>
      <c r="G552" s="72"/>
      <c r="J552" s="27"/>
      <c r="K552" s="27"/>
    </row>
    <row r="553" spans="1:11" x14ac:dyDescent="0.35">
      <c r="A553" s="243"/>
      <c r="B553" s="23"/>
      <c r="C553" s="23"/>
      <c r="D553" s="223"/>
      <c r="E553" s="23"/>
      <c r="F553" s="88"/>
      <c r="G553" s="72"/>
      <c r="J553" s="27"/>
      <c r="K553" s="27"/>
    </row>
    <row r="554" spans="1:11" x14ac:dyDescent="0.35">
      <c r="A554" s="243"/>
      <c r="B554" s="23"/>
      <c r="C554" s="23"/>
      <c r="D554" s="223"/>
      <c r="E554" s="23"/>
      <c r="F554" s="88"/>
      <c r="G554" s="72"/>
      <c r="J554" s="27"/>
      <c r="K554" s="27"/>
    </row>
    <row r="555" spans="1:11" x14ac:dyDescent="0.35">
      <c r="A555" s="243"/>
      <c r="B555" s="23"/>
      <c r="C555" s="23"/>
      <c r="D555" s="223"/>
      <c r="E555" s="23"/>
      <c r="F555" s="88"/>
      <c r="G555" s="72"/>
      <c r="J555" s="27"/>
      <c r="K555" s="27"/>
    </row>
    <row r="556" spans="1:11" x14ac:dyDescent="0.35">
      <c r="A556" s="243"/>
      <c r="B556" s="23"/>
      <c r="C556" s="224"/>
      <c r="D556" s="225"/>
      <c r="E556" s="23"/>
      <c r="F556" s="88"/>
      <c r="G556" s="72"/>
      <c r="J556" s="27"/>
      <c r="K556" s="27"/>
    </row>
    <row r="557" spans="1:11" x14ac:dyDescent="0.35">
      <c r="A557" s="243"/>
      <c r="B557" s="23"/>
      <c r="C557" s="23"/>
      <c r="D557" s="223"/>
      <c r="E557" s="23"/>
      <c r="F557" s="88"/>
      <c r="G557" s="72"/>
      <c r="J557" s="27"/>
      <c r="K557" s="27"/>
    </row>
    <row r="558" spans="1:11" x14ac:dyDescent="0.35">
      <c r="A558" s="243"/>
      <c r="B558" s="23"/>
      <c r="C558" s="23"/>
      <c r="D558" s="226"/>
      <c r="E558" s="23"/>
      <c r="F558" s="88"/>
      <c r="G558" s="72"/>
      <c r="J558" s="27"/>
      <c r="K558" s="27"/>
    </row>
    <row r="559" spans="1:11" x14ac:dyDescent="0.35">
      <c r="A559" s="243"/>
      <c r="B559" s="23"/>
      <c r="C559" s="23"/>
      <c r="D559" s="223"/>
      <c r="E559" s="23"/>
      <c r="F559" s="88"/>
      <c r="G559" s="72"/>
      <c r="J559" s="27"/>
      <c r="K559" s="27"/>
    </row>
    <row r="560" spans="1:11" x14ac:dyDescent="0.35">
      <c r="A560" s="243"/>
      <c r="B560" s="23"/>
      <c r="C560" s="23"/>
      <c r="D560" s="225"/>
      <c r="E560" s="23"/>
      <c r="F560" s="88"/>
      <c r="G560" s="72"/>
      <c r="J560" s="27"/>
      <c r="K560" s="27"/>
    </row>
    <row r="561" spans="1:11" x14ac:dyDescent="0.35">
      <c r="A561" s="243"/>
      <c r="B561" s="23"/>
      <c r="C561" s="23"/>
      <c r="D561" s="227"/>
      <c r="E561" s="23"/>
      <c r="F561" s="88"/>
      <c r="G561" s="72"/>
      <c r="J561" s="27"/>
      <c r="K561" s="27"/>
    </row>
    <row r="562" spans="1:11" x14ac:dyDescent="0.35">
      <c r="A562" s="243"/>
      <c r="B562" s="23"/>
      <c r="C562" s="23"/>
      <c r="D562" s="223"/>
      <c r="E562" s="23"/>
      <c r="F562" s="88"/>
      <c r="G562" s="72"/>
      <c r="J562" s="27"/>
      <c r="K562" s="27"/>
    </row>
    <row r="563" spans="1:11" x14ac:dyDescent="0.35">
      <c r="A563" s="243"/>
      <c r="B563" s="23"/>
      <c r="C563" s="23"/>
      <c r="D563" s="223"/>
      <c r="E563" s="23"/>
      <c r="F563" s="88"/>
      <c r="G563" s="72"/>
      <c r="J563" s="27"/>
      <c r="K563" s="27"/>
    </row>
    <row r="564" spans="1:11" x14ac:dyDescent="0.35">
      <c r="A564" s="243"/>
      <c r="B564" s="23"/>
      <c r="C564" s="23"/>
      <c r="D564" s="223"/>
      <c r="E564" s="23"/>
      <c r="F564" s="88"/>
      <c r="G564" s="72"/>
      <c r="J564" s="27"/>
      <c r="K564" s="27"/>
    </row>
    <row r="565" spans="1:11" x14ac:dyDescent="0.35">
      <c r="A565" s="243"/>
      <c r="B565" s="23"/>
      <c r="C565" s="23"/>
      <c r="D565" s="225"/>
      <c r="E565" s="23"/>
      <c r="F565" s="88"/>
      <c r="G565" s="72"/>
      <c r="J565" s="27"/>
      <c r="K565" s="27"/>
    </row>
    <row r="566" spans="1:11" x14ac:dyDescent="0.35">
      <c r="A566" s="243"/>
      <c r="B566" s="23"/>
      <c r="C566" s="23"/>
      <c r="D566" s="225"/>
      <c r="E566" s="23"/>
      <c r="F566" s="88"/>
      <c r="G566" s="72"/>
      <c r="J566" s="27"/>
      <c r="K566" s="27"/>
    </row>
    <row r="567" spans="1:11" x14ac:dyDescent="0.35">
      <c r="A567" s="243"/>
      <c r="B567" s="23"/>
      <c r="C567" s="23"/>
      <c r="D567" s="223"/>
      <c r="E567" s="23"/>
      <c r="F567" s="88"/>
      <c r="G567" s="72"/>
      <c r="J567" s="27"/>
      <c r="K567" s="27"/>
    </row>
    <row r="568" spans="1:11" x14ac:dyDescent="0.35">
      <c r="A568" s="243"/>
      <c r="B568" s="23"/>
      <c r="C568" s="23"/>
      <c r="D568" s="223"/>
      <c r="E568" s="23"/>
      <c r="F568" s="88"/>
      <c r="G568" s="72"/>
      <c r="J568" s="27"/>
      <c r="K568" s="27"/>
    </row>
    <row r="569" spans="1:11" x14ac:dyDescent="0.35">
      <c r="A569" s="243"/>
      <c r="B569" s="23"/>
      <c r="C569" s="23"/>
      <c r="D569" s="223"/>
      <c r="E569" s="23"/>
      <c r="F569" s="88"/>
      <c r="G569" s="72"/>
      <c r="J569" s="27"/>
      <c r="K569" s="27"/>
    </row>
    <row r="570" spans="1:11" x14ac:dyDescent="0.35">
      <c r="A570" s="243"/>
      <c r="B570" s="23"/>
      <c r="C570" s="23"/>
      <c r="D570" s="225"/>
      <c r="E570" s="23"/>
      <c r="F570" s="88"/>
      <c r="G570" s="72"/>
      <c r="J570" s="27"/>
      <c r="K570" s="27"/>
    </row>
    <row r="571" spans="1:11" x14ac:dyDescent="0.35">
      <c r="A571" s="243"/>
      <c r="B571" s="228"/>
      <c r="C571" s="228"/>
      <c r="D571" s="225"/>
      <c r="E571" s="228"/>
      <c r="F571" s="88"/>
      <c r="G571" s="72"/>
      <c r="J571" s="27"/>
      <c r="K571" s="27"/>
    </row>
    <row r="572" spans="1:11" x14ac:dyDescent="0.35">
      <c r="A572" s="243"/>
      <c r="B572" s="228"/>
      <c r="C572" s="228"/>
      <c r="D572" s="225"/>
      <c r="E572" s="228"/>
      <c r="F572" s="88"/>
      <c r="G572" s="72"/>
      <c r="J572" s="27"/>
      <c r="K572" s="27"/>
    </row>
    <row r="573" spans="1:11" x14ac:dyDescent="0.35">
      <c r="A573" s="243"/>
      <c r="B573" s="228"/>
      <c r="C573" s="228"/>
      <c r="D573" s="229"/>
      <c r="E573" s="228"/>
      <c r="F573" s="88"/>
      <c r="G573" s="72"/>
      <c r="J573" s="27"/>
      <c r="K573" s="27"/>
    </row>
    <row r="574" spans="1:11" x14ac:dyDescent="0.35">
      <c r="A574" s="238"/>
      <c r="B574" s="72"/>
      <c r="C574" s="72"/>
      <c r="D574" s="72"/>
      <c r="E574" s="72"/>
      <c r="F574" s="88"/>
      <c r="G574" s="72"/>
      <c r="J574" s="27"/>
      <c r="K574" s="27"/>
    </row>
    <row r="575" spans="1:11" x14ac:dyDescent="0.35">
      <c r="A575" s="240"/>
      <c r="B575" s="23"/>
      <c r="C575" s="23"/>
      <c r="D575" s="23"/>
      <c r="E575" s="228"/>
      <c r="F575" s="88"/>
      <c r="G575" s="72"/>
      <c r="J575" s="27"/>
      <c r="K575" s="27"/>
    </row>
    <row r="576" spans="1:11" x14ac:dyDescent="0.35">
      <c r="A576" s="241"/>
      <c r="B576" s="23"/>
      <c r="C576" s="23"/>
      <c r="D576" s="23"/>
      <c r="E576" s="213"/>
      <c r="F576" s="88"/>
      <c r="G576" s="72"/>
      <c r="J576" s="27"/>
      <c r="K576" s="27"/>
    </row>
    <row r="577" spans="1:11" x14ac:dyDescent="0.35">
      <c r="A577" s="242"/>
      <c r="B577" s="23"/>
      <c r="C577" s="23"/>
      <c r="D577" s="23"/>
      <c r="E577" s="23"/>
      <c r="F577" s="88"/>
      <c r="G577" s="72"/>
      <c r="J577" s="27"/>
      <c r="K577" s="27"/>
    </row>
    <row r="578" spans="1:11" x14ac:dyDescent="0.35">
      <c r="A578" s="243"/>
      <c r="B578" s="23"/>
      <c r="C578" s="23"/>
      <c r="D578" s="223"/>
      <c r="E578" s="23"/>
      <c r="F578" s="88"/>
      <c r="G578" s="72"/>
      <c r="J578" s="27"/>
      <c r="K578" s="27"/>
    </row>
    <row r="579" spans="1:11" x14ac:dyDescent="0.35">
      <c r="A579" s="243"/>
      <c r="B579" s="23"/>
      <c r="C579" s="23"/>
      <c r="D579" s="225"/>
      <c r="E579" s="23"/>
      <c r="F579" s="88"/>
      <c r="G579" s="72"/>
      <c r="J579" s="27"/>
      <c r="K579" s="27"/>
    </row>
    <row r="580" spans="1:11" x14ac:dyDescent="0.35">
      <c r="A580" s="243"/>
      <c r="B580" s="23"/>
      <c r="C580" s="224"/>
      <c r="D580" s="225"/>
      <c r="E580" s="23"/>
      <c r="F580" s="88"/>
      <c r="G580" s="72"/>
      <c r="J580" s="27"/>
      <c r="K580" s="27"/>
    </row>
    <row r="581" spans="1:11" x14ac:dyDescent="0.35">
      <c r="A581" s="243"/>
      <c r="B581" s="23"/>
      <c r="C581" s="226"/>
      <c r="D581" s="223"/>
      <c r="E581" s="23"/>
      <c r="F581" s="88"/>
      <c r="G581" s="72"/>
      <c r="J581" s="27"/>
      <c r="K581" s="27"/>
    </row>
    <row r="582" spans="1:11" x14ac:dyDescent="0.35">
      <c r="A582" s="243"/>
      <c r="B582" s="23"/>
      <c r="C582" s="23"/>
      <c r="D582" s="223"/>
      <c r="E582" s="23"/>
      <c r="F582" s="88"/>
      <c r="G582" s="72"/>
      <c r="J582" s="27"/>
      <c r="K582" s="27"/>
    </row>
    <row r="583" spans="1:11" x14ac:dyDescent="0.35">
      <c r="A583" s="243"/>
      <c r="B583" s="23"/>
      <c r="C583" s="23"/>
      <c r="D583" s="223"/>
      <c r="E583" s="23"/>
      <c r="F583" s="88"/>
      <c r="G583" s="72"/>
      <c r="J583" s="27"/>
      <c r="K583" s="27"/>
    </row>
    <row r="584" spans="1:11" x14ac:dyDescent="0.35">
      <c r="A584" s="243"/>
      <c r="B584" s="23"/>
      <c r="C584" s="23"/>
      <c r="D584" s="223"/>
      <c r="E584" s="23"/>
      <c r="F584" s="88"/>
      <c r="G584" s="72"/>
      <c r="J584" s="27"/>
      <c r="K584" s="27"/>
    </row>
    <row r="585" spans="1:11" x14ac:dyDescent="0.35">
      <c r="A585" s="243"/>
      <c r="B585" s="23"/>
      <c r="C585" s="224"/>
      <c r="D585" s="225"/>
      <c r="E585" s="23"/>
      <c r="F585" s="88"/>
      <c r="G585" s="72"/>
      <c r="J585" s="27"/>
      <c r="K585" s="27"/>
    </row>
    <row r="586" spans="1:11" x14ac:dyDescent="0.35">
      <c r="A586" s="243"/>
      <c r="B586" s="23"/>
      <c r="C586" s="23"/>
      <c r="D586" s="223"/>
      <c r="E586" s="23"/>
      <c r="F586" s="88"/>
      <c r="G586" s="72"/>
      <c r="J586" s="27"/>
      <c r="K586" s="27"/>
    </row>
    <row r="587" spans="1:11" x14ac:dyDescent="0.35">
      <c r="A587" s="244"/>
      <c r="B587" s="23"/>
      <c r="C587" s="23"/>
      <c r="D587" s="223"/>
      <c r="E587" s="23"/>
      <c r="F587" s="88"/>
      <c r="G587" s="72"/>
      <c r="J587" s="27"/>
      <c r="K587" s="27"/>
    </row>
    <row r="588" spans="1:11" x14ac:dyDescent="0.35">
      <c r="A588" s="243"/>
      <c r="B588" s="23"/>
      <c r="C588" s="23"/>
      <c r="D588" s="230"/>
      <c r="E588" s="23"/>
      <c r="F588" s="88"/>
      <c r="G588" s="72"/>
      <c r="J588" s="27"/>
      <c r="K588" s="27"/>
    </row>
    <row r="589" spans="1:11" x14ac:dyDescent="0.35">
      <c r="A589" s="243"/>
      <c r="B589" s="23"/>
      <c r="C589" s="23"/>
      <c r="D589" s="223"/>
      <c r="E589" s="23"/>
      <c r="F589" s="88"/>
      <c r="G589" s="72"/>
      <c r="J589" s="27"/>
      <c r="K589" s="27"/>
    </row>
    <row r="590" spans="1:11" x14ac:dyDescent="0.35">
      <c r="A590" s="243"/>
      <c r="B590" s="23"/>
      <c r="C590" s="23"/>
      <c r="D590" s="223"/>
      <c r="E590" s="23"/>
      <c r="F590" s="88"/>
      <c r="G590" s="72"/>
      <c r="J590" s="27"/>
      <c r="K590" s="27"/>
    </row>
    <row r="591" spans="1:11" x14ac:dyDescent="0.35">
      <c r="A591" s="243"/>
      <c r="B591" s="23"/>
      <c r="C591" s="23"/>
      <c r="D591" s="230"/>
      <c r="E591" s="23"/>
      <c r="F591" s="88"/>
      <c r="G591" s="72"/>
      <c r="J591" s="27"/>
      <c r="K591" s="27"/>
    </row>
    <row r="592" spans="1:11" x14ac:dyDescent="0.35">
      <c r="A592" s="243"/>
      <c r="B592" s="23"/>
      <c r="C592" s="23"/>
      <c r="D592" s="223"/>
      <c r="E592" s="23"/>
      <c r="F592" s="88"/>
      <c r="G592" s="72"/>
      <c r="J592" s="27"/>
      <c r="K592" s="27"/>
    </row>
    <row r="593" spans="1:11" x14ac:dyDescent="0.35">
      <c r="A593" s="243"/>
      <c r="B593" s="23"/>
      <c r="C593" s="23"/>
      <c r="D593" s="230"/>
      <c r="E593" s="23"/>
      <c r="F593" s="88"/>
      <c r="G593" s="72"/>
      <c r="J593" s="27"/>
      <c r="K593" s="27"/>
    </row>
    <row r="594" spans="1:11" x14ac:dyDescent="0.35">
      <c r="A594" s="243"/>
      <c r="B594" s="23"/>
      <c r="C594" s="23"/>
      <c r="D594" s="223"/>
      <c r="E594" s="23"/>
      <c r="F594" s="88"/>
      <c r="G594" s="72"/>
      <c r="J594" s="27"/>
      <c r="K594" s="27"/>
    </row>
    <row r="595" spans="1:11" x14ac:dyDescent="0.35">
      <c r="A595" s="243"/>
      <c r="B595" s="23"/>
      <c r="C595" s="23"/>
      <c r="D595" s="223"/>
      <c r="E595" s="23"/>
      <c r="F595" s="88"/>
      <c r="G595" s="72"/>
      <c r="J595" s="27"/>
      <c r="K595" s="27"/>
    </row>
    <row r="596" spans="1:11" x14ac:dyDescent="0.35">
      <c r="A596" s="243"/>
      <c r="B596" s="23"/>
      <c r="C596" s="23"/>
      <c r="D596" s="227"/>
      <c r="E596" s="23"/>
      <c r="F596" s="88"/>
      <c r="G596" s="72"/>
      <c r="J596" s="27"/>
      <c r="K596" s="27"/>
    </row>
    <row r="597" spans="1:11" x14ac:dyDescent="0.35">
      <c r="A597" s="243"/>
      <c r="B597" s="23"/>
      <c r="C597" s="23"/>
      <c r="D597" s="227"/>
      <c r="E597" s="23"/>
      <c r="F597" s="88"/>
      <c r="G597" s="72"/>
      <c r="J597" s="27"/>
      <c r="K597" s="27"/>
    </row>
    <row r="598" spans="1:11" x14ac:dyDescent="0.35">
      <c r="A598" s="243"/>
      <c r="B598" s="23"/>
      <c r="C598" s="23"/>
      <c r="D598" s="227"/>
      <c r="E598" s="23"/>
      <c r="F598" s="88"/>
      <c r="G598" s="72"/>
      <c r="J598" s="27"/>
      <c r="K598" s="27"/>
    </row>
    <row r="599" spans="1:11" x14ac:dyDescent="0.35">
      <c r="A599" s="243"/>
      <c r="B599" s="23"/>
      <c r="C599" s="23"/>
      <c r="D599" s="223"/>
      <c r="E599" s="23"/>
      <c r="F599" s="88"/>
      <c r="G599" s="72"/>
      <c r="J599" s="27"/>
      <c r="K599" s="27"/>
    </row>
    <row r="600" spans="1:11" x14ac:dyDescent="0.35">
      <c r="A600" s="243"/>
      <c r="B600" s="228"/>
      <c r="C600" s="228"/>
      <c r="D600" s="223"/>
      <c r="E600" s="228"/>
      <c r="F600" s="88"/>
      <c r="G600" s="72"/>
      <c r="J600" s="88"/>
      <c r="K600" s="88"/>
    </row>
    <row r="601" spans="1:11" x14ac:dyDescent="0.35">
      <c r="A601" s="243"/>
      <c r="B601" s="228"/>
      <c r="C601" s="228"/>
      <c r="D601" s="230"/>
      <c r="E601" s="228"/>
      <c r="F601" s="88"/>
      <c r="G601" s="72"/>
      <c r="J601" s="88"/>
      <c r="K601" s="88"/>
    </row>
    <row r="602" spans="1:11" x14ac:dyDescent="0.35">
      <c r="A602" s="243"/>
      <c r="B602" s="228"/>
      <c r="C602" s="228"/>
      <c r="D602" s="230"/>
      <c r="E602" s="228"/>
      <c r="F602" s="88"/>
      <c r="G602" s="72"/>
      <c r="J602" s="88"/>
      <c r="K602" s="88"/>
    </row>
    <row r="603" spans="1:11" x14ac:dyDescent="0.35">
      <c r="A603" s="238"/>
      <c r="B603" s="72"/>
      <c r="C603" s="72"/>
      <c r="D603" s="72"/>
      <c r="E603" s="72"/>
      <c r="F603" s="88"/>
      <c r="G603" s="72"/>
      <c r="J603" s="88"/>
      <c r="K603" s="88"/>
    </row>
    <row r="604" spans="1:11" x14ac:dyDescent="0.35">
      <c r="A604" s="238"/>
      <c r="B604" s="72"/>
      <c r="C604" s="72"/>
      <c r="D604" s="23"/>
      <c r="E604" s="228"/>
      <c r="F604" s="88"/>
      <c r="G604" s="72"/>
      <c r="J604" s="88"/>
      <c r="K604" s="88"/>
    </row>
    <row r="605" spans="1:11" x14ac:dyDescent="0.35">
      <c r="A605" s="238"/>
      <c r="B605" s="72"/>
      <c r="C605" s="72"/>
      <c r="D605" s="72"/>
      <c r="E605" s="72"/>
      <c r="F605" s="72"/>
      <c r="G605" s="88"/>
      <c r="H605" s="86"/>
      <c r="I605" s="89"/>
      <c r="J605" s="88"/>
      <c r="K605" s="88"/>
    </row>
    <row r="606" spans="1:11" x14ac:dyDescent="0.35">
      <c r="A606" s="238"/>
      <c r="B606" s="180"/>
      <c r="C606" s="92"/>
      <c r="D606" s="177"/>
      <c r="E606" s="177"/>
      <c r="F606" s="177"/>
      <c r="G606" s="88"/>
      <c r="H606" s="86"/>
      <c r="I606" s="89"/>
      <c r="J606" s="88"/>
      <c r="K606" s="88"/>
    </row>
    <row r="607" spans="1:11" x14ac:dyDescent="0.35">
      <c r="A607" s="238"/>
      <c r="B607" s="72"/>
      <c r="C607" s="72"/>
      <c r="D607" s="72"/>
      <c r="E607" s="72"/>
      <c r="F607" s="72"/>
      <c r="G607" s="88"/>
      <c r="H607" s="86"/>
      <c r="I607" s="89"/>
      <c r="J607" s="88"/>
      <c r="K607" s="88"/>
    </row>
    <row r="608" spans="1:11" x14ac:dyDescent="0.35">
      <c r="A608" s="238"/>
      <c r="B608" s="9"/>
      <c r="C608" s="72"/>
      <c r="D608" s="72"/>
      <c r="E608" s="72"/>
      <c r="F608" s="72"/>
      <c r="G608" s="88"/>
      <c r="H608" s="86"/>
      <c r="I608" s="89"/>
      <c r="J608" s="88"/>
      <c r="K608" s="88"/>
    </row>
    <row r="609" spans="1:11" x14ac:dyDescent="0.35">
      <c r="A609" s="238"/>
      <c r="B609" s="72"/>
      <c r="C609" s="72"/>
      <c r="D609" s="72"/>
      <c r="E609" s="72"/>
      <c r="F609" s="72"/>
      <c r="G609" s="88"/>
      <c r="H609" s="86"/>
      <c r="I609" s="89"/>
      <c r="J609" s="88"/>
      <c r="K609" s="88"/>
    </row>
    <row r="610" spans="1:11" x14ac:dyDescent="0.35">
      <c r="A610" s="238"/>
      <c r="B610" s="72"/>
      <c r="C610" s="72"/>
      <c r="D610" s="72"/>
      <c r="E610" s="72"/>
      <c r="F610" s="72"/>
      <c r="G610" s="88"/>
      <c r="H610" s="86"/>
      <c r="I610" s="89"/>
      <c r="J610" s="88"/>
      <c r="K610" s="88"/>
    </row>
    <row r="611" spans="1:11" x14ac:dyDescent="0.35">
      <c r="A611" s="238"/>
      <c r="B611" s="72"/>
      <c r="C611" s="72"/>
      <c r="D611" s="72"/>
      <c r="E611" s="72"/>
      <c r="F611" s="72"/>
      <c r="G611" s="88"/>
      <c r="H611" s="86"/>
      <c r="I611" s="89"/>
      <c r="J611" s="88"/>
      <c r="K611" s="88"/>
    </row>
    <row r="612" spans="1:11" x14ac:dyDescent="0.35">
      <c r="A612" s="238"/>
      <c r="B612" s="72"/>
      <c r="C612" s="72"/>
      <c r="D612" s="72"/>
      <c r="E612" s="72"/>
      <c r="F612" s="72"/>
      <c r="G612" s="88"/>
      <c r="H612" s="86"/>
      <c r="I612" s="89"/>
      <c r="J612" s="88"/>
      <c r="K612" s="88"/>
    </row>
    <row r="613" spans="1:11" x14ac:dyDescent="0.35">
      <c r="A613" s="238"/>
      <c r="B613" s="72"/>
      <c r="C613" s="72"/>
      <c r="D613" s="72"/>
      <c r="E613" s="72"/>
      <c r="F613" s="72"/>
      <c r="G613" s="88"/>
      <c r="H613" s="86"/>
      <c r="I613" s="89"/>
      <c r="J613" s="88"/>
      <c r="K613" s="88"/>
    </row>
    <row r="614" spans="1:11" x14ac:dyDescent="0.35">
      <c r="A614" s="238"/>
      <c r="B614" s="72"/>
      <c r="C614" s="72"/>
      <c r="D614" s="72"/>
      <c r="E614" s="72"/>
      <c r="F614" s="72"/>
      <c r="G614" s="88"/>
      <c r="H614" s="86"/>
      <c r="I614" s="89"/>
      <c r="J614" s="88"/>
      <c r="K614" s="88"/>
    </row>
    <row r="615" spans="1:11" x14ac:dyDescent="0.35">
      <c r="A615" s="238"/>
      <c r="B615" s="72"/>
      <c r="C615" s="72"/>
      <c r="D615" s="72"/>
      <c r="E615" s="72"/>
      <c r="F615" s="72"/>
      <c r="G615" s="88"/>
      <c r="H615" s="86"/>
      <c r="I615" s="231"/>
      <c r="J615" s="88"/>
      <c r="K615" s="88"/>
    </row>
    <row r="616" spans="1:11" x14ac:dyDescent="0.35">
      <c r="A616" s="238"/>
      <c r="B616" s="72"/>
      <c r="C616" s="72"/>
      <c r="D616" s="72"/>
      <c r="E616" s="72"/>
      <c r="F616" s="72"/>
      <c r="G616" s="88"/>
      <c r="H616" s="12"/>
      <c r="I616" s="89"/>
      <c r="J616" s="88"/>
      <c r="K616" s="88"/>
    </row>
    <row r="617" spans="1:11" x14ac:dyDescent="0.35">
      <c r="A617" s="238"/>
      <c r="B617" s="72"/>
      <c r="C617" s="72"/>
      <c r="D617" s="72"/>
      <c r="E617" s="72"/>
      <c r="F617" s="72"/>
      <c r="G617" s="88"/>
      <c r="H617" s="232"/>
      <c r="I617" s="12"/>
      <c r="J617" s="233"/>
      <c r="K617" s="233"/>
    </row>
    <row r="618" spans="1:11" x14ac:dyDescent="0.35">
      <c r="G618" s="27"/>
      <c r="H618" s="232"/>
      <c r="I618" s="234"/>
      <c r="J618" s="233"/>
      <c r="K618" s="233"/>
    </row>
    <row r="619" spans="1:11" x14ac:dyDescent="0.35">
      <c r="H619" s="198"/>
      <c r="I619" s="9"/>
      <c r="J619" s="190"/>
      <c r="K619" s="190"/>
    </row>
    <row r="620" spans="1:11" x14ac:dyDescent="0.35">
      <c r="H620" s="198"/>
      <c r="I620" s="189"/>
      <c r="J620" s="190"/>
      <c r="K620" s="190"/>
    </row>
    <row r="621" spans="1:11" x14ac:dyDescent="0.35">
      <c r="H621" s="198"/>
      <c r="I621" s="9"/>
      <c r="J621" s="190"/>
      <c r="K621" s="190"/>
    </row>
    <row r="622" spans="1:11" x14ac:dyDescent="0.35">
      <c r="H622" s="198"/>
      <c r="I622" s="189"/>
      <c r="J622" s="190"/>
      <c r="K622" s="190"/>
    </row>
    <row r="623" spans="1:11" x14ac:dyDescent="0.35">
      <c r="H623" s="198"/>
      <c r="I623" s="9"/>
      <c r="J623" s="190"/>
      <c r="K623" s="190"/>
    </row>
    <row r="624" spans="1:11" x14ac:dyDescent="0.35">
      <c r="H624" s="198"/>
      <c r="I624" s="235"/>
      <c r="J624" s="190"/>
      <c r="K624" s="190"/>
    </row>
    <row r="625" spans="8:11" x14ac:dyDescent="0.35">
      <c r="H625" s="198"/>
      <c r="I625" s="9"/>
      <c r="J625" s="190"/>
      <c r="K625" s="190"/>
    </row>
    <row r="626" spans="8:11" x14ac:dyDescent="0.35">
      <c r="H626" s="198"/>
      <c r="I626" s="189"/>
      <c r="J626" s="190"/>
      <c r="K626" s="190"/>
    </row>
    <row r="627" spans="8:11" x14ac:dyDescent="0.35">
      <c r="H627" s="9"/>
      <c r="I627" s="115"/>
      <c r="J627" s="72"/>
      <c r="K627" s="72"/>
    </row>
    <row r="628" spans="8:11" x14ac:dyDescent="0.35">
      <c r="H628" s="198"/>
      <c r="I628" s="9"/>
      <c r="J628" s="190"/>
      <c r="K628" s="72"/>
    </row>
    <row r="629" spans="8:11" x14ac:dyDescent="0.35">
      <c r="H629" s="198"/>
      <c r="I629" s="9"/>
      <c r="J629" s="190"/>
      <c r="K629" s="72"/>
    </row>
    <row r="630" spans="8:11" x14ac:dyDescent="0.35">
      <c r="H630" s="198"/>
      <c r="I630" s="9"/>
      <c r="J630" s="190"/>
      <c r="K630" s="72"/>
    </row>
    <row r="631" spans="8:11" x14ac:dyDescent="0.35">
      <c r="H631" s="198"/>
      <c r="I631" s="189"/>
      <c r="J631" s="190"/>
      <c r="K631" s="72"/>
    </row>
    <row r="632" spans="8:11" x14ac:dyDescent="0.35">
      <c r="H632" s="72"/>
      <c r="I632" s="72"/>
      <c r="J632" s="72"/>
      <c r="K632" s="72"/>
    </row>
    <row r="633" spans="8:11" x14ac:dyDescent="0.35">
      <c r="H633" s="72"/>
      <c r="I633" s="72"/>
      <c r="J633" s="72"/>
      <c r="K633" s="72"/>
    </row>
    <row r="634" spans="8:11" x14ac:dyDescent="0.35">
      <c r="H634" s="72"/>
      <c r="I634" s="72"/>
      <c r="J634" s="72"/>
      <c r="K634" s="72"/>
    </row>
    <row r="635" spans="8:11" x14ac:dyDescent="0.35">
      <c r="H635" s="72"/>
      <c r="I635" s="72"/>
      <c r="J635" s="72"/>
      <c r="K635" s="72"/>
    </row>
    <row r="636" spans="8:11" x14ac:dyDescent="0.35">
      <c r="H636" s="72"/>
      <c r="I636" s="72"/>
      <c r="J636" s="72"/>
      <c r="K636" s="72"/>
    </row>
    <row r="637" spans="8:11" x14ac:dyDescent="0.35">
      <c r="H637" s="72"/>
      <c r="I637" s="72"/>
      <c r="J637" s="72"/>
      <c r="K637" s="72"/>
    </row>
    <row r="638" spans="8:11" x14ac:dyDescent="0.35">
      <c r="H638" s="72"/>
      <c r="I638" s="72"/>
      <c r="J638" s="72"/>
      <c r="K638" s="72"/>
    </row>
    <row r="639" spans="8:11" x14ac:dyDescent="0.35">
      <c r="H639" s="72"/>
      <c r="I639" s="72"/>
      <c r="J639" s="72"/>
      <c r="K639" s="72"/>
    </row>
    <row r="640" spans="8:11" x14ac:dyDescent="0.35">
      <c r="H640" s="72"/>
      <c r="I640" s="72"/>
      <c r="J640" s="72"/>
      <c r="K640" s="72"/>
    </row>
    <row r="641" spans="8:11" x14ac:dyDescent="0.35">
      <c r="H641" s="72"/>
      <c r="I641" s="72"/>
      <c r="J641" s="72"/>
      <c r="K641" s="72"/>
    </row>
    <row r="642" spans="8:11" x14ac:dyDescent="0.35">
      <c r="H642" s="72"/>
      <c r="I642" s="72"/>
      <c r="J642" s="72"/>
      <c r="K642" s="72"/>
    </row>
    <row r="643" spans="8:11" x14ac:dyDescent="0.35">
      <c r="H643" s="72"/>
      <c r="I643" s="72"/>
      <c r="J643" s="72"/>
      <c r="K643" s="72"/>
    </row>
  </sheetData>
  <sheetProtection sheet="1" objects="1" scenarios="1" selectLockedCells="1"/>
  <hyperlinks>
    <hyperlink ref="G414" r:id="rId1" tooltip="Higher heating value" display="http://en.wikipedia.org/wiki/Higher_heating_value" xr:uid="{00000000-0004-0000-0200-000000000000}"/>
    <hyperlink ref="G415" r:id="rId2" tooltip="Joule" display="http://en.wikipedia.org/wiki/Joule" xr:uid="{00000000-0004-0000-0200-000001000000}"/>
    <hyperlink ref="H415" r:id="rId3" tooltip="Joule" display="http://en.wikipedia.org/wiki/Joule" xr:uid="{00000000-0004-0000-0200-000002000000}"/>
    <hyperlink ref="F417" r:id="rId4" tooltip="Carbon monoxide" display="http://en.wikipedia.org/wiki/Carbon_monoxide" xr:uid="{00000000-0004-0000-0200-000003000000}"/>
    <hyperlink ref="F418" r:id="rId5" tooltip="Methane" display="http://en.wikipedia.org/wiki/Methane" xr:uid="{00000000-0004-0000-0200-000004000000}"/>
    <hyperlink ref="F420" r:id="rId6" tooltip="Propane" display="http://en.wikipedia.org/wiki/Propane" xr:uid="{00000000-0004-0000-0200-000005000000}"/>
    <hyperlink ref="F423" r:id="rId7" tooltip="Hydrogen" display="http://en.wikipedia.org/wiki/Hydrogen" xr:uid="{00000000-0004-0000-0200-000006000000}"/>
  </hyperlinks>
  <printOptions gridLines="1"/>
  <pageMargins left="0.7" right="0.7" top="0.75" bottom="0.75" header="0.3" footer="0.3"/>
  <pageSetup orientation="portrait" horizontalDpi="300" verticalDpi="300" r:id="rId8"/>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L428"/>
  <sheetViews>
    <sheetView zoomScaleNormal="100" workbookViewId="0">
      <selection activeCell="G1" sqref="G1"/>
    </sheetView>
  </sheetViews>
  <sheetFormatPr defaultRowHeight="15.5" x14ac:dyDescent="0.35"/>
  <cols>
    <col min="1" max="1" width="6" style="34" customWidth="1"/>
    <col min="2" max="2" width="54.26953125" style="25" customWidth="1"/>
    <col min="3" max="3" width="15.26953125" style="73" customWidth="1"/>
    <col min="4" max="4" width="10" style="25" bestFit="1" customWidth="1"/>
    <col min="5" max="5" width="13.81640625" style="25" customWidth="1"/>
    <col min="6" max="6" width="11.26953125" style="25" customWidth="1"/>
    <col min="7" max="7" width="4.54296875" style="25" customWidth="1"/>
    <col min="8" max="8" width="43.7265625" style="25" customWidth="1"/>
    <col min="9" max="9" width="9.1796875" style="73"/>
    <col min="10" max="16384" width="8.7265625" style="25"/>
  </cols>
  <sheetData>
    <row r="1" spans="1:12" ht="20" x14ac:dyDescent="0.4">
      <c r="A1" s="138"/>
      <c r="B1" s="137" t="s">
        <v>288</v>
      </c>
      <c r="G1" s="27"/>
      <c r="H1" s="27"/>
      <c r="I1" s="52"/>
      <c r="J1" s="27"/>
      <c r="K1" s="27"/>
      <c r="L1" s="27"/>
    </row>
    <row r="2" spans="1:12" x14ac:dyDescent="0.35">
      <c r="A2" s="139"/>
      <c r="B2" s="7"/>
      <c r="G2" s="27"/>
      <c r="H2" s="27"/>
      <c r="I2" s="52"/>
      <c r="J2" s="27"/>
      <c r="K2" s="27"/>
      <c r="L2" s="27"/>
    </row>
    <row r="3" spans="1:12" ht="16" thickBot="1" x14ac:dyDescent="0.4">
      <c r="B3" s="76"/>
      <c r="G3" s="27"/>
      <c r="H3" s="27"/>
      <c r="I3" s="52"/>
      <c r="J3" s="27"/>
      <c r="K3" s="27"/>
      <c r="L3" s="27"/>
    </row>
    <row r="4" spans="1:12" ht="16" thickBot="1" x14ac:dyDescent="0.4">
      <c r="B4" s="60" t="s">
        <v>364</v>
      </c>
      <c r="C4" s="55"/>
      <c r="D4" s="55"/>
      <c r="E4" s="54"/>
      <c r="G4" s="27"/>
      <c r="H4" s="27"/>
      <c r="I4" s="52"/>
      <c r="J4" s="27"/>
      <c r="K4" s="27"/>
      <c r="L4" s="27"/>
    </row>
    <row r="5" spans="1:12" x14ac:dyDescent="0.35">
      <c r="B5" s="3"/>
      <c r="C5" s="25"/>
      <c r="G5" s="27"/>
      <c r="H5" s="27"/>
      <c r="I5" s="52"/>
      <c r="J5" s="27"/>
      <c r="K5" s="27"/>
      <c r="L5" s="27"/>
    </row>
    <row r="6" spans="1:12" x14ac:dyDescent="0.35">
      <c r="C6" s="25"/>
      <c r="G6" s="27"/>
      <c r="H6" s="27"/>
      <c r="I6" s="52"/>
      <c r="J6" s="27"/>
      <c r="K6" s="27"/>
      <c r="L6" s="27"/>
    </row>
    <row r="7" spans="1:12" x14ac:dyDescent="0.35">
      <c r="C7" s="25"/>
      <c r="G7" s="27"/>
      <c r="H7" s="27"/>
      <c r="I7" s="52"/>
      <c r="J7" s="27"/>
      <c r="K7" s="27"/>
      <c r="L7" s="27"/>
    </row>
    <row r="8" spans="1:12" x14ac:dyDescent="0.35">
      <c r="C8" s="25"/>
      <c r="G8" s="27"/>
      <c r="H8" s="27"/>
      <c r="I8" s="52"/>
      <c r="J8" s="27"/>
      <c r="K8" s="27"/>
      <c r="L8" s="27"/>
    </row>
    <row r="9" spans="1:12" x14ac:dyDescent="0.35">
      <c r="C9" s="25"/>
      <c r="G9" s="27"/>
      <c r="H9" s="27"/>
      <c r="I9" s="52"/>
      <c r="J9" s="27"/>
      <c r="K9" s="27"/>
      <c r="L9" s="27"/>
    </row>
    <row r="10" spans="1:12" x14ac:dyDescent="0.35">
      <c r="C10" s="25"/>
      <c r="G10" s="27"/>
      <c r="H10" s="27"/>
      <c r="I10" s="52"/>
      <c r="J10" s="27"/>
      <c r="K10" s="27"/>
      <c r="L10" s="27"/>
    </row>
    <row r="11" spans="1:12" x14ac:dyDescent="0.35">
      <c r="C11" s="25"/>
      <c r="G11" s="27"/>
      <c r="H11" s="27"/>
      <c r="I11" s="52"/>
      <c r="J11" s="27"/>
      <c r="K11" s="27"/>
      <c r="L11" s="27"/>
    </row>
    <row r="12" spans="1:12" x14ac:dyDescent="0.35">
      <c r="C12" s="25"/>
      <c r="G12" s="27"/>
      <c r="H12" s="27"/>
      <c r="I12" s="52"/>
      <c r="J12" s="27"/>
      <c r="K12" s="27"/>
      <c r="L12" s="27"/>
    </row>
    <row r="13" spans="1:12" x14ac:dyDescent="0.35">
      <c r="C13" s="25"/>
      <c r="G13" s="27"/>
      <c r="H13" s="27"/>
      <c r="I13" s="52"/>
      <c r="J13" s="27"/>
      <c r="K13" s="27"/>
      <c r="L13" s="27"/>
    </row>
    <row r="14" spans="1:12" x14ac:dyDescent="0.35">
      <c r="C14" s="25"/>
      <c r="G14" s="27"/>
      <c r="H14" s="27"/>
      <c r="I14" s="52"/>
      <c r="J14" s="27"/>
      <c r="K14" s="27"/>
      <c r="L14" s="27"/>
    </row>
    <row r="15" spans="1:12" x14ac:dyDescent="0.35">
      <c r="C15" s="25"/>
      <c r="G15" s="27"/>
      <c r="H15" s="27"/>
      <c r="I15" s="52"/>
      <c r="J15" s="27"/>
      <c r="K15" s="27"/>
      <c r="L15" s="27"/>
    </row>
    <row r="16" spans="1:12" x14ac:dyDescent="0.35">
      <c r="C16" s="25"/>
      <c r="G16" s="27"/>
      <c r="H16" s="27"/>
      <c r="I16" s="52"/>
      <c r="J16" s="27"/>
      <c r="K16" s="27"/>
      <c r="L16" s="27"/>
    </row>
    <row r="17" spans="2:12" x14ac:dyDescent="0.35">
      <c r="C17" s="25"/>
      <c r="G17" s="27"/>
      <c r="H17" s="27"/>
      <c r="I17" s="52"/>
      <c r="J17" s="27"/>
      <c r="K17" s="27"/>
      <c r="L17" s="27"/>
    </row>
    <row r="18" spans="2:12" x14ac:dyDescent="0.35">
      <c r="C18" s="25"/>
      <c r="G18" s="27"/>
      <c r="H18" s="27"/>
      <c r="I18" s="52"/>
      <c r="J18" s="27"/>
      <c r="K18" s="27"/>
      <c r="L18" s="27"/>
    </row>
    <row r="19" spans="2:12" x14ac:dyDescent="0.35">
      <c r="C19" s="25"/>
      <c r="G19" s="27"/>
      <c r="H19" s="27"/>
      <c r="I19" s="52"/>
      <c r="J19" s="27"/>
      <c r="K19" s="27"/>
      <c r="L19" s="27"/>
    </row>
    <row r="20" spans="2:12" x14ac:dyDescent="0.35">
      <c r="C20" s="25"/>
      <c r="G20" s="27"/>
      <c r="H20" s="27"/>
      <c r="I20" s="52"/>
      <c r="J20" s="27"/>
      <c r="K20" s="27"/>
      <c r="L20" s="27"/>
    </row>
    <row r="21" spans="2:12" x14ac:dyDescent="0.35">
      <c r="C21" s="25"/>
      <c r="G21" s="27"/>
      <c r="H21" s="27"/>
      <c r="I21" s="52"/>
      <c r="J21" s="27"/>
      <c r="K21" s="27"/>
      <c r="L21" s="27"/>
    </row>
    <row r="22" spans="2:12" x14ac:dyDescent="0.35">
      <c r="C22" s="25"/>
      <c r="G22" s="27"/>
      <c r="H22" s="27"/>
      <c r="I22" s="52"/>
      <c r="J22" s="27"/>
      <c r="K22" s="27"/>
      <c r="L22" s="27"/>
    </row>
    <row r="23" spans="2:12" x14ac:dyDescent="0.35">
      <c r="C23" s="25"/>
      <c r="G23" s="27"/>
      <c r="H23" s="27"/>
      <c r="I23" s="52"/>
      <c r="J23" s="27"/>
      <c r="K23" s="27"/>
      <c r="L23" s="27"/>
    </row>
    <row r="24" spans="2:12" x14ac:dyDescent="0.35">
      <c r="B24" s="1" t="s">
        <v>366</v>
      </c>
      <c r="C24" s="25"/>
      <c r="G24" s="27"/>
      <c r="H24" s="27"/>
      <c r="I24" s="52"/>
      <c r="J24" s="27"/>
      <c r="K24" s="27"/>
      <c r="L24" s="27"/>
    </row>
    <row r="25" spans="2:12" x14ac:dyDescent="0.35">
      <c r="G25" s="27"/>
      <c r="H25" s="27"/>
      <c r="I25" s="52"/>
      <c r="J25" s="27"/>
      <c r="K25" s="27"/>
      <c r="L25" s="27"/>
    </row>
    <row r="26" spans="2:12" x14ac:dyDescent="0.35">
      <c r="B26" s="78"/>
      <c r="C26" s="79"/>
      <c r="D26" s="77"/>
      <c r="E26" s="77"/>
      <c r="F26" s="77"/>
      <c r="G26" s="27"/>
      <c r="H26" s="27"/>
      <c r="I26" s="52"/>
      <c r="J26" s="27"/>
      <c r="K26" s="27"/>
      <c r="L26" s="27"/>
    </row>
    <row r="27" spans="2:12" x14ac:dyDescent="0.35">
      <c r="G27" s="27"/>
      <c r="H27" s="27"/>
      <c r="I27" s="52"/>
      <c r="J27" s="27"/>
      <c r="K27" s="27"/>
      <c r="L27" s="27"/>
    </row>
    <row r="28" spans="2:12" ht="18" x14ac:dyDescent="0.4">
      <c r="B28" s="304" t="s">
        <v>328</v>
      </c>
      <c r="D28" s="72"/>
      <c r="F28" s="26"/>
      <c r="G28" s="27"/>
      <c r="H28" s="27"/>
      <c r="I28" s="52"/>
      <c r="J28" s="27"/>
      <c r="K28" s="27"/>
      <c r="L28" s="27"/>
    </row>
    <row r="29" spans="2:12" x14ac:dyDescent="0.35">
      <c r="B29" s="7" t="s">
        <v>289</v>
      </c>
      <c r="D29" s="72"/>
      <c r="E29" s="72"/>
      <c r="G29" s="27"/>
      <c r="H29" s="27"/>
      <c r="I29" s="52"/>
      <c r="J29" s="27"/>
      <c r="K29" s="27"/>
      <c r="L29" s="27"/>
    </row>
    <row r="30" spans="2:12" x14ac:dyDescent="0.35">
      <c r="C30" s="7"/>
      <c r="D30" s="72"/>
      <c r="G30" s="27"/>
      <c r="H30" s="27"/>
      <c r="I30" s="52"/>
      <c r="J30" s="27"/>
      <c r="K30" s="27"/>
      <c r="L30" s="27"/>
    </row>
    <row r="31" spans="2:12" x14ac:dyDescent="0.35">
      <c r="E31" s="72"/>
      <c r="F31" s="72"/>
      <c r="G31" s="27"/>
      <c r="H31" s="27"/>
      <c r="I31" s="52"/>
      <c r="J31" s="27"/>
      <c r="K31" s="27"/>
      <c r="L31" s="27"/>
    </row>
    <row r="32" spans="2:12" x14ac:dyDescent="0.35">
      <c r="G32" s="27"/>
      <c r="H32" s="27"/>
      <c r="I32" s="52"/>
      <c r="J32" s="27"/>
      <c r="K32" s="27"/>
      <c r="L32" s="27"/>
    </row>
    <row r="33" spans="2:12" x14ac:dyDescent="0.35">
      <c r="G33" s="27"/>
      <c r="H33" s="27"/>
      <c r="I33" s="52"/>
      <c r="J33" s="27"/>
      <c r="K33" s="27"/>
      <c r="L33" s="27"/>
    </row>
    <row r="34" spans="2:12" x14ac:dyDescent="0.35">
      <c r="G34" s="27"/>
      <c r="H34" s="27"/>
      <c r="I34" s="52"/>
      <c r="J34" s="27"/>
      <c r="K34" s="27"/>
      <c r="L34" s="27"/>
    </row>
    <row r="35" spans="2:12" x14ac:dyDescent="0.35">
      <c r="G35" s="27"/>
      <c r="H35" s="27"/>
      <c r="I35" s="52"/>
      <c r="J35" s="27"/>
      <c r="K35" s="27"/>
      <c r="L35" s="27"/>
    </row>
    <row r="36" spans="2:12" x14ac:dyDescent="0.35">
      <c r="G36" s="27"/>
      <c r="H36" s="27"/>
      <c r="I36" s="52"/>
      <c r="J36" s="27"/>
      <c r="K36" s="27"/>
      <c r="L36" s="27"/>
    </row>
    <row r="37" spans="2:12" x14ac:dyDescent="0.35">
      <c r="G37" s="27"/>
      <c r="H37" s="27"/>
      <c r="I37" s="52"/>
      <c r="J37" s="27"/>
      <c r="K37" s="27"/>
      <c r="L37" s="27"/>
    </row>
    <row r="38" spans="2:12" x14ac:dyDescent="0.35">
      <c r="G38" s="27"/>
      <c r="H38" s="27"/>
      <c r="I38" s="52"/>
      <c r="J38" s="27"/>
      <c r="K38" s="27"/>
      <c r="L38" s="27"/>
    </row>
    <row r="39" spans="2:12" x14ac:dyDescent="0.35">
      <c r="G39" s="27"/>
      <c r="H39" s="27"/>
      <c r="I39" s="52"/>
      <c r="J39" s="27"/>
      <c r="K39" s="27"/>
      <c r="L39" s="27"/>
    </row>
    <row r="40" spans="2:12" x14ac:dyDescent="0.35">
      <c r="G40" s="27"/>
      <c r="H40" s="27"/>
      <c r="I40" s="52"/>
      <c r="J40" s="27"/>
      <c r="K40" s="27"/>
      <c r="L40" s="27"/>
    </row>
    <row r="41" spans="2:12" x14ac:dyDescent="0.35">
      <c r="G41" s="27"/>
      <c r="H41" s="27"/>
      <c r="I41" s="52"/>
      <c r="J41" s="27"/>
      <c r="K41" s="27"/>
      <c r="L41" s="27"/>
    </row>
    <row r="42" spans="2:12" x14ac:dyDescent="0.35">
      <c r="G42" s="27"/>
      <c r="H42" s="27"/>
      <c r="I42" s="52"/>
      <c r="J42" s="27"/>
      <c r="K42" s="27"/>
      <c r="L42" s="27"/>
    </row>
    <row r="43" spans="2:12" x14ac:dyDescent="0.35">
      <c r="G43" s="27"/>
      <c r="H43" s="27"/>
      <c r="I43" s="52"/>
      <c r="J43" s="27"/>
      <c r="K43" s="27"/>
      <c r="L43" s="27"/>
    </row>
    <row r="44" spans="2:12" x14ac:dyDescent="0.35">
      <c r="G44" s="27"/>
      <c r="H44" s="27"/>
      <c r="I44" s="52"/>
      <c r="J44" s="27"/>
      <c r="K44" s="27"/>
      <c r="L44" s="27"/>
    </row>
    <row r="45" spans="2:12" x14ac:dyDescent="0.35">
      <c r="G45" s="27"/>
      <c r="H45" s="27"/>
      <c r="I45" s="52"/>
      <c r="J45" s="27"/>
      <c r="K45" s="27"/>
      <c r="L45" s="27"/>
    </row>
    <row r="46" spans="2:12" ht="18.5" thickBot="1" x14ac:dyDescent="0.45">
      <c r="B46" s="136" t="s">
        <v>331</v>
      </c>
      <c r="G46" s="27"/>
      <c r="H46" s="27"/>
      <c r="I46" s="52"/>
      <c r="J46" s="27"/>
      <c r="K46" s="27"/>
      <c r="L46" s="27"/>
    </row>
    <row r="47" spans="2:12" ht="16" thickBot="1" x14ac:dyDescent="0.4">
      <c r="B47" s="7"/>
      <c r="C47" s="85" t="s">
        <v>30</v>
      </c>
      <c r="E47" s="280" t="s">
        <v>325</v>
      </c>
      <c r="G47" s="27"/>
      <c r="H47" s="27"/>
      <c r="I47" s="52"/>
      <c r="J47" s="27"/>
      <c r="K47" s="27"/>
      <c r="L47" s="27"/>
    </row>
    <row r="48" spans="2:12" x14ac:dyDescent="0.35">
      <c r="B48" s="281" t="s">
        <v>549</v>
      </c>
      <c r="C48" s="91">
        <v>1500</v>
      </c>
      <c r="D48" s="25" t="s">
        <v>291</v>
      </c>
      <c r="E48" s="282" t="s">
        <v>326</v>
      </c>
      <c r="G48" s="27"/>
      <c r="H48" s="27"/>
      <c r="I48" s="52"/>
      <c r="J48" s="27"/>
      <c r="K48" s="27"/>
      <c r="L48" s="27"/>
    </row>
    <row r="49" spans="2:12" ht="16" thickBot="1" x14ac:dyDescent="0.4">
      <c r="B49" s="281" t="s">
        <v>548</v>
      </c>
      <c r="C49" s="95">
        <v>30</v>
      </c>
      <c r="D49" s="25" t="s">
        <v>291</v>
      </c>
      <c r="E49" s="283" t="s">
        <v>327</v>
      </c>
      <c r="G49" s="27"/>
      <c r="H49" s="27"/>
      <c r="I49" s="52"/>
      <c r="J49" s="27"/>
      <c r="K49" s="27"/>
      <c r="L49" s="27"/>
    </row>
    <row r="50" spans="2:12" ht="16" thickBot="1" x14ac:dyDescent="0.4">
      <c r="B50" s="76" t="s">
        <v>329</v>
      </c>
      <c r="C50" s="96">
        <v>4</v>
      </c>
      <c r="D50" s="25" t="s">
        <v>550</v>
      </c>
      <c r="E50" s="123">
        <v>1</v>
      </c>
      <c r="G50" s="27"/>
      <c r="H50" s="27"/>
      <c r="I50" s="52"/>
      <c r="J50" s="27"/>
      <c r="K50" s="27"/>
      <c r="L50" s="27"/>
    </row>
    <row r="51" spans="2:12" ht="16" thickBot="1" x14ac:dyDescent="0.4">
      <c r="B51" s="76" t="s">
        <v>330</v>
      </c>
      <c r="C51" s="124">
        <v>2</v>
      </c>
      <c r="D51" s="25" t="s">
        <v>70</v>
      </c>
      <c r="E51" s="122">
        <v>1.5</v>
      </c>
      <c r="G51" s="27"/>
      <c r="H51" s="27"/>
      <c r="I51" s="52"/>
      <c r="J51" s="27"/>
      <c r="K51" s="27"/>
      <c r="L51" s="27"/>
    </row>
    <row r="52" spans="2:12" ht="16" thickBot="1" x14ac:dyDescent="0.4">
      <c r="C52" s="85" t="s">
        <v>293</v>
      </c>
      <c r="E52" s="123">
        <v>2</v>
      </c>
      <c r="G52" s="27"/>
      <c r="H52" s="27"/>
      <c r="I52" s="52"/>
      <c r="J52" s="27"/>
      <c r="K52" s="27"/>
      <c r="L52" s="27"/>
    </row>
    <row r="53" spans="2:12" ht="16" thickBot="1" x14ac:dyDescent="0.4">
      <c r="B53" s="102" t="s">
        <v>332</v>
      </c>
      <c r="C53" s="112" t="s">
        <v>333</v>
      </c>
      <c r="D53" s="1"/>
      <c r="E53" s="122">
        <v>2.5</v>
      </c>
      <c r="G53" s="27"/>
      <c r="H53" s="27"/>
      <c r="I53" s="52"/>
      <c r="J53" s="27"/>
      <c r="K53" s="27"/>
      <c r="L53" s="27"/>
    </row>
    <row r="54" spans="2:12" ht="16" thickBot="1" x14ac:dyDescent="0.4">
      <c r="B54" s="188" t="s">
        <v>42</v>
      </c>
      <c r="C54" s="130">
        <f>3.1416*C50^2  /4</f>
        <v>12.5664</v>
      </c>
      <c r="D54" s="1" t="s">
        <v>334</v>
      </c>
      <c r="E54" s="123">
        <v>3.25</v>
      </c>
      <c r="G54" s="27"/>
      <c r="H54" s="27"/>
      <c r="I54" s="52"/>
      <c r="J54" s="27"/>
      <c r="K54" s="27"/>
      <c r="L54" s="27"/>
    </row>
    <row r="55" spans="2:12" ht="16" thickBot="1" x14ac:dyDescent="0.4">
      <c r="B55" s="102" t="s">
        <v>335</v>
      </c>
      <c r="C55" s="112" t="s">
        <v>336</v>
      </c>
      <c r="D55" s="1"/>
      <c r="E55" s="122">
        <v>4</v>
      </c>
      <c r="G55" s="27"/>
      <c r="H55" s="27"/>
      <c r="I55" s="52"/>
      <c r="J55" s="27"/>
      <c r="K55" s="27"/>
      <c r="L55" s="27"/>
    </row>
    <row r="56" spans="2:12" ht="16" thickBot="1" x14ac:dyDescent="0.4">
      <c r="B56" s="188" t="s">
        <v>42</v>
      </c>
      <c r="C56" s="130">
        <f>3.1416*(C50^2 - C51^2)  /4</f>
        <v>9.4247999999999994</v>
      </c>
      <c r="D56" s="1" t="s">
        <v>334</v>
      </c>
      <c r="E56" s="123">
        <v>5</v>
      </c>
      <c r="G56" s="27"/>
      <c r="H56" s="27"/>
      <c r="I56" s="52"/>
      <c r="J56" s="27"/>
      <c r="K56" s="27"/>
      <c r="L56" s="27"/>
    </row>
    <row r="57" spans="2:12" ht="16" thickBot="1" x14ac:dyDescent="0.4">
      <c r="B57" s="7" t="s">
        <v>339</v>
      </c>
      <c r="E57" s="122">
        <v>6</v>
      </c>
      <c r="G57" s="27"/>
      <c r="H57" s="27"/>
      <c r="I57" s="52"/>
      <c r="J57" s="27"/>
      <c r="K57" s="27"/>
      <c r="L57" s="27"/>
    </row>
    <row r="58" spans="2:12" ht="16" thickBot="1" x14ac:dyDescent="0.4">
      <c r="B58" s="102" t="s">
        <v>337</v>
      </c>
      <c r="C58" s="284" t="s">
        <v>340</v>
      </c>
      <c r="D58" s="1"/>
      <c r="E58" s="285">
        <v>8</v>
      </c>
      <c r="G58" s="27"/>
      <c r="H58" s="27"/>
      <c r="I58" s="89"/>
      <c r="J58" s="27"/>
      <c r="K58" s="27"/>
      <c r="L58" s="27"/>
    </row>
    <row r="59" spans="2:12" x14ac:dyDescent="0.35">
      <c r="B59" s="1"/>
      <c r="C59" s="286">
        <f xml:space="preserve"> C48*C54 - C49*C56</f>
        <v>18566.856</v>
      </c>
      <c r="D59" s="1" t="s">
        <v>48</v>
      </c>
      <c r="G59" s="27"/>
      <c r="H59" s="27"/>
      <c r="I59" s="89"/>
      <c r="J59" s="27"/>
      <c r="K59" s="27"/>
      <c r="L59" s="27"/>
    </row>
    <row r="60" spans="2:12" x14ac:dyDescent="0.35">
      <c r="B60" s="7" t="s">
        <v>341</v>
      </c>
      <c r="C60" s="3"/>
      <c r="D60" s="1"/>
      <c r="E60" s="287"/>
      <c r="G60" s="27"/>
      <c r="H60" s="27"/>
      <c r="I60" s="89"/>
      <c r="J60" s="27"/>
      <c r="K60" s="27"/>
      <c r="L60" s="27"/>
    </row>
    <row r="61" spans="2:12" x14ac:dyDescent="0.35">
      <c r="B61" s="102" t="s">
        <v>338</v>
      </c>
      <c r="C61" s="284" t="s">
        <v>342</v>
      </c>
      <c r="D61" s="1"/>
      <c r="E61" s="287"/>
      <c r="G61" s="27"/>
      <c r="H61" s="27"/>
      <c r="I61" s="97"/>
      <c r="J61" s="27"/>
      <c r="K61" s="27"/>
      <c r="L61" s="27"/>
    </row>
    <row r="62" spans="2:12" x14ac:dyDescent="0.35">
      <c r="B62" s="1"/>
      <c r="C62" s="286">
        <f>C48*C56- C49*C54</f>
        <v>13760.207999999999</v>
      </c>
      <c r="D62" s="1" t="s">
        <v>48</v>
      </c>
      <c r="E62" s="287"/>
      <c r="G62" s="27"/>
      <c r="H62" s="27"/>
      <c r="I62" s="97"/>
      <c r="J62" s="27"/>
      <c r="K62" s="27"/>
      <c r="L62" s="27"/>
    </row>
    <row r="63" spans="2:12" x14ac:dyDescent="0.35">
      <c r="G63" s="27"/>
      <c r="H63" s="27"/>
      <c r="I63" s="89"/>
      <c r="J63" s="27"/>
      <c r="K63" s="27"/>
      <c r="L63" s="27"/>
    </row>
    <row r="64" spans="2:12" x14ac:dyDescent="0.35">
      <c r="B64" s="78"/>
      <c r="C64" s="79"/>
      <c r="D64" s="77"/>
      <c r="E64" s="77"/>
      <c r="F64" s="77"/>
      <c r="G64" s="27"/>
      <c r="H64" s="27"/>
      <c r="I64" s="52"/>
      <c r="J64" s="27"/>
      <c r="K64" s="27"/>
      <c r="L64" s="27"/>
    </row>
    <row r="65" spans="2:12" x14ac:dyDescent="0.35">
      <c r="E65" s="288"/>
      <c r="G65" s="27"/>
      <c r="H65" s="27"/>
      <c r="I65" s="52"/>
      <c r="J65" s="27"/>
      <c r="K65" s="27"/>
      <c r="L65" s="27"/>
    </row>
    <row r="66" spans="2:12" ht="18" x14ac:dyDescent="0.4">
      <c r="B66" s="136" t="s">
        <v>323</v>
      </c>
      <c r="G66" s="27"/>
      <c r="H66" s="27"/>
      <c r="I66" s="52"/>
      <c r="J66" s="27"/>
      <c r="K66" s="27"/>
      <c r="L66" s="27"/>
    </row>
    <row r="67" spans="2:12" ht="16" thickBot="1" x14ac:dyDescent="0.4">
      <c r="C67" s="289" t="s">
        <v>30</v>
      </c>
      <c r="E67" s="288"/>
      <c r="G67" s="27"/>
      <c r="H67" s="27"/>
      <c r="I67" s="52"/>
      <c r="J67" s="27"/>
      <c r="K67" s="27"/>
      <c r="L67" s="27"/>
    </row>
    <row r="68" spans="2:12" x14ac:dyDescent="0.35">
      <c r="B68" s="281" t="s">
        <v>290</v>
      </c>
      <c r="C68" s="91">
        <v>1500</v>
      </c>
      <c r="D68" s="25" t="s">
        <v>291</v>
      </c>
      <c r="E68" s="288"/>
      <c r="G68" s="27"/>
      <c r="H68" s="27"/>
      <c r="I68" s="52"/>
      <c r="J68" s="27"/>
      <c r="K68" s="27"/>
      <c r="L68" s="27"/>
    </row>
    <row r="69" spans="2:12" ht="16" thickBot="1" x14ac:dyDescent="0.4">
      <c r="B69" s="281" t="s">
        <v>321</v>
      </c>
      <c r="C69" s="110">
        <v>20000</v>
      </c>
      <c r="D69" s="25" t="s">
        <v>292</v>
      </c>
      <c r="E69" s="288"/>
      <c r="F69" s="72"/>
      <c r="G69" s="27"/>
      <c r="H69" s="27"/>
      <c r="I69" s="52"/>
      <c r="J69" s="27"/>
      <c r="K69" s="27"/>
      <c r="L69" s="27"/>
    </row>
    <row r="70" spans="2:12" x14ac:dyDescent="0.35">
      <c r="B70" s="188"/>
      <c r="C70" s="289" t="s">
        <v>293</v>
      </c>
      <c r="E70" s="288"/>
      <c r="F70" s="72"/>
      <c r="G70" s="27"/>
      <c r="H70" s="27"/>
      <c r="I70" s="52"/>
      <c r="J70" s="27"/>
      <c r="K70" s="27"/>
      <c r="L70" s="27"/>
    </row>
    <row r="71" spans="2:12" x14ac:dyDescent="0.35">
      <c r="B71" s="188" t="s">
        <v>294</v>
      </c>
      <c r="C71" s="112">
        <f>C69/C68</f>
        <v>13.333333333333334</v>
      </c>
      <c r="D71" s="1" t="s">
        <v>295</v>
      </c>
      <c r="E71" s="288"/>
      <c r="F71" s="72"/>
      <c r="G71" s="27"/>
      <c r="H71" s="27"/>
      <c r="I71" s="52"/>
      <c r="J71" s="27"/>
      <c r="K71" s="27"/>
      <c r="L71" s="27"/>
    </row>
    <row r="72" spans="2:12" x14ac:dyDescent="0.35">
      <c r="B72" s="188" t="s">
        <v>324</v>
      </c>
      <c r="C72" s="193">
        <f>(4*C71/3.142)^0.5</f>
        <v>4.1199910596291005</v>
      </c>
      <c r="D72" s="1" t="s">
        <v>70</v>
      </c>
      <c r="E72" s="288"/>
      <c r="F72" s="72"/>
      <c r="G72" s="27"/>
      <c r="H72" s="27"/>
      <c r="I72" s="52"/>
      <c r="J72" s="27"/>
      <c r="K72" s="27"/>
      <c r="L72" s="27"/>
    </row>
    <row r="73" spans="2:12" x14ac:dyDescent="0.35">
      <c r="C73" s="3"/>
      <c r="D73" s="1"/>
      <c r="E73" s="288"/>
      <c r="F73" s="72"/>
      <c r="G73" s="27"/>
      <c r="H73" s="27"/>
      <c r="I73" s="52"/>
      <c r="J73" s="27"/>
      <c r="K73" s="27"/>
      <c r="L73" s="27"/>
    </row>
    <row r="74" spans="2:12" x14ac:dyDescent="0.35">
      <c r="B74" s="78"/>
      <c r="C74" s="79"/>
      <c r="D74" s="77"/>
      <c r="E74" s="77"/>
      <c r="F74" s="77"/>
      <c r="G74" s="27"/>
      <c r="H74" s="27"/>
      <c r="I74" s="52"/>
      <c r="J74" s="27"/>
      <c r="K74" s="27"/>
      <c r="L74" s="27"/>
    </row>
    <row r="75" spans="2:12" x14ac:dyDescent="0.35">
      <c r="G75" s="27"/>
      <c r="H75" s="27"/>
      <c r="I75" s="52"/>
      <c r="J75" s="27"/>
      <c r="K75" s="27"/>
      <c r="L75" s="27"/>
    </row>
    <row r="76" spans="2:12" ht="18" x14ac:dyDescent="0.4">
      <c r="B76" s="136" t="s">
        <v>343</v>
      </c>
      <c r="G76" s="27"/>
      <c r="H76" s="27"/>
      <c r="I76" s="52"/>
      <c r="J76" s="27"/>
      <c r="K76" s="27"/>
      <c r="L76" s="27"/>
    </row>
    <row r="77" spans="2:12" ht="16" thickBot="1" x14ac:dyDescent="0.4">
      <c r="B77" s="188"/>
      <c r="C77" s="289" t="s">
        <v>30</v>
      </c>
      <c r="G77" s="27"/>
      <c r="H77" s="27"/>
      <c r="I77" s="52"/>
      <c r="J77" s="27"/>
      <c r="K77" s="27"/>
      <c r="L77" s="27"/>
    </row>
    <row r="78" spans="2:12" x14ac:dyDescent="0.35">
      <c r="B78" s="281" t="s">
        <v>297</v>
      </c>
      <c r="C78" s="91">
        <v>12</v>
      </c>
      <c r="D78" s="25" t="s">
        <v>70</v>
      </c>
      <c r="G78" s="27"/>
      <c r="H78" s="27"/>
      <c r="I78" s="52"/>
      <c r="J78" s="27"/>
      <c r="K78" s="27"/>
      <c r="L78" s="27"/>
    </row>
    <row r="79" spans="2:12" x14ac:dyDescent="0.35">
      <c r="B79" s="281" t="s">
        <v>298</v>
      </c>
      <c r="C79" s="95">
        <v>1.5</v>
      </c>
      <c r="D79" s="25" t="s">
        <v>299</v>
      </c>
      <c r="G79" s="27"/>
      <c r="H79" s="27"/>
      <c r="I79" s="52"/>
      <c r="J79" s="27"/>
      <c r="K79" s="27"/>
      <c r="L79" s="27"/>
    </row>
    <row r="80" spans="2:12" x14ac:dyDescent="0.35">
      <c r="B80" s="281" t="s">
        <v>344</v>
      </c>
      <c r="C80" s="95">
        <v>6</v>
      </c>
      <c r="D80" s="25" t="s">
        <v>70</v>
      </c>
      <c r="G80" s="27"/>
      <c r="H80" s="27"/>
      <c r="I80" s="52"/>
      <c r="J80" s="27"/>
      <c r="K80" s="27"/>
      <c r="L80" s="27"/>
    </row>
    <row r="81" spans="2:12" ht="16" thickBot="1" x14ac:dyDescent="0.4">
      <c r="B81" s="281" t="s">
        <v>609</v>
      </c>
      <c r="C81" s="110">
        <v>0.5</v>
      </c>
      <c r="D81" s="25" t="s">
        <v>70</v>
      </c>
      <c r="G81" s="27"/>
      <c r="H81" s="27"/>
      <c r="I81" s="52"/>
      <c r="J81" s="27"/>
      <c r="K81" s="27"/>
      <c r="L81" s="27"/>
    </row>
    <row r="82" spans="2:12" x14ac:dyDescent="0.35">
      <c r="B82" s="188"/>
      <c r="C82" s="289" t="s">
        <v>293</v>
      </c>
      <c r="G82" s="27"/>
      <c r="H82" s="27"/>
      <c r="I82" s="52"/>
      <c r="J82" s="27"/>
      <c r="K82" s="27"/>
      <c r="L82" s="27"/>
    </row>
    <row r="83" spans="2:12" x14ac:dyDescent="0.35">
      <c r="B83" s="188" t="s">
        <v>300</v>
      </c>
      <c r="C83" s="73">
        <f>60*C78/C79</f>
        <v>480</v>
      </c>
      <c r="D83" s="25" t="s">
        <v>301</v>
      </c>
      <c r="G83" s="27"/>
      <c r="H83" s="27"/>
      <c r="I83" s="52"/>
      <c r="J83" s="27"/>
      <c r="K83" s="27"/>
      <c r="L83" s="27"/>
    </row>
    <row r="84" spans="2:12" x14ac:dyDescent="0.35">
      <c r="B84" s="188" t="s">
        <v>296</v>
      </c>
      <c r="C84" s="73">
        <f>3.142*C80^2/4</f>
        <v>28.277999999999999</v>
      </c>
      <c r="D84" s="25" t="s">
        <v>302</v>
      </c>
      <c r="G84" s="27"/>
      <c r="H84" s="27"/>
      <c r="I84" s="52"/>
      <c r="J84" s="27"/>
      <c r="K84" s="27"/>
      <c r="L84" s="27"/>
    </row>
    <row r="85" spans="2:12" x14ac:dyDescent="0.35">
      <c r="B85" s="188" t="s">
        <v>610</v>
      </c>
      <c r="C85" s="290">
        <f>C84*C78</f>
        <v>339.33600000000001</v>
      </c>
      <c r="D85" s="25" t="s">
        <v>303</v>
      </c>
      <c r="G85" s="27"/>
      <c r="H85" s="27"/>
      <c r="I85" s="52"/>
      <c r="J85" s="27"/>
      <c r="K85" s="27"/>
      <c r="L85" s="27"/>
    </row>
    <row r="86" spans="2:12" x14ac:dyDescent="0.35">
      <c r="B86" s="188" t="s">
        <v>304</v>
      </c>
      <c r="C86" s="291">
        <f>C85/231</f>
        <v>1.4689870129870131</v>
      </c>
      <c r="D86" s="25" t="s">
        <v>305</v>
      </c>
      <c r="G86" s="27"/>
      <c r="H86" s="27"/>
      <c r="I86" s="52"/>
      <c r="J86" s="27"/>
      <c r="K86" s="27"/>
      <c r="L86" s="27"/>
    </row>
    <row r="87" spans="2:12" x14ac:dyDescent="0.35">
      <c r="B87" s="188" t="s">
        <v>306</v>
      </c>
      <c r="C87" s="291">
        <f>C79/60</f>
        <v>2.5000000000000001E-2</v>
      </c>
      <c r="D87" s="25" t="s">
        <v>307</v>
      </c>
      <c r="G87" s="27"/>
      <c r="H87" s="27"/>
      <c r="I87" s="52"/>
      <c r="J87" s="27"/>
      <c r="K87" s="27"/>
      <c r="L87" s="27"/>
    </row>
    <row r="88" spans="2:12" x14ac:dyDescent="0.35">
      <c r="B88" s="188" t="s">
        <v>308</v>
      </c>
      <c r="C88" s="193">
        <f>C86/C87</f>
        <v>58.759480519480519</v>
      </c>
      <c r="D88" s="25" t="s">
        <v>309</v>
      </c>
      <c r="G88" s="27"/>
      <c r="H88" s="27"/>
      <c r="I88" s="52"/>
      <c r="J88" s="27"/>
      <c r="K88" s="27"/>
      <c r="L88" s="27"/>
    </row>
    <row r="89" spans="2:12" x14ac:dyDescent="0.35">
      <c r="B89" s="188" t="s">
        <v>310</v>
      </c>
      <c r="C89" s="292">
        <f>3.142*C81^2/4</f>
        <v>0.19637499999999999</v>
      </c>
      <c r="D89" s="25" t="s">
        <v>302</v>
      </c>
      <c r="G89" s="27"/>
      <c r="H89" s="27"/>
      <c r="I89" s="52"/>
      <c r="J89" s="27"/>
      <c r="K89" s="27"/>
      <c r="L89" s="27"/>
    </row>
    <row r="90" spans="2:12" x14ac:dyDescent="0.35">
      <c r="B90" s="188" t="s">
        <v>311</v>
      </c>
      <c r="C90" s="193">
        <f>C85/(12*C79*C84)</f>
        <v>0.66666666666666674</v>
      </c>
      <c r="D90" s="25" t="s">
        <v>41</v>
      </c>
      <c r="G90" s="27"/>
      <c r="H90" s="27"/>
      <c r="I90" s="52"/>
      <c r="J90" s="27"/>
      <c r="K90" s="27"/>
      <c r="L90" s="27"/>
    </row>
    <row r="91" spans="2:12" x14ac:dyDescent="0.35">
      <c r="B91" s="188"/>
      <c r="G91" s="27"/>
      <c r="H91" s="27"/>
      <c r="I91" s="52"/>
      <c r="J91" s="27"/>
      <c r="K91" s="27"/>
      <c r="L91" s="27"/>
    </row>
    <row r="92" spans="2:12" x14ac:dyDescent="0.35">
      <c r="B92" s="78"/>
      <c r="C92" s="79"/>
      <c r="D92" s="77"/>
      <c r="E92" s="77"/>
      <c r="F92" s="77"/>
      <c r="G92" s="27"/>
      <c r="H92" s="27"/>
      <c r="I92" s="52"/>
      <c r="J92" s="27"/>
      <c r="K92" s="27"/>
      <c r="L92" s="27"/>
    </row>
    <row r="93" spans="2:12" x14ac:dyDescent="0.35">
      <c r="G93" s="27"/>
      <c r="H93" s="27"/>
      <c r="I93" s="52"/>
      <c r="J93" s="27"/>
      <c r="K93" s="27"/>
      <c r="L93" s="27"/>
    </row>
    <row r="94" spans="2:12" ht="18" x14ac:dyDescent="0.4">
      <c r="B94" s="136" t="s">
        <v>551</v>
      </c>
      <c r="G94" s="27"/>
      <c r="H94" s="27"/>
      <c r="I94" s="52"/>
      <c r="J94" s="27"/>
      <c r="K94" s="27"/>
      <c r="L94" s="27"/>
    </row>
    <row r="95" spans="2:12" ht="16" thickBot="1" x14ac:dyDescent="0.4">
      <c r="B95" s="188"/>
      <c r="C95" s="289" t="s">
        <v>30</v>
      </c>
      <c r="G95" s="27"/>
      <c r="H95" s="27"/>
      <c r="I95" s="52"/>
      <c r="J95" s="27"/>
      <c r="K95" s="27"/>
      <c r="L95" s="27"/>
    </row>
    <row r="96" spans="2:12" x14ac:dyDescent="0.35">
      <c r="B96" s="281" t="s">
        <v>322</v>
      </c>
      <c r="C96" s="91">
        <v>30</v>
      </c>
      <c r="D96" s="25" t="s">
        <v>309</v>
      </c>
      <c r="G96" s="27"/>
      <c r="H96" s="27"/>
      <c r="I96" s="52"/>
      <c r="J96" s="27"/>
      <c r="K96" s="27"/>
      <c r="L96" s="27"/>
    </row>
    <row r="97" spans="2:12" ht="16" thickBot="1" x14ac:dyDescent="0.4">
      <c r="B97" s="281" t="s">
        <v>312</v>
      </c>
      <c r="C97" s="124">
        <v>4</v>
      </c>
      <c r="D97" s="25" t="s">
        <v>313</v>
      </c>
      <c r="G97" s="27"/>
      <c r="H97" s="27"/>
      <c r="I97" s="52"/>
      <c r="J97" s="27"/>
      <c r="K97" s="27"/>
      <c r="L97" s="27"/>
    </row>
    <row r="98" spans="2:12" x14ac:dyDescent="0.35">
      <c r="B98" s="188"/>
      <c r="C98" s="289" t="s">
        <v>293</v>
      </c>
      <c r="G98" s="27"/>
      <c r="H98" s="27"/>
      <c r="I98" s="52"/>
      <c r="J98" s="27"/>
      <c r="K98" s="27"/>
      <c r="L98" s="27"/>
    </row>
    <row r="99" spans="2:12" x14ac:dyDescent="0.35">
      <c r="B99" s="188" t="s">
        <v>314</v>
      </c>
      <c r="C99" s="194">
        <f>C96*231/C97</f>
        <v>1732.5</v>
      </c>
      <c r="D99" s="25" t="s">
        <v>315</v>
      </c>
      <c r="G99" s="27"/>
      <c r="H99" s="27"/>
      <c r="I99" s="52"/>
      <c r="J99" s="27"/>
      <c r="K99" s="27"/>
      <c r="L99" s="27"/>
    </row>
    <row r="100" spans="2:12" x14ac:dyDescent="0.35">
      <c r="B100" s="188"/>
      <c r="G100" s="27"/>
      <c r="H100" s="27"/>
      <c r="I100" s="52"/>
      <c r="J100" s="27"/>
      <c r="K100" s="27"/>
      <c r="L100" s="27"/>
    </row>
    <row r="101" spans="2:12" x14ac:dyDescent="0.35">
      <c r="B101" s="78"/>
      <c r="C101" s="79"/>
      <c r="D101" s="77"/>
      <c r="E101" s="77"/>
      <c r="F101" s="77"/>
      <c r="G101" s="27"/>
      <c r="H101" s="27"/>
      <c r="I101" s="52"/>
      <c r="J101" s="27"/>
      <c r="K101" s="27"/>
      <c r="L101" s="27"/>
    </row>
    <row r="102" spans="2:12" x14ac:dyDescent="0.35">
      <c r="G102" s="27"/>
      <c r="H102" s="27"/>
      <c r="I102" s="52"/>
      <c r="J102" s="27"/>
      <c r="K102" s="27"/>
      <c r="L102" s="27"/>
    </row>
    <row r="103" spans="2:12" ht="18" x14ac:dyDescent="0.4">
      <c r="B103" s="136" t="s">
        <v>345</v>
      </c>
      <c r="G103" s="27"/>
      <c r="H103" s="27"/>
      <c r="I103" s="52"/>
      <c r="J103" s="27"/>
      <c r="K103" s="27"/>
      <c r="L103" s="27"/>
    </row>
    <row r="104" spans="2:12" ht="16" thickBot="1" x14ac:dyDescent="0.4">
      <c r="B104" s="188"/>
      <c r="C104" s="289" t="s">
        <v>30</v>
      </c>
      <c r="G104" s="27"/>
      <c r="H104" s="27"/>
      <c r="I104" s="52"/>
      <c r="J104" s="27"/>
      <c r="K104" s="27"/>
      <c r="L104" s="27"/>
    </row>
    <row r="105" spans="2:12" x14ac:dyDescent="0.35">
      <c r="B105" s="281" t="s">
        <v>316</v>
      </c>
      <c r="C105" s="91">
        <v>30</v>
      </c>
      <c r="D105" s="25" t="s">
        <v>309</v>
      </c>
      <c r="G105" s="27"/>
      <c r="H105" s="27"/>
      <c r="I105" s="52"/>
      <c r="J105" s="27"/>
      <c r="K105" s="27"/>
      <c r="L105" s="27"/>
    </row>
    <row r="106" spans="2:12" ht="16" thickBot="1" x14ac:dyDescent="0.4">
      <c r="B106" s="281" t="s">
        <v>317</v>
      </c>
      <c r="C106" s="124">
        <v>4</v>
      </c>
      <c r="D106" s="25" t="s">
        <v>313</v>
      </c>
      <c r="G106" s="27"/>
      <c r="H106" s="27"/>
      <c r="I106" s="52"/>
      <c r="J106" s="27"/>
      <c r="K106" s="27"/>
      <c r="L106" s="27"/>
    </row>
    <row r="107" spans="2:12" x14ac:dyDescent="0.35">
      <c r="B107" s="188" t="s">
        <v>148</v>
      </c>
      <c r="C107" s="289" t="s">
        <v>293</v>
      </c>
      <c r="G107" s="27"/>
      <c r="H107" s="27"/>
      <c r="I107" s="293"/>
      <c r="J107" s="27"/>
      <c r="K107" s="27"/>
      <c r="L107" s="27"/>
    </row>
    <row r="108" spans="2:12" x14ac:dyDescent="0.35">
      <c r="B108" s="188" t="s">
        <v>318</v>
      </c>
      <c r="C108" s="7">
        <f>C105*231/C106</f>
        <v>1732.5</v>
      </c>
      <c r="D108" s="25" t="s">
        <v>315</v>
      </c>
      <c r="G108" s="27"/>
      <c r="H108" s="27"/>
      <c r="I108" s="52"/>
      <c r="J108" s="27"/>
      <c r="K108" s="27"/>
      <c r="L108" s="27"/>
    </row>
    <row r="109" spans="2:12" x14ac:dyDescent="0.35">
      <c r="B109" s="188"/>
      <c r="G109" s="27"/>
      <c r="H109" s="27"/>
      <c r="I109" s="52"/>
      <c r="J109" s="27"/>
      <c r="K109" s="27"/>
      <c r="L109" s="27"/>
    </row>
    <row r="110" spans="2:12" x14ac:dyDescent="0.35">
      <c r="B110" s="78"/>
      <c r="C110" s="79"/>
      <c r="D110" s="77"/>
      <c r="E110" s="77"/>
      <c r="F110" s="77"/>
      <c r="G110" s="27"/>
      <c r="H110" s="27"/>
      <c r="I110" s="52"/>
      <c r="J110" s="27"/>
      <c r="K110" s="27"/>
      <c r="L110" s="27"/>
    </row>
    <row r="111" spans="2:12" x14ac:dyDescent="0.35">
      <c r="G111" s="27"/>
      <c r="H111" s="27"/>
      <c r="I111" s="52"/>
      <c r="J111" s="27"/>
      <c r="K111" s="27"/>
      <c r="L111" s="27"/>
    </row>
    <row r="112" spans="2:12" ht="18" x14ac:dyDescent="0.4">
      <c r="B112" s="136" t="s">
        <v>346</v>
      </c>
      <c r="G112" s="27"/>
      <c r="H112" s="27"/>
      <c r="I112" s="52"/>
      <c r="J112" s="27"/>
      <c r="K112" s="27"/>
      <c r="L112" s="27"/>
    </row>
    <row r="113" spans="1:12" ht="16" thickBot="1" x14ac:dyDescent="0.4">
      <c r="B113" s="188"/>
      <c r="C113" s="289" t="s">
        <v>30</v>
      </c>
      <c r="G113" s="27"/>
      <c r="H113" s="27"/>
      <c r="I113" s="52"/>
      <c r="J113" s="27"/>
      <c r="K113" s="27"/>
      <c r="L113" s="27"/>
    </row>
    <row r="114" spans="1:12" x14ac:dyDescent="0.35">
      <c r="B114" s="281" t="s">
        <v>552</v>
      </c>
      <c r="C114" s="109">
        <v>25</v>
      </c>
      <c r="D114" s="25" t="s">
        <v>309</v>
      </c>
      <c r="G114" s="27"/>
      <c r="H114" s="27"/>
      <c r="I114" s="52"/>
      <c r="J114" s="27"/>
      <c r="K114" s="27"/>
      <c r="L114" s="27"/>
    </row>
    <row r="115" spans="1:12" x14ac:dyDescent="0.35">
      <c r="B115" s="281" t="s">
        <v>553</v>
      </c>
      <c r="C115" s="95">
        <v>2000</v>
      </c>
      <c r="D115" s="25" t="s">
        <v>291</v>
      </c>
      <c r="G115" s="27"/>
      <c r="H115" s="27"/>
      <c r="I115" s="52"/>
      <c r="J115" s="27"/>
      <c r="K115" s="27"/>
      <c r="L115" s="27"/>
    </row>
    <row r="116" spans="1:12" ht="16" thickBot="1" x14ac:dyDescent="0.4">
      <c r="B116" s="281" t="s">
        <v>554</v>
      </c>
      <c r="C116" s="124">
        <v>70</v>
      </c>
      <c r="D116" s="25" t="s">
        <v>319</v>
      </c>
      <c r="G116" s="27"/>
      <c r="H116" s="27"/>
      <c r="I116" s="52"/>
      <c r="J116" s="27"/>
      <c r="K116" s="27"/>
      <c r="L116" s="27"/>
    </row>
    <row r="117" spans="1:12" x14ac:dyDescent="0.35">
      <c r="B117" s="188"/>
      <c r="C117" s="289" t="s">
        <v>293</v>
      </c>
      <c r="D117" s="25" t="s">
        <v>148</v>
      </c>
      <c r="G117" s="27"/>
      <c r="H117" s="27"/>
      <c r="I117" s="52"/>
      <c r="J117" s="27"/>
      <c r="K117" s="27"/>
      <c r="L117" s="27"/>
    </row>
    <row r="118" spans="1:12" x14ac:dyDescent="0.35">
      <c r="B118" s="188" t="s">
        <v>320</v>
      </c>
      <c r="C118" s="294">
        <f>100*C114*C115/(1741*C116)</f>
        <v>41.02732419791581</v>
      </c>
      <c r="D118" s="25" t="s">
        <v>56</v>
      </c>
      <c r="G118" s="27"/>
      <c r="H118" s="27"/>
      <c r="I118" s="52"/>
      <c r="J118" s="27"/>
      <c r="K118" s="27"/>
      <c r="L118" s="27"/>
    </row>
    <row r="119" spans="1:12" x14ac:dyDescent="0.35">
      <c r="G119" s="27"/>
      <c r="H119" s="27"/>
      <c r="I119" s="52"/>
      <c r="J119" s="27"/>
      <c r="K119" s="27"/>
      <c r="L119" s="27"/>
    </row>
    <row r="120" spans="1:12" x14ac:dyDescent="0.35">
      <c r="B120" s="78"/>
      <c r="C120" s="79"/>
      <c r="D120" s="77"/>
      <c r="E120" s="77"/>
      <c r="F120" s="77"/>
      <c r="G120" s="27"/>
      <c r="H120" s="27"/>
      <c r="I120" s="52"/>
      <c r="J120" s="27"/>
      <c r="K120" s="27"/>
      <c r="L120" s="27"/>
    </row>
    <row r="121" spans="1:12" x14ac:dyDescent="0.35">
      <c r="A121" s="238"/>
      <c r="B121" s="72"/>
      <c r="C121" s="115"/>
      <c r="D121" s="72"/>
      <c r="E121" s="72"/>
      <c r="F121" s="72"/>
      <c r="G121" s="27"/>
      <c r="H121" s="27"/>
      <c r="I121" s="52"/>
      <c r="J121" s="27"/>
      <c r="K121" s="27"/>
      <c r="L121" s="27"/>
    </row>
    <row r="122" spans="1:12" x14ac:dyDescent="0.35">
      <c r="A122" s="238"/>
      <c r="B122" s="7"/>
      <c r="C122" s="115"/>
      <c r="D122" s="72"/>
      <c r="E122" s="72"/>
      <c r="F122" s="72"/>
      <c r="G122" s="27"/>
      <c r="H122" s="27"/>
      <c r="I122" s="52"/>
      <c r="J122" s="27"/>
      <c r="K122" s="27"/>
      <c r="L122" s="27"/>
    </row>
    <row r="123" spans="1:12" x14ac:dyDescent="0.35">
      <c r="A123" s="238"/>
      <c r="B123" s="72"/>
      <c r="C123" s="115" t="s">
        <v>631</v>
      </c>
      <c r="D123" s="72"/>
      <c r="E123" s="72"/>
      <c r="F123" s="72"/>
      <c r="G123" s="27"/>
      <c r="H123" s="27"/>
      <c r="I123" s="52"/>
      <c r="J123" s="27"/>
      <c r="K123" s="27"/>
      <c r="L123" s="27"/>
    </row>
    <row r="124" spans="1:12" x14ac:dyDescent="0.35">
      <c r="A124" s="238"/>
      <c r="B124" s="72"/>
      <c r="C124" s="115"/>
      <c r="D124" s="72"/>
      <c r="E124" s="72"/>
      <c r="F124" s="72"/>
      <c r="G124" s="27"/>
      <c r="H124" s="27"/>
      <c r="I124" s="52"/>
      <c r="J124" s="27"/>
      <c r="K124" s="27"/>
      <c r="L124" s="27"/>
    </row>
    <row r="125" spans="1:12" x14ac:dyDescent="0.35">
      <c r="A125" s="238"/>
      <c r="B125" s="72"/>
      <c r="C125" s="115"/>
      <c r="D125" s="72"/>
      <c r="E125" s="72"/>
      <c r="F125" s="72"/>
      <c r="G125" s="27"/>
      <c r="H125" s="27"/>
      <c r="I125" s="52"/>
      <c r="J125" s="27"/>
      <c r="K125" s="27"/>
      <c r="L125" s="27"/>
    </row>
    <row r="126" spans="1:12" x14ac:dyDescent="0.35">
      <c r="A126" s="238"/>
      <c r="B126" s="72"/>
      <c r="C126" s="115"/>
      <c r="D126" s="72"/>
      <c r="E126" s="72"/>
      <c r="F126" s="72"/>
      <c r="G126" s="27"/>
      <c r="H126" s="27"/>
      <c r="I126" s="52"/>
      <c r="J126" s="27"/>
      <c r="K126" s="27"/>
      <c r="L126" s="27"/>
    </row>
    <row r="127" spans="1:12" x14ac:dyDescent="0.35">
      <c r="A127" s="238"/>
      <c r="B127" s="72"/>
      <c r="C127" s="115"/>
      <c r="D127" s="72"/>
      <c r="E127" s="72"/>
      <c r="F127" s="72"/>
      <c r="G127" s="27"/>
      <c r="H127" s="27"/>
      <c r="I127" s="52"/>
      <c r="J127" s="27"/>
      <c r="K127" s="27"/>
      <c r="L127" s="27"/>
    </row>
    <row r="128" spans="1:12" x14ac:dyDescent="0.35">
      <c r="A128" s="238"/>
      <c r="B128" s="72"/>
      <c r="C128" s="115"/>
      <c r="D128" s="72"/>
      <c r="E128" s="72"/>
      <c r="F128" s="72"/>
      <c r="G128" s="27"/>
      <c r="H128" s="27"/>
      <c r="I128" s="52"/>
      <c r="J128" s="27"/>
      <c r="K128" s="27"/>
      <c r="L128" s="27"/>
    </row>
    <row r="129" spans="1:12" x14ac:dyDescent="0.35">
      <c r="A129" s="238"/>
      <c r="B129" s="72"/>
      <c r="C129" s="115"/>
      <c r="D129" s="72"/>
      <c r="E129" s="72"/>
      <c r="F129" s="72"/>
      <c r="G129" s="27"/>
      <c r="H129" s="27"/>
      <c r="I129" s="52"/>
      <c r="J129" s="27"/>
      <c r="K129" s="27"/>
      <c r="L129" s="27"/>
    </row>
    <row r="130" spans="1:12" x14ac:dyDescent="0.35">
      <c r="A130" s="238"/>
      <c r="B130" s="72"/>
      <c r="C130" s="115"/>
      <c r="D130" s="72"/>
      <c r="E130" s="72"/>
      <c r="F130" s="72"/>
      <c r="G130" s="27"/>
      <c r="H130" s="27"/>
      <c r="I130" s="52"/>
      <c r="J130" s="27"/>
      <c r="K130" s="27"/>
      <c r="L130" s="27"/>
    </row>
    <row r="131" spans="1:12" x14ac:dyDescent="0.35">
      <c r="A131" s="238"/>
      <c r="B131" s="72"/>
      <c r="C131" s="115"/>
      <c r="D131" s="72"/>
      <c r="E131" s="72"/>
      <c r="F131" s="72"/>
      <c r="G131" s="27"/>
      <c r="H131" s="27"/>
      <c r="I131" s="52"/>
      <c r="J131" s="27"/>
      <c r="K131" s="27"/>
      <c r="L131" s="27"/>
    </row>
    <row r="132" spans="1:12" x14ac:dyDescent="0.35">
      <c r="A132" s="238"/>
      <c r="B132" s="72"/>
      <c r="C132" s="115"/>
      <c r="D132" s="72"/>
      <c r="E132" s="72"/>
      <c r="F132" s="72"/>
      <c r="G132" s="27"/>
      <c r="H132" s="27"/>
      <c r="I132" s="52"/>
      <c r="J132" s="27"/>
      <c r="K132" s="27"/>
      <c r="L132" s="27"/>
    </row>
    <row r="133" spans="1:12" x14ac:dyDescent="0.35">
      <c r="A133" s="238"/>
      <c r="B133" s="72"/>
      <c r="C133" s="115"/>
      <c r="D133" s="72"/>
      <c r="E133" s="72"/>
      <c r="F133" s="72"/>
      <c r="G133" s="27"/>
      <c r="H133" s="27"/>
      <c r="I133" s="52"/>
      <c r="J133" s="27"/>
      <c r="K133" s="27"/>
      <c r="L133" s="27"/>
    </row>
    <row r="134" spans="1:12" x14ac:dyDescent="0.35">
      <c r="A134" s="238"/>
      <c r="B134" s="72"/>
      <c r="C134" s="115"/>
      <c r="D134" s="72"/>
      <c r="E134" s="72"/>
      <c r="F134" s="72"/>
      <c r="G134" s="27"/>
      <c r="H134" s="27"/>
      <c r="I134" s="52"/>
      <c r="J134" s="27"/>
      <c r="K134" s="27"/>
      <c r="L134" s="27"/>
    </row>
    <row r="135" spans="1:12" x14ac:dyDescent="0.35">
      <c r="A135" s="25"/>
      <c r="C135" s="25"/>
      <c r="I135" s="52"/>
      <c r="J135" s="27"/>
      <c r="K135" s="27"/>
      <c r="L135" s="27"/>
    </row>
    <row r="136" spans="1:12" x14ac:dyDescent="0.35">
      <c r="A136" s="25"/>
      <c r="C136" s="25"/>
      <c r="I136" s="52"/>
      <c r="J136" s="27"/>
      <c r="K136" s="27"/>
      <c r="L136" s="27"/>
    </row>
    <row r="137" spans="1:12" x14ac:dyDescent="0.35">
      <c r="A137" s="25"/>
      <c r="C137" s="25"/>
      <c r="I137" s="52"/>
      <c r="J137" s="27"/>
      <c r="K137" s="27"/>
      <c r="L137" s="27"/>
    </row>
    <row r="138" spans="1:12" x14ac:dyDescent="0.35">
      <c r="A138" s="25"/>
      <c r="C138" s="25"/>
      <c r="I138" s="52"/>
      <c r="J138" s="27"/>
      <c r="K138" s="27"/>
      <c r="L138" s="27"/>
    </row>
    <row r="139" spans="1:12" x14ac:dyDescent="0.35">
      <c r="A139" s="25"/>
      <c r="C139" s="25"/>
      <c r="I139" s="52"/>
      <c r="J139" s="27"/>
      <c r="K139" s="27"/>
      <c r="L139" s="27"/>
    </row>
    <row r="140" spans="1:12" x14ac:dyDescent="0.35">
      <c r="A140" s="25"/>
      <c r="C140" s="25"/>
      <c r="I140" s="52"/>
      <c r="J140" s="27"/>
      <c r="K140" s="27"/>
      <c r="L140" s="27"/>
    </row>
    <row r="141" spans="1:12" x14ac:dyDescent="0.35">
      <c r="A141" s="25"/>
      <c r="C141" s="25"/>
      <c r="I141" s="52"/>
      <c r="J141" s="27"/>
      <c r="K141" s="27"/>
      <c r="L141" s="27"/>
    </row>
    <row r="142" spans="1:12" x14ac:dyDescent="0.35">
      <c r="A142" s="25"/>
      <c r="C142" s="25"/>
      <c r="I142" s="52"/>
      <c r="J142" s="27"/>
      <c r="K142" s="27"/>
      <c r="L142" s="27"/>
    </row>
    <row r="143" spans="1:12" x14ac:dyDescent="0.35">
      <c r="A143" s="25"/>
      <c r="C143" s="25"/>
      <c r="I143" s="52"/>
      <c r="J143" s="27"/>
      <c r="K143" s="27"/>
      <c r="L143" s="27"/>
    </row>
    <row r="144" spans="1:12" x14ac:dyDescent="0.35">
      <c r="A144" s="25"/>
      <c r="C144" s="25"/>
      <c r="I144" s="52"/>
      <c r="J144" s="27"/>
      <c r="K144" s="27"/>
      <c r="L144" s="27"/>
    </row>
    <row r="145" spans="1:12" x14ac:dyDescent="0.35">
      <c r="A145" s="25"/>
      <c r="C145" s="25"/>
      <c r="I145" s="52"/>
      <c r="J145" s="27"/>
      <c r="K145" s="27"/>
      <c r="L145" s="27"/>
    </row>
    <row r="146" spans="1:12" x14ac:dyDescent="0.35">
      <c r="A146" s="25"/>
      <c r="C146" s="25"/>
      <c r="I146" s="52"/>
      <c r="J146" s="27"/>
      <c r="K146" s="27"/>
      <c r="L146" s="27"/>
    </row>
    <row r="147" spans="1:12" x14ac:dyDescent="0.35">
      <c r="A147" s="238"/>
      <c r="B147" s="72"/>
      <c r="C147" s="115"/>
      <c r="D147" s="72"/>
      <c r="E147" s="72"/>
      <c r="F147" s="72"/>
      <c r="G147" s="27"/>
      <c r="H147" s="27"/>
      <c r="I147" s="52"/>
      <c r="J147" s="27"/>
      <c r="K147" s="27"/>
      <c r="L147" s="27"/>
    </row>
    <row r="148" spans="1:12" x14ac:dyDescent="0.35">
      <c r="A148" s="238"/>
      <c r="B148" s="72"/>
      <c r="C148" s="115"/>
      <c r="D148" s="72"/>
      <c r="E148" s="72"/>
      <c r="F148" s="72"/>
      <c r="G148" s="27"/>
      <c r="H148" s="27"/>
      <c r="I148" s="52"/>
      <c r="J148" s="27"/>
      <c r="K148" s="27"/>
      <c r="L148" s="27"/>
    </row>
    <row r="149" spans="1:12" x14ac:dyDescent="0.35">
      <c r="A149" s="238"/>
      <c r="B149" s="72"/>
      <c r="C149" s="115"/>
      <c r="D149" s="72"/>
      <c r="E149" s="72"/>
      <c r="F149" s="72"/>
      <c r="G149" s="27"/>
      <c r="H149" s="27"/>
      <c r="I149" s="52"/>
      <c r="J149" s="27"/>
      <c r="K149" s="27"/>
      <c r="L149" s="27"/>
    </row>
    <row r="150" spans="1:12" x14ac:dyDescent="0.35">
      <c r="A150" s="238"/>
      <c r="B150" s="72"/>
      <c r="C150" s="115"/>
      <c r="D150" s="72"/>
      <c r="E150" s="72"/>
      <c r="F150" s="72"/>
      <c r="G150" s="27"/>
      <c r="H150" s="27"/>
      <c r="I150" s="52"/>
      <c r="J150" s="27"/>
      <c r="K150" s="27"/>
      <c r="L150" s="27"/>
    </row>
    <row r="151" spans="1:12" x14ac:dyDescent="0.35">
      <c r="A151" s="238"/>
      <c r="B151" s="72"/>
      <c r="C151" s="115"/>
      <c r="D151" s="72"/>
      <c r="E151" s="72"/>
      <c r="F151" s="72"/>
      <c r="G151" s="27"/>
      <c r="H151" s="27"/>
      <c r="I151" s="52"/>
      <c r="J151" s="27"/>
      <c r="K151" s="27"/>
      <c r="L151" s="27"/>
    </row>
    <row r="152" spans="1:12" x14ac:dyDescent="0.35">
      <c r="A152" s="238"/>
      <c r="B152" s="72"/>
      <c r="C152" s="115"/>
      <c r="D152" s="72"/>
      <c r="E152" s="72"/>
      <c r="F152" s="72"/>
      <c r="G152" s="27"/>
      <c r="H152" s="27"/>
      <c r="I152" s="52"/>
      <c r="J152" s="27"/>
      <c r="K152" s="27"/>
      <c r="L152" s="27"/>
    </row>
    <row r="153" spans="1:12" x14ac:dyDescent="0.35">
      <c r="A153" s="238"/>
      <c r="B153" s="72"/>
      <c r="C153" s="115"/>
      <c r="D153" s="72"/>
      <c r="E153" s="72"/>
      <c r="F153" s="72"/>
      <c r="G153" s="27"/>
      <c r="H153" s="27"/>
      <c r="I153" s="52"/>
      <c r="J153" s="27"/>
      <c r="K153" s="27"/>
      <c r="L153" s="27"/>
    </row>
    <row r="154" spans="1:12" x14ac:dyDescent="0.35">
      <c r="A154" s="238"/>
      <c r="B154" s="10"/>
      <c r="C154" s="115"/>
      <c r="D154" s="72"/>
      <c r="E154" s="72"/>
      <c r="F154" s="72"/>
      <c r="G154" s="27"/>
      <c r="H154" s="27"/>
      <c r="I154" s="52"/>
      <c r="J154" s="27"/>
      <c r="K154" s="27"/>
      <c r="L154" s="27"/>
    </row>
    <row r="155" spans="1:12" x14ac:dyDescent="0.35">
      <c r="A155" s="238"/>
      <c r="B155" s="72"/>
      <c r="C155" s="115"/>
      <c r="D155" s="72"/>
      <c r="E155" s="72"/>
      <c r="F155" s="72"/>
      <c r="G155" s="27"/>
      <c r="H155" s="27"/>
      <c r="I155" s="52"/>
      <c r="J155" s="27"/>
      <c r="K155" s="27"/>
      <c r="L155" s="27"/>
    </row>
    <row r="156" spans="1:12" x14ac:dyDescent="0.35">
      <c r="A156" s="238"/>
      <c r="B156" s="72"/>
      <c r="C156" s="115"/>
      <c r="D156" s="72"/>
      <c r="E156" s="72"/>
      <c r="F156" s="72"/>
      <c r="G156" s="27"/>
      <c r="H156" s="27"/>
      <c r="I156" s="52"/>
      <c r="J156" s="27"/>
      <c r="K156" s="27"/>
      <c r="L156" s="27"/>
    </row>
    <row r="157" spans="1:12" x14ac:dyDescent="0.35">
      <c r="A157" s="238"/>
      <c r="B157" s="72"/>
      <c r="C157" s="115"/>
      <c r="D157" s="72"/>
      <c r="E157" s="72"/>
      <c r="F157" s="72"/>
      <c r="G157" s="27"/>
      <c r="H157" s="27"/>
      <c r="I157" s="52"/>
      <c r="J157" s="27"/>
      <c r="K157" s="27"/>
      <c r="L157" s="27"/>
    </row>
    <row r="158" spans="1:12" x14ac:dyDescent="0.35">
      <c r="A158" s="238"/>
      <c r="B158" s="72"/>
      <c r="C158" s="115"/>
      <c r="D158" s="72"/>
      <c r="E158" s="72"/>
      <c r="F158" s="72"/>
      <c r="G158" s="27"/>
      <c r="H158" s="27"/>
      <c r="I158" s="52"/>
      <c r="J158" s="27"/>
      <c r="K158" s="27"/>
      <c r="L158" s="27"/>
    </row>
    <row r="159" spans="1:12" x14ac:dyDescent="0.35">
      <c r="A159" s="238"/>
      <c r="B159" s="72"/>
      <c r="C159" s="115"/>
      <c r="D159" s="72"/>
      <c r="E159" s="72"/>
      <c r="F159" s="72"/>
      <c r="G159" s="27"/>
      <c r="H159" s="27"/>
      <c r="I159" s="52"/>
      <c r="J159" s="27"/>
      <c r="K159" s="27"/>
      <c r="L159" s="27"/>
    </row>
    <row r="160" spans="1:12" x14ac:dyDescent="0.35">
      <c r="A160" s="238"/>
      <c r="B160" s="72"/>
      <c r="C160" s="115"/>
      <c r="D160" s="72"/>
      <c r="E160" s="72"/>
      <c r="F160" s="72"/>
      <c r="G160" s="27"/>
      <c r="H160" s="27"/>
      <c r="I160" s="52"/>
      <c r="J160" s="27"/>
      <c r="K160" s="27"/>
      <c r="L160" s="27"/>
    </row>
    <row r="161" spans="1:12" x14ac:dyDescent="0.35">
      <c r="A161" s="238"/>
      <c r="B161" s="72"/>
      <c r="C161" s="115"/>
      <c r="D161" s="72"/>
      <c r="E161" s="72"/>
      <c r="F161" s="72"/>
      <c r="G161" s="27"/>
      <c r="H161" s="27"/>
      <c r="I161" s="52"/>
      <c r="J161" s="27"/>
      <c r="K161" s="27"/>
      <c r="L161" s="27"/>
    </row>
    <row r="162" spans="1:12" x14ac:dyDescent="0.35">
      <c r="A162" s="238"/>
      <c r="B162" s="72"/>
      <c r="C162" s="115"/>
      <c r="D162" s="72"/>
      <c r="E162" s="72"/>
      <c r="F162" s="72"/>
      <c r="G162" s="27"/>
      <c r="H162" s="27"/>
      <c r="I162" s="52"/>
      <c r="J162" s="27"/>
      <c r="K162" s="27"/>
      <c r="L162" s="27"/>
    </row>
    <row r="163" spans="1:12" x14ac:dyDescent="0.35">
      <c r="A163" s="238"/>
      <c r="B163" s="72"/>
      <c r="C163" s="115"/>
      <c r="D163" s="72"/>
      <c r="E163" s="72"/>
      <c r="F163" s="72"/>
      <c r="G163" s="27"/>
      <c r="H163" s="27"/>
      <c r="I163" s="52"/>
      <c r="J163" s="27"/>
      <c r="K163" s="27"/>
      <c r="L163" s="27"/>
    </row>
    <row r="164" spans="1:12" x14ac:dyDescent="0.35">
      <c r="A164" s="238"/>
      <c r="B164" s="72"/>
      <c r="C164" s="115"/>
      <c r="D164" s="72"/>
      <c r="E164" s="72"/>
      <c r="F164" s="72"/>
      <c r="G164" s="27"/>
      <c r="H164" s="27"/>
      <c r="I164" s="52"/>
      <c r="J164" s="27"/>
      <c r="K164" s="27"/>
      <c r="L164" s="27"/>
    </row>
    <row r="165" spans="1:12" x14ac:dyDescent="0.35">
      <c r="A165" s="238"/>
      <c r="B165" s="72"/>
      <c r="C165" s="115"/>
      <c r="D165" s="72"/>
      <c r="E165" s="72"/>
      <c r="F165" s="72"/>
      <c r="G165" s="27"/>
      <c r="H165" s="27"/>
      <c r="I165" s="52"/>
      <c r="J165" s="27"/>
      <c r="K165" s="27"/>
      <c r="L165" s="27"/>
    </row>
    <row r="166" spans="1:12" x14ac:dyDescent="0.35">
      <c r="A166" s="238"/>
      <c r="B166" s="72"/>
      <c r="C166" s="115"/>
      <c r="D166" s="72"/>
      <c r="E166" s="72"/>
      <c r="F166" s="72"/>
      <c r="G166" s="27"/>
      <c r="H166" s="27"/>
      <c r="I166" s="52"/>
      <c r="J166" s="27"/>
      <c r="K166" s="27"/>
      <c r="L166" s="27"/>
    </row>
    <row r="167" spans="1:12" x14ac:dyDescent="0.35">
      <c r="A167" s="238"/>
      <c r="B167" s="72"/>
      <c r="C167" s="115"/>
      <c r="D167" s="72"/>
      <c r="E167" s="72"/>
      <c r="F167" s="72"/>
      <c r="G167" s="27"/>
      <c r="H167" s="27"/>
      <c r="I167" s="52"/>
      <c r="J167" s="27"/>
      <c r="K167" s="27"/>
      <c r="L167" s="27"/>
    </row>
    <row r="168" spans="1:12" x14ac:dyDescent="0.35">
      <c r="A168" s="238"/>
      <c r="B168" s="72"/>
      <c r="C168" s="115"/>
      <c r="D168" s="72"/>
      <c r="E168" s="72"/>
      <c r="F168" s="72"/>
      <c r="G168" s="27"/>
      <c r="H168" s="27"/>
      <c r="I168" s="52"/>
      <c r="J168" s="27"/>
      <c r="K168" s="27"/>
      <c r="L168" s="27"/>
    </row>
    <row r="169" spans="1:12" x14ac:dyDescent="0.35">
      <c r="A169" s="238"/>
      <c r="B169" s="72"/>
      <c r="C169" s="115"/>
      <c r="D169" s="72"/>
      <c r="E169" s="72"/>
      <c r="F169" s="72"/>
      <c r="G169" s="27"/>
      <c r="H169" s="27"/>
      <c r="I169" s="52"/>
      <c r="J169" s="27"/>
      <c r="K169" s="27"/>
      <c r="L169" s="27"/>
    </row>
    <row r="170" spans="1:12" x14ac:dyDescent="0.35">
      <c r="A170" s="238"/>
      <c r="B170" s="72"/>
      <c r="C170" s="115"/>
      <c r="D170" s="72"/>
      <c r="E170" s="72"/>
      <c r="F170" s="72"/>
      <c r="G170" s="27"/>
      <c r="H170" s="27"/>
      <c r="I170" s="52"/>
      <c r="J170" s="27"/>
      <c r="K170" s="27"/>
      <c r="L170" s="27"/>
    </row>
    <row r="171" spans="1:12" x14ac:dyDescent="0.35">
      <c r="A171" s="238"/>
      <c r="B171" s="72"/>
      <c r="C171" s="115"/>
      <c r="D171" s="72"/>
      <c r="E171" s="72"/>
      <c r="F171" s="72"/>
      <c r="G171" s="27"/>
      <c r="H171" s="27"/>
      <c r="I171" s="52"/>
      <c r="J171" s="27"/>
      <c r="K171" s="27"/>
      <c r="L171" s="27"/>
    </row>
    <row r="172" spans="1:12" x14ac:dyDescent="0.35">
      <c r="A172" s="238"/>
      <c r="B172" s="72"/>
      <c r="C172" s="115"/>
      <c r="D172" s="72"/>
      <c r="E172" s="72"/>
      <c r="F172" s="72"/>
      <c r="G172" s="27"/>
      <c r="H172" s="27"/>
      <c r="I172" s="52"/>
      <c r="J172" s="27"/>
      <c r="K172" s="27"/>
      <c r="L172" s="27"/>
    </row>
    <row r="173" spans="1:12" x14ac:dyDescent="0.35">
      <c r="A173" s="238"/>
      <c r="B173" s="72"/>
      <c r="C173" s="115"/>
      <c r="D173" s="72"/>
      <c r="E173" s="72"/>
      <c r="F173" s="72"/>
      <c r="G173" s="27"/>
      <c r="H173" s="27"/>
      <c r="I173" s="52"/>
      <c r="J173" s="27"/>
      <c r="K173" s="27"/>
      <c r="L173" s="27"/>
    </row>
    <row r="174" spans="1:12" x14ac:dyDescent="0.35">
      <c r="A174" s="238"/>
      <c r="B174" s="72"/>
      <c r="C174" s="115"/>
      <c r="D174" s="72"/>
      <c r="E174" s="72"/>
      <c r="F174" s="72"/>
      <c r="G174" s="27"/>
      <c r="H174" s="27"/>
      <c r="I174" s="52"/>
      <c r="J174" s="27"/>
      <c r="K174" s="27"/>
      <c r="L174" s="27"/>
    </row>
    <row r="175" spans="1:12" x14ac:dyDescent="0.35">
      <c r="A175" s="238"/>
      <c r="B175" s="72"/>
      <c r="C175" s="115"/>
      <c r="D175" s="72"/>
      <c r="E175" s="72"/>
      <c r="F175" s="72"/>
      <c r="G175" s="27"/>
      <c r="H175" s="27"/>
      <c r="I175" s="52"/>
      <c r="J175" s="27"/>
      <c r="K175" s="27"/>
      <c r="L175" s="27"/>
    </row>
    <row r="176" spans="1:12" x14ac:dyDescent="0.35">
      <c r="A176" s="238"/>
      <c r="B176" s="72"/>
      <c r="C176" s="115"/>
      <c r="D176" s="72"/>
      <c r="E176" s="72"/>
      <c r="F176" s="72"/>
      <c r="G176" s="27"/>
      <c r="H176" s="27"/>
      <c r="I176" s="52"/>
      <c r="J176" s="27"/>
      <c r="K176" s="27"/>
      <c r="L176" s="27"/>
    </row>
    <row r="177" spans="1:12" x14ac:dyDescent="0.35">
      <c r="A177" s="238"/>
      <c r="B177" s="72"/>
      <c r="C177" s="115"/>
      <c r="D177" s="72"/>
      <c r="E177" s="72"/>
      <c r="F177" s="72"/>
      <c r="G177" s="27"/>
      <c r="H177" s="27"/>
      <c r="I177" s="52"/>
      <c r="J177" s="27"/>
      <c r="K177" s="27"/>
      <c r="L177" s="27"/>
    </row>
    <row r="178" spans="1:12" x14ac:dyDescent="0.35">
      <c r="A178" s="238"/>
      <c r="B178" s="72"/>
      <c r="C178" s="115"/>
      <c r="D178" s="72"/>
      <c r="E178" s="72"/>
      <c r="F178" s="72"/>
      <c r="G178" s="27"/>
      <c r="H178" s="27"/>
      <c r="I178" s="52"/>
      <c r="J178" s="27"/>
      <c r="K178" s="27"/>
      <c r="L178" s="27"/>
    </row>
    <row r="179" spans="1:12" x14ac:dyDescent="0.35">
      <c r="A179" s="238"/>
      <c r="B179" s="72"/>
      <c r="C179" s="115"/>
      <c r="D179" s="72"/>
      <c r="E179" s="72"/>
      <c r="F179" s="72"/>
      <c r="G179" s="27"/>
      <c r="H179" s="27"/>
      <c r="I179" s="52"/>
      <c r="J179" s="27"/>
      <c r="K179" s="27"/>
      <c r="L179" s="27"/>
    </row>
    <row r="180" spans="1:12" x14ac:dyDescent="0.35">
      <c r="A180" s="238"/>
      <c r="B180" s="72"/>
      <c r="C180" s="115"/>
      <c r="D180" s="72"/>
      <c r="E180" s="72"/>
      <c r="F180" s="72"/>
      <c r="G180" s="27"/>
      <c r="H180" s="27"/>
      <c r="I180" s="52"/>
      <c r="J180" s="27"/>
      <c r="K180" s="27"/>
      <c r="L180" s="27"/>
    </row>
    <row r="181" spans="1:12" x14ac:dyDescent="0.35">
      <c r="A181" s="238"/>
      <c r="B181" s="72"/>
      <c r="C181" s="115"/>
      <c r="D181" s="72"/>
      <c r="E181" s="72"/>
      <c r="F181" s="72"/>
      <c r="G181" s="27"/>
      <c r="H181" s="27"/>
      <c r="I181" s="52"/>
      <c r="J181" s="27"/>
      <c r="K181" s="27"/>
      <c r="L181" s="27"/>
    </row>
    <row r="182" spans="1:12" x14ac:dyDescent="0.35">
      <c r="A182" s="238"/>
      <c r="B182" s="72"/>
      <c r="C182" s="115"/>
      <c r="D182" s="72"/>
      <c r="E182" s="72"/>
      <c r="F182" s="72"/>
      <c r="G182" s="27"/>
      <c r="H182" s="27"/>
      <c r="I182" s="52"/>
      <c r="J182" s="27"/>
      <c r="K182" s="27"/>
      <c r="L182" s="27"/>
    </row>
    <row r="183" spans="1:12" x14ac:dyDescent="0.35">
      <c r="A183" s="238"/>
      <c r="B183" s="72"/>
      <c r="C183" s="115"/>
      <c r="D183" s="72"/>
      <c r="E183" s="72"/>
      <c r="F183" s="72"/>
      <c r="G183" s="27"/>
      <c r="H183" s="27"/>
      <c r="I183" s="52"/>
      <c r="J183" s="27"/>
      <c r="K183" s="27"/>
      <c r="L183" s="27"/>
    </row>
    <row r="184" spans="1:12" x14ac:dyDescent="0.35">
      <c r="A184" s="238"/>
      <c r="B184" s="72"/>
      <c r="C184" s="115"/>
      <c r="D184" s="72"/>
      <c r="E184" s="72"/>
      <c r="F184" s="72"/>
      <c r="G184" s="27"/>
      <c r="H184" s="27"/>
      <c r="I184" s="52"/>
      <c r="J184" s="27"/>
      <c r="K184" s="27"/>
      <c r="L184" s="27"/>
    </row>
    <row r="185" spans="1:12" x14ac:dyDescent="0.35">
      <c r="A185" s="238"/>
      <c r="B185" s="72"/>
      <c r="C185" s="115"/>
      <c r="D185" s="72"/>
      <c r="E185" s="72"/>
      <c r="F185" s="72"/>
      <c r="G185" s="27"/>
      <c r="H185" s="27"/>
      <c r="I185" s="52"/>
      <c r="J185" s="27"/>
      <c r="K185" s="27"/>
      <c r="L185" s="27"/>
    </row>
    <row r="186" spans="1:12" x14ac:dyDescent="0.35">
      <c r="A186" s="238"/>
      <c r="B186" s="72"/>
      <c r="C186" s="115"/>
      <c r="D186" s="72"/>
      <c r="E186" s="72"/>
      <c r="F186" s="72"/>
      <c r="G186" s="27"/>
      <c r="H186" s="27"/>
      <c r="I186" s="52"/>
      <c r="J186" s="27"/>
      <c r="K186" s="27"/>
      <c r="L186" s="27"/>
    </row>
    <row r="187" spans="1:12" x14ac:dyDescent="0.35">
      <c r="A187" s="238"/>
      <c r="B187" s="72"/>
      <c r="C187" s="115"/>
      <c r="D187" s="72"/>
      <c r="E187" s="72"/>
      <c r="F187" s="72"/>
      <c r="G187" s="27"/>
      <c r="H187" s="27"/>
      <c r="I187" s="52"/>
      <c r="J187" s="27"/>
      <c r="K187" s="27"/>
      <c r="L187" s="27"/>
    </row>
    <row r="188" spans="1:12" x14ac:dyDescent="0.35">
      <c r="A188" s="238"/>
      <c r="B188" s="72"/>
      <c r="C188" s="115"/>
      <c r="D188" s="72"/>
      <c r="E188" s="72"/>
      <c r="F188" s="72"/>
      <c r="G188" s="27"/>
      <c r="H188" s="27"/>
      <c r="I188" s="52"/>
      <c r="J188" s="27"/>
      <c r="K188" s="27"/>
      <c r="L188" s="27"/>
    </row>
    <row r="189" spans="1:12" x14ac:dyDescent="0.35">
      <c r="A189" s="238"/>
      <c r="B189" s="72"/>
      <c r="C189" s="115"/>
      <c r="D189" s="72"/>
      <c r="E189" s="72"/>
      <c r="F189" s="72"/>
      <c r="G189" s="27"/>
      <c r="H189" s="27"/>
      <c r="I189" s="52"/>
      <c r="J189" s="27"/>
      <c r="K189" s="27"/>
      <c r="L189" s="27"/>
    </row>
    <row r="190" spans="1:12" x14ac:dyDescent="0.35">
      <c r="A190" s="238"/>
      <c r="B190" s="72"/>
      <c r="C190" s="115"/>
      <c r="D190" s="72"/>
      <c r="E190" s="72"/>
      <c r="F190" s="72"/>
      <c r="G190" s="27"/>
      <c r="H190" s="27"/>
      <c r="I190" s="52"/>
      <c r="J190" s="27"/>
      <c r="K190" s="27"/>
      <c r="L190" s="27"/>
    </row>
    <row r="191" spans="1:12" x14ac:dyDescent="0.35">
      <c r="A191" s="238"/>
      <c r="B191" s="72"/>
      <c r="C191" s="115"/>
      <c r="D191" s="72"/>
      <c r="E191" s="72"/>
      <c r="F191" s="72"/>
      <c r="G191" s="27"/>
      <c r="H191" s="27"/>
      <c r="I191" s="52"/>
      <c r="J191" s="27"/>
      <c r="K191" s="27"/>
      <c r="L191" s="27"/>
    </row>
    <row r="192" spans="1:12" x14ac:dyDescent="0.35">
      <c r="A192" s="238"/>
      <c r="B192" s="72"/>
      <c r="C192" s="115"/>
      <c r="D192" s="72"/>
      <c r="E192" s="72"/>
      <c r="F192" s="72"/>
      <c r="G192" s="27"/>
      <c r="H192" s="27"/>
      <c r="I192" s="52"/>
      <c r="J192" s="27"/>
      <c r="K192" s="27"/>
      <c r="L192" s="27"/>
    </row>
    <row r="193" spans="1:12" x14ac:dyDescent="0.35">
      <c r="A193" s="238"/>
      <c r="B193" s="72"/>
      <c r="C193" s="115"/>
      <c r="D193" s="72"/>
      <c r="E193" s="72"/>
      <c r="F193" s="72"/>
      <c r="G193" s="27"/>
      <c r="H193" s="27"/>
      <c r="I193" s="52"/>
      <c r="J193" s="27"/>
      <c r="K193" s="27"/>
      <c r="L193" s="27"/>
    </row>
    <row r="194" spans="1:12" x14ac:dyDescent="0.35">
      <c r="A194" s="238"/>
      <c r="B194" s="72"/>
      <c r="C194" s="115"/>
      <c r="D194" s="72"/>
      <c r="E194" s="72"/>
      <c r="F194" s="72"/>
      <c r="G194" s="27"/>
      <c r="H194" s="27"/>
      <c r="I194" s="52"/>
      <c r="J194" s="27"/>
      <c r="K194" s="27"/>
      <c r="L194" s="27"/>
    </row>
    <row r="195" spans="1:12" x14ac:dyDescent="0.35">
      <c r="A195" s="238"/>
      <c r="B195" s="72"/>
      <c r="C195" s="115"/>
      <c r="D195" s="72"/>
      <c r="E195" s="72"/>
      <c r="F195" s="72"/>
      <c r="G195" s="27"/>
      <c r="H195" s="27"/>
      <c r="I195" s="52"/>
      <c r="J195" s="27"/>
      <c r="K195" s="27"/>
      <c r="L195" s="27"/>
    </row>
    <row r="196" spans="1:12" x14ac:dyDescent="0.35">
      <c r="A196" s="238"/>
      <c r="B196" s="72"/>
      <c r="C196" s="115"/>
      <c r="D196" s="72"/>
      <c r="E196" s="72"/>
      <c r="F196" s="72"/>
      <c r="G196" s="27"/>
      <c r="H196" s="27"/>
      <c r="I196" s="52"/>
      <c r="J196" s="27"/>
      <c r="K196" s="27"/>
      <c r="L196" s="27"/>
    </row>
    <row r="197" spans="1:12" x14ac:dyDescent="0.35">
      <c r="A197" s="238"/>
      <c r="B197" s="72"/>
      <c r="C197" s="115"/>
      <c r="D197" s="72"/>
      <c r="E197" s="72"/>
      <c r="F197" s="72"/>
      <c r="G197" s="27"/>
      <c r="H197" s="27"/>
      <c r="I197" s="52"/>
      <c r="J197" s="27"/>
      <c r="K197" s="27"/>
      <c r="L197" s="27"/>
    </row>
    <row r="198" spans="1:12" x14ac:dyDescent="0.35">
      <c r="A198" s="238"/>
      <c r="B198" s="72"/>
      <c r="C198" s="115"/>
      <c r="D198" s="72"/>
      <c r="E198" s="72"/>
      <c r="F198" s="72"/>
      <c r="G198" s="27"/>
      <c r="H198" s="27"/>
      <c r="I198" s="52"/>
      <c r="J198" s="27"/>
      <c r="K198" s="27"/>
      <c r="L198" s="27"/>
    </row>
    <row r="199" spans="1:12" x14ac:dyDescent="0.35">
      <c r="A199" s="238"/>
      <c r="B199" s="72"/>
      <c r="C199" s="115"/>
      <c r="D199" s="72"/>
      <c r="E199" s="72"/>
      <c r="F199" s="72"/>
      <c r="G199" s="27"/>
      <c r="H199" s="27"/>
      <c r="I199" s="52"/>
      <c r="J199" s="27"/>
      <c r="K199" s="27"/>
      <c r="L199" s="27"/>
    </row>
    <row r="200" spans="1:12" x14ac:dyDescent="0.35">
      <c r="A200" s="238"/>
      <c r="B200" s="72"/>
      <c r="C200" s="115"/>
      <c r="D200" s="72"/>
      <c r="E200" s="72"/>
      <c r="F200" s="72"/>
      <c r="G200" s="27"/>
      <c r="H200" s="27"/>
      <c r="I200" s="52"/>
      <c r="J200" s="27"/>
      <c r="K200" s="27"/>
      <c r="L200" s="27"/>
    </row>
    <row r="201" spans="1:12" x14ac:dyDescent="0.35">
      <c r="A201" s="238"/>
      <c r="B201" s="72"/>
      <c r="C201" s="115"/>
      <c r="D201" s="72"/>
      <c r="E201" s="72"/>
      <c r="F201" s="72"/>
      <c r="G201" s="27"/>
      <c r="H201" s="27"/>
      <c r="I201" s="52"/>
      <c r="J201" s="27"/>
      <c r="K201" s="27"/>
      <c r="L201" s="27"/>
    </row>
    <row r="202" spans="1:12" x14ac:dyDescent="0.35">
      <c r="A202" s="238"/>
      <c r="B202" s="72"/>
      <c r="C202" s="115"/>
      <c r="D202" s="72"/>
      <c r="E202" s="72"/>
      <c r="F202" s="72"/>
      <c r="G202" s="27"/>
      <c r="H202" s="27"/>
      <c r="I202" s="52"/>
      <c r="J202" s="27"/>
      <c r="K202" s="27"/>
      <c r="L202" s="27"/>
    </row>
    <row r="203" spans="1:12" x14ac:dyDescent="0.35">
      <c r="A203" s="238"/>
      <c r="B203" s="72"/>
      <c r="C203" s="115"/>
      <c r="D203" s="72"/>
      <c r="E203" s="72"/>
      <c r="F203" s="72"/>
      <c r="G203" s="27"/>
      <c r="H203" s="27"/>
      <c r="I203" s="52"/>
      <c r="J203" s="27"/>
      <c r="K203" s="27"/>
      <c r="L203" s="27"/>
    </row>
    <row r="204" spans="1:12" x14ac:dyDescent="0.35">
      <c r="A204" s="238"/>
      <c r="B204" s="72"/>
      <c r="C204" s="115"/>
      <c r="D204" s="72"/>
      <c r="E204" s="72"/>
      <c r="F204" s="72"/>
      <c r="G204" s="27"/>
      <c r="H204" s="27"/>
      <c r="I204" s="52"/>
      <c r="J204" s="27"/>
      <c r="K204" s="27"/>
      <c r="L204" s="27"/>
    </row>
    <row r="205" spans="1:12" x14ac:dyDescent="0.35">
      <c r="A205" s="238"/>
      <c r="B205" s="72"/>
      <c r="C205" s="115"/>
      <c r="D205" s="72"/>
      <c r="E205" s="72"/>
      <c r="F205" s="72"/>
      <c r="G205" s="27"/>
      <c r="H205" s="27"/>
      <c r="I205" s="52"/>
      <c r="J205" s="27"/>
      <c r="K205" s="27"/>
      <c r="L205" s="27"/>
    </row>
    <row r="206" spans="1:12" x14ac:dyDescent="0.35">
      <c r="A206" s="238"/>
      <c r="B206" s="72"/>
      <c r="C206" s="115"/>
      <c r="D206" s="72"/>
      <c r="E206" s="72"/>
      <c r="F206" s="72"/>
      <c r="G206" s="27"/>
      <c r="H206" s="27"/>
      <c r="I206" s="52"/>
      <c r="J206" s="27"/>
      <c r="K206" s="27"/>
      <c r="L206" s="27"/>
    </row>
    <row r="207" spans="1:12" x14ac:dyDescent="0.35">
      <c r="A207" s="238"/>
      <c r="B207" s="72"/>
      <c r="C207" s="115"/>
      <c r="D207" s="72"/>
      <c r="E207" s="72"/>
      <c r="F207" s="72"/>
      <c r="G207" s="27"/>
      <c r="H207" s="27"/>
      <c r="I207" s="52"/>
      <c r="J207" s="27"/>
      <c r="K207" s="27"/>
      <c r="L207" s="27"/>
    </row>
    <row r="208" spans="1:12" x14ac:dyDescent="0.35">
      <c r="A208" s="238"/>
      <c r="B208" s="72"/>
      <c r="C208" s="115"/>
      <c r="D208" s="72"/>
      <c r="E208" s="72"/>
      <c r="F208" s="72"/>
      <c r="G208" s="27"/>
      <c r="H208" s="27"/>
      <c r="I208" s="52"/>
      <c r="J208" s="27"/>
      <c r="K208" s="27"/>
      <c r="L208" s="27"/>
    </row>
    <row r="209" spans="1:12" x14ac:dyDescent="0.35">
      <c r="A209" s="238"/>
      <c r="B209" s="72"/>
      <c r="C209" s="115"/>
      <c r="D209" s="72"/>
      <c r="E209" s="72"/>
      <c r="F209" s="72"/>
      <c r="G209" s="27"/>
      <c r="H209" s="27"/>
      <c r="I209" s="52"/>
      <c r="J209" s="27"/>
      <c r="K209" s="27"/>
      <c r="L209" s="27"/>
    </row>
    <row r="210" spans="1:12" x14ac:dyDescent="0.35">
      <c r="A210" s="238"/>
      <c r="B210" s="72"/>
      <c r="C210" s="115"/>
      <c r="D210" s="72"/>
      <c r="E210" s="72"/>
      <c r="F210" s="72"/>
      <c r="G210" s="27"/>
      <c r="H210" s="27"/>
      <c r="I210" s="52"/>
      <c r="J210" s="27"/>
      <c r="K210" s="27"/>
      <c r="L210" s="27"/>
    </row>
    <row r="211" spans="1:12" x14ac:dyDescent="0.35">
      <c r="A211" s="238"/>
      <c r="B211" s="72"/>
      <c r="C211" s="115"/>
      <c r="D211" s="72"/>
      <c r="E211" s="72"/>
      <c r="F211" s="72"/>
      <c r="G211" s="27"/>
      <c r="H211" s="27"/>
      <c r="I211" s="52"/>
      <c r="J211" s="27"/>
      <c r="K211" s="27"/>
      <c r="L211" s="27"/>
    </row>
    <row r="212" spans="1:12" x14ac:dyDescent="0.35">
      <c r="A212" s="238"/>
      <c r="B212" s="72"/>
      <c r="C212" s="115"/>
      <c r="D212" s="72"/>
      <c r="E212" s="72"/>
      <c r="F212" s="72"/>
      <c r="G212" s="27"/>
      <c r="H212" s="27"/>
      <c r="I212" s="52"/>
      <c r="J212" s="27"/>
      <c r="K212" s="27"/>
      <c r="L212" s="27"/>
    </row>
    <row r="213" spans="1:12" x14ac:dyDescent="0.35">
      <c r="A213" s="238"/>
      <c r="B213" s="72"/>
      <c r="C213" s="115"/>
      <c r="D213" s="72"/>
      <c r="E213" s="72"/>
      <c r="F213" s="72"/>
      <c r="G213" s="27"/>
      <c r="H213" s="27"/>
      <c r="I213" s="52"/>
      <c r="J213" s="27"/>
      <c r="K213" s="27"/>
      <c r="L213" s="27"/>
    </row>
    <row r="214" spans="1:12" x14ac:dyDescent="0.35">
      <c r="A214" s="238"/>
      <c r="B214" s="72"/>
      <c r="C214" s="115"/>
      <c r="D214" s="72"/>
      <c r="E214" s="72"/>
      <c r="F214" s="72"/>
      <c r="G214" s="27"/>
      <c r="H214" s="27"/>
      <c r="I214" s="52"/>
      <c r="J214" s="27"/>
      <c r="K214" s="27"/>
      <c r="L214" s="27"/>
    </row>
    <row r="215" spans="1:12" x14ac:dyDescent="0.35">
      <c r="A215" s="238"/>
      <c r="B215" s="72"/>
      <c r="C215" s="115"/>
      <c r="D215" s="72"/>
      <c r="E215" s="72"/>
      <c r="F215" s="72"/>
      <c r="G215" s="27"/>
      <c r="H215" s="27"/>
      <c r="I215" s="52"/>
      <c r="J215" s="27"/>
      <c r="K215" s="27"/>
      <c r="L215" s="27"/>
    </row>
    <row r="216" spans="1:12" x14ac:dyDescent="0.35">
      <c r="A216" s="238"/>
      <c r="B216" s="72"/>
      <c r="C216" s="115"/>
      <c r="D216" s="72"/>
      <c r="E216" s="72"/>
      <c r="F216" s="72"/>
      <c r="G216" s="27"/>
      <c r="H216" s="27"/>
      <c r="I216" s="52"/>
      <c r="J216" s="27"/>
      <c r="K216" s="27"/>
      <c r="L216" s="27"/>
    </row>
    <row r="217" spans="1:12" x14ac:dyDescent="0.35">
      <c r="A217" s="238"/>
      <c r="B217" s="72"/>
      <c r="C217" s="115"/>
      <c r="D217" s="72"/>
      <c r="E217" s="72"/>
      <c r="F217" s="72"/>
      <c r="G217" s="27"/>
      <c r="H217" s="27"/>
      <c r="I217" s="52"/>
      <c r="J217" s="27"/>
      <c r="K217" s="27"/>
      <c r="L217" s="27"/>
    </row>
    <row r="218" spans="1:12" x14ac:dyDescent="0.35">
      <c r="A218" s="238"/>
      <c r="B218" s="72"/>
      <c r="C218" s="115"/>
      <c r="D218" s="72"/>
      <c r="E218" s="72"/>
      <c r="F218" s="72"/>
      <c r="G218" s="27"/>
      <c r="H218" s="27"/>
      <c r="I218" s="52"/>
      <c r="J218" s="27"/>
      <c r="K218" s="27"/>
      <c r="L218" s="27"/>
    </row>
    <row r="219" spans="1:12" x14ac:dyDescent="0.35">
      <c r="A219" s="238"/>
      <c r="B219" s="72"/>
      <c r="C219" s="115"/>
      <c r="D219" s="72"/>
      <c r="E219" s="72"/>
      <c r="F219" s="72"/>
      <c r="G219" s="27"/>
      <c r="H219" s="27"/>
      <c r="I219" s="52"/>
      <c r="J219" s="27"/>
      <c r="K219" s="27"/>
      <c r="L219" s="27"/>
    </row>
    <row r="220" spans="1:12" x14ac:dyDescent="0.35">
      <c r="A220" s="238"/>
      <c r="B220" s="72"/>
      <c r="C220" s="115"/>
      <c r="D220" s="72"/>
      <c r="E220" s="72"/>
      <c r="F220" s="72"/>
      <c r="G220" s="27"/>
      <c r="H220" s="27"/>
      <c r="I220" s="52"/>
      <c r="J220" s="27"/>
      <c r="K220" s="27"/>
      <c r="L220" s="27"/>
    </row>
    <row r="221" spans="1:12" x14ac:dyDescent="0.35">
      <c r="A221" s="238"/>
      <c r="B221" s="72"/>
      <c r="C221" s="115"/>
      <c r="D221" s="72"/>
      <c r="E221" s="72"/>
      <c r="F221" s="72"/>
      <c r="G221" s="27"/>
      <c r="H221" s="27"/>
      <c r="I221" s="52"/>
      <c r="J221" s="27"/>
      <c r="K221" s="27"/>
      <c r="L221" s="27"/>
    </row>
    <row r="222" spans="1:12" x14ac:dyDescent="0.35">
      <c r="A222" s="238"/>
      <c r="B222" s="72"/>
      <c r="C222" s="115"/>
      <c r="D222" s="72"/>
      <c r="E222" s="72"/>
      <c r="F222" s="72"/>
      <c r="G222" s="27"/>
      <c r="H222" s="27"/>
      <c r="I222" s="52"/>
      <c r="J222" s="27"/>
      <c r="K222" s="27"/>
      <c r="L222" s="27"/>
    </row>
    <row r="223" spans="1:12" x14ac:dyDescent="0.35">
      <c r="A223" s="238"/>
      <c r="B223" s="72"/>
      <c r="C223" s="115"/>
      <c r="D223" s="72"/>
      <c r="E223" s="72"/>
      <c r="F223" s="72"/>
      <c r="G223" s="27"/>
      <c r="H223" s="27"/>
      <c r="I223" s="52"/>
      <c r="J223" s="27"/>
      <c r="K223" s="27"/>
      <c r="L223" s="27"/>
    </row>
    <row r="224" spans="1:12" x14ac:dyDescent="0.35">
      <c r="A224" s="238"/>
      <c r="B224" s="72"/>
      <c r="C224" s="115"/>
      <c r="D224" s="72"/>
      <c r="E224" s="72"/>
      <c r="F224" s="72"/>
      <c r="G224" s="27"/>
      <c r="H224" s="27"/>
      <c r="I224" s="52"/>
      <c r="J224" s="27"/>
      <c r="K224" s="27"/>
      <c r="L224" s="27"/>
    </row>
    <row r="225" spans="1:12" x14ac:dyDescent="0.35">
      <c r="A225" s="238"/>
      <c r="B225" s="72"/>
      <c r="C225" s="115"/>
      <c r="D225" s="72"/>
      <c r="E225" s="72"/>
      <c r="F225" s="72"/>
      <c r="G225" s="27"/>
      <c r="H225" s="27"/>
      <c r="I225" s="52"/>
      <c r="J225" s="27"/>
      <c r="K225" s="27"/>
      <c r="L225" s="27"/>
    </row>
    <row r="226" spans="1:12" x14ac:dyDescent="0.35">
      <c r="A226" s="238"/>
      <c r="B226" s="72"/>
      <c r="C226" s="115"/>
      <c r="D226" s="72"/>
      <c r="E226" s="72"/>
      <c r="F226" s="72"/>
      <c r="G226" s="27"/>
      <c r="H226" s="27"/>
      <c r="I226" s="52"/>
      <c r="J226" s="27"/>
      <c r="K226" s="27"/>
      <c r="L226" s="27"/>
    </row>
    <row r="227" spans="1:12" x14ac:dyDescent="0.35">
      <c r="A227" s="238"/>
      <c r="B227" s="72"/>
      <c r="C227" s="115"/>
      <c r="D227" s="72"/>
      <c r="E227" s="72"/>
      <c r="F227" s="72"/>
      <c r="G227" s="27"/>
      <c r="H227" s="27"/>
      <c r="I227" s="52"/>
      <c r="J227" s="27"/>
      <c r="K227" s="27"/>
      <c r="L227" s="27"/>
    </row>
    <row r="228" spans="1:12" x14ac:dyDescent="0.35">
      <c r="A228" s="238"/>
      <c r="B228" s="72"/>
      <c r="C228" s="115"/>
      <c r="D228" s="72"/>
      <c r="E228" s="72"/>
      <c r="F228" s="72"/>
      <c r="G228" s="27"/>
      <c r="H228" s="27"/>
      <c r="I228" s="52"/>
      <c r="J228" s="27"/>
      <c r="K228" s="27"/>
      <c r="L228" s="27"/>
    </row>
    <row r="229" spans="1:12" x14ac:dyDescent="0.35">
      <c r="A229" s="238"/>
      <c r="B229" s="72"/>
      <c r="C229" s="115"/>
      <c r="D229" s="72"/>
      <c r="E229" s="72"/>
      <c r="F229" s="72"/>
      <c r="G229" s="27"/>
      <c r="H229" s="27"/>
      <c r="I229" s="52"/>
      <c r="J229" s="27"/>
      <c r="K229" s="27"/>
      <c r="L229" s="27"/>
    </row>
    <row r="230" spans="1:12" x14ac:dyDescent="0.35">
      <c r="A230" s="238"/>
      <c r="B230" s="72"/>
      <c r="C230" s="115"/>
      <c r="D230" s="72"/>
      <c r="E230" s="72"/>
      <c r="F230" s="72"/>
      <c r="G230" s="27"/>
      <c r="H230" s="27"/>
      <c r="I230" s="52"/>
      <c r="J230" s="27"/>
      <c r="K230" s="27"/>
      <c r="L230" s="27"/>
    </row>
    <row r="231" spans="1:12" x14ac:dyDescent="0.35">
      <c r="A231" s="238"/>
      <c r="B231" s="72"/>
      <c r="C231" s="115"/>
      <c r="D231" s="72"/>
      <c r="E231" s="72"/>
      <c r="F231" s="72"/>
      <c r="G231" s="27"/>
      <c r="H231" s="27"/>
      <c r="I231" s="52"/>
      <c r="J231" s="27"/>
      <c r="K231" s="27"/>
      <c r="L231" s="27"/>
    </row>
    <row r="232" spans="1:12" x14ac:dyDescent="0.35">
      <c r="A232" s="238"/>
      <c r="B232" s="72"/>
      <c r="C232" s="115"/>
      <c r="D232" s="72"/>
      <c r="E232" s="72"/>
      <c r="F232" s="72"/>
      <c r="G232" s="27"/>
      <c r="H232" s="27"/>
      <c r="I232" s="52"/>
      <c r="J232" s="27"/>
      <c r="K232" s="27"/>
      <c r="L232" s="27"/>
    </row>
    <row r="233" spans="1:12" x14ac:dyDescent="0.35">
      <c r="A233" s="238"/>
      <c r="B233" s="72"/>
      <c r="C233" s="115"/>
      <c r="D233" s="72"/>
      <c r="E233" s="72"/>
      <c r="F233" s="72"/>
      <c r="G233" s="27"/>
      <c r="H233" s="27"/>
      <c r="I233" s="52"/>
      <c r="J233" s="27"/>
      <c r="K233" s="27"/>
      <c r="L233" s="27"/>
    </row>
    <row r="234" spans="1:12" x14ac:dyDescent="0.35">
      <c r="A234" s="238"/>
      <c r="B234" s="72"/>
      <c r="C234" s="115"/>
      <c r="D234" s="72"/>
      <c r="E234" s="72"/>
      <c r="F234" s="72"/>
      <c r="G234" s="27"/>
      <c r="H234" s="27"/>
      <c r="I234" s="52"/>
      <c r="J234" s="27"/>
      <c r="K234" s="27"/>
      <c r="L234" s="27"/>
    </row>
    <row r="235" spans="1:12" x14ac:dyDescent="0.35">
      <c r="A235" s="238"/>
      <c r="B235" s="72"/>
      <c r="C235" s="115"/>
      <c r="D235" s="72"/>
      <c r="E235" s="72"/>
      <c r="F235" s="72"/>
      <c r="G235" s="27"/>
      <c r="H235" s="27"/>
      <c r="I235" s="52"/>
      <c r="J235" s="27"/>
      <c r="K235" s="27"/>
      <c r="L235" s="27"/>
    </row>
    <row r="236" spans="1:12" x14ac:dyDescent="0.35">
      <c r="A236" s="238"/>
      <c r="B236" s="72"/>
      <c r="C236" s="115"/>
      <c r="D236" s="72"/>
      <c r="E236" s="72"/>
      <c r="F236" s="72"/>
      <c r="G236" s="27"/>
      <c r="H236" s="27"/>
      <c r="I236" s="52"/>
      <c r="J236" s="27"/>
      <c r="K236" s="27"/>
      <c r="L236" s="27"/>
    </row>
    <row r="237" spans="1:12" x14ac:dyDescent="0.35">
      <c r="A237" s="238"/>
      <c r="B237" s="11"/>
      <c r="C237" s="115"/>
      <c r="D237" s="72"/>
      <c r="E237" s="72"/>
      <c r="F237" s="72"/>
      <c r="G237" s="27"/>
      <c r="H237" s="27"/>
      <c r="I237" s="52"/>
      <c r="J237" s="27"/>
      <c r="K237" s="27"/>
      <c r="L237" s="27"/>
    </row>
    <row r="238" spans="1:12" x14ac:dyDescent="0.35">
      <c r="A238" s="238"/>
      <c r="B238" s="173"/>
      <c r="C238" s="114"/>
      <c r="D238" s="72"/>
      <c r="E238" s="72"/>
      <c r="F238" s="72"/>
      <c r="G238" s="27"/>
      <c r="H238" s="27"/>
      <c r="I238" s="52"/>
      <c r="J238" s="27"/>
      <c r="K238" s="27"/>
      <c r="L238" s="27"/>
    </row>
    <row r="239" spans="1:12" x14ac:dyDescent="0.35">
      <c r="A239" s="238"/>
      <c r="B239" s="113"/>
      <c r="C239" s="295"/>
      <c r="D239" s="72"/>
      <c r="E239" s="72"/>
      <c r="F239" s="72"/>
      <c r="G239" s="27"/>
      <c r="H239" s="27"/>
      <c r="I239" s="52"/>
      <c r="J239" s="27"/>
      <c r="K239" s="27"/>
      <c r="L239" s="27"/>
    </row>
    <row r="240" spans="1:12" x14ac:dyDescent="0.35">
      <c r="A240" s="238"/>
      <c r="B240" s="113"/>
      <c r="C240" s="295"/>
      <c r="D240" s="72"/>
      <c r="E240" s="72"/>
      <c r="F240" s="72"/>
      <c r="G240" s="27"/>
      <c r="H240" s="27"/>
      <c r="I240" s="52"/>
      <c r="J240" s="27"/>
      <c r="K240" s="27"/>
      <c r="L240" s="27"/>
    </row>
    <row r="241" spans="1:12" x14ac:dyDescent="0.35">
      <c r="A241" s="238"/>
      <c r="B241" s="113"/>
      <c r="C241" s="115"/>
      <c r="D241" s="72"/>
      <c r="E241" s="72"/>
      <c r="F241" s="72"/>
      <c r="G241" s="27"/>
      <c r="H241" s="27"/>
      <c r="I241" s="52"/>
      <c r="J241" s="27"/>
      <c r="K241" s="27"/>
      <c r="L241" s="27"/>
    </row>
    <row r="242" spans="1:12" x14ac:dyDescent="0.35">
      <c r="A242" s="238"/>
      <c r="B242" s="113"/>
      <c r="C242" s="115"/>
      <c r="D242" s="72"/>
      <c r="E242" s="72"/>
      <c r="F242" s="72"/>
      <c r="G242" s="27"/>
      <c r="H242" s="27"/>
      <c r="I242" s="52"/>
      <c r="J242" s="27"/>
      <c r="K242" s="27"/>
      <c r="L242" s="27"/>
    </row>
    <row r="243" spans="1:12" x14ac:dyDescent="0.35">
      <c r="A243" s="238"/>
      <c r="B243" s="173"/>
      <c r="C243" s="115"/>
      <c r="D243" s="72"/>
      <c r="E243" s="72"/>
      <c r="F243" s="72"/>
      <c r="G243" s="27"/>
      <c r="H243" s="27"/>
      <c r="I243" s="52"/>
      <c r="J243" s="27"/>
      <c r="K243" s="27"/>
      <c r="L243" s="27"/>
    </row>
    <row r="244" spans="1:12" x14ac:dyDescent="0.35">
      <c r="A244" s="238"/>
      <c r="B244" s="113"/>
      <c r="C244" s="115"/>
      <c r="D244" s="72"/>
      <c r="E244" s="115"/>
      <c r="F244" s="72"/>
      <c r="G244" s="27"/>
      <c r="H244" s="27"/>
      <c r="I244" s="52"/>
      <c r="J244" s="27"/>
      <c r="K244" s="27"/>
      <c r="L244" s="27"/>
    </row>
    <row r="245" spans="1:12" x14ac:dyDescent="0.35">
      <c r="A245" s="238"/>
      <c r="B245" s="113"/>
      <c r="C245" s="115"/>
      <c r="D245" s="72"/>
      <c r="E245" s="115"/>
      <c r="F245" s="72"/>
      <c r="G245" s="27"/>
      <c r="H245" s="27"/>
      <c r="I245" s="52"/>
      <c r="J245" s="27"/>
      <c r="K245" s="27"/>
      <c r="L245" s="27"/>
    </row>
    <row r="246" spans="1:12" x14ac:dyDescent="0.35">
      <c r="A246" s="238"/>
      <c r="B246" s="113"/>
      <c r="C246" s="115"/>
      <c r="D246" s="72"/>
      <c r="E246" s="115"/>
      <c r="F246" s="72"/>
      <c r="G246" s="27"/>
      <c r="H246" s="27"/>
      <c r="I246" s="52"/>
      <c r="J246" s="27"/>
      <c r="K246" s="27"/>
      <c r="L246" s="27"/>
    </row>
    <row r="247" spans="1:12" x14ac:dyDescent="0.35">
      <c r="A247" s="238"/>
      <c r="B247" s="113"/>
      <c r="C247" s="295"/>
      <c r="D247" s="72"/>
      <c r="E247" s="72"/>
      <c r="F247" s="72"/>
      <c r="G247" s="27"/>
      <c r="H247" s="27"/>
      <c r="I247" s="52"/>
      <c r="J247" s="27"/>
      <c r="K247" s="27"/>
      <c r="L247" s="27"/>
    </row>
    <row r="248" spans="1:12" x14ac:dyDescent="0.35">
      <c r="A248" s="238"/>
      <c r="B248" s="113"/>
      <c r="C248" s="295"/>
      <c r="D248" s="72"/>
      <c r="E248" s="72"/>
      <c r="F248" s="72"/>
      <c r="G248" s="27"/>
      <c r="H248" s="27"/>
      <c r="I248" s="52"/>
      <c r="J248" s="27"/>
      <c r="K248" s="27"/>
      <c r="L248" s="27"/>
    </row>
    <row r="249" spans="1:12" x14ac:dyDescent="0.35">
      <c r="A249" s="238"/>
      <c r="B249" s="113"/>
      <c r="C249" s="135"/>
      <c r="D249" s="72"/>
      <c r="E249" s="72"/>
      <c r="F249" s="72"/>
      <c r="G249" s="27"/>
      <c r="H249" s="27"/>
      <c r="I249" s="52"/>
      <c r="J249" s="27"/>
      <c r="K249" s="27"/>
      <c r="L249" s="27"/>
    </row>
    <row r="250" spans="1:12" x14ac:dyDescent="0.35">
      <c r="A250" s="238"/>
      <c r="B250" s="173"/>
      <c r="C250" s="115"/>
      <c r="D250" s="72"/>
      <c r="E250" s="72"/>
      <c r="F250" s="72"/>
      <c r="G250" s="27"/>
      <c r="H250" s="27"/>
      <c r="I250" s="52"/>
      <c r="J250" s="27"/>
      <c r="K250" s="27"/>
      <c r="L250" s="27"/>
    </row>
    <row r="251" spans="1:12" x14ac:dyDescent="0.35">
      <c r="A251" s="238"/>
      <c r="B251" s="113"/>
      <c r="C251" s="295"/>
      <c r="D251" s="72"/>
      <c r="E251" s="295"/>
      <c r="F251" s="72"/>
      <c r="G251" s="27"/>
      <c r="H251" s="27"/>
      <c r="I251" s="52"/>
      <c r="J251" s="27"/>
      <c r="K251" s="27"/>
      <c r="L251" s="27"/>
    </row>
    <row r="252" spans="1:12" x14ac:dyDescent="0.35">
      <c r="A252" s="238"/>
      <c r="B252" s="113"/>
      <c r="C252" s="295"/>
      <c r="D252" s="72"/>
      <c r="E252" s="295"/>
      <c r="F252" s="72"/>
      <c r="G252" s="27"/>
      <c r="H252" s="27"/>
      <c r="I252" s="52"/>
      <c r="J252" s="27"/>
      <c r="K252" s="27"/>
      <c r="L252" s="27"/>
    </row>
    <row r="253" spans="1:12" x14ac:dyDescent="0.35">
      <c r="A253" s="238"/>
      <c r="B253" s="113"/>
      <c r="C253" s="295"/>
      <c r="D253" s="72"/>
      <c r="E253" s="295"/>
      <c r="F253" s="72"/>
      <c r="G253" s="27"/>
      <c r="H253" s="27"/>
      <c r="I253" s="52"/>
      <c r="J253" s="27"/>
      <c r="K253" s="27"/>
      <c r="L253" s="27"/>
    </row>
    <row r="254" spans="1:12" x14ac:dyDescent="0.35">
      <c r="A254" s="238"/>
      <c r="B254" s="113"/>
      <c r="C254" s="295"/>
      <c r="D254" s="72"/>
      <c r="E254" s="295"/>
      <c r="F254" s="72"/>
      <c r="G254" s="52"/>
      <c r="H254" s="27"/>
      <c r="I254" s="52"/>
      <c r="J254" s="27"/>
      <c r="K254" s="27"/>
      <c r="L254" s="27"/>
    </row>
    <row r="255" spans="1:12" x14ac:dyDescent="0.35">
      <c r="A255" s="238"/>
      <c r="B255" s="173"/>
      <c r="C255" s="115"/>
      <c r="D255" s="72"/>
      <c r="E255" s="72"/>
      <c r="F255" s="72"/>
      <c r="G255" s="52"/>
      <c r="H255" s="27"/>
      <c r="I255" s="52"/>
      <c r="J255" s="27"/>
      <c r="K255" s="27"/>
      <c r="L255" s="27"/>
    </row>
    <row r="256" spans="1:12" x14ac:dyDescent="0.35">
      <c r="A256" s="238"/>
      <c r="B256" s="113"/>
      <c r="C256" s="115"/>
      <c r="D256" s="72"/>
      <c r="E256" s="115"/>
      <c r="F256" s="115"/>
      <c r="G256" s="52"/>
      <c r="H256" s="27"/>
      <c r="I256" s="52"/>
      <c r="J256" s="27"/>
      <c r="K256" s="27"/>
      <c r="L256" s="27"/>
    </row>
    <row r="257" spans="1:12" x14ac:dyDescent="0.35">
      <c r="A257" s="238"/>
      <c r="B257" s="113"/>
      <c r="C257" s="115"/>
      <c r="D257" s="72"/>
      <c r="E257" s="115"/>
      <c r="F257" s="115"/>
      <c r="G257" s="52"/>
      <c r="H257" s="27"/>
      <c r="I257" s="52"/>
      <c r="J257" s="27"/>
      <c r="K257" s="27"/>
      <c r="L257" s="27"/>
    </row>
    <row r="258" spans="1:12" x14ac:dyDescent="0.35">
      <c r="A258" s="238"/>
      <c r="B258" s="113"/>
      <c r="C258" s="115"/>
      <c r="D258" s="72"/>
      <c r="E258" s="115"/>
      <c r="F258" s="115"/>
      <c r="G258" s="27"/>
      <c r="H258" s="27"/>
      <c r="I258" s="52"/>
      <c r="J258" s="27"/>
      <c r="K258" s="27"/>
      <c r="L258" s="27"/>
    </row>
    <row r="259" spans="1:12" x14ac:dyDescent="0.35">
      <c r="A259" s="238"/>
      <c r="B259" s="113"/>
      <c r="C259" s="115"/>
      <c r="D259" s="72"/>
      <c r="E259" s="115"/>
      <c r="F259" s="115"/>
      <c r="G259" s="27"/>
      <c r="H259" s="27"/>
      <c r="I259" s="52"/>
      <c r="J259" s="27"/>
      <c r="K259" s="27"/>
      <c r="L259" s="27"/>
    </row>
    <row r="260" spans="1:12" x14ac:dyDescent="0.35">
      <c r="A260" s="238"/>
      <c r="B260" s="173"/>
      <c r="C260" s="295"/>
      <c r="D260" s="72"/>
      <c r="E260" s="72"/>
      <c r="F260" s="72"/>
      <c r="G260" s="27"/>
      <c r="H260" s="27"/>
      <c r="I260" s="52"/>
      <c r="J260" s="27"/>
      <c r="K260" s="27"/>
      <c r="L260" s="27"/>
    </row>
    <row r="261" spans="1:12" x14ac:dyDescent="0.35">
      <c r="A261" s="238"/>
      <c r="B261" s="113"/>
      <c r="C261" s="295"/>
      <c r="D261" s="72"/>
      <c r="E261" s="72"/>
      <c r="F261" s="72"/>
      <c r="G261" s="27"/>
      <c r="H261" s="27"/>
      <c r="I261" s="52"/>
      <c r="J261" s="27"/>
      <c r="K261" s="27"/>
      <c r="L261" s="27"/>
    </row>
    <row r="262" spans="1:12" x14ac:dyDescent="0.35">
      <c r="A262" s="238"/>
      <c r="B262" s="113"/>
      <c r="C262" s="295"/>
      <c r="D262" s="72"/>
      <c r="E262" s="72"/>
      <c r="F262" s="72"/>
      <c r="G262" s="27"/>
      <c r="H262" s="27"/>
      <c r="I262" s="52"/>
      <c r="J262" s="27"/>
      <c r="K262" s="27"/>
      <c r="L262" s="27"/>
    </row>
    <row r="263" spans="1:12" x14ac:dyDescent="0.35">
      <c r="A263" s="238"/>
      <c r="B263" s="113"/>
      <c r="C263" s="295"/>
      <c r="D263" s="72"/>
      <c r="E263" s="72"/>
      <c r="F263" s="296"/>
      <c r="G263" s="27"/>
      <c r="H263" s="27"/>
      <c r="I263" s="52"/>
      <c r="J263" s="27"/>
      <c r="K263" s="27"/>
      <c r="L263" s="27"/>
    </row>
    <row r="264" spans="1:12" x14ac:dyDescent="0.35">
      <c r="A264" s="238"/>
      <c r="B264" s="11"/>
      <c r="C264" s="114"/>
      <c r="D264" s="72"/>
      <c r="E264" s="72"/>
      <c r="F264" s="296"/>
      <c r="G264" s="27"/>
      <c r="H264" s="27"/>
      <c r="I264" s="52"/>
      <c r="J264" s="27"/>
      <c r="K264" s="27"/>
      <c r="L264" s="27"/>
    </row>
    <row r="265" spans="1:12" x14ac:dyDescent="0.35">
      <c r="A265" s="238"/>
      <c r="B265" s="113"/>
      <c r="C265" s="115"/>
      <c r="D265" s="72"/>
      <c r="E265" s="72"/>
      <c r="F265" s="72"/>
      <c r="G265" s="27"/>
      <c r="H265" s="27"/>
      <c r="I265" s="52"/>
      <c r="J265" s="27"/>
      <c r="K265" s="27"/>
      <c r="L265" s="27"/>
    </row>
    <row r="266" spans="1:12" x14ac:dyDescent="0.35">
      <c r="A266" s="238"/>
      <c r="B266" s="113"/>
      <c r="C266" s="297"/>
      <c r="D266" s="72"/>
      <c r="E266" s="72"/>
      <c r="F266" s="72"/>
      <c r="G266" s="27"/>
      <c r="H266" s="27"/>
      <c r="I266" s="52"/>
      <c r="J266" s="27"/>
      <c r="K266" s="27"/>
      <c r="L266" s="27"/>
    </row>
    <row r="267" spans="1:12" x14ac:dyDescent="0.35">
      <c r="A267" s="238"/>
      <c r="B267" s="11"/>
      <c r="C267" s="115"/>
      <c r="D267" s="72"/>
      <c r="E267" s="72"/>
      <c r="F267" s="72"/>
      <c r="G267" s="27"/>
      <c r="H267" s="27"/>
      <c r="I267" s="52"/>
      <c r="J267" s="27"/>
      <c r="K267" s="27"/>
      <c r="L267" s="27"/>
    </row>
    <row r="268" spans="1:12" x14ac:dyDescent="0.35">
      <c r="A268" s="238"/>
      <c r="B268" s="113"/>
      <c r="C268" s="115"/>
      <c r="D268" s="72"/>
      <c r="E268" s="72"/>
      <c r="F268" s="72"/>
      <c r="G268" s="27"/>
      <c r="H268" s="74"/>
      <c r="I268" s="52"/>
      <c r="J268" s="27"/>
      <c r="K268" s="27"/>
      <c r="L268" s="27"/>
    </row>
    <row r="269" spans="1:12" x14ac:dyDescent="0.35">
      <c r="A269" s="238"/>
      <c r="B269" s="113"/>
      <c r="C269" s="297"/>
      <c r="D269" s="72"/>
      <c r="E269" s="72"/>
      <c r="F269" s="72"/>
      <c r="G269" s="27"/>
      <c r="H269" s="27"/>
      <c r="I269" s="52"/>
      <c r="J269" s="27"/>
      <c r="K269" s="27"/>
      <c r="L269" s="27"/>
    </row>
    <row r="270" spans="1:12" x14ac:dyDescent="0.35">
      <c r="A270" s="238"/>
      <c r="B270" s="113"/>
      <c r="C270" s="72"/>
      <c r="D270" s="72"/>
      <c r="E270" s="72"/>
      <c r="F270" s="72"/>
      <c r="G270" s="27"/>
      <c r="H270" s="27"/>
      <c r="I270" s="52"/>
      <c r="J270" s="27"/>
      <c r="K270" s="27"/>
      <c r="L270" s="27"/>
    </row>
    <row r="271" spans="1:12" x14ac:dyDescent="0.35">
      <c r="A271" s="238"/>
      <c r="B271" s="113"/>
      <c r="C271" s="115"/>
      <c r="D271" s="72"/>
      <c r="E271" s="72"/>
      <c r="F271" s="72"/>
      <c r="G271" s="27"/>
      <c r="H271" s="27"/>
      <c r="I271" s="52"/>
      <c r="J271" s="27"/>
      <c r="K271" s="27"/>
      <c r="L271" s="27"/>
    </row>
    <row r="272" spans="1:12" x14ac:dyDescent="0.35">
      <c r="A272" s="238"/>
      <c r="B272" s="113"/>
      <c r="C272" s="115"/>
      <c r="D272" s="72"/>
      <c r="E272" s="72"/>
      <c r="F272" s="72"/>
      <c r="G272" s="27"/>
      <c r="H272" s="27"/>
      <c r="I272" s="52"/>
      <c r="J272" s="27"/>
      <c r="K272" s="27"/>
      <c r="L272" s="27"/>
    </row>
    <row r="273" spans="1:12" x14ac:dyDescent="0.35">
      <c r="A273" s="238"/>
      <c r="B273" s="113"/>
      <c r="C273" s="297"/>
      <c r="D273" s="72"/>
      <c r="E273" s="72"/>
      <c r="F273" s="72"/>
      <c r="G273" s="27"/>
      <c r="H273" s="27"/>
      <c r="I273" s="52"/>
      <c r="J273" s="27"/>
      <c r="K273" s="27"/>
      <c r="L273" s="27"/>
    </row>
    <row r="274" spans="1:12" x14ac:dyDescent="0.35">
      <c r="A274" s="238"/>
      <c r="B274" s="113"/>
      <c r="C274" s="115"/>
      <c r="D274" s="72"/>
      <c r="E274" s="72"/>
      <c r="F274" s="72"/>
      <c r="G274" s="27"/>
      <c r="H274" s="27"/>
      <c r="I274" s="52"/>
      <c r="J274" s="27"/>
      <c r="K274" s="27"/>
      <c r="L274" s="27"/>
    </row>
    <row r="275" spans="1:12" x14ac:dyDescent="0.35">
      <c r="A275" s="238"/>
      <c r="B275" s="113"/>
      <c r="C275" s="295"/>
      <c r="D275" s="72"/>
      <c r="E275" s="72"/>
      <c r="F275" s="72"/>
      <c r="G275" s="27"/>
      <c r="H275" s="27"/>
      <c r="I275" s="52"/>
      <c r="J275" s="27"/>
      <c r="K275" s="27"/>
      <c r="L275" s="27"/>
    </row>
    <row r="276" spans="1:12" x14ac:dyDescent="0.35">
      <c r="A276" s="238"/>
      <c r="B276" s="113"/>
      <c r="C276" s="115"/>
      <c r="D276" s="72"/>
      <c r="E276" s="72"/>
      <c r="F276" s="72"/>
      <c r="G276" s="27"/>
      <c r="H276" s="27"/>
      <c r="I276" s="52"/>
      <c r="J276" s="27"/>
      <c r="K276" s="27"/>
      <c r="L276" s="27"/>
    </row>
    <row r="277" spans="1:12" x14ac:dyDescent="0.35">
      <c r="A277" s="238"/>
      <c r="B277" s="113"/>
      <c r="C277" s="295"/>
      <c r="D277" s="72"/>
      <c r="E277" s="72"/>
      <c r="F277" s="72"/>
      <c r="G277" s="27"/>
      <c r="H277" s="27"/>
      <c r="I277" s="52"/>
      <c r="J277" s="27"/>
      <c r="K277" s="27"/>
      <c r="L277" s="27"/>
    </row>
    <row r="278" spans="1:12" x14ac:dyDescent="0.35">
      <c r="A278" s="238"/>
      <c r="B278" s="113"/>
      <c r="C278" s="115"/>
      <c r="D278" s="72"/>
      <c r="E278" s="72"/>
      <c r="F278" s="72"/>
      <c r="G278" s="27"/>
      <c r="H278" s="27"/>
      <c r="I278" s="52"/>
      <c r="J278" s="27"/>
      <c r="K278" s="27"/>
      <c r="L278" s="27"/>
    </row>
    <row r="279" spans="1:12" x14ac:dyDescent="0.35">
      <c r="A279" s="238"/>
      <c r="B279" s="113"/>
      <c r="C279" s="297"/>
      <c r="D279" s="72"/>
      <c r="E279" s="72"/>
      <c r="F279" s="72"/>
      <c r="G279" s="27"/>
      <c r="H279" s="27"/>
      <c r="I279" s="52"/>
      <c r="J279" s="27"/>
      <c r="K279" s="27"/>
      <c r="L279" s="27"/>
    </row>
    <row r="280" spans="1:12" x14ac:dyDescent="0.35">
      <c r="A280" s="238"/>
      <c r="B280" s="113"/>
      <c r="C280" s="115"/>
      <c r="D280" s="72"/>
      <c r="E280" s="72"/>
      <c r="F280" s="72"/>
      <c r="G280" s="27"/>
      <c r="H280" s="27"/>
      <c r="I280" s="52"/>
      <c r="J280" s="27"/>
      <c r="K280" s="27"/>
      <c r="L280" s="27"/>
    </row>
    <row r="281" spans="1:12" x14ac:dyDescent="0.35">
      <c r="A281" s="238"/>
      <c r="B281" s="113"/>
      <c r="C281" s="297"/>
      <c r="D281" s="72"/>
      <c r="E281" s="72"/>
      <c r="F281" s="72"/>
      <c r="G281" s="27"/>
      <c r="H281" s="27"/>
      <c r="I281" s="52"/>
      <c r="J281" s="27"/>
      <c r="K281" s="27"/>
      <c r="L281" s="27"/>
    </row>
    <row r="282" spans="1:12" x14ac:dyDescent="0.35">
      <c r="A282" s="238"/>
      <c r="B282" s="113"/>
      <c r="C282" s="115"/>
      <c r="D282" s="72"/>
      <c r="E282" s="72"/>
      <c r="F282" s="72"/>
      <c r="G282" s="27"/>
      <c r="H282" s="27"/>
      <c r="I282" s="52"/>
      <c r="J282" s="27"/>
      <c r="K282" s="27"/>
      <c r="L282" s="27"/>
    </row>
    <row r="283" spans="1:12" x14ac:dyDescent="0.35">
      <c r="A283" s="238"/>
      <c r="B283" s="72"/>
      <c r="C283" s="295"/>
      <c r="D283" s="72"/>
      <c r="E283" s="72"/>
      <c r="F283" s="72"/>
      <c r="G283" s="27"/>
      <c r="H283" s="27"/>
      <c r="I283" s="52"/>
      <c r="J283" s="27"/>
      <c r="K283" s="27"/>
      <c r="L283" s="27"/>
    </row>
    <row r="284" spans="1:12" x14ac:dyDescent="0.35">
      <c r="A284" s="238"/>
      <c r="B284" s="113"/>
      <c r="C284" s="115"/>
      <c r="D284" s="72"/>
      <c r="E284" s="72"/>
      <c r="F284" s="72"/>
      <c r="G284" s="27"/>
      <c r="H284" s="27"/>
      <c r="I284" s="52"/>
      <c r="J284" s="27"/>
      <c r="K284" s="27"/>
      <c r="L284" s="27"/>
    </row>
    <row r="285" spans="1:12" x14ac:dyDescent="0.35">
      <c r="A285" s="238"/>
      <c r="B285" s="113"/>
      <c r="C285" s="295"/>
      <c r="D285" s="72"/>
      <c r="E285" s="72"/>
      <c r="F285" s="72"/>
      <c r="G285" s="27"/>
      <c r="H285" s="27"/>
      <c r="I285" s="52"/>
      <c r="J285" s="27"/>
      <c r="K285" s="27"/>
      <c r="L285" s="27"/>
    </row>
    <row r="286" spans="1:12" x14ac:dyDescent="0.35">
      <c r="A286" s="238"/>
      <c r="B286" s="11"/>
      <c r="C286" s="115"/>
      <c r="D286" s="72"/>
      <c r="E286" s="72"/>
      <c r="F286" s="72"/>
      <c r="G286" s="27"/>
      <c r="H286" s="27"/>
      <c r="I286" s="52"/>
      <c r="J286" s="27"/>
      <c r="K286" s="27"/>
      <c r="L286" s="27"/>
    </row>
    <row r="287" spans="1:12" x14ac:dyDescent="0.35">
      <c r="A287" s="298"/>
      <c r="B287" s="173"/>
      <c r="C287" s="115"/>
      <c r="D287" s="72"/>
      <c r="E287" s="72"/>
      <c r="F287" s="72"/>
      <c r="G287" s="27"/>
      <c r="H287" s="27"/>
      <c r="I287" s="52"/>
      <c r="J287" s="27"/>
      <c r="K287" s="27"/>
      <c r="L287" s="27"/>
    </row>
    <row r="288" spans="1:12" x14ac:dyDescent="0.35">
      <c r="A288" s="238"/>
      <c r="B288" s="113"/>
      <c r="C288" s="115"/>
      <c r="D288" s="72"/>
      <c r="E288" s="72"/>
      <c r="F288" s="72"/>
      <c r="G288" s="27"/>
      <c r="H288" s="27"/>
      <c r="I288" s="52"/>
      <c r="J288" s="27"/>
      <c r="K288" s="27"/>
      <c r="L288" s="27"/>
    </row>
    <row r="289" spans="1:6" x14ac:dyDescent="0.35">
      <c r="A289" s="238"/>
      <c r="B289" s="173"/>
      <c r="C289" s="115"/>
      <c r="D289" s="72"/>
      <c r="E289" s="72"/>
      <c r="F289" s="72"/>
    </row>
    <row r="290" spans="1:6" x14ac:dyDescent="0.35">
      <c r="A290" s="238"/>
      <c r="B290" s="113"/>
      <c r="C290" s="115"/>
      <c r="D290" s="72"/>
      <c r="E290" s="72"/>
      <c r="F290" s="72"/>
    </row>
    <row r="291" spans="1:6" x14ac:dyDescent="0.35">
      <c r="A291" s="238"/>
      <c r="B291" s="113"/>
      <c r="C291" s="297"/>
      <c r="D291" s="72"/>
      <c r="E291" s="72"/>
      <c r="F291" s="72"/>
    </row>
    <row r="292" spans="1:6" x14ac:dyDescent="0.35">
      <c r="A292" s="238"/>
      <c r="B292" s="113"/>
      <c r="C292" s="115"/>
      <c r="D292" s="72"/>
      <c r="E292" s="72"/>
      <c r="F292" s="72"/>
    </row>
    <row r="293" spans="1:6" x14ac:dyDescent="0.35">
      <c r="A293" s="238"/>
      <c r="B293" s="113"/>
      <c r="C293" s="297"/>
      <c r="D293" s="72"/>
      <c r="E293" s="72"/>
      <c r="F293" s="72"/>
    </row>
    <row r="294" spans="1:6" x14ac:dyDescent="0.35">
      <c r="A294" s="238"/>
      <c r="B294" s="173"/>
      <c r="C294" s="115"/>
      <c r="D294" s="72"/>
      <c r="E294" s="72"/>
      <c r="F294" s="72"/>
    </row>
    <row r="295" spans="1:6" x14ac:dyDescent="0.35">
      <c r="A295" s="238"/>
      <c r="B295" s="113"/>
      <c r="C295" s="115"/>
      <c r="D295" s="72"/>
      <c r="E295" s="72"/>
      <c r="F295" s="72"/>
    </row>
    <row r="296" spans="1:6" x14ac:dyDescent="0.35">
      <c r="A296" s="238"/>
      <c r="B296" s="113"/>
      <c r="C296" s="297"/>
      <c r="D296" s="72"/>
      <c r="E296" s="72"/>
      <c r="F296" s="72"/>
    </row>
    <row r="297" spans="1:6" x14ac:dyDescent="0.35">
      <c r="A297" s="238"/>
      <c r="B297" s="113"/>
      <c r="C297" s="115"/>
      <c r="D297" s="72"/>
      <c r="E297" s="72"/>
      <c r="F297" s="72"/>
    </row>
    <row r="298" spans="1:6" x14ac:dyDescent="0.35">
      <c r="A298" s="238"/>
      <c r="B298" s="113"/>
      <c r="C298" s="297"/>
      <c r="D298" s="72"/>
      <c r="E298" s="72"/>
      <c r="F298" s="72"/>
    </row>
    <row r="299" spans="1:6" x14ac:dyDescent="0.35">
      <c r="A299" s="238"/>
      <c r="B299" s="173"/>
      <c r="C299" s="115"/>
      <c r="D299" s="72"/>
      <c r="E299" s="72"/>
      <c r="F299" s="72"/>
    </row>
    <row r="300" spans="1:6" x14ac:dyDescent="0.35">
      <c r="A300" s="238"/>
      <c r="B300" s="113"/>
      <c r="C300" s="115"/>
      <c r="D300" s="72"/>
      <c r="E300" s="72"/>
      <c r="F300" s="72"/>
    </row>
    <row r="301" spans="1:6" x14ac:dyDescent="0.35">
      <c r="A301" s="238"/>
      <c r="B301" s="113"/>
      <c r="C301" s="297"/>
      <c r="D301" s="72"/>
      <c r="E301" s="72"/>
      <c r="F301" s="72"/>
    </row>
    <row r="302" spans="1:6" x14ac:dyDescent="0.35">
      <c r="A302" s="238"/>
      <c r="B302" s="113"/>
      <c r="C302" s="115"/>
      <c r="D302" s="72"/>
      <c r="E302" s="72"/>
      <c r="F302" s="72"/>
    </row>
    <row r="303" spans="1:6" x14ac:dyDescent="0.35">
      <c r="A303" s="238"/>
      <c r="B303" s="113"/>
      <c r="C303" s="297"/>
      <c r="D303" s="72"/>
      <c r="E303" s="72"/>
      <c r="F303" s="72"/>
    </row>
    <row r="304" spans="1:6" x14ac:dyDescent="0.35">
      <c r="A304" s="238"/>
      <c r="B304" s="113"/>
      <c r="C304" s="115"/>
      <c r="D304" s="72"/>
      <c r="E304" s="72"/>
      <c r="F304" s="72"/>
    </row>
    <row r="305" spans="1:6" x14ac:dyDescent="0.35">
      <c r="A305" s="238"/>
      <c r="B305" s="113"/>
      <c r="C305" s="297"/>
      <c r="D305" s="72"/>
      <c r="E305" s="72"/>
      <c r="F305" s="72"/>
    </row>
    <row r="306" spans="1:6" x14ac:dyDescent="0.35">
      <c r="A306" s="238"/>
      <c r="B306" s="113"/>
      <c r="C306" s="115"/>
      <c r="D306" s="72"/>
      <c r="E306" s="72"/>
      <c r="F306" s="72"/>
    </row>
    <row r="307" spans="1:6" x14ac:dyDescent="0.35">
      <c r="A307" s="238"/>
      <c r="B307" s="113"/>
      <c r="C307" s="115"/>
      <c r="D307" s="72"/>
      <c r="E307" s="72"/>
      <c r="F307" s="72"/>
    </row>
    <row r="308" spans="1:6" x14ac:dyDescent="0.35">
      <c r="A308" s="238"/>
      <c r="B308" s="113"/>
      <c r="C308" s="297"/>
      <c r="D308" s="72"/>
      <c r="E308" s="72"/>
      <c r="F308" s="72"/>
    </row>
    <row r="309" spans="1:6" x14ac:dyDescent="0.35">
      <c r="A309" s="238"/>
      <c r="B309" s="173"/>
      <c r="C309" s="115"/>
      <c r="D309" s="72"/>
      <c r="E309" s="72"/>
      <c r="F309" s="72"/>
    </row>
    <row r="310" spans="1:6" x14ac:dyDescent="0.35">
      <c r="A310" s="238"/>
      <c r="B310" s="113"/>
      <c r="C310" s="115"/>
      <c r="D310" s="72"/>
      <c r="E310" s="72"/>
      <c r="F310" s="72"/>
    </row>
    <row r="311" spans="1:6" x14ac:dyDescent="0.35">
      <c r="A311" s="238"/>
      <c r="B311" s="113"/>
      <c r="C311" s="297"/>
      <c r="D311" s="72"/>
      <c r="E311" s="72"/>
      <c r="F311" s="72"/>
    </row>
    <row r="312" spans="1:6" x14ac:dyDescent="0.35">
      <c r="A312" s="238"/>
      <c r="B312" s="113"/>
      <c r="C312" s="115"/>
      <c r="D312" s="72"/>
      <c r="E312" s="72"/>
      <c r="F312" s="72"/>
    </row>
    <row r="313" spans="1:6" x14ac:dyDescent="0.35">
      <c r="A313" s="238"/>
      <c r="B313" s="113"/>
      <c r="C313" s="297"/>
      <c r="D313" s="72"/>
      <c r="E313" s="72"/>
      <c r="F313" s="72"/>
    </row>
    <row r="314" spans="1:6" x14ac:dyDescent="0.35">
      <c r="A314" s="238"/>
      <c r="B314" s="173"/>
      <c r="C314" s="115"/>
      <c r="D314" s="72"/>
      <c r="E314" s="72"/>
      <c r="F314" s="72"/>
    </row>
    <row r="315" spans="1:6" x14ac:dyDescent="0.35">
      <c r="A315" s="238"/>
      <c r="B315" s="113"/>
      <c r="C315" s="115"/>
      <c r="D315" s="72"/>
      <c r="E315" s="72"/>
      <c r="F315" s="72"/>
    </row>
    <row r="316" spans="1:6" x14ac:dyDescent="0.35">
      <c r="A316" s="238"/>
      <c r="B316" s="113"/>
      <c r="C316" s="297"/>
      <c r="D316" s="72"/>
      <c r="E316" s="72"/>
      <c r="F316" s="72"/>
    </row>
    <row r="317" spans="1:6" x14ac:dyDescent="0.35">
      <c r="A317" s="238"/>
      <c r="B317" s="173"/>
      <c r="C317" s="115"/>
      <c r="D317" s="72"/>
      <c r="E317" s="72"/>
      <c r="F317" s="72"/>
    </row>
    <row r="318" spans="1:6" x14ac:dyDescent="0.35">
      <c r="A318" s="238"/>
      <c r="B318" s="113"/>
      <c r="C318" s="115"/>
      <c r="D318" s="72"/>
      <c r="E318" s="72"/>
      <c r="F318" s="72"/>
    </row>
    <row r="319" spans="1:6" x14ac:dyDescent="0.35">
      <c r="A319" s="238"/>
      <c r="B319" s="113"/>
      <c r="C319" s="297"/>
      <c r="D319" s="72"/>
      <c r="E319" s="72"/>
      <c r="F319" s="72"/>
    </row>
    <row r="320" spans="1:6" x14ac:dyDescent="0.35">
      <c r="A320" s="238"/>
      <c r="B320" s="173"/>
      <c r="C320" s="115"/>
      <c r="D320" s="72"/>
      <c r="E320" s="72"/>
      <c r="F320" s="72"/>
    </row>
    <row r="321" spans="1:6" x14ac:dyDescent="0.35">
      <c r="A321" s="238"/>
      <c r="B321" s="113"/>
      <c r="C321" s="115"/>
      <c r="D321" s="72"/>
      <c r="E321" s="72"/>
      <c r="F321" s="72"/>
    </row>
    <row r="322" spans="1:6" x14ac:dyDescent="0.35">
      <c r="A322" s="238"/>
      <c r="B322" s="113"/>
      <c r="C322" s="297"/>
      <c r="D322" s="72"/>
      <c r="E322" s="72"/>
      <c r="F322" s="72"/>
    </row>
    <row r="323" spans="1:6" x14ac:dyDescent="0.35">
      <c r="A323" s="238"/>
      <c r="B323" s="173"/>
      <c r="C323" s="115"/>
      <c r="D323" s="72"/>
      <c r="E323" s="72"/>
      <c r="F323" s="72"/>
    </row>
    <row r="324" spans="1:6" x14ac:dyDescent="0.35">
      <c r="A324" s="238"/>
      <c r="B324" s="113"/>
      <c r="C324" s="115"/>
      <c r="D324" s="72"/>
      <c r="E324" s="72"/>
      <c r="F324" s="72"/>
    </row>
    <row r="325" spans="1:6" x14ac:dyDescent="0.35">
      <c r="A325" s="238"/>
      <c r="B325" s="72"/>
      <c r="C325" s="299"/>
      <c r="D325" s="72"/>
      <c r="E325" s="72"/>
      <c r="F325" s="72"/>
    </row>
    <row r="326" spans="1:6" x14ac:dyDescent="0.35">
      <c r="A326" s="238"/>
      <c r="B326" s="173"/>
      <c r="C326" s="115"/>
      <c r="D326" s="72"/>
      <c r="E326" s="72"/>
      <c r="F326" s="72"/>
    </row>
    <row r="327" spans="1:6" x14ac:dyDescent="0.35">
      <c r="A327" s="238"/>
      <c r="B327" s="113"/>
      <c r="C327" s="115"/>
      <c r="D327" s="72"/>
      <c r="E327" s="72"/>
      <c r="F327" s="72"/>
    </row>
    <row r="328" spans="1:6" x14ac:dyDescent="0.35">
      <c r="A328" s="238"/>
      <c r="B328" s="113"/>
      <c r="C328" s="297"/>
      <c r="D328" s="72"/>
      <c r="E328" s="72"/>
      <c r="F328" s="72"/>
    </row>
    <row r="329" spans="1:6" x14ac:dyDescent="0.35">
      <c r="A329" s="238"/>
      <c r="B329" s="113"/>
      <c r="C329" s="115"/>
      <c r="D329" s="72"/>
      <c r="E329" s="72"/>
      <c r="F329" s="72"/>
    </row>
    <row r="330" spans="1:6" x14ac:dyDescent="0.35">
      <c r="A330" s="238"/>
      <c r="B330" s="113"/>
      <c r="C330" s="297"/>
      <c r="D330" s="72"/>
      <c r="E330" s="72"/>
      <c r="F330" s="72"/>
    </row>
    <row r="331" spans="1:6" x14ac:dyDescent="0.35">
      <c r="A331" s="238"/>
      <c r="B331" s="11"/>
      <c r="C331" s="115"/>
      <c r="D331" s="72"/>
      <c r="E331" s="72"/>
      <c r="F331" s="72"/>
    </row>
    <row r="332" spans="1:6" x14ac:dyDescent="0.35">
      <c r="A332" s="238"/>
      <c r="B332" s="173"/>
      <c r="C332" s="115"/>
      <c r="D332" s="72"/>
      <c r="E332" s="72"/>
      <c r="F332" s="72"/>
    </row>
    <row r="333" spans="1:6" x14ac:dyDescent="0.35">
      <c r="A333" s="238"/>
      <c r="B333" s="113"/>
      <c r="C333" s="115"/>
      <c r="D333" s="72"/>
      <c r="E333" s="72"/>
      <c r="F333" s="72"/>
    </row>
    <row r="334" spans="1:6" x14ac:dyDescent="0.35">
      <c r="A334" s="238"/>
      <c r="B334" s="300"/>
      <c r="C334" s="115"/>
      <c r="D334" s="72"/>
      <c r="E334" s="72"/>
      <c r="F334" s="72"/>
    </row>
    <row r="335" spans="1:6" x14ac:dyDescent="0.35">
      <c r="A335" s="238"/>
      <c r="B335" s="173"/>
      <c r="C335" s="72"/>
      <c r="D335" s="72"/>
      <c r="E335" s="72"/>
      <c r="F335" s="72"/>
    </row>
    <row r="336" spans="1:6" x14ac:dyDescent="0.35">
      <c r="A336" s="238"/>
      <c r="B336" s="115"/>
      <c r="C336" s="72"/>
      <c r="D336" s="72"/>
      <c r="E336" s="72"/>
      <c r="F336" s="72"/>
    </row>
    <row r="337" spans="1:6" x14ac:dyDescent="0.35">
      <c r="A337" s="238"/>
      <c r="B337" s="72"/>
      <c r="C337" s="115"/>
      <c r="D337" s="72"/>
      <c r="E337" s="72"/>
      <c r="F337" s="72"/>
    </row>
    <row r="338" spans="1:6" x14ac:dyDescent="0.35">
      <c r="A338" s="238"/>
      <c r="B338" s="72"/>
      <c r="C338" s="115"/>
      <c r="D338" s="72"/>
      <c r="E338" s="72"/>
      <c r="F338" s="72"/>
    </row>
    <row r="339" spans="1:6" x14ac:dyDescent="0.35">
      <c r="A339" s="238"/>
      <c r="B339" s="72"/>
      <c r="C339" s="115"/>
      <c r="D339" s="72"/>
      <c r="E339" s="72"/>
      <c r="F339" s="72"/>
    </row>
    <row r="340" spans="1:6" x14ac:dyDescent="0.35">
      <c r="A340" s="238"/>
      <c r="B340" s="72"/>
      <c r="C340" s="115"/>
      <c r="D340" s="72"/>
      <c r="E340" s="72"/>
      <c r="F340" s="72"/>
    </row>
    <row r="341" spans="1:6" x14ac:dyDescent="0.35">
      <c r="A341" s="238"/>
      <c r="B341" s="72"/>
      <c r="C341" s="115"/>
      <c r="D341" s="72"/>
      <c r="E341" s="72"/>
      <c r="F341" s="72"/>
    </row>
    <row r="342" spans="1:6" x14ac:dyDescent="0.35">
      <c r="A342" s="238"/>
      <c r="B342" s="72"/>
      <c r="C342" s="115"/>
      <c r="D342" s="72"/>
      <c r="E342" s="72"/>
      <c r="F342" s="72"/>
    </row>
    <row r="343" spans="1:6" x14ac:dyDescent="0.35">
      <c r="A343" s="238"/>
      <c r="B343" s="9"/>
      <c r="C343" s="115"/>
      <c r="D343" s="72"/>
      <c r="E343" s="72"/>
      <c r="F343" s="72"/>
    </row>
    <row r="344" spans="1:6" x14ac:dyDescent="0.35">
      <c r="A344" s="238"/>
      <c r="B344" s="72"/>
      <c r="C344" s="115"/>
      <c r="D344" s="72"/>
      <c r="E344" s="72"/>
      <c r="F344" s="72"/>
    </row>
    <row r="345" spans="1:6" x14ac:dyDescent="0.35">
      <c r="A345" s="238"/>
      <c r="B345" s="72"/>
      <c r="C345" s="115"/>
      <c r="D345" s="72"/>
      <c r="E345" s="72"/>
      <c r="F345" s="72"/>
    </row>
    <row r="346" spans="1:6" x14ac:dyDescent="0.35">
      <c r="A346" s="238"/>
      <c r="B346" s="72"/>
      <c r="C346" s="115"/>
      <c r="D346" s="72"/>
      <c r="E346" s="72"/>
      <c r="F346" s="72"/>
    </row>
    <row r="347" spans="1:6" x14ac:dyDescent="0.35">
      <c r="A347" s="238"/>
      <c r="B347" s="72"/>
      <c r="C347" s="115"/>
      <c r="D347" s="72"/>
      <c r="E347" s="72"/>
      <c r="F347" s="72"/>
    </row>
    <row r="348" spans="1:6" x14ac:dyDescent="0.35">
      <c r="A348" s="238"/>
      <c r="B348" s="72"/>
      <c r="C348" s="115"/>
      <c r="D348" s="72"/>
      <c r="E348" s="72"/>
      <c r="F348" s="72"/>
    </row>
    <row r="349" spans="1:6" x14ac:dyDescent="0.35">
      <c r="A349" s="238"/>
      <c r="B349" s="72"/>
      <c r="C349" s="115"/>
      <c r="D349" s="72"/>
      <c r="E349" s="72"/>
      <c r="F349" s="72"/>
    </row>
    <row r="350" spans="1:6" x14ac:dyDescent="0.35">
      <c r="A350" s="238"/>
      <c r="B350" s="72"/>
      <c r="C350" s="72"/>
      <c r="D350" s="297"/>
      <c r="E350" s="72"/>
      <c r="F350" s="72"/>
    </row>
    <row r="351" spans="1:6" x14ac:dyDescent="0.35">
      <c r="A351" s="238"/>
      <c r="B351" s="72"/>
      <c r="C351" s="113"/>
      <c r="D351" s="297"/>
      <c r="E351" s="72"/>
      <c r="F351" s="72"/>
    </row>
    <row r="352" spans="1:6" x14ac:dyDescent="0.35">
      <c r="A352" s="238"/>
      <c r="B352" s="72"/>
      <c r="C352" s="72"/>
      <c r="D352" s="115"/>
      <c r="E352" s="72"/>
      <c r="F352" s="72"/>
    </row>
    <row r="353" spans="1:6" x14ac:dyDescent="0.35">
      <c r="A353" s="238"/>
      <c r="B353" s="72"/>
      <c r="C353" s="113"/>
      <c r="D353" s="72"/>
      <c r="E353" s="72"/>
      <c r="F353" s="72"/>
    </row>
    <row r="354" spans="1:6" x14ac:dyDescent="0.35">
      <c r="A354" s="238"/>
      <c r="B354" s="72"/>
      <c r="C354" s="113"/>
      <c r="D354" s="297"/>
      <c r="E354" s="72"/>
      <c r="F354" s="72"/>
    </row>
    <row r="355" spans="1:6" x14ac:dyDescent="0.35">
      <c r="A355" s="238"/>
      <c r="B355" s="72"/>
      <c r="C355" s="113"/>
      <c r="D355" s="297"/>
      <c r="E355" s="72"/>
      <c r="F355" s="72"/>
    </row>
    <row r="356" spans="1:6" x14ac:dyDescent="0.35">
      <c r="A356" s="238"/>
      <c r="B356" s="72"/>
      <c r="C356" s="72"/>
      <c r="D356" s="115"/>
      <c r="E356" s="72"/>
      <c r="F356" s="72"/>
    </row>
    <row r="357" spans="1:6" x14ac:dyDescent="0.35">
      <c r="A357" s="238"/>
      <c r="B357" s="72"/>
      <c r="C357" s="113"/>
      <c r="D357" s="115"/>
      <c r="E357" s="72"/>
      <c r="F357" s="72"/>
    </row>
    <row r="358" spans="1:6" x14ac:dyDescent="0.35">
      <c r="A358" s="238"/>
      <c r="B358" s="72"/>
      <c r="C358" s="113"/>
      <c r="D358" s="297"/>
      <c r="E358" s="72"/>
      <c r="F358" s="72"/>
    </row>
    <row r="359" spans="1:6" x14ac:dyDescent="0.35">
      <c r="A359" s="238"/>
      <c r="B359" s="72"/>
      <c r="C359" s="113"/>
      <c r="D359" s="297"/>
      <c r="E359" s="72"/>
      <c r="F359" s="72"/>
    </row>
    <row r="360" spans="1:6" x14ac:dyDescent="0.35">
      <c r="A360" s="238"/>
      <c r="B360" s="72"/>
      <c r="C360" s="113"/>
      <c r="D360" s="115"/>
      <c r="E360" s="72"/>
      <c r="F360" s="72"/>
    </row>
    <row r="361" spans="1:6" x14ac:dyDescent="0.35">
      <c r="A361" s="238"/>
      <c r="B361" s="72"/>
      <c r="C361" s="72"/>
      <c r="D361" s="115"/>
      <c r="E361" s="72"/>
      <c r="F361" s="301"/>
    </row>
    <row r="362" spans="1:6" x14ac:dyDescent="0.35">
      <c r="A362" s="238"/>
      <c r="B362" s="72"/>
      <c r="C362" s="113"/>
      <c r="D362" s="115"/>
      <c r="E362" s="72"/>
      <c r="F362" s="72"/>
    </row>
    <row r="363" spans="1:6" x14ac:dyDescent="0.35">
      <c r="A363" s="238"/>
      <c r="B363" s="72"/>
      <c r="C363" s="72"/>
      <c r="D363" s="115"/>
      <c r="E363" s="72"/>
      <c r="F363" s="72"/>
    </row>
    <row r="364" spans="1:6" x14ac:dyDescent="0.35">
      <c r="A364" s="238"/>
      <c r="B364" s="72"/>
      <c r="C364" s="173"/>
      <c r="D364" s="115"/>
      <c r="E364" s="72"/>
      <c r="F364" s="72"/>
    </row>
    <row r="365" spans="1:6" x14ac:dyDescent="0.35">
      <c r="A365" s="238"/>
      <c r="B365" s="72"/>
      <c r="C365" s="113"/>
      <c r="D365" s="302"/>
      <c r="E365" s="72"/>
      <c r="F365" s="72"/>
    </row>
    <row r="366" spans="1:6" x14ac:dyDescent="0.35">
      <c r="A366" s="238"/>
      <c r="B366" s="72"/>
      <c r="C366" s="113"/>
      <c r="D366" s="297"/>
      <c r="E366" s="72"/>
      <c r="F366" s="72"/>
    </row>
    <row r="367" spans="1:6" x14ac:dyDescent="0.35">
      <c r="A367" s="238"/>
      <c r="B367" s="72"/>
      <c r="C367" s="113"/>
      <c r="D367" s="115"/>
      <c r="E367" s="72"/>
      <c r="F367" s="72"/>
    </row>
    <row r="368" spans="1:6" x14ac:dyDescent="0.35">
      <c r="C368" s="76"/>
      <c r="D368" s="303"/>
    </row>
    <row r="369" spans="3:4" x14ac:dyDescent="0.35">
      <c r="C369" s="76"/>
      <c r="D369" s="73"/>
    </row>
    <row r="370" spans="3:4" x14ac:dyDescent="0.35">
      <c r="C370" s="76"/>
      <c r="D370" s="73"/>
    </row>
    <row r="371" spans="3:4" x14ac:dyDescent="0.35">
      <c r="C371" s="76"/>
      <c r="D371" s="73"/>
    </row>
    <row r="372" spans="3:4" x14ac:dyDescent="0.35">
      <c r="C372" s="76"/>
      <c r="D372" s="73"/>
    </row>
    <row r="373" spans="3:4" x14ac:dyDescent="0.35">
      <c r="C373" s="76"/>
      <c r="D373" s="303"/>
    </row>
    <row r="374" spans="3:4" x14ac:dyDescent="0.35">
      <c r="C374" s="25"/>
      <c r="D374" s="73"/>
    </row>
    <row r="375" spans="3:4" x14ac:dyDescent="0.35">
      <c r="C375" s="25"/>
      <c r="D375" s="73"/>
    </row>
    <row r="376" spans="3:4" x14ac:dyDescent="0.35">
      <c r="C376" s="25"/>
      <c r="D376" s="73"/>
    </row>
    <row r="377" spans="3:4" x14ac:dyDescent="0.35">
      <c r="C377" s="25"/>
      <c r="D377" s="73"/>
    </row>
    <row r="378" spans="3:4" x14ac:dyDescent="0.35">
      <c r="C378" s="25"/>
      <c r="D378" s="73"/>
    </row>
    <row r="379" spans="3:4" x14ac:dyDescent="0.35">
      <c r="C379" s="25"/>
      <c r="D379" s="73"/>
    </row>
    <row r="380" spans="3:4" x14ac:dyDescent="0.35">
      <c r="C380" s="25"/>
      <c r="D380" s="73"/>
    </row>
    <row r="381" spans="3:4" x14ac:dyDescent="0.35">
      <c r="C381" s="25"/>
      <c r="D381" s="73"/>
    </row>
    <row r="382" spans="3:4" x14ac:dyDescent="0.35">
      <c r="C382" s="25"/>
      <c r="D382" s="73"/>
    </row>
    <row r="383" spans="3:4" x14ac:dyDescent="0.35">
      <c r="C383" s="25"/>
      <c r="D383" s="73"/>
    </row>
    <row r="384" spans="3:4" x14ac:dyDescent="0.35">
      <c r="C384" s="25"/>
      <c r="D384" s="73"/>
    </row>
    <row r="385" spans="3:4" x14ac:dyDescent="0.35">
      <c r="C385" s="25"/>
      <c r="D385" s="73"/>
    </row>
    <row r="386" spans="3:4" x14ac:dyDescent="0.35">
      <c r="C386" s="25"/>
      <c r="D386" s="73"/>
    </row>
    <row r="387" spans="3:4" x14ac:dyDescent="0.35">
      <c r="C387" s="25"/>
      <c r="D387" s="73"/>
    </row>
    <row r="388" spans="3:4" x14ac:dyDescent="0.35">
      <c r="C388" s="25"/>
      <c r="D388" s="73"/>
    </row>
    <row r="389" spans="3:4" x14ac:dyDescent="0.35">
      <c r="C389" s="25"/>
      <c r="D389" s="73"/>
    </row>
    <row r="390" spans="3:4" x14ac:dyDescent="0.35">
      <c r="C390" s="25"/>
      <c r="D390" s="73"/>
    </row>
    <row r="391" spans="3:4" x14ac:dyDescent="0.35">
      <c r="C391" s="25"/>
      <c r="D391" s="73"/>
    </row>
    <row r="392" spans="3:4" x14ac:dyDescent="0.35">
      <c r="C392" s="25"/>
      <c r="D392" s="73"/>
    </row>
    <row r="393" spans="3:4" x14ac:dyDescent="0.35">
      <c r="C393" s="25"/>
      <c r="D393" s="73"/>
    </row>
    <row r="394" spans="3:4" x14ac:dyDescent="0.35">
      <c r="C394" s="25"/>
      <c r="D394" s="73"/>
    </row>
    <row r="395" spans="3:4" x14ac:dyDescent="0.35">
      <c r="C395" s="25"/>
      <c r="D395" s="73"/>
    </row>
    <row r="396" spans="3:4" x14ac:dyDescent="0.35">
      <c r="C396" s="25"/>
      <c r="D396" s="73"/>
    </row>
    <row r="397" spans="3:4" x14ac:dyDescent="0.35">
      <c r="C397" s="25"/>
      <c r="D397" s="73"/>
    </row>
    <row r="398" spans="3:4" x14ac:dyDescent="0.35">
      <c r="C398" s="25"/>
      <c r="D398" s="73"/>
    </row>
    <row r="399" spans="3:4" x14ac:dyDescent="0.35">
      <c r="C399" s="25"/>
      <c r="D399" s="73"/>
    </row>
    <row r="400" spans="3:4" x14ac:dyDescent="0.35">
      <c r="C400" s="25"/>
      <c r="D400" s="73"/>
    </row>
    <row r="401" spans="3:4" x14ac:dyDescent="0.35">
      <c r="C401" s="25"/>
      <c r="D401" s="73"/>
    </row>
    <row r="402" spans="3:4" x14ac:dyDescent="0.35">
      <c r="C402" s="25"/>
      <c r="D402" s="73"/>
    </row>
    <row r="403" spans="3:4" x14ac:dyDescent="0.35">
      <c r="C403" s="25"/>
      <c r="D403" s="73"/>
    </row>
    <row r="404" spans="3:4" x14ac:dyDescent="0.35">
      <c r="C404" s="25"/>
      <c r="D404" s="73"/>
    </row>
    <row r="405" spans="3:4" x14ac:dyDescent="0.35">
      <c r="C405" s="25"/>
      <c r="D405" s="73"/>
    </row>
    <row r="406" spans="3:4" x14ac:dyDescent="0.35">
      <c r="C406" s="25"/>
      <c r="D406" s="73"/>
    </row>
    <row r="407" spans="3:4" x14ac:dyDescent="0.35">
      <c r="C407" s="25"/>
      <c r="D407" s="73"/>
    </row>
    <row r="408" spans="3:4" x14ac:dyDescent="0.35">
      <c r="C408" s="25"/>
      <c r="D408" s="73"/>
    </row>
    <row r="409" spans="3:4" x14ac:dyDescent="0.35">
      <c r="C409" s="25"/>
      <c r="D409" s="73"/>
    </row>
    <row r="410" spans="3:4" x14ac:dyDescent="0.35">
      <c r="C410" s="25"/>
      <c r="D410" s="73"/>
    </row>
    <row r="411" spans="3:4" x14ac:dyDescent="0.35">
      <c r="C411" s="25"/>
      <c r="D411" s="73"/>
    </row>
    <row r="412" spans="3:4" x14ac:dyDescent="0.35">
      <c r="C412" s="25"/>
      <c r="D412" s="73"/>
    </row>
    <row r="413" spans="3:4" x14ac:dyDescent="0.35">
      <c r="C413" s="25"/>
      <c r="D413" s="73"/>
    </row>
    <row r="414" spans="3:4" x14ac:dyDescent="0.35">
      <c r="C414" s="25"/>
      <c r="D414" s="73"/>
    </row>
    <row r="415" spans="3:4" x14ac:dyDescent="0.35">
      <c r="C415" s="25"/>
      <c r="D415" s="73"/>
    </row>
    <row r="416" spans="3:4" x14ac:dyDescent="0.35">
      <c r="C416" s="25"/>
      <c r="D416" s="73"/>
    </row>
    <row r="417" spans="3:4" x14ac:dyDescent="0.35">
      <c r="C417" s="25"/>
      <c r="D417" s="73"/>
    </row>
    <row r="418" spans="3:4" x14ac:dyDescent="0.35">
      <c r="C418" s="25"/>
      <c r="D418" s="73"/>
    </row>
    <row r="419" spans="3:4" x14ac:dyDescent="0.35">
      <c r="C419" s="25"/>
      <c r="D419" s="73"/>
    </row>
    <row r="420" spans="3:4" x14ac:dyDescent="0.35">
      <c r="C420" s="25"/>
      <c r="D420" s="73"/>
    </row>
    <row r="421" spans="3:4" x14ac:dyDescent="0.35">
      <c r="C421" s="25"/>
      <c r="D421" s="73"/>
    </row>
    <row r="422" spans="3:4" x14ac:dyDescent="0.35">
      <c r="C422" s="25"/>
      <c r="D422" s="73"/>
    </row>
    <row r="423" spans="3:4" x14ac:dyDescent="0.35">
      <c r="C423" s="25"/>
      <c r="D423" s="73"/>
    </row>
    <row r="424" spans="3:4" x14ac:dyDescent="0.35">
      <c r="C424" s="25"/>
      <c r="D424" s="73"/>
    </row>
    <row r="425" spans="3:4" x14ac:dyDescent="0.35">
      <c r="C425" s="25"/>
      <c r="D425" s="73"/>
    </row>
    <row r="426" spans="3:4" x14ac:dyDescent="0.35">
      <c r="C426" s="25"/>
      <c r="D426" s="73"/>
    </row>
    <row r="427" spans="3:4" x14ac:dyDescent="0.35">
      <c r="C427" s="25"/>
      <c r="D427" s="73"/>
    </row>
    <row r="428" spans="3:4" x14ac:dyDescent="0.35">
      <c r="C428" s="25"/>
      <c r="D428" s="73"/>
    </row>
  </sheetData>
  <sheetProtection sheet="1" objects="1" scenarios="1" selectLockedCells="1"/>
  <hyperlinks>
    <hyperlink ref="B4" r:id="rId1" display="http://www.beavervalleysupply.com/sectione/degblades.htm" xr:uid="{00000000-0004-0000-0300-000000000000}"/>
  </hyperlinks>
  <printOptions gridLines="1"/>
  <pageMargins left="0.7" right="0.7" top="0.75" bottom="0.75" header="0.3" footer="0.3"/>
  <pageSetup orientation="portrait" horizontalDpi="300" verticalDpi="30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441"/>
  <sheetViews>
    <sheetView workbookViewId="0">
      <selection activeCell="H1" sqref="H1"/>
    </sheetView>
  </sheetViews>
  <sheetFormatPr defaultRowHeight="15.5" x14ac:dyDescent="0.35"/>
  <cols>
    <col min="1" max="1" width="7.453125" style="25" customWidth="1"/>
    <col min="2" max="2" width="54.6328125" style="25" customWidth="1"/>
    <col min="3" max="3" width="17.26953125" style="25" customWidth="1"/>
    <col min="4" max="4" width="11.6328125" style="25" customWidth="1"/>
    <col min="5" max="6" width="8.7265625" style="25"/>
    <col min="7" max="7" width="4.1796875" style="25" customWidth="1"/>
    <col min="8" max="8" width="38" style="76" customWidth="1"/>
    <col min="9" max="9" width="12.1796875" style="73" customWidth="1"/>
    <col min="10" max="16384" width="8.7265625" style="25"/>
  </cols>
  <sheetData>
    <row r="1" spans="1:13" ht="20" x14ac:dyDescent="0.4">
      <c r="A1" s="2"/>
      <c r="B1" s="137" t="s">
        <v>484</v>
      </c>
      <c r="C1" s="73"/>
      <c r="G1" s="27"/>
      <c r="H1" s="74"/>
      <c r="I1" s="52"/>
      <c r="J1" s="27"/>
      <c r="K1" s="27"/>
      <c r="L1" s="27"/>
      <c r="M1" s="27"/>
    </row>
    <row r="2" spans="1:13" x14ac:dyDescent="0.35">
      <c r="A2" s="75"/>
      <c r="B2" s="7"/>
      <c r="C2" s="73"/>
      <c r="G2" s="27"/>
      <c r="H2" s="74"/>
      <c r="I2" s="52"/>
      <c r="J2" s="27"/>
      <c r="K2" s="27"/>
      <c r="L2" s="27"/>
      <c r="M2" s="27"/>
    </row>
    <row r="3" spans="1:13" ht="16" thickBot="1" x14ac:dyDescent="0.4">
      <c r="B3" s="305"/>
      <c r="C3" s="306"/>
      <c r="G3" s="27"/>
      <c r="H3" s="74"/>
      <c r="I3" s="52"/>
      <c r="J3" s="27"/>
      <c r="K3" s="27"/>
      <c r="L3" s="27"/>
      <c r="M3" s="27"/>
    </row>
    <row r="4" spans="1:13" ht="16" thickBot="1" x14ac:dyDescent="0.4">
      <c r="A4" s="27"/>
      <c r="B4" s="60" t="s">
        <v>546</v>
      </c>
      <c r="C4" s="58"/>
      <c r="D4" s="54"/>
      <c r="E4" s="27"/>
      <c r="I4" s="52"/>
      <c r="J4" s="27"/>
      <c r="K4" s="27"/>
      <c r="L4" s="27"/>
      <c r="M4" s="27"/>
    </row>
    <row r="5" spans="1:13" x14ac:dyDescent="0.35">
      <c r="A5" s="27"/>
      <c r="B5" s="74"/>
      <c r="C5" s="52"/>
      <c r="D5" s="27"/>
      <c r="E5" s="27"/>
      <c r="I5" s="52"/>
      <c r="J5" s="27"/>
      <c r="K5" s="27"/>
      <c r="L5" s="27"/>
      <c r="M5" s="27"/>
    </row>
    <row r="6" spans="1:13" x14ac:dyDescent="0.35">
      <c r="A6" s="27"/>
      <c r="B6" s="74"/>
      <c r="C6" s="52"/>
      <c r="D6" s="27"/>
      <c r="E6" s="27"/>
      <c r="I6" s="52"/>
      <c r="J6" s="27"/>
      <c r="K6" s="27"/>
      <c r="L6" s="27"/>
      <c r="M6" s="27"/>
    </row>
    <row r="7" spans="1:13" x14ac:dyDescent="0.35">
      <c r="A7" s="27"/>
      <c r="B7" s="74"/>
      <c r="C7" s="52"/>
      <c r="D7" s="27"/>
      <c r="E7" s="27"/>
      <c r="I7" s="52"/>
      <c r="J7" s="27"/>
      <c r="K7" s="27"/>
      <c r="L7" s="27"/>
      <c r="M7" s="27"/>
    </row>
    <row r="8" spans="1:13" x14ac:dyDescent="0.35">
      <c r="A8" s="27"/>
      <c r="B8" s="74"/>
      <c r="C8" s="52"/>
      <c r="D8" s="27"/>
      <c r="E8" s="27"/>
      <c r="I8" s="52"/>
      <c r="J8" s="27"/>
      <c r="K8" s="27"/>
      <c r="L8" s="27"/>
      <c r="M8" s="27"/>
    </row>
    <row r="9" spans="1:13" x14ac:dyDescent="0.35">
      <c r="A9" s="27"/>
      <c r="B9" s="74"/>
      <c r="C9" s="52"/>
      <c r="D9" s="27"/>
      <c r="E9" s="27"/>
      <c r="I9" s="52"/>
      <c r="J9" s="27"/>
      <c r="K9" s="27"/>
      <c r="L9" s="27"/>
      <c r="M9" s="27"/>
    </row>
    <row r="10" spans="1:13" x14ac:dyDescent="0.35">
      <c r="A10" s="27"/>
      <c r="B10" s="74"/>
      <c r="C10" s="52"/>
      <c r="D10" s="27"/>
      <c r="E10" s="27"/>
      <c r="I10" s="52"/>
      <c r="J10" s="27"/>
      <c r="K10" s="27"/>
      <c r="L10" s="27"/>
      <c r="M10" s="27"/>
    </row>
    <row r="11" spans="1:13" x14ac:dyDescent="0.35">
      <c r="A11" s="27"/>
      <c r="B11" s="74"/>
      <c r="C11" s="52"/>
      <c r="D11" s="27"/>
      <c r="E11" s="27"/>
      <c r="I11" s="52"/>
      <c r="J11" s="27"/>
      <c r="K11" s="27"/>
      <c r="L11" s="27"/>
      <c r="M11" s="27"/>
    </row>
    <row r="12" spans="1:13" x14ac:dyDescent="0.35">
      <c r="A12" s="27"/>
      <c r="B12" s="74"/>
      <c r="C12" s="52"/>
      <c r="D12" s="27"/>
      <c r="E12" s="27"/>
      <c r="I12" s="52"/>
      <c r="J12" s="27"/>
      <c r="K12" s="27"/>
      <c r="L12" s="27"/>
      <c r="M12" s="27"/>
    </row>
    <row r="13" spans="1:13" x14ac:dyDescent="0.35">
      <c r="A13" s="27"/>
      <c r="B13" s="74"/>
      <c r="C13" s="52"/>
      <c r="D13" s="27"/>
      <c r="E13" s="27"/>
      <c r="I13" s="52"/>
      <c r="J13" s="27"/>
      <c r="K13" s="27"/>
      <c r="L13" s="27"/>
      <c r="M13" s="27"/>
    </row>
    <row r="14" spans="1:13" x14ac:dyDescent="0.35">
      <c r="A14" s="27"/>
      <c r="B14" s="74"/>
      <c r="C14" s="52"/>
      <c r="D14" s="27"/>
      <c r="E14" s="27"/>
      <c r="I14" s="52"/>
      <c r="J14" s="27"/>
      <c r="K14" s="27"/>
      <c r="L14" s="27"/>
      <c r="M14" s="27"/>
    </row>
    <row r="15" spans="1:13" x14ac:dyDescent="0.35">
      <c r="A15" s="27"/>
      <c r="B15" s="74"/>
      <c r="C15" s="52"/>
      <c r="D15" s="27"/>
      <c r="E15" s="27"/>
      <c r="I15" s="52"/>
      <c r="J15" s="27"/>
      <c r="K15" s="27"/>
      <c r="L15" s="27"/>
      <c r="M15" s="27"/>
    </row>
    <row r="16" spans="1:13" x14ac:dyDescent="0.35">
      <c r="A16" s="27"/>
      <c r="B16" s="74"/>
      <c r="C16" s="52"/>
      <c r="D16" s="27"/>
      <c r="E16" s="27"/>
      <c r="L16" s="27"/>
      <c r="M16" s="27"/>
    </row>
    <row r="17" spans="1:13" x14ac:dyDescent="0.35">
      <c r="A17" s="27"/>
      <c r="B17" s="74"/>
      <c r="C17" s="52"/>
      <c r="D17" s="27"/>
      <c r="E17" s="27"/>
      <c r="L17" s="27"/>
      <c r="M17" s="27"/>
    </row>
    <row r="18" spans="1:13" ht="18" x14ac:dyDescent="0.4">
      <c r="A18" s="27"/>
      <c r="B18" s="328" t="s">
        <v>547</v>
      </c>
      <c r="C18" s="52"/>
      <c r="D18" s="27"/>
      <c r="E18" s="27"/>
      <c r="L18" s="27"/>
      <c r="M18" s="27"/>
    </row>
    <row r="19" spans="1:13" ht="16" thickBot="1" x14ac:dyDescent="0.4">
      <c r="A19" s="27"/>
      <c r="C19" s="52"/>
      <c r="D19" s="27"/>
      <c r="E19" s="27"/>
      <c r="L19" s="27"/>
      <c r="M19" s="27"/>
    </row>
    <row r="20" spans="1:13" ht="16" thickBot="1" x14ac:dyDescent="0.4">
      <c r="A20" s="27"/>
      <c r="B20" s="329" t="s">
        <v>4</v>
      </c>
      <c r="C20" s="27"/>
      <c r="G20" s="27"/>
      <c r="H20" s="74"/>
      <c r="L20" s="27"/>
      <c r="M20" s="27"/>
    </row>
    <row r="21" spans="1:13" x14ac:dyDescent="0.35">
      <c r="A21" s="77"/>
      <c r="B21" s="78"/>
      <c r="C21" s="79"/>
      <c r="D21" s="77"/>
      <c r="E21" s="77"/>
      <c r="F21" s="77"/>
      <c r="G21" s="27"/>
      <c r="H21" s="74"/>
      <c r="L21" s="27"/>
      <c r="M21" s="27"/>
    </row>
    <row r="22" spans="1:13" x14ac:dyDescent="0.35">
      <c r="G22" s="27"/>
      <c r="H22" s="74"/>
      <c r="L22" s="27"/>
      <c r="M22" s="27"/>
    </row>
    <row r="23" spans="1:13" x14ac:dyDescent="0.35">
      <c r="B23" s="1" t="s">
        <v>367</v>
      </c>
      <c r="C23" s="73"/>
      <c r="G23" s="27"/>
      <c r="H23" s="74"/>
      <c r="L23" s="27"/>
      <c r="M23" s="27"/>
    </row>
    <row r="24" spans="1:13" x14ac:dyDescent="0.35">
      <c r="C24" s="73"/>
      <c r="G24" s="27"/>
      <c r="H24" s="74"/>
      <c r="L24" s="27"/>
      <c r="M24" s="27"/>
    </row>
    <row r="25" spans="1:13" x14ac:dyDescent="0.35">
      <c r="C25" s="73"/>
      <c r="G25" s="27"/>
      <c r="H25" s="74"/>
      <c r="L25" s="27"/>
      <c r="M25" s="27"/>
    </row>
    <row r="26" spans="1:13" x14ac:dyDescent="0.35">
      <c r="C26" s="73"/>
      <c r="G26" s="27"/>
      <c r="H26" s="74"/>
      <c r="L26" s="27"/>
      <c r="M26" s="27"/>
    </row>
    <row r="27" spans="1:13" x14ac:dyDescent="0.35">
      <c r="C27" s="73"/>
      <c r="G27" s="27"/>
      <c r="H27" s="74"/>
      <c r="L27" s="27"/>
      <c r="M27" s="27"/>
    </row>
    <row r="28" spans="1:13" x14ac:dyDescent="0.35">
      <c r="C28" s="73"/>
      <c r="G28" s="27"/>
      <c r="H28" s="74"/>
      <c r="L28" s="27"/>
      <c r="M28" s="27"/>
    </row>
    <row r="29" spans="1:13" x14ac:dyDescent="0.35">
      <c r="C29" s="73"/>
      <c r="G29" s="27"/>
      <c r="H29" s="74"/>
      <c r="L29" s="27"/>
      <c r="M29" s="27"/>
    </row>
    <row r="30" spans="1:13" x14ac:dyDescent="0.35">
      <c r="C30" s="73"/>
      <c r="G30" s="27"/>
      <c r="H30" s="74"/>
      <c r="L30" s="27"/>
      <c r="M30" s="27"/>
    </row>
    <row r="31" spans="1:13" x14ac:dyDescent="0.35">
      <c r="C31" s="73"/>
      <c r="G31" s="27"/>
      <c r="H31" s="74"/>
      <c r="L31" s="27"/>
      <c r="M31" s="27"/>
    </row>
    <row r="32" spans="1:13" x14ac:dyDescent="0.35">
      <c r="C32" s="73"/>
      <c r="G32" s="27"/>
      <c r="H32" s="74"/>
      <c r="L32" s="27"/>
      <c r="M32" s="27"/>
    </row>
    <row r="33" spans="2:13" x14ac:dyDescent="0.35">
      <c r="C33" s="73"/>
      <c r="G33" s="27"/>
      <c r="H33" s="74"/>
      <c r="L33" s="27"/>
      <c r="M33" s="27"/>
    </row>
    <row r="34" spans="2:13" x14ac:dyDescent="0.35">
      <c r="C34" s="73"/>
      <c r="G34" s="27"/>
      <c r="H34" s="74"/>
      <c r="I34" s="52"/>
      <c r="J34" s="27"/>
      <c r="K34" s="27"/>
      <c r="L34" s="27"/>
      <c r="M34" s="27"/>
    </row>
    <row r="35" spans="2:13" x14ac:dyDescent="0.35">
      <c r="H35" s="25"/>
      <c r="I35" s="52"/>
      <c r="J35" s="27"/>
      <c r="K35" s="27"/>
      <c r="L35" s="27"/>
      <c r="M35" s="27"/>
    </row>
    <row r="36" spans="2:13" x14ac:dyDescent="0.35">
      <c r="H36" s="25"/>
      <c r="I36" s="52"/>
      <c r="J36" s="27"/>
      <c r="K36" s="27"/>
      <c r="L36" s="27"/>
      <c r="M36" s="27"/>
    </row>
    <row r="37" spans="2:13" x14ac:dyDescent="0.35">
      <c r="C37" s="73"/>
      <c r="G37" s="27"/>
      <c r="H37" s="74"/>
      <c r="I37" s="52"/>
      <c r="J37" s="27"/>
      <c r="K37" s="27"/>
      <c r="L37" s="27"/>
      <c r="M37" s="27"/>
    </row>
    <row r="38" spans="2:13" x14ac:dyDescent="0.35">
      <c r="C38" s="73"/>
      <c r="G38" s="27"/>
      <c r="H38" s="74"/>
      <c r="I38" s="52"/>
      <c r="J38" s="27"/>
      <c r="K38" s="27"/>
      <c r="L38" s="27"/>
      <c r="M38" s="27"/>
    </row>
    <row r="39" spans="2:13" x14ac:dyDescent="0.35">
      <c r="C39" s="73"/>
      <c r="G39" s="27"/>
      <c r="H39" s="74"/>
      <c r="I39" s="52"/>
      <c r="J39" s="27"/>
      <c r="K39" s="27"/>
      <c r="L39" s="27"/>
      <c r="M39" s="27"/>
    </row>
    <row r="40" spans="2:13" x14ac:dyDescent="0.35">
      <c r="C40" s="73"/>
      <c r="G40" s="27"/>
      <c r="H40" s="74"/>
      <c r="I40" s="52"/>
      <c r="J40" s="27"/>
      <c r="K40" s="27"/>
      <c r="L40" s="27"/>
      <c r="M40" s="27"/>
    </row>
    <row r="41" spans="2:13" x14ac:dyDescent="0.35">
      <c r="C41" s="73"/>
      <c r="G41" s="27"/>
      <c r="H41" s="74"/>
      <c r="I41" s="52"/>
      <c r="J41" s="27"/>
      <c r="K41" s="27"/>
      <c r="L41" s="27"/>
      <c r="M41" s="27"/>
    </row>
    <row r="42" spans="2:13" x14ac:dyDescent="0.35">
      <c r="C42" s="73"/>
      <c r="G42" s="27"/>
      <c r="H42" s="74"/>
      <c r="I42" s="52"/>
      <c r="J42" s="27"/>
      <c r="K42" s="27"/>
      <c r="L42" s="27"/>
      <c r="M42" s="27"/>
    </row>
    <row r="43" spans="2:13" ht="18" x14ac:dyDescent="0.4">
      <c r="B43" s="175" t="s">
        <v>368</v>
      </c>
      <c r="C43" s="73"/>
      <c r="G43" s="27"/>
      <c r="H43" s="74"/>
      <c r="I43" s="52"/>
      <c r="J43" s="27"/>
      <c r="K43" s="27"/>
      <c r="L43" s="27"/>
      <c r="M43" s="27"/>
    </row>
    <row r="44" spans="2:13" x14ac:dyDescent="0.35">
      <c r="C44" s="73"/>
      <c r="G44" s="27"/>
      <c r="H44" s="74"/>
      <c r="I44" s="52"/>
      <c r="J44" s="27"/>
      <c r="K44" s="27"/>
      <c r="L44" s="27"/>
      <c r="M44" s="27"/>
    </row>
    <row r="45" spans="2:13" x14ac:dyDescent="0.35">
      <c r="C45" s="73"/>
      <c r="G45" s="27"/>
      <c r="H45" s="74"/>
      <c r="I45" s="52"/>
      <c r="J45" s="27"/>
      <c r="K45" s="27"/>
      <c r="L45" s="27"/>
      <c r="M45" s="27"/>
    </row>
    <row r="46" spans="2:13" x14ac:dyDescent="0.35">
      <c r="C46" s="73"/>
      <c r="G46" s="27"/>
      <c r="H46" s="74"/>
      <c r="I46" s="52"/>
      <c r="J46" s="27"/>
      <c r="K46" s="27"/>
      <c r="L46" s="27"/>
      <c r="M46" s="27"/>
    </row>
    <row r="47" spans="2:13" x14ac:dyDescent="0.35">
      <c r="C47" s="73"/>
      <c r="G47" s="27"/>
      <c r="H47" s="74"/>
      <c r="I47" s="52"/>
      <c r="J47" s="27"/>
      <c r="K47" s="27"/>
      <c r="L47" s="27"/>
      <c r="M47" s="27"/>
    </row>
    <row r="48" spans="2:13" x14ac:dyDescent="0.35">
      <c r="C48" s="73"/>
      <c r="G48" s="27"/>
      <c r="H48" s="74"/>
      <c r="I48" s="52"/>
      <c r="J48" s="27"/>
      <c r="K48" s="27"/>
      <c r="L48" s="27"/>
      <c r="M48" s="27"/>
    </row>
    <row r="49" spans="3:13" x14ac:dyDescent="0.35">
      <c r="C49" s="73"/>
      <c r="G49" s="27"/>
      <c r="H49" s="74"/>
      <c r="I49" s="52"/>
      <c r="J49" s="27"/>
      <c r="K49" s="27"/>
      <c r="L49" s="27"/>
      <c r="M49" s="27"/>
    </row>
    <row r="50" spans="3:13" x14ac:dyDescent="0.35">
      <c r="C50" s="73"/>
      <c r="G50" s="27"/>
      <c r="H50" s="74"/>
      <c r="I50" s="52"/>
      <c r="J50" s="27"/>
      <c r="K50" s="27"/>
      <c r="L50" s="27"/>
      <c r="M50" s="27"/>
    </row>
    <row r="51" spans="3:13" x14ac:dyDescent="0.35">
      <c r="C51" s="73"/>
      <c r="G51" s="27"/>
      <c r="H51" s="74"/>
      <c r="I51" s="52"/>
      <c r="J51" s="27"/>
      <c r="K51" s="27"/>
      <c r="L51" s="27"/>
      <c r="M51" s="27"/>
    </row>
    <row r="52" spans="3:13" x14ac:dyDescent="0.35">
      <c r="C52" s="73"/>
      <c r="G52" s="27"/>
      <c r="H52" s="74"/>
      <c r="I52" s="52"/>
      <c r="J52" s="27"/>
      <c r="K52" s="27"/>
      <c r="L52" s="27"/>
      <c r="M52" s="27"/>
    </row>
    <row r="53" spans="3:13" x14ac:dyDescent="0.35">
      <c r="C53" s="73"/>
      <c r="G53" s="27"/>
      <c r="H53" s="74"/>
      <c r="I53" s="52"/>
      <c r="J53" s="27"/>
      <c r="K53" s="27"/>
      <c r="L53" s="27"/>
      <c r="M53" s="27"/>
    </row>
    <row r="54" spans="3:13" x14ac:dyDescent="0.35">
      <c r="C54" s="73"/>
      <c r="G54" s="27"/>
      <c r="H54" s="74"/>
      <c r="I54" s="52"/>
      <c r="J54" s="27"/>
      <c r="K54" s="27"/>
      <c r="L54" s="27"/>
      <c r="M54" s="27"/>
    </row>
    <row r="55" spans="3:13" x14ac:dyDescent="0.35">
      <c r="C55" s="73"/>
      <c r="G55" s="27"/>
      <c r="H55" s="74"/>
      <c r="I55" s="52"/>
      <c r="J55" s="27"/>
      <c r="K55" s="27"/>
      <c r="L55" s="27"/>
      <c r="M55" s="27"/>
    </row>
    <row r="56" spans="3:13" x14ac:dyDescent="0.35">
      <c r="C56" s="73"/>
      <c r="G56" s="27"/>
      <c r="H56" s="74"/>
      <c r="I56" s="52"/>
      <c r="J56" s="27"/>
      <c r="K56" s="27"/>
      <c r="L56" s="27"/>
      <c r="M56" s="27"/>
    </row>
    <row r="57" spans="3:13" x14ac:dyDescent="0.35">
      <c r="C57" s="73"/>
      <c r="G57" s="27"/>
      <c r="H57" s="74"/>
      <c r="I57" s="52"/>
      <c r="J57" s="27"/>
      <c r="K57" s="27"/>
      <c r="L57" s="27"/>
      <c r="M57" s="27"/>
    </row>
    <row r="58" spans="3:13" x14ac:dyDescent="0.35">
      <c r="C58" s="73"/>
      <c r="G58" s="27"/>
      <c r="H58" s="74"/>
      <c r="I58" s="52"/>
      <c r="J58" s="27"/>
      <c r="K58" s="27"/>
      <c r="L58" s="27"/>
      <c r="M58" s="27"/>
    </row>
    <row r="59" spans="3:13" x14ac:dyDescent="0.35">
      <c r="C59" s="73"/>
      <c r="G59" s="27"/>
      <c r="H59" s="74"/>
      <c r="I59" s="52"/>
      <c r="J59" s="27"/>
      <c r="K59" s="27"/>
      <c r="L59" s="27"/>
      <c r="M59" s="27"/>
    </row>
    <row r="60" spans="3:13" x14ac:dyDescent="0.35">
      <c r="C60" s="73"/>
      <c r="G60" s="27"/>
      <c r="H60" s="74"/>
      <c r="I60" s="52"/>
      <c r="J60" s="27"/>
      <c r="K60" s="27"/>
      <c r="L60" s="27"/>
      <c r="M60" s="27"/>
    </row>
    <row r="61" spans="3:13" x14ac:dyDescent="0.35">
      <c r="C61" s="73"/>
      <c r="G61" s="27"/>
      <c r="H61" s="74"/>
      <c r="I61" s="52"/>
      <c r="J61" s="27"/>
      <c r="K61" s="27"/>
      <c r="L61" s="27"/>
      <c r="M61" s="27"/>
    </row>
    <row r="62" spans="3:13" x14ac:dyDescent="0.35">
      <c r="C62" s="73"/>
      <c r="G62" s="27"/>
      <c r="H62" s="74"/>
      <c r="I62" s="52"/>
      <c r="J62" s="27"/>
      <c r="K62" s="27"/>
      <c r="L62" s="27"/>
      <c r="M62" s="27"/>
    </row>
    <row r="63" spans="3:13" x14ac:dyDescent="0.35">
      <c r="C63" s="73"/>
      <c r="G63" s="27"/>
      <c r="H63" s="74"/>
      <c r="I63" s="52"/>
      <c r="J63" s="27"/>
      <c r="K63" s="27"/>
      <c r="L63" s="27"/>
      <c r="M63" s="27"/>
    </row>
    <row r="64" spans="3:13" x14ac:dyDescent="0.35">
      <c r="C64" s="73"/>
      <c r="G64" s="27"/>
      <c r="H64" s="74"/>
      <c r="I64" s="52"/>
      <c r="J64" s="27"/>
      <c r="K64" s="27"/>
      <c r="L64" s="27"/>
      <c r="M64" s="27"/>
    </row>
    <row r="65" spans="3:13" x14ac:dyDescent="0.35">
      <c r="C65" s="73"/>
      <c r="G65" s="27"/>
      <c r="H65" s="74"/>
      <c r="I65" s="52"/>
      <c r="J65" s="27"/>
      <c r="K65" s="27"/>
      <c r="L65" s="27"/>
      <c r="M65" s="27"/>
    </row>
    <row r="66" spans="3:13" x14ac:dyDescent="0.35">
      <c r="C66" s="73"/>
      <c r="G66" s="27"/>
      <c r="H66" s="74"/>
      <c r="I66" s="52"/>
      <c r="J66" s="27"/>
      <c r="K66" s="27"/>
      <c r="L66" s="27"/>
      <c r="M66" s="27"/>
    </row>
    <row r="67" spans="3:13" x14ac:dyDescent="0.35">
      <c r="C67" s="73"/>
      <c r="G67" s="27"/>
      <c r="H67" s="74"/>
      <c r="I67" s="52"/>
      <c r="J67" s="27"/>
      <c r="K67" s="27"/>
      <c r="L67" s="27"/>
      <c r="M67" s="27"/>
    </row>
    <row r="68" spans="3:13" x14ac:dyDescent="0.35">
      <c r="C68" s="73"/>
      <c r="G68" s="27"/>
      <c r="H68" s="74"/>
      <c r="I68" s="52"/>
      <c r="J68" s="27"/>
      <c r="K68" s="27"/>
      <c r="L68" s="27"/>
      <c r="M68" s="27"/>
    </row>
    <row r="69" spans="3:13" x14ac:dyDescent="0.35">
      <c r="C69" s="73"/>
      <c r="G69" s="27"/>
      <c r="H69" s="74"/>
      <c r="I69" s="52"/>
      <c r="J69" s="27"/>
      <c r="K69" s="27"/>
      <c r="L69" s="27"/>
      <c r="M69" s="27"/>
    </row>
    <row r="70" spans="3:13" x14ac:dyDescent="0.35">
      <c r="C70" s="73"/>
      <c r="G70" s="27"/>
      <c r="H70" s="74"/>
      <c r="I70" s="52"/>
      <c r="J70" s="27"/>
      <c r="K70" s="27"/>
      <c r="L70" s="27"/>
      <c r="M70" s="27"/>
    </row>
    <row r="71" spans="3:13" x14ac:dyDescent="0.35">
      <c r="C71" s="73"/>
      <c r="G71" s="27"/>
      <c r="H71" s="74"/>
      <c r="I71" s="52"/>
      <c r="J71" s="27"/>
      <c r="K71" s="27"/>
      <c r="L71" s="27"/>
      <c r="M71" s="27"/>
    </row>
    <row r="72" spans="3:13" x14ac:dyDescent="0.35">
      <c r="C72" s="73"/>
      <c r="G72" s="27"/>
      <c r="H72" s="74"/>
      <c r="I72" s="52"/>
      <c r="J72" s="27"/>
      <c r="K72" s="27"/>
      <c r="L72" s="27"/>
      <c r="M72" s="27"/>
    </row>
    <row r="73" spans="3:13" x14ac:dyDescent="0.35">
      <c r="C73" s="73"/>
      <c r="G73" s="27"/>
      <c r="H73" s="74"/>
      <c r="I73" s="52"/>
      <c r="J73" s="27"/>
      <c r="K73" s="27"/>
      <c r="L73" s="27"/>
      <c r="M73" s="27"/>
    </row>
    <row r="74" spans="3:13" x14ac:dyDescent="0.35">
      <c r="C74" s="73"/>
      <c r="G74" s="27"/>
      <c r="H74" s="74"/>
      <c r="I74" s="52"/>
      <c r="J74" s="27"/>
      <c r="K74" s="27"/>
      <c r="L74" s="27"/>
      <c r="M74" s="27"/>
    </row>
    <row r="75" spans="3:13" x14ac:dyDescent="0.35">
      <c r="C75" s="73"/>
      <c r="G75" s="27"/>
      <c r="H75" s="74"/>
      <c r="I75" s="52"/>
      <c r="J75" s="27"/>
      <c r="K75" s="27"/>
      <c r="L75" s="27"/>
      <c r="M75" s="27"/>
    </row>
    <row r="76" spans="3:13" x14ac:dyDescent="0.35">
      <c r="C76" s="73"/>
      <c r="G76" s="27"/>
      <c r="H76" s="74"/>
      <c r="I76" s="52"/>
      <c r="J76" s="27"/>
      <c r="K76" s="27"/>
      <c r="L76" s="27"/>
      <c r="M76" s="27"/>
    </row>
    <row r="77" spans="3:13" x14ac:dyDescent="0.35">
      <c r="C77" s="73"/>
      <c r="G77" s="27"/>
      <c r="H77" s="74"/>
      <c r="I77" s="52"/>
      <c r="J77" s="27"/>
      <c r="K77" s="27"/>
      <c r="L77" s="27"/>
      <c r="M77" s="27"/>
    </row>
    <row r="78" spans="3:13" x14ac:dyDescent="0.35">
      <c r="C78" s="73"/>
      <c r="G78" s="27"/>
      <c r="H78" s="74"/>
      <c r="I78" s="52"/>
      <c r="J78" s="27"/>
      <c r="K78" s="27"/>
      <c r="L78" s="27"/>
      <c r="M78" s="27"/>
    </row>
    <row r="79" spans="3:13" x14ac:dyDescent="0.35">
      <c r="C79" s="73"/>
      <c r="G79" s="27"/>
      <c r="H79" s="74"/>
      <c r="I79" s="52"/>
      <c r="J79" s="27"/>
      <c r="K79" s="27"/>
      <c r="L79" s="27"/>
      <c r="M79" s="27"/>
    </row>
    <row r="80" spans="3:13" x14ac:dyDescent="0.35">
      <c r="C80" s="73"/>
      <c r="G80" s="27"/>
      <c r="H80" s="74"/>
      <c r="I80" s="52"/>
      <c r="J80" s="27"/>
      <c r="K80" s="27"/>
      <c r="L80" s="27"/>
      <c r="M80" s="27"/>
    </row>
    <row r="81" spans="2:13" x14ac:dyDescent="0.35">
      <c r="C81" s="73"/>
      <c r="G81" s="27"/>
      <c r="H81" s="74"/>
      <c r="I81" s="52"/>
      <c r="J81" s="27"/>
      <c r="K81" s="27"/>
      <c r="L81" s="27"/>
      <c r="M81" s="27"/>
    </row>
    <row r="82" spans="2:13" x14ac:dyDescent="0.35">
      <c r="C82" s="73"/>
      <c r="G82" s="27"/>
      <c r="H82" s="74"/>
      <c r="I82" s="52"/>
      <c r="J82" s="27"/>
      <c r="K82" s="27"/>
      <c r="L82" s="27"/>
      <c r="M82" s="27"/>
    </row>
    <row r="83" spans="2:13" x14ac:dyDescent="0.35">
      <c r="C83" s="73"/>
      <c r="G83" s="27"/>
      <c r="H83" s="74"/>
      <c r="I83" s="52"/>
      <c r="J83" s="27"/>
      <c r="K83" s="27"/>
      <c r="L83" s="27"/>
      <c r="M83" s="27"/>
    </row>
    <row r="84" spans="2:13" x14ac:dyDescent="0.35">
      <c r="C84" s="73"/>
      <c r="G84" s="27"/>
      <c r="H84" s="74"/>
      <c r="I84" s="52"/>
      <c r="J84" s="27"/>
      <c r="K84" s="27"/>
      <c r="L84" s="27"/>
      <c r="M84" s="27"/>
    </row>
    <row r="85" spans="2:13" x14ac:dyDescent="0.35">
      <c r="C85" s="73"/>
      <c r="G85" s="27"/>
      <c r="H85" s="74"/>
      <c r="I85" s="52"/>
      <c r="J85" s="27"/>
      <c r="K85" s="27"/>
      <c r="L85" s="27"/>
      <c r="M85" s="27"/>
    </row>
    <row r="86" spans="2:13" x14ac:dyDescent="0.35">
      <c r="C86" s="73"/>
      <c r="G86" s="27"/>
      <c r="H86" s="74"/>
      <c r="I86" s="52"/>
      <c r="J86" s="27"/>
      <c r="K86" s="27"/>
      <c r="L86" s="27"/>
      <c r="M86" s="27"/>
    </row>
    <row r="87" spans="2:13" x14ac:dyDescent="0.35">
      <c r="C87" s="73"/>
      <c r="G87" s="27"/>
      <c r="H87" s="74"/>
      <c r="I87" s="52"/>
      <c r="J87" s="27"/>
      <c r="K87" s="27"/>
      <c r="L87" s="27"/>
      <c r="M87" s="27"/>
    </row>
    <row r="88" spans="2:13" x14ac:dyDescent="0.35">
      <c r="C88" s="73"/>
      <c r="G88" s="27"/>
      <c r="H88" s="74"/>
      <c r="I88" s="52"/>
      <c r="J88" s="27"/>
      <c r="K88" s="27"/>
      <c r="L88" s="27"/>
      <c r="M88" s="27"/>
    </row>
    <row r="89" spans="2:13" x14ac:dyDescent="0.35">
      <c r="C89" s="73"/>
      <c r="G89" s="27"/>
      <c r="H89" s="74"/>
      <c r="I89" s="52"/>
      <c r="J89" s="27"/>
      <c r="K89" s="27"/>
      <c r="L89" s="27"/>
      <c r="M89" s="27"/>
    </row>
    <row r="90" spans="2:13" x14ac:dyDescent="0.35">
      <c r="C90" s="73"/>
      <c r="G90" s="27"/>
      <c r="H90" s="74"/>
      <c r="I90" s="52"/>
      <c r="J90" s="27"/>
      <c r="K90" s="27"/>
      <c r="L90" s="27"/>
      <c r="M90" s="27"/>
    </row>
    <row r="91" spans="2:13" x14ac:dyDescent="0.35">
      <c r="C91" s="73"/>
      <c r="G91" s="27"/>
      <c r="H91" s="74"/>
      <c r="I91" s="52"/>
      <c r="J91" s="27"/>
      <c r="K91" s="27"/>
      <c r="L91" s="27"/>
      <c r="M91" s="27"/>
    </row>
    <row r="92" spans="2:13" ht="18" x14ac:dyDescent="0.4">
      <c r="B92" s="161" t="s">
        <v>450</v>
      </c>
      <c r="C92" s="73"/>
      <c r="G92" s="27"/>
      <c r="H92" s="74"/>
      <c r="I92" s="52"/>
      <c r="J92" s="27"/>
      <c r="K92" s="27"/>
      <c r="L92" s="27"/>
      <c r="M92" s="27"/>
    </row>
    <row r="93" spans="2:13" x14ac:dyDescent="0.35">
      <c r="C93" s="73"/>
      <c r="G93" s="27"/>
      <c r="H93" s="74"/>
      <c r="I93" s="52"/>
      <c r="J93" s="27"/>
      <c r="K93" s="27"/>
      <c r="L93" s="27"/>
      <c r="M93" s="27"/>
    </row>
    <row r="94" spans="2:13" x14ac:dyDescent="0.35">
      <c r="C94" s="73"/>
      <c r="G94" s="27"/>
      <c r="H94" s="74"/>
      <c r="I94" s="52"/>
      <c r="J94" s="27"/>
      <c r="K94" s="27"/>
      <c r="L94" s="27"/>
      <c r="M94" s="27"/>
    </row>
    <row r="95" spans="2:13" x14ac:dyDescent="0.35">
      <c r="C95" s="73"/>
      <c r="G95" s="27"/>
      <c r="H95" s="74"/>
      <c r="I95" s="52"/>
      <c r="J95" s="27"/>
      <c r="K95" s="27"/>
      <c r="L95" s="27"/>
      <c r="M95" s="27"/>
    </row>
    <row r="96" spans="2:13" x14ac:dyDescent="0.35">
      <c r="C96" s="73"/>
      <c r="G96" s="27"/>
      <c r="H96" s="74"/>
      <c r="I96" s="52"/>
      <c r="J96" s="27"/>
      <c r="K96" s="27"/>
      <c r="L96" s="27"/>
      <c r="M96" s="27"/>
    </row>
    <row r="97" spans="3:13" x14ac:dyDescent="0.35">
      <c r="C97" s="73"/>
      <c r="G97" s="27"/>
      <c r="H97" s="74"/>
      <c r="I97" s="52"/>
      <c r="J97" s="27"/>
      <c r="K97" s="27"/>
      <c r="L97" s="27"/>
      <c r="M97" s="27"/>
    </row>
    <row r="98" spans="3:13" x14ac:dyDescent="0.35">
      <c r="C98" s="73"/>
      <c r="G98" s="27"/>
      <c r="H98" s="74"/>
      <c r="I98" s="52"/>
      <c r="J98" s="27"/>
      <c r="K98" s="27"/>
      <c r="L98" s="27"/>
      <c r="M98" s="27"/>
    </row>
    <row r="99" spans="3:13" x14ac:dyDescent="0.35">
      <c r="C99" s="73"/>
      <c r="G99" s="27"/>
      <c r="H99" s="74"/>
      <c r="I99" s="52"/>
      <c r="J99" s="27"/>
      <c r="K99" s="27"/>
      <c r="L99" s="27"/>
      <c r="M99" s="27"/>
    </row>
    <row r="100" spans="3:13" x14ac:dyDescent="0.35">
      <c r="C100" s="73"/>
      <c r="G100" s="27"/>
      <c r="H100" s="74"/>
      <c r="I100" s="52"/>
      <c r="J100" s="27"/>
      <c r="K100" s="27"/>
      <c r="L100" s="27"/>
      <c r="M100" s="27"/>
    </row>
    <row r="101" spans="3:13" x14ac:dyDescent="0.35">
      <c r="C101" s="73"/>
      <c r="G101" s="27"/>
      <c r="H101" s="74"/>
      <c r="I101" s="52"/>
      <c r="J101" s="27"/>
      <c r="K101" s="27"/>
      <c r="L101" s="27"/>
      <c r="M101" s="27"/>
    </row>
    <row r="102" spans="3:13" x14ac:dyDescent="0.35">
      <c r="C102" s="73"/>
      <c r="G102" s="27"/>
      <c r="H102" s="74"/>
      <c r="I102" s="52"/>
      <c r="J102" s="27"/>
      <c r="K102" s="27"/>
      <c r="L102" s="27"/>
      <c r="M102" s="27"/>
    </row>
    <row r="103" spans="3:13" x14ac:dyDescent="0.35">
      <c r="C103" s="73"/>
      <c r="G103" s="27"/>
      <c r="H103" s="74"/>
      <c r="I103" s="52"/>
      <c r="J103" s="27"/>
      <c r="K103" s="27"/>
      <c r="L103" s="27"/>
      <c r="M103" s="27"/>
    </row>
    <row r="104" spans="3:13" x14ac:dyDescent="0.35">
      <c r="C104" s="73"/>
      <c r="G104" s="27"/>
      <c r="H104" s="74"/>
      <c r="I104" s="52"/>
      <c r="J104" s="27"/>
      <c r="K104" s="27"/>
      <c r="L104" s="27"/>
      <c r="M104" s="27"/>
    </row>
    <row r="105" spans="3:13" x14ac:dyDescent="0.35">
      <c r="C105" s="73"/>
      <c r="G105" s="27"/>
      <c r="H105" s="74"/>
      <c r="I105" s="52"/>
      <c r="J105" s="27"/>
      <c r="K105" s="27"/>
      <c r="L105" s="27"/>
      <c r="M105" s="27"/>
    </row>
    <row r="106" spans="3:13" x14ac:dyDescent="0.35">
      <c r="C106" s="73"/>
      <c r="G106" s="27"/>
      <c r="H106" s="74"/>
      <c r="I106" s="52"/>
      <c r="J106" s="27"/>
      <c r="K106" s="27"/>
      <c r="L106" s="27"/>
      <c r="M106" s="27"/>
    </row>
    <row r="107" spans="3:13" x14ac:dyDescent="0.35">
      <c r="C107" s="73"/>
      <c r="G107" s="27"/>
      <c r="H107" s="74"/>
      <c r="I107" s="52"/>
      <c r="J107" s="27"/>
      <c r="K107" s="27"/>
      <c r="L107" s="27"/>
      <c r="M107" s="27"/>
    </row>
    <row r="108" spans="3:13" x14ac:dyDescent="0.35">
      <c r="C108" s="73"/>
      <c r="G108" s="27"/>
      <c r="H108" s="74"/>
      <c r="I108" s="52"/>
      <c r="J108" s="27"/>
      <c r="K108" s="27"/>
      <c r="L108" s="27"/>
      <c r="M108" s="27"/>
    </row>
    <row r="109" spans="3:13" x14ac:dyDescent="0.35">
      <c r="C109" s="73"/>
      <c r="G109" s="27"/>
      <c r="H109" s="74"/>
      <c r="I109" s="52"/>
      <c r="J109" s="27"/>
      <c r="K109" s="27"/>
      <c r="L109" s="27"/>
      <c r="M109" s="27"/>
    </row>
    <row r="110" spans="3:13" x14ac:dyDescent="0.35">
      <c r="C110" s="73"/>
      <c r="G110" s="27"/>
      <c r="H110" s="74"/>
      <c r="I110" s="52"/>
      <c r="J110" s="27"/>
      <c r="K110" s="27"/>
      <c r="L110" s="27"/>
      <c r="M110" s="27"/>
    </row>
    <row r="111" spans="3:13" x14ac:dyDescent="0.35">
      <c r="C111" s="73"/>
      <c r="G111" s="27"/>
      <c r="H111" s="74"/>
      <c r="I111" s="52"/>
      <c r="J111" s="27"/>
      <c r="K111" s="27"/>
      <c r="L111" s="27"/>
      <c r="M111" s="27"/>
    </row>
    <row r="112" spans="3:13" x14ac:dyDescent="0.35">
      <c r="C112" s="73"/>
      <c r="G112" s="27"/>
      <c r="H112" s="74"/>
      <c r="I112" s="52"/>
      <c r="J112" s="27"/>
      <c r="K112" s="27"/>
      <c r="L112" s="27"/>
      <c r="M112" s="27"/>
    </row>
    <row r="113" spans="2:13" x14ac:dyDescent="0.35">
      <c r="C113" s="73"/>
      <c r="G113" s="27"/>
      <c r="H113" s="74"/>
      <c r="I113" s="52"/>
      <c r="J113" s="27"/>
      <c r="K113" s="27"/>
      <c r="L113" s="27"/>
      <c r="M113" s="27"/>
    </row>
    <row r="114" spans="2:13" x14ac:dyDescent="0.35">
      <c r="C114" s="73"/>
      <c r="G114" s="27"/>
      <c r="H114" s="74"/>
      <c r="I114" s="52"/>
      <c r="J114" s="27"/>
      <c r="K114" s="27"/>
      <c r="L114" s="27"/>
      <c r="M114" s="27"/>
    </row>
    <row r="115" spans="2:13" x14ac:dyDescent="0.35">
      <c r="C115" s="73"/>
      <c r="G115" s="27"/>
      <c r="H115" s="74"/>
      <c r="I115" s="52"/>
      <c r="J115" s="27"/>
      <c r="K115" s="27"/>
      <c r="L115" s="27"/>
      <c r="M115" s="27"/>
    </row>
    <row r="116" spans="2:13" x14ac:dyDescent="0.35">
      <c r="C116" s="73"/>
      <c r="G116" s="27"/>
      <c r="H116" s="74"/>
      <c r="I116" s="52"/>
      <c r="J116" s="27"/>
      <c r="K116" s="27"/>
      <c r="L116" s="27"/>
      <c r="M116" s="27"/>
    </row>
    <row r="117" spans="2:13" x14ac:dyDescent="0.35">
      <c r="G117" s="27"/>
      <c r="H117" s="74"/>
      <c r="I117" s="52"/>
      <c r="J117" s="27"/>
      <c r="K117" s="27"/>
      <c r="L117" s="27"/>
      <c r="M117" s="27"/>
    </row>
    <row r="118" spans="2:13" ht="18" x14ac:dyDescent="0.4">
      <c r="B118" s="161" t="s">
        <v>666</v>
      </c>
      <c r="C118" s="73"/>
      <c r="G118" s="27"/>
      <c r="H118" s="74"/>
      <c r="I118" s="52"/>
      <c r="J118" s="27"/>
      <c r="K118" s="27"/>
      <c r="L118" s="27"/>
      <c r="M118" s="27"/>
    </row>
    <row r="119" spans="2:13" ht="16" thickBot="1" x14ac:dyDescent="0.4">
      <c r="C119" s="85" t="s">
        <v>30</v>
      </c>
      <c r="G119" s="27"/>
      <c r="H119" s="74"/>
      <c r="I119" s="52"/>
      <c r="J119" s="27"/>
      <c r="K119" s="27"/>
      <c r="L119" s="27"/>
      <c r="M119" s="27"/>
    </row>
    <row r="120" spans="2:13" x14ac:dyDescent="0.35">
      <c r="B120" s="76" t="s">
        <v>380</v>
      </c>
      <c r="C120" s="307">
        <v>6</v>
      </c>
      <c r="D120" s="25" t="s">
        <v>70</v>
      </c>
      <c r="G120" s="27"/>
      <c r="H120" s="74"/>
      <c r="I120" s="52"/>
      <c r="J120" s="27"/>
      <c r="K120" s="27"/>
      <c r="L120" s="27"/>
      <c r="M120" s="27"/>
    </row>
    <row r="121" spans="2:13" x14ac:dyDescent="0.35">
      <c r="B121" s="76" t="s">
        <v>381</v>
      </c>
      <c r="C121" s="96">
        <v>2</v>
      </c>
      <c r="D121" s="25" t="s">
        <v>70</v>
      </c>
      <c r="G121" s="27"/>
      <c r="H121" s="74"/>
      <c r="I121" s="52"/>
      <c r="J121" s="27"/>
      <c r="K121" s="27"/>
      <c r="L121" s="27"/>
      <c r="M121" s="27"/>
    </row>
    <row r="122" spans="2:13" x14ac:dyDescent="0.35">
      <c r="B122" s="76" t="s">
        <v>371</v>
      </c>
      <c r="C122" s="95">
        <v>100</v>
      </c>
      <c r="D122" s="25" t="s">
        <v>70</v>
      </c>
      <c r="G122" s="27"/>
      <c r="H122" s="74"/>
      <c r="I122" s="52"/>
      <c r="J122" s="27"/>
      <c r="K122" s="27"/>
      <c r="L122" s="27"/>
      <c r="M122" s="27"/>
    </row>
    <row r="123" spans="2:13" x14ac:dyDescent="0.35">
      <c r="B123" s="76" t="s">
        <v>382</v>
      </c>
      <c r="C123" s="95">
        <v>2000</v>
      </c>
      <c r="D123" s="25" t="s">
        <v>384</v>
      </c>
      <c r="G123" s="27"/>
      <c r="H123" s="74"/>
      <c r="I123" s="52"/>
      <c r="J123" s="27"/>
      <c r="K123" s="27"/>
      <c r="L123" s="27"/>
      <c r="M123" s="27"/>
    </row>
    <row r="124" spans="2:13" x14ac:dyDescent="0.35">
      <c r="B124" s="102" t="s">
        <v>433</v>
      </c>
      <c r="C124" s="95"/>
      <c r="G124" s="27"/>
      <c r="H124" s="74"/>
      <c r="I124" s="52"/>
      <c r="J124" s="27"/>
      <c r="K124" s="27"/>
      <c r="L124" s="27"/>
      <c r="M124" s="27"/>
    </row>
    <row r="125" spans="2:13" x14ac:dyDescent="0.35">
      <c r="B125" s="76" t="s">
        <v>369</v>
      </c>
      <c r="C125" s="95">
        <v>50</v>
      </c>
      <c r="D125" s="25" t="s">
        <v>70</v>
      </c>
      <c r="E125" s="115"/>
      <c r="G125" s="27"/>
      <c r="H125" s="74"/>
      <c r="I125" s="52"/>
      <c r="J125" s="27"/>
      <c r="K125" s="27"/>
      <c r="L125" s="27"/>
      <c r="M125" s="27"/>
    </row>
    <row r="126" spans="2:13" x14ac:dyDescent="0.35">
      <c r="B126" s="76" t="s">
        <v>370</v>
      </c>
      <c r="C126" s="95">
        <v>120</v>
      </c>
      <c r="D126" s="25" t="s">
        <v>70</v>
      </c>
      <c r="E126" s="115"/>
      <c r="G126" s="27"/>
      <c r="H126" s="74"/>
      <c r="I126" s="52"/>
      <c r="J126" s="27"/>
      <c r="K126" s="27"/>
      <c r="L126" s="27"/>
      <c r="M126" s="27"/>
    </row>
    <row r="127" spans="2:13" x14ac:dyDescent="0.35">
      <c r="B127" s="76" t="s">
        <v>435</v>
      </c>
      <c r="C127" s="96">
        <v>0.5</v>
      </c>
      <c r="D127" s="25" t="s">
        <v>70</v>
      </c>
      <c r="E127" s="72"/>
      <c r="G127" s="27"/>
      <c r="H127" s="74"/>
      <c r="I127" s="52"/>
      <c r="J127" s="27"/>
      <c r="K127" s="27"/>
      <c r="L127" s="27"/>
      <c r="M127" s="27"/>
    </row>
    <row r="128" spans="2:13" x14ac:dyDescent="0.35">
      <c r="B128" s="76" t="s">
        <v>523</v>
      </c>
      <c r="C128" s="96">
        <v>3</v>
      </c>
      <c r="D128" s="25" t="s">
        <v>70</v>
      </c>
      <c r="E128" s="72"/>
      <c r="G128" s="27"/>
      <c r="H128" s="74"/>
      <c r="I128" s="52"/>
      <c r="J128" s="27"/>
      <c r="K128" s="27"/>
      <c r="L128" s="27"/>
      <c r="M128" s="27"/>
    </row>
    <row r="129" spans="2:13" x14ac:dyDescent="0.35">
      <c r="B129" s="76" t="s">
        <v>521</v>
      </c>
      <c r="C129" s="308">
        <v>0.29099999999999998</v>
      </c>
      <c r="D129" s="25" t="s">
        <v>48</v>
      </c>
      <c r="E129" s="72"/>
      <c r="G129" s="27"/>
      <c r="H129" s="74"/>
      <c r="I129" s="52"/>
      <c r="J129" s="27"/>
      <c r="K129" s="27"/>
      <c r="L129" s="27"/>
      <c r="M129" s="27"/>
    </row>
    <row r="130" spans="2:13" x14ac:dyDescent="0.35">
      <c r="B130" s="102" t="s">
        <v>434</v>
      </c>
      <c r="C130" s="95"/>
      <c r="E130" s="72"/>
      <c r="G130" s="27"/>
      <c r="H130" s="74"/>
      <c r="I130" s="52"/>
      <c r="J130" s="27"/>
      <c r="K130" s="27"/>
      <c r="L130" s="27"/>
      <c r="M130" s="27"/>
    </row>
    <row r="131" spans="2:13" x14ac:dyDescent="0.35">
      <c r="B131" s="76" t="s">
        <v>372</v>
      </c>
      <c r="C131" s="96">
        <v>10</v>
      </c>
      <c r="D131" s="25" t="s">
        <v>70</v>
      </c>
      <c r="E131" s="295"/>
      <c r="G131" s="27"/>
      <c r="H131" s="74"/>
      <c r="I131" s="52"/>
      <c r="J131" s="27"/>
      <c r="K131" s="27"/>
      <c r="L131" s="27"/>
      <c r="M131" s="27"/>
    </row>
    <row r="132" spans="2:13" x14ac:dyDescent="0.35">
      <c r="B132" s="76" t="s">
        <v>373</v>
      </c>
      <c r="C132" s="96">
        <v>12</v>
      </c>
      <c r="D132" s="25" t="s">
        <v>70</v>
      </c>
      <c r="E132" s="295"/>
      <c r="G132" s="27"/>
      <c r="H132" s="74"/>
      <c r="I132" s="52"/>
      <c r="J132" s="27"/>
      <c r="K132" s="27"/>
      <c r="L132" s="27"/>
      <c r="M132" s="27"/>
    </row>
    <row r="133" spans="2:13" x14ac:dyDescent="0.35">
      <c r="B133" s="76" t="s">
        <v>374</v>
      </c>
      <c r="C133" s="96">
        <v>30</v>
      </c>
      <c r="D133" s="25" t="s">
        <v>70</v>
      </c>
      <c r="E133" s="295"/>
      <c r="G133" s="27"/>
      <c r="H133" s="74"/>
      <c r="I133" s="52"/>
      <c r="J133" s="27"/>
      <c r="K133" s="27"/>
      <c r="L133" s="27"/>
      <c r="M133" s="27"/>
    </row>
    <row r="134" spans="2:13" x14ac:dyDescent="0.35">
      <c r="B134" s="76" t="s">
        <v>375</v>
      </c>
      <c r="C134" s="96">
        <v>9</v>
      </c>
      <c r="D134" s="25" t="s">
        <v>70</v>
      </c>
      <c r="E134" s="295"/>
      <c r="G134" s="27"/>
      <c r="H134" s="74"/>
      <c r="I134" s="52"/>
      <c r="J134" s="27"/>
      <c r="K134" s="27"/>
      <c r="L134" s="27"/>
      <c r="M134" s="27"/>
    </row>
    <row r="135" spans="2:13" x14ac:dyDescent="0.35">
      <c r="B135" s="102" t="s">
        <v>385</v>
      </c>
      <c r="C135" s="95"/>
      <c r="E135" s="72"/>
      <c r="G135" s="27"/>
      <c r="H135" s="74"/>
      <c r="I135" s="52"/>
      <c r="J135" s="27"/>
      <c r="K135" s="27"/>
      <c r="L135" s="27"/>
      <c r="M135" s="27"/>
    </row>
    <row r="136" spans="2:13" x14ac:dyDescent="0.35">
      <c r="B136" s="76" t="s">
        <v>386</v>
      </c>
      <c r="C136" s="95">
        <v>20</v>
      </c>
      <c r="D136" s="25" t="s">
        <v>128</v>
      </c>
      <c r="E136" s="115"/>
      <c r="F136" s="73"/>
      <c r="G136" s="27"/>
      <c r="H136" s="74"/>
      <c r="I136" s="52"/>
      <c r="J136" s="27"/>
      <c r="K136" s="27"/>
      <c r="L136" s="27"/>
      <c r="M136" s="27"/>
    </row>
    <row r="137" spans="2:13" x14ac:dyDescent="0.35">
      <c r="B137" s="76" t="s">
        <v>388</v>
      </c>
      <c r="C137" s="95">
        <v>20</v>
      </c>
      <c r="D137" s="25" t="s">
        <v>128</v>
      </c>
      <c r="E137" s="115"/>
      <c r="F137" s="73"/>
      <c r="G137" s="27"/>
      <c r="H137" s="74"/>
      <c r="I137" s="52"/>
      <c r="J137" s="27"/>
      <c r="K137" s="27"/>
      <c r="L137" s="27"/>
      <c r="M137" s="27"/>
    </row>
    <row r="138" spans="2:13" x14ac:dyDescent="0.35">
      <c r="B138" s="76" t="s">
        <v>389</v>
      </c>
      <c r="C138" s="95">
        <v>45</v>
      </c>
      <c r="D138" s="25" t="s">
        <v>128</v>
      </c>
      <c r="E138" s="115"/>
      <c r="F138" s="73"/>
      <c r="G138" s="27"/>
      <c r="H138" s="74"/>
      <c r="I138" s="52"/>
      <c r="J138" s="27"/>
      <c r="K138" s="27"/>
      <c r="L138" s="27"/>
      <c r="M138" s="27"/>
    </row>
    <row r="139" spans="2:13" x14ac:dyDescent="0.35">
      <c r="B139" s="102" t="s">
        <v>376</v>
      </c>
      <c r="C139" s="96"/>
      <c r="G139" s="27"/>
      <c r="H139" s="74"/>
      <c r="I139" s="52"/>
      <c r="J139" s="27"/>
      <c r="K139" s="27"/>
      <c r="L139" s="27"/>
      <c r="M139" s="27"/>
    </row>
    <row r="140" spans="2:13" x14ac:dyDescent="0.35">
      <c r="B140" s="76" t="s">
        <v>377</v>
      </c>
      <c r="C140" s="96">
        <v>3</v>
      </c>
      <c r="D140" s="25" t="s">
        <v>70</v>
      </c>
      <c r="G140" s="27"/>
      <c r="H140" s="74"/>
      <c r="I140" s="52"/>
      <c r="J140" s="27"/>
      <c r="K140" s="27"/>
      <c r="L140" s="27"/>
      <c r="M140" s="27"/>
    </row>
    <row r="141" spans="2:13" x14ac:dyDescent="0.35">
      <c r="B141" s="76" t="s">
        <v>378</v>
      </c>
      <c r="C141" s="96">
        <v>3</v>
      </c>
      <c r="D141" s="25" t="s">
        <v>70</v>
      </c>
      <c r="G141" s="27"/>
      <c r="H141" s="74"/>
      <c r="I141" s="52"/>
      <c r="J141" s="27"/>
      <c r="K141" s="27"/>
      <c r="L141" s="27"/>
      <c r="M141" s="27"/>
    </row>
    <row r="142" spans="2:13" ht="16" thickBot="1" x14ac:dyDescent="0.4">
      <c r="B142" s="76" t="s">
        <v>379</v>
      </c>
      <c r="C142" s="124">
        <v>3</v>
      </c>
      <c r="D142" s="25" t="s">
        <v>70</v>
      </c>
      <c r="F142" s="309"/>
      <c r="G142" s="27"/>
      <c r="H142" s="74"/>
      <c r="I142" s="52"/>
      <c r="J142" s="27"/>
      <c r="K142" s="27"/>
      <c r="L142" s="27"/>
      <c r="M142" s="27"/>
    </row>
    <row r="143" spans="2:13" ht="18" x14ac:dyDescent="0.4">
      <c r="B143" s="161" t="s">
        <v>448</v>
      </c>
      <c r="C143" s="85" t="s">
        <v>32</v>
      </c>
      <c r="F143" s="309"/>
      <c r="G143" s="27"/>
      <c r="H143" s="74"/>
      <c r="I143" s="52"/>
      <c r="J143" s="27"/>
      <c r="K143" s="27"/>
      <c r="L143" s="27"/>
      <c r="M143" s="27"/>
    </row>
    <row r="144" spans="2:13" x14ac:dyDescent="0.35">
      <c r="B144" s="102" t="s">
        <v>518</v>
      </c>
      <c r="C144" s="3" t="s">
        <v>383</v>
      </c>
      <c r="D144" s="1"/>
      <c r="G144" s="27"/>
      <c r="H144" s="74"/>
      <c r="I144" s="52"/>
      <c r="J144" s="27"/>
      <c r="K144" s="27"/>
      <c r="L144" s="27"/>
      <c r="M144" s="27"/>
    </row>
    <row r="145" spans="2:13" x14ac:dyDescent="0.35">
      <c r="B145" s="102" t="s">
        <v>42</v>
      </c>
      <c r="C145" s="103">
        <f>C123*(3.1416*C120^2 / 4)</f>
        <v>56548.800000000003</v>
      </c>
      <c r="D145" s="1" t="s">
        <v>48</v>
      </c>
      <c r="G145" s="27"/>
      <c r="H145" s="74"/>
      <c r="I145" s="52"/>
      <c r="J145" s="27"/>
      <c r="K145" s="27"/>
      <c r="L145" s="27"/>
      <c r="M145" s="27"/>
    </row>
    <row r="146" spans="2:13" x14ac:dyDescent="0.35">
      <c r="B146" s="102" t="s">
        <v>519</v>
      </c>
      <c r="C146" s="3" t="s">
        <v>520</v>
      </c>
      <c r="D146" s="1"/>
      <c r="G146" s="27"/>
      <c r="H146" s="74"/>
      <c r="I146" s="52"/>
      <c r="J146" s="27"/>
      <c r="K146" s="27"/>
      <c r="L146" s="27"/>
      <c r="M146" s="27"/>
    </row>
    <row r="147" spans="2:13" x14ac:dyDescent="0.35">
      <c r="B147" s="1"/>
      <c r="C147" s="103">
        <f>C123*(3.1416*(C120 - C121)^2 / 4)</f>
        <v>25132.799999999999</v>
      </c>
      <c r="D147" s="1" t="s">
        <v>48</v>
      </c>
      <c r="G147" s="27"/>
      <c r="H147" s="74"/>
      <c r="I147" s="52"/>
      <c r="J147" s="27"/>
      <c r="K147" s="27"/>
      <c r="L147" s="27"/>
      <c r="M147" s="27"/>
    </row>
    <row r="148" spans="2:13" x14ac:dyDescent="0.35">
      <c r="G148" s="27"/>
      <c r="H148" s="74"/>
      <c r="I148" s="52"/>
      <c r="J148" s="27"/>
      <c r="K148" s="27"/>
      <c r="L148" s="27"/>
      <c r="M148" s="27"/>
    </row>
    <row r="149" spans="2:13" x14ac:dyDescent="0.35">
      <c r="G149" s="27"/>
      <c r="H149" s="74"/>
      <c r="I149" s="52"/>
      <c r="J149" s="27"/>
      <c r="K149" s="27"/>
      <c r="L149" s="27"/>
      <c r="M149" s="27"/>
    </row>
    <row r="150" spans="2:13" ht="18" x14ac:dyDescent="0.4">
      <c r="B150" s="161" t="s">
        <v>449</v>
      </c>
      <c r="C150" s="73"/>
      <c r="G150" s="27"/>
      <c r="H150" s="74"/>
      <c r="I150" s="52"/>
      <c r="J150" s="27"/>
      <c r="K150" s="27"/>
      <c r="L150" s="27"/>
      <c r="M150" s="27"/>
    </row>
    <row r="151" spans="2:13" x14ac:dyDescent="0.35">
      <c r="G151" s="27"/>
      <c r="H151" s="74"/>
      <c r="I151" s="52"/>
      <c r="J151" s="27"/>
      <c r="K151" s="27"/>
      <c r="L151" s="27"/>
      <c r="M151" s="27"/>
    </row>
    <row r="152" spans="2:13" x14ac:dyDescent="0.35">
      <c r="G152" s="27"/>
      <c r="H152" s="74"/>
      <c r="I152" s="52"/>
      <c r="J152" s="27"/>
      <c r="K152" s="27"/>
      <c r="L152" s="27"/>
      <c r="M152" s="27"/>
    </row>
    <row r="153" spans="2:13" x14ac:dyDescent="0.35">
      <c r="G153" s="27"/>
      <c r="H153" s="74"/>
      <c r="I153" s="52"/>
      <c r="J153" s="27"/>
      <c r="K153" s="27"/>
      <c r="L153" s="27"/>
      <c r="M153" s="27"/>
    </row>
    <row r="154" spans="2:13" x14ac:dyDescent="0.35">
      <c r="G154" s="27"/>
      <c r="H154" s="74"/>
      <c r="I154" s="52"/>
      <c r="J154" s="27"/>
      <c r="K154" s="27"/>
      <c r="L154" s="27"/>
      <c r="M154" s="27"/>
    </row>
    <row r="155" spans="2:13" x14ac:dyDescent="0.35">
      <c r="G155" s="27"/>
      <c r="H155" s="74"/>
      <c r="I155" s="52"/>
      <c r="J155" s="27"/>
      <c r="K155" s="27"/>
      <c r="L155" s="27"/>
      <c r="M155" s="27"/>
    </row>
    <row r="156" spans="2:13" x14ac:dyDescent="0.35">
      <c r="G156" s="27"/>
      <c r="H156" s="74"/>
      <c r="I156" s="52"/>
      <c r="J156" s="27"/>
      <c r="K156" s="27"/>
      <c r="L156" s="27"/>
      <c r="M156" s="27"/>
    </row>
    <row r="157" spans="2:13" x14ac:dyDescent="0.35">
      <c r="G157" s="27"/>
      <c r="H157" s="74"/>
      <c r="I157" s="52"/>
      <c r="J157" s="27"/>
      <c r="K157" s="27"/>
      <c r="L157" s="27"/>
      <c r="M157" s="27"/>
    </row>
    <row r="158" spans="2:13" x14ac:dyDescent="0.35">
      <c r="G158" s="27"/>
      <c r="H158" s="74"/>
      <c r="I158" s="52"/>
      <c r="J158" s="27"/>
      <c r="K158" s="27"/>
      <c r="L158" s="27"/>
      <c r="M158" s="27"/>
    </row>
    <row r="159" spans="2:13" x14ac:dyDescent="0.35">
      <c r="G159" s="27"/>
      <c r="H159" s="74"/>
      <c r="I159" s="52"/>
      <c r="J159" s="27"/>
      <c r="K159" s="27"/>
      <c r="L159" s="27"/>
      <c r="M159" s="27"/>
    </row>
    <row r="160" spans="2:13" x14ac:dyDescent="0.35">
      <c r="G160" s="27"/>
      <c r="H160" s="74"/>
      <c r="I160" s="52"/>
      <c r="J160" s="27"/>
      <c r="K160" s="27"/>
      <c r="L160" s="27"/>
      <c r="M160" s="27"/>
    </row>
    <row r="161" spans="2:13" x14ac:dyDescent="0.35">
      <c r="G161" s="27"/>
      <c r="H161" s="74"/>
      <c r="I161" s="52"/>
      <c r="J161" s="27"/>
      <c r="K161" s="27"/>
      <c r="L161" s="27"/>
      <c r="M161" s="27"/>
    </row>
    <row r="162" spans="2:13" x14ac:dyDescent="0.35">
      <c r="B162" s="102" t="s">
        <v>452</v>
      </c>
      <c r="C162" s="3" t="s">
        <v>522</v>
      </c>
      <c r="D162" s="1"/>
      <c r="E162" s="1"/>
      <c r="G162" s="27"/>
      <c r="H162" s="74"/>
      <c r="I162" s="52"/>
      <c r="J162" s="27"/>
      <c r="K162" s="27"/>
      <c r="L162" s="27"/>
      <c r="M162" s="27"/>
    </row>
    <row r="163" spans="2:13" x14ac:dyDescent="0.35">
      <c r="B163" s="102" t="s">
        <v>42</v>
      </c>
      <c r="C163" s="103">
        <f>C129*C127*(2*(C125+6)*(C131 + C133)/2) + (2*(C126+6)*(C133 + C134)/2)</f>
        <v>5239.92</v>
      </c>
      <c r="D163" s="1" t="s">
        <v>48</v>
      </c>
      <c r="E163" s="1"/>
      <c r="G163" s="27"/>
      <c r="H163" s="74"/>
      <c r="I163" s="52"/>
      <c r="J163" s="27"/>
      <c r="K163" s="27"/>
      <c r="L163" s="27"/>
      <c r="M163" s="27"/>
    </row>
    <row r="164" spans="2:13" x14ac:dyDescent="0.35">
      <c r="B164" s="102" t="s">
        <v>453</v>
      </c>
      <c r="C164" s="1" t="s">
        <v>524</v>
      </c>
      <c r="D164" s="1"/>
      <c r="E164" s="1"/>
      <c r="G164" s="27"/>
      <c r="H164" s="74"/>
      <c r="I164" s="52"/>
      <c r="J164" s="27"/>
      <c r="K164" s="27"/>
      <c r="L164" s="27"/>
      <c r="M164" s="27"/>
    </row>
    <row r="165" spans="2:13" x14ac:dyDescent="0.35">
      <c r="B165" s="102" t="s">
        <v>42</v>
      </c>
      <c r="C165" s="3">
        <f>C129*C127*C128*2*(C125 + C126 + 14)</f>
        <v>160.63200000000001</v>
      </c>
      <c r="D165" s="1" t="s">
        <v>48</v>
      </c>
      <c r="E165" s="1"/>
      <c r="G165" s="27"/>
      <c r="H165" s="74"/>
      <c r="I165" s="52"/>
      <c r="J165" s="27"/>
      <c r="K165" s="27"/>
      <c r="L165" s="27"/>
      <c r="M165" s="27"/>
    </row>
    <row r="166" spans="2:13" x14ac:dyDescent="0.35">
      <c r="B166" s="102" t="s">
        <v>436</v>
      </c>
      <c r="C166" s="3" t="s">
        <v>437</v>
      </c>
      <c r="D166" s="1"/>
      <c r="E166" s="1"/>
      <c r="G166" s="27"/>
      <c r="H166" s="74"/>
      <c r="I166" s="52"/>
      <c r="J166" s="27"/>
      <c r="K166" s="27"/>
      <c r="L166" s="27"/>
      <c r="M166" s="27"/>
    </row>
    <row r="167" spans="2:13" x14ac:dyDescent="0.35">
      <c r="B167" s="102" t="s">
        <v>42</v>
      </c>
      <c r="C167" s="103">
        <f>C163+C165</f>
        <v>5400.5519999999997</v>
      </c>
      <c r="D167" s="1" t="s">
        <v>48</v>
      </c>
      <c r="E167" s="1"/>
      <c r="G167" s="27"/>
      <c r="H167" s="74"/>
      <c r="I167" s="52"/>
      <c r="J167" s="27"/>
      <c r="K167" s="27"/>
      <c r="L167" s="27"/>
      <c r="M167" s="27"/>
    </row>
    <row r="168" spans="2:13" x14ac:dyDescent="0.35">
      <c r="B168" s="102" t="s">
        <v>439</v>
      </c>
      <c r="C168" s="3" t="s">
        <v>438</v>
      </c>
      <c r="D168" s="1"/>
      <c r="E168" s="1"/>
      <c r="G168" s="27"/>
      <c r="H168" s="74"/>
      <c r="I168" s="52"/>
      <c r="J168" s="27"/>
      <c r="K168" s="27"/>
      <c r="L168" s="27"/>
      <c r="M168" s="27"/>
    </row>
    <row r="169" spans="2:13" x14ac:dyDescent="0.35">
      <c r="B169" s="102" t="s">
        <v>42</v>
      </c>
      <c r="C169" s="112">
        <f>C125*(2*C131 + C133) / (3*(C131 + C133))</f>
        <v>20.833333333333332</v>
      </c>
      <c r="D169" s="1" t="s">
        <v>70</v>
      </c>
      <c r="E169" s="1"/>
      <c r="G169" s="27"/>
      <c r="H169" s="74"/>
      <c r="I169" s="52"/>
      <c r="J169" s="27"/>
      <c r="K169" s="27"/>
      <c r="L169" s="27"/>
      <c r="M169" s="27"/>
    </row>
    <row r="170" spans="2:13" x14ac:dyDescent="0.35">
      <c r="B170" s="102" t="s">
        <v>440</v>
      </c>
      <c r="C170" s="3" t="s">
        <v>441</v>
      </c>
      <c r="D170" s="1"/>
      <c r="E170" s="1"/>
      <c r="G170" s="27"/>
      <c r="H170" s="74"/>
      <c r="I170" s="52"/>
      <c r="J170" s="27"/>
      <c r="K170" s="27"/>
      <c r="L170" s="27"/>
      <c r="M170" s="27"/>
    </row>
    <row r="171" spans="2:13" x14ac:dyDescent="0.35">
      <c r="B171" s="102" t="s">
        <v>42</v>
      </c>
      <c r="C171" s="112">
        <f>C126*(2*C134 + C133) / (3*(C134 + C133))</f>
        <v>49.230769230769234</v>
      </c>
      <c r="D171" s="1" t="s">
        <v>70</v>
      </c>
      <c r="E171" s="1"/>
      <c r="G171" s="27"/>
      <c r="H171" s="74"/>
      <c r="I171" s="52"/>
      <c r="J171" s="27"/>
      <c r="K171" s="27"/>
      <c r="L171" s="27"/>
      <c r="M171" s="27"/>
    </row>
    <row r="172" spans="2:13" x14ac:dyDescent="0.35">
      <c r="B172" s="102" t="s">
        <v>386</v>
      </c>
      <c r="C172" s="3" t="s">
        <v>443</v>
      </c>
      <c r="D172" s="1"/>
      <c r="E172" s="1"/>
      <c r="G172" s="27"/>
      <c r="H172" s="74"/>
      <c r="I172" s="52"/>
      <c r="J172" s="27"/>
      <c r="K172" s="27"/>
      <c r="L172" s="27"/>
      <c r="M172" s="27"/>
    </row>
    <row r="173" spans="2:13" x14ac:dyDescent="0.35">
      <c r="B173" s="102" t="s">
        <v>42</v>
      </c>
      <c r="C173" s="103">
        <f>C125*(C131 +C133)/2</f>
        <v>1000</v>
      </c>
      <c r="D173" s="1" t="s">
        <v>334</v>
      </c>
      <c r="E173" s="1"/>
      <c r="G173" s="27"/>
      <c r="H173" s="74"/>
      <c r="I173" s="52"/>
      <c r="J173" s="27"/>
      <c r="K173" s="27"/>
      <c r="L173" s="27"/>
      <c r="M173" s="27"/>
    </row>
    <row r="174" spans="2:13" x14ac:dyDescent="0.35">
      <c r="B174" s="102" t="s">
        <v>387</v>
      </c>
      <c r="C174" s="3" t="s">
        <v>444</v>
      </c>
      <c r="D174" s="1"/>
      <c r="E174" s="1"/>
      <c r="G174" s="27"/>
      <c r="H174" s="74"/>
      <c r="I174" s="52"/>
      <c r="J174" s="27"/>
      <c r="K174" s="27"/>
      <c r="L174" s="27"/>
      <c r="M174" s="27"/>
    </row>
    <row r="175" spans="2:13" x14ac:dyDescent="0.35">
      <c r="B175" s="102" t="s">
        <v>42</v>
      </c>
      <c r="C175" s="103">
        <f>C126*(C134 +C133)/2</f>
        <v>2340</v>
      </c>
      <c r="D175" s="1" t="s">
        <v>334</v>
      </c>
      <c r="E175" s="1"/>
      <c r="G175" s="27"/>
      <c r="H175" s="74"/>
      <c r="I175" s="52"/>
      <c r="J175" s="27"/>
      <c r="K175" s="27"/>
      <c r="L175" s="27"/>
      <c r="M175" s="27"/>
    </row>
    <row r="176" spans="2:13" x14ac:dyDescent="0.35">
      <c r="B176" s="102" t="s">
        <v>442</v>
      </c>
      <c r="C176" s="3" t="s">
        <v>445</v>
      </c>
      <c r="D176" s="1"/>
      <c r="E176" s="1"/>
      <c r="G176" s="27"/>
      <c r="H176" s="74"/>
      <c r="I176" s="52"/>
      <c r="J176" s="27"/>
      <c r="K176" s="27"/>
      <c r="L176" s="27"/>
      <c r="M176" s="27"/>
    </row>
    <row r="177" spans="2:13" x14ac:dyDescent="0.35">
      <c r="B177" s="1"/>
      <c r="C177" s="112">
        <f>C173*(C169 + C171) / (C173 + C175)</f>
        <v>20.977276216797176</v>
      </c>
      <c r="D177" s="1" t="s">
        <v>70</v>
      </c>
      <c r="E177" s="1"/>
      <c r="G177" s="27"/>
      <c r="H177" s="74"/>
      <c r="I177" s="52"/>
      <c r="J177" s="27"/>
      <c r="K177" s="27"/>
      <c r="L177" s="27"/>
      <c r="M177" s="27"/>
    </row>
    <row r="178" spans="2:13" x14ac:dyDescent="0.35">
      <c r="B178" s="102" t="s">
        <v>446</v>
      </c>
      <c r="C178" s="3" t="s">
        <v>454</v>
      </c>
      <c r="D178" s="1"/>
      <c r="E178" s="1"/>
      <c r="G178" s="27"/>
      <c r="H178" s="74"/>
      <c r="I178" s="52"/>
      <c r="J178" s="27"/>
      <c r="K178" s="27"/>
      <c r="L178" s="27"/>
      <c r="M178" s="27"/>
    </row>
    <row r="179" spans="2:13" x14ac:dyDescent="0.35">
      <c r="B179" s="102" t="s">
        <v>42</v>
      </c>
      <c r="C179" s="112">
        <f>C171-C177</f>
        <v>28.253493013972058</v>
      </c>
      <c r="D179" s="1" t="s">
        <v>70</v>
      </c>
      <c r="E179" s="1"/>
      <c r="G179" s="27"/>
      <c r="H179" s="74"/>
      <c r="I179" s="52"/>
      <c r="J179" s="27"/>
      <c r="K179" s="27"/>
      <c r="L179" s="27"/>
      <c r="M179" s="27"/>
    </row>
    <row r="180" spans="2:13" x14ac:dyDescent="0.35">
      <c r="G180" s="27"/>
      <c r="H180" s="74"/>
      <c r="I180" s="52"/>
      <c r="J180" s="27"/>
      <c r="K180" s="27"/>
      <c r="L180" s="27"/>
      <c r="M180" s="27"/>
    </row>
    <row r="181" spans="2:13" ht="18" x14ac:dyDescent="0.4">
      <c r="B181" s="161" t="s">
        <v>447</v>
      </c>
      <c r="C181" s="73"/>
      <c r="G181" s="27"/>
      <c r="H181" s="74"/>
      <c r="I181" s="52"/>
      <c r="J181" s="27"/>
      <c r="K181" s="27"/>
      <c r="L181" s="27"/>
      <c r="M181" s="27"/>
    </row>
    <row r="182" spans="2:13" x14ac:dyDescent="0.35">
      <c r="G182" s="27"/>
      <c r="H182" s="74"/>
      <c r="I182" s="52"/>
      <c r="J182" s="27"/>
      <c r="K182" s="27"/>
      <c r="L182" s="27"/>
      <c r="M182" s="27"/>
    </row>
    <row r="183" spans="2:13" x14ac:dyDescent="0.35">
      <c r="G183" s="27"/>
      <c r="H183" s="74"/>
      <c r="I183" s="52"/>
      <c r="J183" s="27"/>
      <c r="K183" s="27"/>
      <c r="L183" s="27"/>
      <c r="M183" s="27"/>
    </row>
    <row r="184" spans="2:13" x14ac:dyDescent="0.35">
      <c r="G184" s="27"/>
      <c r="H184" s="74"/>
      <c r="I184" s="52"/>
      <c r="J184" s="27"/>
      <c r="K184" s="27"/>
      <c r="L184" s="27"/>
      <c r="M184" s="27"/>
    </row>
    <row r="185" spans="2:13" x14ac:dyDescent="0.35">
      <c r="G185" s="27"/>
      <c r="H185" s="74"/>
      <c r="I185" s="52"/>
      <c r="J185" s="27"/>
      <c r="K185" s="27"/>
      <c r="L185" s="27"/>
      <c r="M185" s="27"/>
    </row>
    <row r="186" spans="2:13" x14ac:dyDescent="0.35">
      <c r="G186" s="27"/>
      <c r="H186" s="74"/>
      <c r="I186" s="52"/>
      <c r="J186" s="27"/>
      <c r="K186" s="27"/>
      <c r="L186" s="27"/>
      <c r="M186" s="27"/>
    </row>
    <row r="187" spans="2:13" x14ac:dyDescent="0.35">
      <c r="G187" s="27"/>
      <c r="H187" s="74"/>
      <c r="I187" s="52"/>
      <c r="J187" s="27"/>
      <c r="K187" s="27"/>
      <c r="L187" s="27"/>
      <c r="M187" s="27"/>
    </row>
    <row r="188" spans="2:13" x14ac:dyDescent="0.35">
      <c r="G188" s="27"/>
      <c r="H188" s="74"/>
      <c r="I188" s="52"/>
      <c r="J188" s="27"/>
      <c r="K188" s="27"/>
      <c r="L188" s="27"/>
      <c r="M188" s="27"/>
    </row>
    <row r="189" spans="2:13" x14ac:dyDescent="0.35">
      <c r="G189" s="27"/>
      <c r="H189" s="74"/>
      <c r="I189" s="52"/>
      <c r="J189" s="27"/>
      <c r="K189" s="27"/>
      <c r="L189" s="27"/>
      <c r="M189" s="27"/>
    </row>
    <row r="190" spans="2:13" x14ac:dyDescent="0.35">
      <c r="G190" s="27"/>
      <c r="H190" s="74"/>
      <c r="I190" s="52"/>
      <c r="J190" s="27"/>
      <c r="K190" s="27"/>
      <c r="L190" s="27"/>
      <c r="M190" s="27"/>
    </row>
    <row r="191" spans="2:13" x14ac:dyDescent="0.35">
      <c r="G191" s="27"/>
      <c r="H191" s="74"/>
      <c r="I191" s="52"/>
      <c r="J191" s="27"/>
      <c r="K191" s="27"/>
      <c r="L191" s="27"/>
      <c r="M191" s="27"/>
    </row>
    <row r="192" spans="2:13" x14ac:dyDescent="0.35">
      <c r="G192" s="27"/>
      <c r="H192" s="74"/>
      <c r="I192" s="52"/>
      <c r="J192" s="27"/>
      <c r="K192" s="27"/>
      <c r="L192" s="27"/>
      <c r="M192" s="27"/>
    </row>
    <row r="193" spans="1:13" x14ac:dyDescent="0.35">
      <c r="G193" s="27"/>
      <c r="H193" s="74"/>
      <c r="I193" s="52"/>
      <c r="J193" s="27"/>
      <c r="K193" s="27"/>
      <c r="L193" s="27"/>
      <c r="M193" s="27"/>
    </row>
    <row r="194" spans="1:13" x14ac:dyDescent="0.35">
      <c r="G194" s="27"/>
      <c r="H194" s="74"/>
      <c r="I194" s="52"/>
      <c r="J194" s="27"/>
      <c r="K194" s="27"/>
      <c r="L194" s="27"/>
      <c r="M194" s="27"/>
    </row>
    <row r="195" spans="1:13" x14ac:dyDescent="0.35">
      <c r="G195" s="27"/>
      <c r="H195" s="74"/>
      <c r="I195" s="52"/>
      <c r="J195" s="27"/>
      <c r="K195" s="27"/>
      <c r="L195" s="27"/>
      <c r="M195" s="27"/>
    </row>
    <row r="196" spans="1:13" x14ac:dyDescent="0.35">
      <c r="G196" s="27"/>
      <c r="H196" s="74"/>
      <c r="I196" s="52"/>
      <c r="J196" s="27"/>
      <c r="K196" s="27"/>
      <c r="L196" s="27"/>
      <c r="M196" s="27"/>
    </row>
    <row r="197" spans="1:13" x14ac:dyDescent="0.35">
      <c r="G197" s="27"/>
      <c r="H197" s="74"/>
      <c r="I197" s="52"/>
      <c r="J197" s="27"/>
      <c r="K197" s="27"/>
      <c r="L197" s="27"/>
      <c r="M197" s="27"/>
    </row>
    <row r="198" spans="1:13" x14ac:dyDescent="0.35">
      <c r="G198" s="27"/>
      <c r="H198" s="74"/>
      <c r="I198" s="52"/>
      <c r="J198" s="27"/>
      <c r="K198" s="27"/>
      <c r="L198" s="27"/>
      <c r="M198" s="27"/>
    </row>
    <row r="199" spans="1:13" x14ac:dyDescent="0.35">
      <c r="G199" s="27"/>
      <c r="H199" s="74"/>
      <c r="I199" s="52"/>
      <c r="J199" s="27"/>
      <c r="K199" s="27"/>
      <c r="L199" s="27"/>
      <c r="M199" s="27"/>
    </row>
    <row r="200" spans="1:13" x14ac:dyDescent="0.35">
      <c r="G200" s="27"/>
      <c r="H200" s="74"/>
      <c r="I200" s="52"/>
      <c r="J200" s="27"/>
      <c r="K200" s="27"/>
      <c r="L200" s="27"/>
      <c r="M200" s="27"/>
    </row>
    <row r="201" spans="1:13" x14ac:dyDescent="0.35">
      <c r="G201" s="27"/>
      <c r="H201" s="74"/>
      <c r="I201" s="52"/>
      <c r="J201" s="27"/>
      <c r="K201" s="27"/>
      <c r="L201" s="27"/>
      <c r="M201" s="27"/>
    </row>
    <row r="202" spans="1:13" x14ac:dyDescent="0.35">
      <c r="G202" s="27"/>
      <c r="H202" s="74"/>
      <c r="I202" s="52"/>
      <c r="J202" s="27"/>
      <c r="K202" s="27"/>
      <c r="L202" s="27"/>
      <c r="M202" s="27"/>
    </row>
    <row r="203" spans="1:13" x14ac:dyDescent="0.35">
      <c r="G203" s="27"/>
      <c r="H203" s="74"/>
      <c r="I203" s="52"/>
      <c r="J203" s="27"/>
      <c r="K203" s="27"/>
      <c r="L203" s="27"/>
      <c r="M203" s="27"/>
    </row>
    <row r="204" spans="1:13" ht="18" x14ac:dyDescent="0.4">
      <c r="B204" s="161" t="s">
        <v>397</v>
      </c>
      <c r="C204" s="73"/>
      <c r="G204" s="27"/>
      <c r="H204" s="74"/>
      <c r="I204" s="52"/>
      <c r="J204" s="27"/>
      <c r="K204" s="27"/>
      <c r="L204" s="27"/>
      <c r="M204" s="27"/>
    </row>
    <row r="205" spans="1:13" x14ac:dyDescent="0.35">
      <c r="B205" s="76" t="s">
        <v>667</v>
      </c>
      <c r="C205" s="73" t="s">
        <v>398</v>
      </c>
      <c r="G205" s="27"/>
      <c r="H205" s="74"/>
      <c r="I205" s="52"/>
      <c r="J205" s="27"/>
      <c r="K205" s="27"/>
      <c r="L205" s="27"/>
      <c r="M205" s="27"/>
    </row>
    <row r="206" spans="1:13" x14ac:dyDescent="0.35">
      <c r="B206" s="102" t="s">
        <v>415</v>
      </c>
      <c r="C206" s="73"/>
      <c r="G206" s="27"/>
      <c r="H206" s="74"/>
      <c r="I206" s="52"/>
      <c r="J206" s="27"/>
      <c r="K206" s="27"/>
      <c r="L206" s="27"/>
      <c r="M206" s="27"/>
    </row>
    <row r="207" spans="1:13" x14ac:dyDescent="0.35">
      <c r="A207" s="1"/>
      <c r="B207" s="76" t="s">
        <v>407</v>
      </c>
      <c r="C207" s="73" t="s">
        <v>409</v>
      </c>
      <c r="G207" s="27"/>
      <c r="H207" s="74"/>
      <c r="I207" s="52"/>
      <c r="J207" s="27"/>
      <c r="K207" s="27"/>
      <c r="L207" s="27"/>
      <c r="M207" s="27"/>
    </row>
    <row r="208" spans="1:13" x14ac:dyDescent="0.35">
      <c r="B208" s="76" t="s">
        <v>42</v>
      </c>
      <c r="C208" s="303">
        <f>C145*COS(C136/57.3)</f>
        <v>53138.987324580259</v>
      </c>
      <c r="D208" s="25" t="s">
        <v>48</v>
      </c>
      <c r="G208" s="27"/>
      <c r="H208" s="74"/>
      <c r="I208" s="52"/>
      <c r="J208" s="27"/>
      <c r="K208" s="27"/>
      <c r="L208" s="27"/>
      <c r="M208" s="27"/>
    </row>
    <row r="209" spans="2:13" x14ac:dyDescent="0.35">
      <c r="B209" s="76" t="s">
        <v>408</v>
      </c>
      <c r="C209" s="73" t="s">
        <v>410</v>
      </c>
      <c r="G209" s="27"/>
      <c r="H209" s="74"/>
      <c r="I209" s="52"/>
      <c r="J209" s="27"/>
      <c r="K209" s="27"/>
      <c r="L209" s="27"/>
      <c r="M209" s="27"/>
    </row>
    <row r="210" spans="2:13" x14ac:dyDescent="0.35">
      <c r="B210" s="76" t="s">
        <v>42</v>
      </c>
      <c r="C210" s="303">
        <f>C145*SIN(C136/57.3)</f>
        <v>19339.462442324999</v>
      </c>
      <c r="D210" s="25" t="s">
        <v>48</v>
      </c>
      <c r="G210" s="27"/>
      <c r="H210" s="74"/>
      <c r="I210" s="52"/>
      <c r="J210" s="27"/>
      <c r="K210" s="27"/>
      <c r="L210" s="27"/>
      <c r="M210" s="27"/>
    </row>
    <row r="211" spans="2:13" x14ac:dyDescent="0.35">
      <c r="B211" s="102" t="s">
        <v>416</v>
      </c>
      <c r="C211" s="73"/>
      <c r="G211" s="27"/>
      <c r="H211" s="74"/>
      <c r="I211" s="52"/>
      <c r="J211" s="27"/>
      <c r="K211" s="27"/>
      <c r="L211" s="27"/>
      <c r="M211" s="27"/>
    </row>
    <row r="212" spans="2:13" x14ac:dyDescent="0.35">
      <c r="B212" s="76" t="s">
        <v>403</v>
      </c>
      <c r="C212" s="73" t="s">
        <v>405</v>
      </c>
      <c r="G212" s="27"/>
      <c r="H212" s="74"/>
      <c r="I212" s="52"/>
      <c r="J212" s="27"/>
      <c r="K212" s="27"/>
      <c r="L212" s="27"/>
      <c r="M212" s="27"/>
    </row>
    <row r="213" spans="2:13" x14ac:dyDescent="0.35">
      <c r="B213" s="76" t="s">
        <v>42</v>
      </c>
      <c r="C213" s="303">
        <f>C167*SIN(C137/57.3)</f>
        <v>1846.967089873227</v>
      </c>
      <c r="D213" s="25" t="s">
        <v>48</v>
      </c>
      <c r="G213" s="27"/>
      <c r="H213" s="74"/>
      <c r="I213" s="52"/>
      <c r="J213" s="27"/>
      <c r="K213" s="27"/>
      <c r="L213" s="27"/>
      <c r="M213" s="27"/>
    </row>
    <row r="214" spans="2:13" x14ac:dyDescent="0.35">
      <c r="B214" s="76" t="s">
        <v>404</v>
      </c>
      <c r="C214" s="73" t="s">
        <v>406</v>
      </c>
      <c r="G214" s="27"/>
      <c r="H214" s="74"/>
      <c r="I214" s="52"/>
      <c r="J214" s="27"/>
      <c r="K214" s="27"/>
      <c r="L214" s="27"/>
      <c r="M214" s="27"/>
    </row>
    <row r="215" spans="2:13" x14ac:dyDescent="0.35">
      <c r="B215" s="76" t="s">
        <v>42</v>
      </c>
      <c r="C215" s="303">
        <f>C167*COS(C137/57.3)</f>
        <v>5074.9063512176481</v>
      </c>
      <c r="D215" s="25" t="s">
        <v>48</v>
      </c>
      <c r="G215" s="27"/>
      <c r="H215" s="74"/>
      <c r="I215" s="52"/>
      <c r="J215" s="27"/>
      <c r="K215" s="27"/>
      <c r="L215" s="27"/>
      <c r="M215" s="27"/>
    </row>
    <row r="216" spans="2:13" x14ac:dyDescent="0.35">
      <c r="B216" s="102" t="s">
        <v>390</v>
      </c>
      <c r="C216" s="73"/>
      <c r="G216" s="27"/>
      <c r="H216" s="74"/>
      <c r="I216" s="52"/>
      <c r="J216" s="27"/>
      <c r="K216" s="27"/>
      <c r="L216" s="27"/>
      <c r="M216" s="27"/>
    </row>
    <row r="217" spans="2:13" x14ac:dyDescent="0.35">
      <c r="B217" s="76" t="s">
        <v>475</v>
      </c>
      <c r="C217" s="73" t="s">
        <v>432</v>
      </c>
      <c r="G217" s="27"/>
      <c r="H217" s="74"/>
      <c r="I217" s="52"/>
      <c r="J217" s="27"/>
      <c r="K217" s="27"/>
      <c r="L217" s="27"/>
      <c r="M217" s="27"/>
    </row>
    <row r="218" spans="2:13" x14ac:dyDescent="0.35">
      <c r="B218" s="76" t="s">
        <v>42</v>
      </c>
      <c r="C218" s="303">
        <f>C215*C132 - C213*C179</f>
        <v>8715.6044438422614</v>
      </c>
      <c r="D218" s="25" t="s">
        <v>394</v>
      </c>
      <c r="G218" s="27"/>
      <c r="H218" s="74"/>
      <c r="I218" s="52"/>
      <c r="J218" s="27"/>
      <c r="K218" s="27"/>
      <c r="L218" s="27"/>
      <c r="M218" s="27"/>
    </row>
    <row r="219" spans="2:13" ht="16.5" x14ac:dyDescent="0.4">
      <c r="B219" s="76" t="s">
        <v>662</v>
      </c>
      <c r="C219" s="73" t="s">
        <v>451</v>
      </c>
      <c r="G219" s="27"/>
      <c r="H219" s="74"/>
      <c r="I219" s="52"/>
      <c r="J219" s="27"/>
      <c r="K219" s="27"/>
      <c r="L219" s="27"/>
      <c r="M219" s="27"/>
    </row>
    <row r="220" spans="2:13" x14ac:dyDescent="0.35">
      <c r="B220" s="76" t="s">
        <v>42</v>
      </c>
      <c r="C220" s="303">
        <f>C208*C125 - C210*C132</f>
        <v>2424875.8169211131</v>
      </c>
      <c r="G220" s="27"/>
      <c r="H220" s="74"/>
      <c r="I220" s="52"/>
      <c r="J220" s="27"/>
      <c r="K220" s="27"/>
      <c r="L220" s="27"/>
      <c r="M220" s="27"/>
    </row>
    <row r="221" spans="2:13" ht="16.5" x14ac:dyDescent="0.4">
      <c r="B221" s="76" t="s">
        <v>663</v>
      </c>
      <c r="C221" s="73" t="s">
        <v>391</v>
      </c>
      <c r="G221" s="27"/>
      <c r="H221" s="74"/>
      <c r="I221" s="52"/>
      <c r="J221" s="27"/>
      <c r="K221" s="27"/>
      <c r="L221" s="27"/>
      <c r="M221" s="27"/>
    </row>
    <row r="222" spans="2:13" ht="16.5" x14ac:dyDescent="0.4">
      <c r="B222" s="76" t="s">
        <v>664</v>
      </c>
      <c r="C222" s="303">
        <f>C220+C218</f>
        <v>2433591.4213649551</v>
      </c>
      <c r="G222" s="27"/>
      <c r="H222" s="74"/>
      <c r="I222" s="52"/>
      <c r="J222" s="27"/>
      <c r="K222" s="27"/>
      <c r="L222" s="27"/>
      <c r="M222" s="27"/>
    </row>
    <row r="223" spans="2:13" ht="16.5" x14ac:dyDescent="0.4">
      <c r="B223" s="76" t="s">
        <v>664</v>
      </c>
      <c r="C223" s="73" t="s">
        <v>665</v>
      </c>
      <c r="G223" s="27"/>
      <c r="H223" s="74"/>
      <c r="I223" s="52"/>
      <c r="J223" s="27"/>
      <c r="K223" s="27"/>
      <c r="L223" s="27"/>
      <c r="M223" s="27"/>
    </row>
    <row r="224" spans="2:13" x14ac:dyDescent="0.35">
      <c r="B224" s="76" t="s">
        <v>395</v>
      </c>
      <c r="C224" s="73" t="s">
        <v>456</v>
      </c>
      <c r="G224" s="27"/>
      <c r="H224" s="74"/>
      <c r="I224" s="52"/>
      <c r="J224" s="27"/>
      <c r="K224" s="27"/>
      <c r="L224" s="27"/>
      <c r="M224" s="27"/>
    </row>
    <row r="225" spans="2:13" x14ac:dyDescent="0.35">
      <c r="B225" s="76" t="s">
        <v>42</v>
      </c>
      <c r="C225" s="303">
        <f>(C222) / (COS(C138/53.7)*C126 +  SIN(C138/57.3)*C132)</f>
        <v>27417.6960896415</v>
      </c>
      <c r="D225" s="25" t="s">
        <v>48</v>
      </c>
      <c r="G225" s="27"/>
      <c r="H225" s="74"/>
      <c r="I225" s="52"/>
      <c r="J225" s="27"/>
      <c r="K225" s="27"/>
      <c r="L225" s="27"/>
      <c r="M225" s="27"/>
    </row>
    <row r="226" spans="2:13" x14ac:dyDescent="0.35">
      <c r="B226" s="102" t="s">
        <v>417</v>
      </c>
      <c r="C226" s="73"/>
      <c r="G226" s="27"/>
      <c r="H226" s="74"/>
      <c r="I226" s="52"/>
      <c r="J226" s="27"/>
      <c r="K226" s="27"/>
      <c r="L226" s="27"/>
      <c r="M226" s="27"/>
    </row>
    <row r="227" spans="2:13" x14ac:dyDescent="0.35">
      <c r="B227" s="76" t="s">
        <v>399</v>
      </c>
      <c r="C227" s="73" t="s">
        <v>400</v>
      </c>
      <c r="G227" s="27"/>
      <c r="H227" s="74"/>
      <c r="I227" s="52"/>
      <c r="J227" s="27"/>
      <c r="K227" s="27"/>
      <c r="L227" s="27"/>
      <c r="M227" s="27"/>
    </row>
    <row r="228" spans="2:13" x14ac:dyDescent="0.35">
      <c r="B228" s="76" t="s">
        <v>42</v>
      </c>
      <c r="C228" s="303">
        <f>C225*COS(C138/57.3)</f>
        <v>19388.360334502082</v>
      </c>
      <c r="D228" s="25" t="s">
        <v>48</v>
      </c>
      <c r="G228" s="27"/>
      <c r="H228" s="74"/>
      <c r="I228" s="52"/>
      <c r="J228" s="27"/>
      <c r="K228" s="27"/>
      <c r="L228" s="27"/>
      <c r="M228" s="27"/>
    </row>
    <row r="229" spans="2:13" x14ac:dyDescent="0.35">
      <c r="B229" s="76" t="s">
        <v>401</v>
      </c>
      <c r="C229" s="73" t="s">
        <v>402</v>
      </c>
      <c r="G229" s="27"/>
      <c r="H229" s="74"/>
      <c r="I229" s="52"/>
      <c r="J229" s="27"/>
      <c r="K229" s="27"/>
      <c r="L229" s="27"/>
      <c r="M229" s="27"/>
    </row>
    <row r="230" spans="2:13" x14ac:dyDescent="0.35">
      <c r="B230" s="76" t="s">
        <v>42</v>
      </c>
      <c r="C230" s="303">
        <f>C225*SIN(C138/57.3)</f>
        <v>19386.117259612591</v>
      </c>
      <c r="D230" s="25" t="s">
        <v>48</v>
      </c>
      <c r="G230" s="27"/>
      <c r="H230" s="74"/>
      <c r="I230" s="52"/>
      <c r="J230" s="27"/>
      <c r="K230" s="27"/>
      <c r="L230" s="27"/>
      <c r="M230" s="27"/>
    </row>
    <row r="231" spans="2:13" x14ac:dyDescent="0.35">
      <c r="B231" s="102" t="s">
        <v>414</v>
      </c>
      <c r="C231" s="73"/>
      <c r="G231" s="27"/>
      <c r="H231" s="74"/>
      <c r="I231" s="52"/>
      <c r="J231" s="27"/>
      <c r="K231" s="27"/>
      <c r="L231" s="27"/>
      <c r="M231" s="27"/>
    </row>
    <row r="232" spans="2:13" x14ac:dyDescent="0.35">
      <c r="B232" s="76" t="s">
        <v>411</v>
      </c>
      <c r="C232" s="73" t="s">
        <v>412</v>
      </c>
      <c r="G232" s="27"/>
      <c r="H232" s="74"/>
      <c r="I232" s="52"/>
      <c r="J232" s="27"/>
      <c r="K232" s="27"/>
      <c r="L232" s="27"/>
      <c r="M232" s="27"/>
    </row>
    <row r="233" spans="2:13" x14ac:dyDescent="0.35">
      <c r="B233" s="76" t="s">
        <v>42</v>
      </c>
      <c r="C233" s="303">
        <f>C228+C213+C208</f>
        <v>74374.31474895557</v>
      </c>
      <c r="D233" s="25" t="s">
        <v>48</v>
      </c>
      <c r="G233" s="27"/>
      <c r="H233" s="74"/>
      <c r="I233" s="52"/>
      <c r="J233" s="27"/>
      <c r="K233" s="27"/>
      <c r="L233" s="27"/>
      <c r="M233" s="27"/>
    </row>
    <row r="234" spans="2:13" x14ac:dyDescent="0.35">
      <c r="B234" s="102" t="s">
        <v>413</v>
      </c>
      <c r="C234" s="73"/>
      <c r="G234" s="27"/>
      <c r="H234" s="74"/>
      <c r="I234" s="52"/>
      <c r="J234" s="27"/>
      <c r="K234" s="27"/>
      <c r="L234" s="27"/>
      <c r="M234" s="27"/>
    </row>
    <row r="235" spans="2:13" x14ac:dyDescent="0.35">
      <c r="B235" s="76" t="s">
        <v>419</v>
      </c>
      <c r="C235" s="73" t="s">
        <v>418</v>
      </c>
      <c r="G235" s="27"/>
      <c r="H235" s="74"/>
      <c r="I235" s="52"/>
      <c r="J235" s="27"/>
      <c r="K235" s="27"/>
      <c r="L235" s="27"/>
      <c r="M235" s="27"/>
    </row>
    <row r="236" spans="2:13" x14ac:dyDescent="0.35">
      <c r="B236" s="76" t="s">
        <v>42</v>
      </c>
      <c r="C236" s="303">
        <f>C230+C215+C210</f>
        <v>43800.48605315524</v>
      </c>
      <c r="G236" s="27"/>
      <c r="H236" s="74"/>
      <c r="I236" s="52"/>
      <c r="J236" s="27"/>
      <c r="K236" s="27"/>
      <c r="L236" s="27"/>
      <c r="M236" s="27"/>
    </row>
    <row r="237" spans="2:13" x14ac:dyDescent="0.35">
      <c r="B237" s="102" t="s">
        <v>421</v>
      </c>
      <c r="C237" s="73"/>
      <c r="G237" s="27"/>
      <c r="H237" s="74"/>
      <c r="I237" s="52"/>
      <c r="J237" s="27"/>
      <c r="K237" s="27"/>
      <c r="L237" s="27"/>
      <c r="M237" s="27"/>
    </row>
    <row r="238" spans="2:13" x14ac:dyDescent="0.35">
      <c r="B238" s="76" t="s">
        <v>396</v>
      </c>
      <c r="C238" s="73" t="s">
        <v>420</v>
      </c>
      <c r="G238" s="27"/>
      <c r="H238" s="74"/>
      <c r="I238" s="52"/>
      <c r="J238" s="27"/>
      <c r="K238" s="27"/>
      <c r="L238" s="27"/>
      <c r="M238" s="27"/>
    </row>
    <row r="239" spans="2:13" x14ac:dyDescent="0.35">
      <c r="B239" s="76" t="s">
        <v>42</v>
      </c>
      <c r="C239" s="303">
        <f>(C233^2 + C236^2)^(1/2)</f>
        <v>86313.505738495849</v>
      </c>
      <c r="G239" s="27"/>
      <c r="H239" s="74"/>
      <c r="I239" s="52"/>
      <c r="J239" s="27"/>
      <c r="K239" s="27"/>
      <c r="L239" s="27"/>
      <c r="M239" s="27"/>
    </row>
    <row r="240" spans="2:13" x14ac:dyDescent="0.35">
      <c r="B240" s="102" t="s">
        <v>422</v>
      </c>
      <c r="C240" s="73"/>
      <c r="G240" s="27"/>
      <c r="H240" s="74"/>
      <c r="I240" s="52"/>
      <c r="J240" s="27"/>
      <c r="K240" s="27"/>
      <c r="L240" s="27"/>
      <c r="M240" s="27"/>
    </row>
    <row r="241" spans="2:13" x14ac:dyDescent="0.35">
      <c r="B241" s="76" t="s">
        <v>423</v>
      </c>
      <c r="C241" s="73" t="s">
        <v>424</v>
      </c>
      <c r="G241" s="27"/>
      <c r="H241" s="74"/>
      <c r="I241" s="52"/>
      <c r="J241" s="27"/>
      <c r="K241" s="27"/>
      <c r="L241" s="27"/>
      <c r="M241" s="27"/>
    </row>
    <row r="242" spans="2:13" x14ac:dyDescent="0.35">
      <c r="B242" s="76" t="s">
        <v>42</v>
      </c>
      <c r="C242" s="310">
        <f>57.3*ATAN(C236 / C233)</f>
        <v>30.496907965238954</v>
      </c>
      <c r="D242" s="25" t="s">
        <v>128</v>
      </c>
      <c r="G242" s="27"/>
      <c r="H242" s="74"/>
      <c r="I242" s="52"/>
      <c r="J242" s="27"/>
      <c r="K242" s="27"/>
      <c r="L242" s="27"/>
      <c r="M242" s="27"/>
    </row>
    <row r="243" spans="2:13" x14ac:dyDescent="0.35">
      <c r="B243" s="102" t="s">
        <v>426</v>
      </c>
      <c r="C243" s="73"/>
      <c r="G243" s="27"/>
      <c r="H243" s="74"/>
      <c r="I243" s="52"/>
      <c r="J243" s="27"/>
      <c r="K243" s="27"/>
      <c r="L243" s="27"/>
      <c r="M243" s="27"/>
    </row>
    <row r="244" spans="2:13" x14ac:dyDescent="0.35">
      <c r="B244" s="76" t="s">
        <v>427</v>
      </c>
      <c r="C244" s="73" t="s">
        <v>428</v>
      </c>
      <c r="G244" s="27"/>
      <c r="H244" s="74"/>
      <c r="I244" s="52"/>
      <c r="J244" s="27"/>
      <c r="K244" s="27"/>
      <c r="L244" s="27"/>
      <c r="M244" s="27"/>
    </row>
    <row r="245" spans="2:13" x14ac:dyDescent="0.35">
      <c r="B245" s="76" t="s">
        <v>42</v>
      </c>
      <c r="C245" s="303">
        <f>C239*COS(C242/57.3)</f>
        <v>74374.31474895557</v>
      </c>
      <c r="D245" s="25" t="s">
        <v>48</v>
      </c>
      <c r="G245" s="27"/>
      <c r="H245" s="74"/>
      <c r="I245" s="52"/>
      <c r="J245" s="27"/>
      <c r="K245" s="27"/>
      <c r="L245" s="27"/>
      <c r="M245" s="27"/>
    </row>
    <row r="246" spans="2:13" x14ac:dyDescent="0.35">
      <c r="B246" s="76" t="s">
        <v>429</v>
      </c>
      <c r="C246" s="73" t="s">
        <v>430</v>
      </c>
      <c r="G246" s="27"/>
      <c r="H246" s="74"/>
      <c r="I246" s="52"/>
      <c r="J246" s="27"/>
      <c r="K246" s="27"/>
      <c r="L246" s="27"/>
      <c r="M246" s="27"/>
    </row>
    <row r="247" spans="2:13" x14ac:dyDescent="0.35">
      <c r="B247" s="76" t="s">
        <v>42</v>
      </c>
      <c r="C247" s="303">
        <f>C239*SIN(C242/57.3)</f>
        <v>43800.486053155233</v>
      </c>
      <c r="D247" s="25" t="s">
        <v>48</v>
      </c>
      <c r="G247" s="27"/>
      <c r="H247" s="74"/>
      <c r="I247" s="52"/>
      <c r="J247" s="27"/>
      <c r="K247" s="27"/>
      <c r="L247" s="27"/>
      <c r="M247" s="27"/>
    </row>
    <row r="248" spans="2:13" x14ac:dyDescent="0.35">
      <c r="B248" s="3" t="s">
        <v>425</v>
      </c>
      <c r="C248" s="73"/>
      <c r="G248" s="27"/>
      <c r="H248" s="74"/>
      <c r="I248" s="52"/>
      <c r="J248" s="27"/>
      <c r="K248" s="27"/>
      <c r="L248" s="27"/>
      <c r="M248" s="27"/>
    </row>
    <row r="249" spans="2:13" x14ac:dyDescent="0.35">
      <c r="B249" s="102" t="s">
        <v>392</v>
      </c>
      <c r="C249" s="73"/>
      <c r="G249" s="27"/>
      <c r="H249" s="74"/>
      <c r="I249" s="52"/>
      <c r="J249" s="27"/>
      <c r="K249" s="27"/>
      <c r="L249" s="27"/>
      <c r="M249" s="27"/>
    </row>
    <row r="250" spans="2:13" x14ac:dyDescent="0.35">
      <c r="B250" s="76" t="s">
        <v>431</v>
      </c>
      <c r="C250" s="73">
        <v>0</v>
      </c>
      <c r="G250" s="27"/>
      <c r="H250" s="74"/>
      <c r="I250" s="52"/>
      <c r="J250" s="27"/>
      <c r="K250" s="27"/>
      <c r="L250" s="27"/>
      <c r="M250" s="27"/>
    </row>
    <row r="251" spans="2:13" x14ac:dyDescent="0.35">
      <c r="B251" s="311">
        <f>C228+C213-C245+C208</f>
        <v>0</v>
      </c>
      <c r="C251" s="73">
        <v>0</v>
      </c>
      <c r="G251" s="27"/>
      <c r="H251" s="74"/>
      <c r="I251" s="52"/>
      <c r="J251" s="27"/>
      <c r="K251" s="27"/>
      <c r="L251" s="27"/>
      <c r="M251" s="27"/>
    </row>
    <row r="252" spans="2:13" x14ac:dyDescent="0.35">
      <c r="B252" s="102" t="s">
        <v>393</v>
      </c>
      <c r="G252" s="27"/>
      <c r="H252" s="74"/>
      <c r="I252" s="52"/>
      <c r="J252" s="27"/>
      <c r="K252" s="27"/>
      <c r="L252" s="27"/>
      <c r="M252" s="27"/>
    </row>
    <row r="253" spans="2:13" x14ac:dyDescent="0.35">
      <c r="B253" s="76" t="s">
        <v>455</v>
      </c>
      <c r="C253" s="73">
        <v>0</v>
      </c>
      <c r="G253" s="27"/>
      <c r="H253" s="74"/>
      <c r="I253" s="52"/>
      <c r="J253" s="27"/>
      <c r="K253" s="27"/>
      <c r="L253" s="27"/>
      <c r="M253" s="27"/>
    </row>
    <row r="254" spans="2:13" x14ac:dyDescent="0.35">
      <c r="B254" s="311">
        <f>C230 + C215 - C247 + C210</f>
        <v>0</v>
      </c>
      <c r="C254" s="73">
        <v>0</v>
      </c>
      <c r="G254" s="27"/>
      <c r="H254" s="74"/>
      <c r="I254" s="52"/>
      <c r="J254" s="27"/>
      <c r="K254" s="27"/>
      <c r="L254" s="27"/>
      <c r="M254" s="27"/>
    </row>
    <row r="255" spans="2:13" x14ac:dyDescent="0.35">
      <c r="C255" s="73"/>
      <c r="G255" s="27"/>
      <c r="H255" s="74"/>
      <c r="I255" s="52"/>
      <c r="J255" s="27"/>
      <c r="K255" s="27"/>
      <c r="L255" s="27"/>
      <c r="M255" s="27"/>
    </row>
    <row r="256" spans="2:13" x14ac:dyDescent="0.35">
      <c r="B256" s="78"/>
      <c r="C256" s="79"/>
      <c r="D256" s="77"/>
      <c r="E256" s="77"/>
      <c r="F256" s="77"/>
      <c r="G256" s="27"/>
      <c r="H256" s="74"/>
      <c r="I256" s="52"/>
      <c r="J256" s="27"/>
      <c r="K256" s="27"/>
      <c r="L256" s="27"/>
      <c r="M256" s="27"/>
    </row>
    <row r="257" spans="1:13" x14ac:dyDescent="0.35">
      <c r="C257" s="73"/>
      <c r="G257" s="27"/>
      <c r="H257" s="133"/>
      <c r="I257" s="52"/>
      <c r="J257" s="27"/>
      <c r="K257" s="27"/>
      <c r="L257" s="27"/>
      <c r="M257" s="27"/>
    </row>
    <row r="258" spans="1:13" ht="18" x14ac:dyDescent="0.4">
      <c r="B258" s="161" t="s">
        <v>457</v>
      </c>
      <c r="C258" s="73"/>
      <c r="G258" s="27"/>
      <c r="H258" s="133"/>
      <c r="I258" s="52"/>
      <c r="J258" s="27"/>
      <c r="K258" s="27"/>
      <c r="L258" s="27"/>
      <c r="M258" s="27"/>
    </row>
    <row r="259" spans="1:13" x14ac:dyDescent="0.35">
      <c r="A259" s="77"/>
      <c r="C259" s="73"/>
      <c r="G259" s="27"/>
      <c r="H259" s="74"/>
      <c r="I259" s="52"/>
      <c r="J259" s="27"/>
      <c r="K259" s="27"/>
      <c r="L259" s="27"/>
      <c r="M259" s="27"/>
    </row>
    <row r="260" spans="1:13" x14ac:dyDescent="0.35">
      <c r="G260" s="27"/>
      <c r="H260" s="74"/>
      <c r="I260" s="52"/>
      <c r="J260" s="27"/>
      <c r="K260" s="27"/>
      <c r="L260" s="27"/>
      <c r="M260" s="27"/>
    </row>
    <row r="261" spans="1:13" x14ac:dyDescent="0.35">
      <c r="G261" s="27"/>
      <c r="H261" s="74"/>
      <c r="I261" s="52"/>
      <c r="J261" s="27"/>
      <c r="K261" s="27"/>
      <c r="L261" s="27"/>
      <c r="M261" s="27"/>
    </row>
    <row r="262" spans="1:13" x14ac:dyDescent="0.35">
      <c r="C262" s="73"/>
      <c r="G262" s="27"/>
      <c r="H262" s="74"/>
      <c r="I262" s="52"/>
      <c r="J262" s="27"/>
      <c r="K262" s="27"/>
      <c r="L262" s="27"/>
      <c r="M262" s="27"/>
    </row>
    <row r="263" spans="1:13" x14ac:dyDescent="0.35">
      <c r="C263" s="73"/>
      <c r="G263" s="27"/>
      <c r="H263" s="74"/>
      <c r="I263" s="52"/>
      <c r="J263" s="27"/>
      <c r="K263" s="27"/>
      <c r="L263" s="27"/>
      <c r="M263" s="27"/>
    </row>
    <row r="264" spans="1:13" x14ac:dyDescent="0.35">
      <c r="C264" s="73"/>
      <c r="G264" s="27"/>
      <c r="H264" s="74"/>
      <c r="I264" s="52"/>
      <c r="J264" s="27"/>
      <c r="K264" s="27"/>
      <c r="L264" s="27"/>
      <c r="M264" s="27"/>
    </row>
    <row r="265" spans="1:13" x14ac:dyDescent="0.35">
      <c r="C265" s="73"/>
      <c r="G265" s="27"/>
      <c r="H265" s="74"/>
      <c r="I265" s="52"/>
      <c r="J265" s="27"/>
      <c r="K265" s="27"/>
      <c r="L265" s="27"/>
      <c r="M265" s="27"/>
    </row>
    <row r="266" spans="1:13" x14ac:dyDescent="0.35">
      <c r="D266" s="73"/>
      <c r="F266" s="312"/>
      <c r="G266" s="27"/>
      <c r="H266" s="74"/>
      <c r="I266" s="52"/>
      <c r="J266" s="27"/>
      <c r="K266" s="27"/>
      <c r="L266" s="27"/>
      <c r="M266" s="27"/>
    </row>
    <row r="267" spans="1:13" x14ac:dyDescent="0.35">
      <c r="C267" s="76"/>
      <c r="D267" s="73"/>
      <c r="G267" s="27"/>
      <c r="H267" s="74"/>
      <c r="I267" s="52"/>
      <c r="J267" s="27"/>
      <c r="K267" s="27"/>
      <c r="L267" s="27"/>
      <c r="M267" s="27"/>
    </row>
    <row r="268" spans="1:13" x14ac:dyDescent="0.35">
      <c r="D268" s="73"/>
      <c r="G268" s="27"/>
      <c r="H268" s="74"/>
      <c r="I268" s="52"/>
      <c r="J268" s="27"/>
      <c r="K268" s="27"/>
      <c r="L268" s="27"/>
      <c r="M268" s="27"/>
    </row>
    <row r="269" spans="1:13" x14ac:dyDescent="0.35">
      <c r="C269" s="102"/>
      <c r="D269" s="73"/>
      <c r="G269" s="27"/>
      <c r="H269" s="74"/>
      <c r="I269" s="52"/>
      <c r="J269" s="27"/>
      <c r="K269" s="27"/>
      <c r="L269" s="27"/>
      <c r="M269" s="27"/>
    </row>
    <row r="270" spans="1:13" x14ac:dyDescent="0.35">
      <c r="C270" s="76"/>
      <c r="D270" s="313"/>
      <c r="G270" s="27"/>
      <c r="H270" s="74"/>
      <c r="I270" s="52"/>
      <c r="J270" s="27"/>
      <c r="K270" s="27"/>
      <c r="L270" s="27"/>
      <c r="M270" s="27"/>
    </row>
    <row r="271" spans="1:13" x14ac:dyDescent="0.35">
      <c r="C271" s="76"/>
      <c r="D271" s="303"/>
      <c r="G271" s="27"/>
      <c r="H271" s="74"/>
      <c r="I271" s="52"/>
      <c r="J271" s="27"/>
      <c r="K271" s="27"/>
      <c r="L271" s="27"/>
      <c r="M271" s="27"/>
    </row>
    <row r="272" spans="1:13" x14ac:dyDescent="0.35">
      <c r="C272" s="76"/>
      <c r="D272" s="73"/>
      <c r="G272" s="27"/>
      <c r="H272" s="74"/>
      <c r="I272" s="52"/>
      <c r="J272" s="27"/>
      <c r="K272" s="27"/>
      <c r="L272" s="27"/>
      <c r="M272" s="27"/>
    </row>
    <row r="273" spans="2:13" ht="16" thickBot="1" x14ac:dyDescent="0.4">
      <c r="C273" s="85" t="s">
        <v>30</v>
      </c>
      <c r="G273" s="27"/>
      <c r="H273" s="74"/>
      <c r="I273" s="52"/>
      <c r="J273" s="27"/>
      <c r="K273" s="27"/>
      <c r="L273" s="27"/>
      <c r="M273" s="27"/>
    </row>
    <row r="274" spans="2:13" x14ac:dyDescent="0.35">
      <c r="B274" s="76" t="s">
        <v>474</v>
      </c>
      <c r="C274" s="91">
        <v>27418</v>
      </c>
      <c r="D274" s="25" t="s">
        <v>48</v>
      </c>
      <c r="G274" s="27"/>
      <c r="H274" s="74"/>
      <c r="I274" s="52"/>
      <c r="J274" s="27"/>
      <c r="K274" s="27"/>
      <c r="L274" s="27"/>
      <c r="M274" s="27"/>
    </row>
    <row r="275" spans="2:13" x14ac:dyDescent="0.35">
      <c r="B275" s="76" t="s">
        <v>389</v>
      </c>
      <c r="C275" s="95">
        <v>45</v>
      </c>
      <c r="D275" s="25" t="s">
        <v>128</v>
      </c>
      <c r="G275" s="27"/>
      <c r="H275" s="74"/>
      <c r="I275" s="52"/>
      <c r="J275" s="27"/>
      <c r="K275" s="27"/>
      <c r="L275" s="27"/>
      <c r="M275" s="27"/>
    </row>
    <row r="276" spans="2:13" x14ac:dyDescent="0.35">
      <c r="B276" s="76" t="s">
        <v>458</v>
      </c>
      <c r="C276" s="96">
        <v>36</v>
      </c>
      <c r="D276" s="25" t="s">
        <v>70</v>
      </c>
      <c r="G276" s="27"/>
      <c r="H276" s="74"/>
      <c r="I276" s="52"/>
      <c r="J276" s="27"/>
      <c r="K276" s="27"/>
      <c r="L276" s="27"/>
      <c r="M276" s="27"/>
    </row>
    <row r="277" spans="2:13" x14ac:dyDescent="0.35">
      <c r="B277" s="76" t="s">
        <v>469</v>
      </c>
      <c r="C277" s="96">
        <v>24</v>
      </c>
      <c r="D277" s="25" t="s">
        <v>70</v>
      </c>
      <c r="G277" s="27"/>
      <c r="H277" s="74"/>
      <c r="I277" s="52"/>
      <c r="J277" s="27"/>
      <c r="K277" s="27"/>
      <c r="L277" s="27"/>
      <c r="M277" s="27"/>
    </row>
    <row r="278" spans="2:13" x14ac:dyDescent="0.35">
      <c r="B278" s="76" t="s">
        <v>470</v>
      </c>
      <c r="C278" s="96">
        <v>4</v>
      </c>
      <c r="D278" s="25" t="s">
        <v>70</v>
      </c>
      <c r="G278" s="27"/>
      <c r="H278" s="74"/>
      <c r="I278" s="52"/>
      <c r="J278" s="27"/>
      <c r="K278" s="27"/>
      <c r="L278" s="27"/>
      <c r="M278" s="27"/>
    </row>
    <row r="279" spans="2:13" x14ac:dyDescent="0.35">
      <c r="B279" s="76" t="s">
        <v>435</v>
      </c>
      <c r="C279" s="96">
        <v>0.75</v>
      </c>
      <c r="D279" s="25" t="s">
        <v>70</v>
      </c>
      <c r="G279" s="27"/>
      <c r="H279" s="74"/>
      <c r="I279" s="52"/>
      <c r="J279" s="27"/>
      <c r="K279" s="27"/>
      <c r="L279" s="27"/>
      <c r="M279" s="27"/>
    </row>
    <row r="280" spans="2:13" x14ac:dyDescent="0.35">
      <c r="B280" s="76" t="s">
        <v>501</v>
      </c>
      <c r="C280" s="96">
        <v>2</v>
      </c>
      <c r="D280" s="25" t="s">
        <v>70</v>
      </c>
      <c r="G280" s="27"/>
      <c r="H280" s="74"/>
      <c r="I280" s="52"/>
      <c r="J280" s="27"/>
      <c r="K280" s="27"/>
      <c r="L280" s="27"/>
      <c r="M280" s="27"/>
    </row>
    <row r="281" spans="2:13" x14ac:dyDescent="0.35">
      <c r="B281" s="76" t="s">
        <v>476</v>
      </c>
      <c r="C281" s="314">
        <v>12000</v>
      </c>
      <c r="D281" s="25" t="s">
        <v>384</v>
      </c>
      <c r="G281" s="27"/>
      <c r="H281" s="74"/>
      <c r="I281" s="52"/>
      <c r="J281" s="27"/>
      <c r="K281" s="27"/>
      <c r="L281" s="27"/>
      <c r="M281" s="27"/>
    </row>
    <row r="282" spans="2:13" x14ac:dyDescent="0.35">
      <c r="B282" s="76" t="s">
        <v>477</v>
      </c>
      <c r="C282" s="314">
        <v>8000</v>
      </c>
      <c r="D282" s="25" t="s">
        <v>384</v>
      </c>
      <c r="G282" s="27"/>
      <c r="H282" s="74"/>
      <c r="I282" s="52"/>
      <c r="J282" s="27"/>
      <c r="K282" s="27"/>
      <c r="L282" s="27"/>
      <c r="M282" s="27"/>
    </row>
    <row r="283" spans="2:13" ht="16" thickBot="1" x14ac:dyDescent="0.4">
      <c r="B283" s="129" t="s">
        <v>555</v>
      </c>
      <c r="C283" s="315">
        <v>2</v>
      </c>
      <c r="G283" s="27"/>
      <c r="H283" s="74"/>
      <c r="I283" s="52"/>
      <c r="J283" s="27"/>
      <c r="K283" s="27"/>
      <c r="L283" s="27"/>
      <c r="M283" s="27"/>
    </row>
    <row r="284" spans="2:13" x14ac:dyDescent="0.35">
      <c r="B284" s="76"/>
      <c r="C284" s="85" t="s">
        <v>32</v>
      </c>
      <c r="G284" s="27"/>
      <c r="H284" s="74"/>
      <c r="I284" s="52"/>
      <c r="J284" s="27"/>
      <c r="K284" s="27"/>
      <c r="L284" s="27"/>
      <c r="M284" s="27"/>
    </row>
    <row r="285" spans="2:13" x14ac:dyDescent="0.35">
      <c r="B285" s="102" t="s">
        <v>459</v>
      </c>
      <c r="C285" s="3" t="s">
        <v>460</v>
      </c>
      <c r="D285" s="1"/>
      <c r="E285" s="1"/>
      <c r="G285" s="27"/>
      <c r="H285" s="74"/>
      <c r="I285" s="52"/>
      <c r="J285" s="27"/>
      <c r="K285" s="27"/>
      <c r="L285" s="27"/>
      <c r="M285" s="27"/>
    </row>
    <row r="286" spans="2:13" x14ac:dyDescent="0.35">
      <c r="B286" s="102" t="s">
        <v>42</v>
      </c>
      <c r="C286" s="112">
        <f>2*C277*C279 + 2*C278*C279</f>
        <v>42</v>
      </c>
      <c r="D286" s="1" t="s">
        <v>334</v>
      </c>
      <c r="E286" s="1"/>
      <c r="G286" s="27"/>
      <c r="H286" s="74"/>
      <c r="I286" s="52"/>
      <c r="J286" s="27"/>
      <c r="K286" s="27"/>
      <c r="L286" s="27"/>
      <c r="M286" s="27"/>
    </row>
    <row r="287" spans="2:13" x14ac:dyDescent="0.35">
      <c r="B287" s="102" t="s">
        <v>471</v>
      </c>
      <c r="C287" s="3" t="s">
        <v>499</v>
      </c>
      <c r="D287" s="1"/>
      <c r="G287" s="27"/>
      <c r="H287" s="74"/>
      <c r="I287" s="52"/>
      <c r="J287" s="27"/>
      <c r="K287" s="27"/>
      <c r="L287" s="27"/>
      <c r="M287" s="27"/>
    </row>
    <row r="288" spans="2:13" x14ac:dyDescent="0.35">
      <c r="B288" s="102" t="s">
        <v>42</v>
      </c>
      <c r="C288" s="112">
        <f>C278-2*C279</f>
        <v>2.5</v>
      </c>
      <c r="D288" s="1"/>
      <c r="G288" s="27"/>
      <c r="H288" s="74"/>
      <c r="I288" s="52"/>
      <c r="J288" s="27"/>
      <c r="K288" s="27"/>
      <c r="L288" s="27"/>
      <c r="M288" s="27"/>
    </row>
    <row r="289" spans="2:13" x14ac:dyDescent="0.35">
      <c r="B289" s="102" t="s">
        <v>472</v>
      </c>
      <c r="C289" s="3" t="s">
        <v>500</v>
      </c>
      <c r="D289" s="1"/>
      <c r="G289" s="27"/>
      <c r="H289" s="74"/>
      <c r="I289" s="52"/>
      <c r="J289" s="27"/>
      <c r="K289" s="27"/>
      <c r="L289" s="27"/>
      <c r="M289" s="27"/>
    </row>
    <row r="290" spans="2:13" x14ac:dyDescent="0.35">
      <c r="B290" s="102" t="s">
        <v>42</v>
      </c>
      <c r="C290" s="112">
        <f>C277 - 2*C280</f>
        <v>20</v>
      </c>
      <c r="D290" s="1"/>
      <c r="G290" s="27"/>
      <c r="H290" s="74"/>
      <c r="I290" s="52"/>
      <c r="J290" s="27"/>
      <c r="K290" s="27"/>
      <c r="L290" s="27"/>
      <c r="M290" s="27"/>
    </row>
    <row r="291" spans="2:13" x14ac:dyDescent="0.35">
      <c r="B291" s="102" t="s">
        <v>461</v>
      </c>
      <c r="C291" s="3" t="s">
        <v>473</v>
      </c>
      <c r="D291" s="1"/>
      <c r="E291" s="1"/>
      <c r="G291" s="27"/>
      <c r="H291" s="74"/>
      <c r="I291" s="52"/>
      <c r="J291" s="27"/>
      <c r="K291" s="27"/>
      <c r="L291" s="27"/>
      <c r="M291" s="27"/>
    </row>
    <row r="292" spans="2:13" x14ac:dyDescent="0.35">
      <c r="B292" s="102" t="s">
        <v>42</v>
      </c>
      <c r="C292" s="103">
        <f>(C278*C277^3/12) - (C288*C290^3/12)</f>
        <v>2941.333333333333</v>
      </c>
      <c r="D292" s="1" t="s">
        <v>462</v>
      </c>
      <c r="E292" s="1"/>
      <c r="G292" s="27"/>
      <c r="H292" s="74"/>
      <c r="I292" s="52"/>
      <c r="J292" s="27"/>
      <c r="K292" s="27"/>
      <c r="L292" s="27"/>
      <c r="M292" s="27"/>
    </row>
    <row r="293" spans="2:13" x14ac:dyDescent="0.35">
      <c r="B293" s="102" t="s">
        <v>465</v>
      </c>
      <c r="C293" s="3" t="s">
        <v>400</v>
      </c>
      <c r="D293" s="1"/>
      <c r="E293" s="1"/>
      <c r="G293" s="27"/>
      <c r="H293" s="74"/>
      <c r="I293" s="52"/>
      <c r="J293" s="27"/>
      <c r="K293" s="27"/>
      <c r="L293" s="27"/>
      <c r="M293" s="27"/>
    </row>
    <row r="294" spans="2:13" x14ac:dyDescent="0.35">
      <c r="B294" s="102" t="s">
        <v>42</v>
      </c>
      <c r="C294" s="103">
        <f>C274*COS(C275/57.3)</f>
        <v>19388.575244008727</v>
      </c>
      <c r="D294" s="1" t="s">
        <v>48</v>
      </c>
      <c r="E294" s="1"/>
      <c r="G294" s="27"/>
      <c r="H294" s="74"/>
      <c r="I294" s="52"/>
      <c r="J294" s="27"/>
      <c r="K294" s="27"/>
      <c r="L294" s="27"/>
      <c r="M294" s="27"/>
    </row>
    <row r="295" spans="2:13" x14ac:dyDescent="0.35">
      <c r="B295" s="102" t="s">
        <v>463</v>
      </c>
      <c r="C295" s="3" t="s">
        <v>402</v>
      </c>
      <c r="D295" s="1"/>
      <c r="E295" s="1"/>
      <c r="G295" s="27"/>
      <c r="H295" s="74"/>
      <c r="I295" s="52"/>
      <c r="J295" s="27"/>
      <c r="K295" s="27"/>
      <c r="L295" s="27"/>
      <c r="M295" s="27"/>
    </row>
    <row r="296" spans="2:13" x14ac:dyDescent="0.35">
      <c r="B296" s="102" t="s">
        <v>42</v>
      </c>
      <c r="C296" s="103">
        <f>C274*SIN(C275/57.3)</f>
        <v>19386.332144255961</v>
      </c>
      <c r="D296" s="1" t="s">
        <v>48</v>
      </c>
      <c r="E296" s="1"/>
      <c r="G296" s="27"/>
      <c r="H296" s="74"/>
      <c r="I296" s="52"/>
      <c r="J296" s="27"/>
      <c r="K296" s="27"/>
      <c r="L296" s="27"/>
      <c r="M296" s="27"/>
    </row>
    <row r="297" spans="2:13" x14ac:dyDescent="0.35">
      <c r="B297" s="102" t="s">
        <v>464</v>
      </c>
      <c r="C297" s="3" t="s">
        <v>466</v>
      </c>
      <c r="D297" s="1"/>
      <c r="E297" s="1"/>
      <c r="G297" s="27"/>
      <c r="H297" s="74"/>
      <c r="I297" s="52"/>
      <c r="J297" s="27"/>
      <c r="K297" s="27"/>
      <c r="L297" s="27"/>
      <c r="M297" s="27"/>
    </row>
    <row r="298" spans="2:13" x14ac:dyDescent="0.35">
      <c r="B298" s="102" t="s">
        <v>42</v>
      </c>
      <c r="C298" s="103">
        <f>C294*C276</f>
        <v>697988.70878431422</v>
      </c>
      <c r="D298" s="1" t="s">
        <v>48</v>
      </c>
      <c r="E298" s="1"/>
      <c r="G298" s="27"/>
      <c r="H298" s="74"/>
      <c r="I298" s="52"/>
      <c r="J298" s="27"/>
      <c r="K298" s="27"/>
      <c r="L298" s="27"/>
      <c r="M298" s="27"/>
    </row>
    <row r="299" spans="2:13" x14ac:dyDescent="0.35">
      <c r="B299" s="102" t="s">
        <v>483</v>
      </c>
      <c r="C299" s="1" t="s">
        <v>556</v>
      </c>
      <c r="D299" s="1"/>
      <c r="E299" s="1"/>
      <c r="G299" s="27"/>
      <c r="H299" s="74"/>
      <c r="I299" s="52"/>
      <c r="J299" s="27"/>
      <c r="K299" s="27"/>
      <c r="L299" s="27"/>
      <c r="M299" s="27"/>
    </row>
    <row r="300" spans="2:13" x14ac:dyDescent="0.35">
      <c r="B300" s="102" t="s">
        <v>42</v>
      </c>
      <c r="C300" s="103">
        <f>C283*C298*(C277/2) /C292 - (C296/C286)</f>
        <v>5233.7047784258621</v>
      </c>
      <c r="D300" s="1" t="s">
        <v>384</v>
      </c>
      <c r="E300" s="1"/>
      <c r="G300" s="27"/>
      <c r="H300" s="74"/>
      <c r="I300" s="52"/>
      <c r="J300" s="27"/>
      <c r="K300" s="27"/>
      <c r="L300" s="27"/>
      <c r="M300" s="27"/>
    </row>
    <row r="301" spans="2:13" x14ac:dyDescent="0.35">
      <c r="B301" s="102" t="s">
        <v>467</v>
      </c>
      <c r="C301" s="1" t="s">
        <v>557</v>
      </c>
      <c r="D301" s="1"/>
      <c r="E301" s="1"/>
      <c r="G301" s="27"/>
      <c r="H301" s="27"/>
      <c r="I301" s="52"/>
      <c r="J301" s="27"/>
      <c r="K301" s="27"/>
      <c r="L301" s="27"/>
      <c r="M301" s="27"/>
    </row>
    <row r="302" spans="2:13" x14ac:dyDescent="0.35">
      <c r="B302" s="102" t="s">
        <v>42</v>
      </c>
      <c r="C302" s="103">
        <f>C283*C298*(C277/2) /C292 + (C296/C286)</f>
        <v>6156.8634519618599</v>
      </c>
      <c r="D302" s="1" t="s">
        <v>384</v>
      </c>
      <c r="E302" s="1"/>
      <c r="G302" s="27"/>
      <c r="H302" s="27"/>
      <c r="I302" s="52"/>
      <c r="J302" s="27"/>
      <c r="K302" s="27"/>
      <c r="L302" s="27"/>
      <c r="M302" s="27"/>
    </row>
    <row r="303" spans="2:13" x14ac:dyDescent="0.35">
      <c r="B303" s="102" t="s">
        <v>468</v>
      </c>
      <c r="C303" s="1" t="s">
        <v>558</v>
      </c>
      <c r="D303" s="1"/>
      <c r="E303" s="1"/>
      <c r="F303" s="1"/>
      <c r="G303" s="27"/>
      <c r="H303" s="27"/>
      <c r="I303" s="52"/>
      <c r="J303" s="27"/>
      <c r="K303" s="27"/>
      <c r="L303" s="27"/>
      <c r="M303" s="27"/>
    </row>
    <row r="304" spans="2:13" x14ac:dyDescent="0.35">
      <c r="B304" s="102" t="s">
        <v>42</v>
      </c>
      <c r="C304" s="103">
        <f>C283*C294/(16*C279*C292)*(C278*(C277^2 - C290^2) + 2*C279*C290^2)</f>
        <v>1432.6100474947518</v>
      </c>
      <c r="D304" s="1" t="s">
        <v>384</v>
      </c>
      <c r="E304" s="1"/>
      <c r="F304" s="1"/>
      <c r="G304" s="27"/>
      <c r="H304" s="27"/>
      <c r="I304" s="52"/>
      <c r="J304" s="27"/>
      <c r="K304" s="27"/>
      <c r="L304" s="27"/>
      <c r="M304" s="27"/>
    </row>
    <row r="305" spans="1:13" x14ac:dyDescent="0.35">
      <c r="B305" s="3" t="s">
        <v>478</v>
      </c>
      <c r="G305" s="27"/>
      <c r="H305" s="27"/>
      <c r="I305" s="52"/>
      <c r="J305" s="27"/>
      <c r="K305" s="27"/>
      <c r="L305" s="27"/>
      <c r="M305" s="27"/>
    </row>
    <row r="306" spans="1:13" x14ac:dyDescent="0.35">
      <c r="B306" s="102" t="s">
        <v>480</v>
      </c>
      <c r="C306" s="1" t="s">
        <v>479</v>
      </c>
      <c r="G306" s="27"/>
      <c r="H306" s="27"/>
      <c r="I306" s="52"/>
      <c r="J306" s="27"/>
      <c r="K306" s="27"/>
      <c r="L306" s="27"/>
      <c r="M306" s="27"/>
    </row>
    <row r="307" spans="1:13" x14ac:dyDescent="0.35">
      <c r="B307" s="102" t="s">
        <v>42</v>
      </c>
      <c r="C307" s="112">
        <f>C281/C302</f>
        <v>1.9490443622192479</v>
      </c>
      <c r="G307" s="27"/>
      <c r="H307" s="27"/>
      <c r="I307" s="52"/>
      <c r="J307" s="27"/>
      <c r="K307" s="27"/>
      <c r="L307" s="27"/>
      <c r="M307" s="27"/>
    </row>
    <row r="308" spans="1:13" x14ac:dyDescent="0.35">
      <c r="B308" s="102" t="s">
        <v>481</v>
      </c>
      <c r="C308" s="1" t="s">
        <v>482</v>
      </c>
      <c r="G308" s="27"/>
      <c r="H308" s="27"/>
      <c r="I308" s="52"/>
      <c r="J308" s="27"/>
      <c r="K308" s="27"/>
      <c r="L308" s="27"/>
      <c r="M308" s="27"/>
    </row>
    <row r="309" spans="1:13" x14ac:dyDescent="0.35">
      <c r="B309" s="102" t="s">
        <v>42</v>
      </c>
      <c r="C309" s="112">
        <f>C282 /C304</f>
        <v>5.5842132435060332</v>
      </c>
      <c r="G309" s="27"/>
      <c r="H309" s="27"/>
      <c r="I309" s="52"/>
      <c r="J309" s="27"/>
      <c r="K309" s="27"/>
      <c r="L309" s="27"/>
      <c r="M309" s="27"/>
    </row>
    <row r="310" spans="1:13" x14ac:dyDescent="0.35">
      <c r="G310" s="27"/>
      <c r="H310" s="27"/>
      <c r="I310" s="52"/>
      <c r="J310" s="27"/>
      <c r="K310" s="27"/>
      <c r="L310" s="27"/>
      <c r="M310" s="27"/>
    </row>
    <row r="311" spans="1:13" x14ac:dyDescent="0.35">
      <c r="B311" s="78"/>
      <c r="C311" s="79"/>
      <c r="D311" s="77"/>
      <c r="E311" s="77"/>
      <c r="F311" s="77"/>
      <c r="G311" s="27"/>
      <c r="H311" s="27"/>
      <c r="I311" s="52"/>
      <c r="J311" s="27"/>
      <c r="K311" s="27"/>
      <c r="L311" s="27"/>
      <c r="M311" s="27"/>
    </row>
    <row r="312" spans="1:13" x14ac:dyDescent="0.35">
      <c r="B312" s="76"/>
      <c r="G312" s="27"/>
      <c r="H312" s="27"/>
      <c r="I312" s="52"/>
      <c r="J312" s="27"/>
      <c r="K312" s="27"/>
      <c r="L312" s="27"/>
      <c r="M312" s="27"/>
    </row>
    <row r="313" spans="1:13" ht="18" x14ac:dyDescent="0.4">
      <c r="B313" s="136" t="s">
        <v>502</v>
      </c>
      <c r="G313" s="27"/>
      <c r="H313" s="27"/>
      <c r="I313" s="52"/>
      <c r="J313" s="27"/>
      <c r="K313" s="27"/>
      <c r="L313" s="27"/>
      <c r="M313" s="27"/>
    </row>
    <row r="314" spans="1:13" x14ac:dyDescent="0.35">
      <c r="A314" s="77"/>
      <c r="G314" s="27"/>
      <c r="H314" s="27"/>
      <c r="I314" s="52"/>
      <c r="J314" s="27"/>
      <c r="K314" s="27"/>
      <c r="L314" s="27"/>
      <c r="M314" s="27"/>
    </row>
    <row r="315" spans="1:13" x14ac:dyDescent="0.35">
      <c r="G315" s="27"/>
      <c r="H315" s="27"/>
      <c r="I315" s="52"/>
      <c r="J315" s="27"/>
      <c r="K315" s="27"/>
      <c r="L315" s="27"/>
      <c r="M315" s="27"/>
    </row>
    <row r="316" spans="1:13" x14ac:dyDescent="0.35">
      <c r="G316" s="27"/>
      <c r="H316" s="27"/>
      <c r="I316" s="52"/>
      <c r="J316" s="27"/>
      <c r="K316" s="27"/>
      <c r="L316" s="27"/>
      <c r="M316" s="27"/>
    </row>
    <row r="317" spans="1:13" x14ac:dyDescent="0.35">
      <c r="G317" s="27"/>
      <c r="H317" s="27"/>
      <c r="I317" s="52"/>
      <c r="J317" s="27"/>
      <c r="K317" s="27"/>
      <c r="L317" s="27"/>
      <c r="M317" s="27"/>
    </row>
    <row r="318" spans="1:13" x14ac:dyDescent="0.35">
      <c r="G318" s="27"/>
      <c r="H318" s="27"/>
      <c r="I318" s="52"/>
      <c r="J318" s="27"/>
      <c r="K318" s="27"/>
      <c r="L318" s="27"/>
      <c r="M318" s="27"/>
    </row>
    <row r="319" spans="1:13" x14ac:dyDescent="0.35">
      <c r="G319" s="27"/>
      <c r="H319" s="27"/>
      <c r="I319" s="52"/>
      <c r="J319" s="27"/>
      <c r="K319" s="27"/>
      <c r="L319" s="27"/>
      <c r="M319" s="27"/>
    </row>
    <row r="320" spans="1:13" x14ac:dyDescent="0.35">
      <c r="G320" s="27"/>
      <c r="H320" s="27"/>
      <c r="I320" s="52"/>
      <c r="J320" s="27"/>
      <c r="K320" s="27"/>
      <c r="L320" s="27"/>
      <c r="M320" s="27"/>
    </row>
    <row r="321" spans="7:13" x14ac:dyDescent="0.35">
      <c r="G321" s="27"/>
      <c r="H321" s="27"/>
      <c r="I321" s="52"/>
      <c r="J321" s="27"/>
      <c r="K321" s="27"/>
      <c r="L321" s="27"/>
      <c r="M321" s="27"/>
    </row>
    <row r="322" spans="7:13" x14ac:dyDescent="0.35">
      <c r="G322" s="27"/>
      <c r="H322" s="27"/>
      <c r="I322" s="52"/>
      <c r="J322" s="27"/>
      <c r="K322" s="27"/>
      <c r="L322" s="27"/>
      <c r="M322" s="27"/>
    </row>
    <row r="323" spans="7:13" x14ac:dyDescent="0.35">
      <c r="G323" s="27"/>
      <c r="H323" s="27"/>
      <c r="I323" s="52"/>
      <c r="J323" s="27"/>
      <c r="K323" s="27"/>
      <c r="L323" s="27"/>
      <c r="M323" s="27"/>
    </row>
    <row r="324" spans="7:13" x14ac:dyDescent="0.35">
      <c r="G324" s="27"/>
      <c r="H324" s="27"/>
      <c r="I324" s="52"/>
      <c r="J324" s="27"/>
      <c r="K324" s="27"/>
      <c r="L324" s="27"/>
      <c r="M324" s="27"/>
    </row>
    <row r="325" spans="7:13" x14ac:dyDescent="0.35">
      <c r="G325" s="27"/>
      <c r="H325" s="27"/>
      <c r="I325" s="52"/>
      <c r="J325" s="27"/>
      <c r="K325" s="27"/>
      <c r="L325" s="27"/>
      <c r="M325" s="27"/>
    </row>
    <row r="326" spans="7:13" x14ac:dyDescent="0.35">
      <c r="G326" s="27"/>
      <c r="H326" s="27"/>
      <c r="I326" s="52"/>
      <c r="J326" s="27"/>
      <c r="K326" s="27"/>
      <c r="L326" s="27"/>
      <c r="M326" s="27"/>
    </row>
    <row r="327" spans="7:13" x14ac:dyDescent="0.35">
      <c r="G327" s="27"/>
      <c r="H327" s="27"/>
      <c r="I327" s="52"/>
      <c r="J327" s="27"/>
      <c r="K327" s="27"/>
      <c r="L327" s="27"/>
      <c r="M327" s="27"/>
    </row>
    <row r="328" spans="7:13" x14ac:dyDescent="0.35">
      <c r="G328" s="27"/>
      <c r="H328" s="27"/>
      <c r="I328" s="52"/>
      <c r="J328" s="27"/>
      <c r="K328" s="27"/>
      <c r="L328" s="27"/>
      <c r="M328" s="27"/>
    </row>
    <row r="329" spans="7:13" x14ac:dyDescent="0.35">
      <c r="G329" s="27"/>
      <c r="H329" s="27"/>
      <c r="I329" s="52"/>
      <c r="J329" s="27"/>
      <c r="K329" s="27"/>
      <c r="L329" s="27"/>
      <c r="M329" s="27"/>
    </row>
    <row r="330" spans="7:13" x14ac:dyDescent="0.35">
      <c r="G330" s="27"/>
      <c r="H330" s="27"/>
      <c r="I330" s="52"/>
      <c r="J330" s="27"/>
      <c r="K330" s="27"/>
      <c r="L330" s="27"/>
      <c r="M330" s="27"/>
    </row>
    <row r="331" spans="7:13" x14ac:dyDescent="0.35">
      <c r="G331" s="27"/>
      <c r="H331" s="48"/>
      <c r="I331" s="52"/>
      <c r="J331" s="27"/>
      <c r="K331" s="27"/>
      <c r="L331" s="27"/>
      <c r="M331" s="27"/>
    </row>
    <row r="332" spans="7:13" x14ac:dyDescent="0.35">
      <c r="G332" s="27"/>
      <c r="H332" s="27"/>
      <c r="I332" s="52"/>
      <c r="J332" s="27"/>
      <c r="K332" s="27"/>
      <c r="L332" s="27"/>
      <c r="M332" s="27"/>
    </row>
    <row r="333" spans="7:13" x14ac:dyDescent="0.35">
      <c r="G333" s="27"/>
      <c r="H333" s="27"/>
      <c r="I333" s="52"/>
      <c r="J333" s="27"/>
      <c r="K333" s="27"/>
      <c r="L333" s="27"/>
      <c r="M333" s="27"/>
    </row>
    <row r="334" spans="7:13" x14ac:dyDescent="0.35">
      <c r="G334" s="27"/>
      <c r="H334" s="27"/>
      <c r="I334" s="52"/>
      <c r="J334" s="27"/>
      <c r="K334" s="27"/>
      <c r="L334" s="27"/>
      <c r="M334" s="27"/>
    </row>
    <row r="335" spans="7:13" x14ac:dyDescent="0.35">
      <c r="G335" s="27"/>
      <c r="H335" s="27"/>
      <c r="I335" s="52"/>
      <c r="J335" s="27"/>
      <c r="K335" s="27"/>
      <c r="L335" s="27"/>
      <c r="M335" s="27"/>
    </row>
    <row r="336" spans="7:13" x14ac:dyDescent="0.35">
      <c r="G336" s="27"/>
      <c r="H336" s="27"/>
      <c r="I336" s="52"/>
      <c r="J336" s="27"/>
      <c r="K336" s="27"/>
      <c r="L336" s="27"/>
      <c r="M336" s="27"/>
    </row>
    <row r="337" spans="2:13" x14ac:dyDescent="0.35">
      <c r="G337" s="27"/>
      <c r="H337" s="27"/>
      <c r="I337" s="52"/>
      <c r="J337" s="27"/>
      <c r="K337" s="27"/>
      <c r="L337" s="27"/>
      <c r="M337" s="27"/>
    </row>
    <row r="338" spans="2:13" x14ac:dyDescent="0.35">
      <c r="G338" s="27"/>
      <c r="H338" s="27"/>
      <c r="I338" s="52"/>
      <c r="J338" s="27"/>
      <c r="K338" s="27"/>
      <c r="L338" s="27"/>
      <c r="M338" s="27"/>
    </row>
    <row r="339" spans="2:13" x14ac:dyDescent="0.35">
      <c r="G339" s="27"/>
      <c r="H339" s="74"/>
      <c r="I339" s="52"/>
      <c r="J339" s="27"/>
      <c r="K339" s="27"/>
      <c r="L339" s="27"/>
      <c r="M339" s="27"/>
    </row>
    <row r="340" spans="2:13" x14ac:dyDescent="0.35">
      <c r="G340" s="27"/>
      <c r="H340" s="74"/>
      <c r="I340" s="52"/>
      <c r="J340" s="27"/>
      <c r="K340" s="27"/>
      <c r="L340" s="27"/>
      <c r="M340" s="27"/>
    </row>
    <row r="341" spans="2:13" ht="18" x14ac:dyDescent="0.4">
      <c r="B341" s="136" t="s">
        <v>498</v>
      </c>
      <c r="G341" s="27"/>
      <c r="H341" s="74"/>
      <c r="I341" s="52"/>
      <c r="J341" s="27"/>
      <c r="K341" s="27"/>
      <c r="L341" s="27"/>
      <c r="M341" s="27"/>
    </row>
    <row r="342" spans="2:13" x14ac:dyDescent="0.35">
      <c r="G342" s="27"/>
      <c r="H342" s="74"/>
      <c r="I342" s="52"/>
      <c r="J342" s="27"/>
      <c r="K342" s="27"/>
      <c r="L342" s="27"/>
      <c r="M342" s="27"/>
    </row>
    <row r="343" spans="2:13" x14ac:dyDescent="0.35">
      <c r="G343" s="27"/>
      <c r="H343" s="74"/>
      <c r="I343" s="52"/>
      <c r="J343" s="27"/>
      <c r="K343" s="27"/>
      <c r="L343" s="27"/>
      <c r="M343" s="27"/>
    </row>
    <row r="344" spans="2:13" x14ac:dyDescent="0.35">
      <c r="G344" s="27"/>
      <c r="H344" s="74"/>
      <c r="I344" s="52"/>
      <c r="J344" s="27"/>
      <c r="K344" s="27"/>
      <c r="L344" s="27"/>
      <c r="M344" s="27"/>
    </row>
    <row r="345" spans="2:13" x14ac:dyDescent="0.35">
      <c r="G345" s="27"/>
      <c r="H345" s="74"/>
      <c r="I345" s="52"/>
      <c r="J345" s="27"/>
      <c r="K345" s="27"/>
      <c r="L345" s="27"/>
      <c r="M345" s="27"/>
    </row>
    <row r="346" spans="2:13" x14ac:dyDescent="0.35">
      <c r="G346" s="27"/>
      <c r="H346" s="74"/>
      <c r="I346" s="52"/>
      <c r="J346" s="27"/>
      <c r="K346" s="27"/>
      <c r="L346" s="27"/>
      <c r="M346" s="27"/>
    </row>
    <row r="347" spans="2:13" x14ac:dyDescent="0.35">
      <c r="G347" s="27"/>
      <c r="H347" s="74"/>
      <c r="I347" s="52"/>
      <c r="J347" s="27"/>
      <c r="K347" s="27"/>
      <c r="L347" s="27"/>
      <c r="M347" s="27"/>
    </row>
    <row r="348" spans="2:13" x14ac:dyDescent="0.35">
      <c r="G348" s="27"/>
      <c r="H348" s="74"/>
      <c r="I348" s="52"/>
      <c r="J348" s="27"/>
      <c r="K348" s="27"/>
      <c r="L348" s="27"/>
      <c r="M348" s="27"/>
    </row>
    <row r="349" spans="2:13" x14ac:dyDescent="0.35">
      <c r="G349" s="27"/>
      <c r="H349" s="74"/>
      <c r="I349" s="52"/>
      <c r="J349" s="27"/>
      <c r="K349" s="27"/>
      <c r="L349" s="27"/>
      <c r="M349" s="27"/>
    </row>
    <row r="350" spans="2:13" x14ac:dyDescent="0.35">
      <c r="G350" s="27"/>
      <c r="H350" s="74"/>
      <c r="I350" s="52"/>
      <c r="J350" s="27"/>
      <c r="K350" s="27"/>
      <c r="L350" s="27"/>
      <c r="M350" s="27"/>
    </row>
    <row r="351" spans="2:13" x14ac:dyDescent="0.35">
      <c r="G351" s="27"/>
      <c r="H351" s="74"/>
      <c r="I351" s="52"/>
      <c r="J351" s="27"/>
      <c r="K351" s="27"/>
      <c r="L351" s="27"/>
      <c r="M351" s="27"/>
    </row>
    <row r="352" spans="2:13" x14ac:dyDescent="0.35">
      <c r="G352" s="27"/>
      <c r="H352" s="74"/>
      <c r="I352" s="52"/>
      <c r="J352" s="27"/>
      <c r="K352" s="27"/>
      <c r="L352" s="27"/>
      <c r="M352" s="27"/>
    </row>
    <row r="353" spans="2:13" x14ac:dyDescent="0.35">
      <c r="G353" s="27"/>
      <c r="H353" s="74"/>
      <c r="I353" s="52"/>
      <c r="J353" s="27"/>
      <c r="K353" s="27"/>
      <c r="L353" s="27"/>
      <c r="M353" s="27"/>
    </row>
    <row r="354" spans="2:13" x14ac:dyDescent="0.35">
      <c r="G354" s="27"/>
      <c r="H354" s="74"/>
      <c r="I354" s="52"/>
      <c r="J354" s="27"/>
      <c r="K354" s="27"/>
      <c r="L354" s="27"/>
      <c r="M354" s="27"/>
    </row>
    <row r="355" spans="2:13" x14ac:dyDescent="0.35">
      <c r="G355" s="27"/>
      <c r="H355" s="74"/>
      <c r="I355" s="52"/>
      <c r="J355" s="27"/>
      <c r="K355" s="27"/>
      <c r="L355" s="27"/>
      <c r="M355" s="27"/>
    </row>
    <row r="356" spans="2:13" x14ac:dyDescent="0.35">
      <c r="G356" s="27"/>
      <c r="H356" s="74"/>
      <c r="I356" s="52"/>
      <c r="J356" s="27"/>
      <c r="K356" s="27"/>
      <c r="L356" s="27"/>
      <c r="M356" s="27"/>
    </row>
    <row r="357" spans="2:13" x14ac:dyDescent="0.35">
      <c r="G357" s="27"/>
      <c r="H357" s="74"/>
      <c r="I357" s="52"/>
      <c r="J357" s="27"/>
      <c r="K357" s="27"/>
      <c r="L357" s="27"/>
      <c r="M357" s="27"/>
    </row>
    <row r="358" spans="2:13" x14ac:dyDescent="0.35">
      <c r="G358" s="27"/>
      <c r="H358" s="74"/>
      <c r="I358" s="52"/>
      <c r="J358" s="27"/>
      <c r="K358" s="27"/>
      <c r="L358" s="27"/>
      <c r="M358" s="27"/>
    </row>
    <row r="359" spans="2:13" ht="18" x14ac:dyDescent="0.4">
      <c r="B359" s="175" t="s">
        <v>668</v>
      </c>
      <c r="G359" s="27"/>
      <c r="H359" s="74"/>
      <c r="I359" s="52"/>
      <c r="J359" s="27"/>
      <c r="K359" s="27"/>
      <c r="L359" s="27"/>
      <c r="M359" s="27"/>
    </row>
    <row r="360" spans="2:13" ht="16" thickBot="1" x14ac:dyDescent="0.4">
      <c r="B360" s="76"/>
      <c r="C360" s="183" t="s">
        <v>30</v>
      </c>
      <c r="G360" s="27"/>
      <c r="H360" s="74"/>
      <c r="I360" s="52"/>
      <c r="J360" s="27"/>
      <c r="K360" s="27"/>
      <c r="L360" s="27"/>
      <c r="M360" s="27"/>
    </row>
    <row r="361" spans="2:13" x14ac:dyDescent="0.35">
      <c r="B361" s="76" t="s">
        <v>559</v>
      </c>
      <c r="C361" s="91">
        <v>56.55</v>
      </c>
      <c r="D361" s="25" t="s">
        <v>487</v>
      </c>
      <c r="G361" s="27"/>
      <c r="H361" s="74"/>
      <c r="I361" s="52"/>
      <c r="J361" s="27"/>
      <c r="K361" s="27"/>
      <c r="L361" s="27"/>
      <c r="M361" s="27"/>
    </row>
    <row r="362" spans="2:13" x14ac:dyDescent="0.35">
      <c r="B362" s="76" t="s">
        <v>516</v>
      </c>
      <c r="C362" s="95">
        <v>20</v>
      </c>
      <c r="D362" s="25" t="s">
        <v>128</v>
      </c>
      <c r="G362" s="27"/>
      <c r="H362" s="74"/>
      <c r="I362" s="52"/>
      <c r="J362" s="27"/>
      <c r="K362" s="27"/>
      <c r="L362" s="27"/>
      <c r="M362" s="27"/>
    </row>
    <row r="363" spans="2:13" x14ac:dyDescent="0.35">
      <c r="B363" s="76" t="s">
        <v>486</v>
      </c>
      <c r="C363" s="316">
        <v>17.5</v>
      </c>
      <c r="D363" s="25" t="s">
        <v>487</v>
      </c>
      <c r="G363" s="27"/>
      <c r="H363" s="74"/>
      <c r="I363" s="52"/>
      <c r="J363" s="27"/>
      <c r="K363" s="27"/>
      <c r="L363" s="27"/>
      <c r="M363" s="27"/>
    </row>
    <row r="364" spans="2:13" x14ac:dyDescent="0.35">
      <c r="B364" s="76" t="s">
        <v>488</v>
      </c>
      <c r="C364" s="316">
        <v>21.6</v>
      </c>
      <c r="D364" s="25" t="s">
        <v>487</v>
      </c>
      <c r="G364" s="27"/>
      <c r="H364" s="74"/>
      <c r="I364" s="52"/>
      <c r="J364" s="27"/>
      <c r="K364" s="27"/>
      <c r="L364" s="27"/>
      <c r="M364" s="27"/>
    </row>
    <row r="365" spans="2:13" x14ac:dyDescent="0.35">
      <c r="B365" s="76" t="s">
        <v>489</v>
      </c>
      <c r="C365" s="316">
        <v>30</v>
      </c>
      <c r="D365" s="25" t="s">
        <v>487</v>
      </c>
      <c r="G365" s="27"/>
      <c r="H365" s="74"/>
      <c r="I365" s="52"/>
      <c r="J365" s="27"/>
      <c r="K365" s="27"/>
      <c r="L365" s="27"/>
      <c r="M365" s="27"/>
    </row>
    <row r="366" spans="2:13" x14ac:dyDescent="0.35">
      <c r="B366" s="76" t="s">
        <v>560</v>
      </c>
      <c r="C366" s="316">
        <v>58</v>
      </c>
      <c r="D366" s="25" t="s">
        <v>487</v>
      </c>
      <c r="G366" s="27"/>
      <c r="H366" s="74"/>
      <c r="I366" s="52"/>
      <c r="J366" s="27"/>
      <c r="K366" s="27"/>
      <c r="L366" s="27"/>
      <c r="M366" s="27"/>
    </row>
    <row r="367" spans="2:13" x14ac:dyDescent="0.35">
      <c r="B367" s="76" t="s">
        <v>509</v>
      </c>
      <c r="C367" s="308">
        <v>2.5</v>
      </c>
      <c r="D367" s="25" t="s">
        <v>70</v>
      </c>
      <c r="G367" s="27"/>
      <c r="H367" s="74"/>
      <c r="I367" s="52"/>
      <c r="J367" s="27"/>
      <c r="K367" s="27"/>
      <c r="L367" s="27"/>
      <c r="M367" s="27"/>
    </row>
    <row r="368" spans="2:13" x14ac:dyDescent="0.35">
      <c r="B368" s="76" t="s">
        <v>503</v>
      </c>
      <c r="C368" s="308">
        <v>3.5</v>
      </c>
      <c r="D368" s="25" t="s">
        <v>70</v>
      </c>
      <c r="G368" s="27"/>
      <c r="H368" s="74"/>
      <c r="I368" s="52"/>
      <c r="J368" s="27"/>
      <c r="K368" s="27"/>
      <c r="L368" s="27"/>
      <c r="M368" s="27"/>
    </row>
    <row r="369" spans="2:13" x14ac:dyDescent="0.35">
      <c r="B369" s="76" t="s">
        <v>506</v>
      </c>
      <c r="C369" s="308">
        <v>4</v>
      </c>
      <c r="D369" s="25" t="s">
        <v>70</v>
      </c>
      <c r="G369" s="27"/>
      <c r="H369" s="74"/>
      <c r="I369" s="52"/>
      <c r="J369" s="27"/>
      <c r="K369" s="27"/>
      <c r="L369" s="27"/>
      <c r="M369" s="27"/>
    </row>
    <row r="370" spans="2:13" x14ac:dyDescent="0.35">
      <c r="B370" s="76" t="s">
        <v>564</v>
      </c>
      <c r="C370" s="308">
        <v>2</v>
      </c>
      <c r="D370" s="25" t="s">
        <v>70</v>
      </c>
      <c r="G370" s="27"/>
      <c r="H370" s="74"/>
      <c r="I370" s="52"/>
      <c r="J370" s="27"/>
      <c r="K370" s="27"/>
      <c r="L370" s="27"/>
      <c r="M370" s="27"/>
    </row>
    <row r="371" spans="2:13" x14ac:dyDescent="0.35">
      <c r="B371" s="76" t="s">
        <v>504</v>
      </c>
      <c r="C371" s="318">
        <v>4</v>
      </c>
      <c r="D371" s="25" t="s">
        <v>70</v>
      </c>
      <c r="G371" s="27"/>
      <c r="H371" s="74"/>
      <c r="I371" s="52"/>
      <c r="J371" s="27"/>
      <c r="K371" s="27"/>
      <c r="L371" s="27"/>
      <c r="M371" s="27"/>
    </row>
    <row r="372" spans="2:13" x14ac:dyDescent="0.35">
      <c r="B372" s="76" t="s">
        <v>507</v>
      </c>
      <c r="C372" s="318">
        <v>2</v>
      </c>
      <c r="D372" s="25" t="s">
        <v>70</v>
      </c>
      <c r="G372" s="27"/>
      <c r="H372" s="74"/>
      <c r="I372" s="52"/>
      <c r="J372" s="27"/>
      <c r="K372" s="27"/>
      <c r="L372" s="27"/>
      <c r="M372" s="27"/>
    </row>
    <row r="373" spans="2:13" ht="16" thickBot="1" x14ac:dyDescent="0.4">
      <c r="B373" s="129" t="s">
        <v>555</v>
      </c>
      <c r="C373" s="320">
        <v>1.5</v>
      </c>
      <c r="G373" s="27"/>
      <c r="H373" s="74"/>
      <c r="I373" s="52"/>
      <c r="J373" s="27"/>
      <c r="K373" s="27"/>
      <c r="L373" s="27"/>
      <c r="M373" s="27"/>
    </row>
    <row r="374" spans="2:13" x14ac:dyDescent="0.35">
      <c r="B374" s="76"/>
      <c r="C374" s="183" t="s">
        <v>490</v>
      </c>
      <c r="G374" s="27"/>
      <c r="H374" s="74"/>
      <c r="I374" s="52"/>
      <c r="J374" s="27"/>
      <c r="K374" s="27"/>
      <c r="L374" s="27"/>
      <c r="M374" s="27"/>
    </row>
    <row r="375" spans="2:13" x14ac:dyDescent="0.35">
      <c r="B375" s="322" t="s">
        <v>525</v>
      </c>
      <c r="G375" s="27"/>
      <c r="H375" s="74"/>
      <c r="I375" s="52"/>
      <c r="J375" s="27"/>
      <c r="K375" s="27"/>
      <c r="L375" s="27"/>
      <c r="M375" s="27"/>
    </row>
    <row r="376" spans="2:13" x14ac:dyDescent="0.35">
      <c r="B376" s="188" t="s">
        <v>505</v>
      </c>
      <c r="C376" s="7" t="s">
        <v>526</v>
      </c>
      <c r="D376" s="16"/>
      <c r="G376" s="27"/>
      <c r="H376" s="74"/>
      <c r="I376" s="52"/>
      <c r="J376" s="27"/>
      <c r="K376" s="27"/>
      <c r="L376" s="27"/>
      <c r="M376" s="27"/>
    </row>
    <row r="377" spans="2:13" x14ac:dyDescent="0.35">
      <c r="B377" s="323" t="s">
        <v>42</v>
      </c>
      <c r="C377" s="294">
        <f>(C363*2*3.1416*C367^2/4)/1.33</f>
        <v>129.17763157894737</v>
      </c>
      <c r="D377" s="16" t="s">
        <v>491</v>
      </c>
      <c r="G377" s="27"/>
      <c r="H377" s="74"/>
      <c r="I377" s="52"/>
      <c r="J377" s="27"/>
      <c r="K377" s="27"/>
      <c r="L377" s="27"/>
      <c r="M377" s="27"/>
    </row>
    <row r="378" spans="2:13" x14ac:dyDescent="0.35">
      <c r="B378" s="188" t="s">
        <v>492</v>
      </c>
      <c r="C378" s="7" t="s">
        <v>510</v>
      </c>
      <c r="D378" s="16"/>
      <c r="G378" s="27"/>
      <c r="H378" s="74"/>
      <c r="I378" s="52"/>
      <c r="J378" s="27"/>
      <c r="K378" s="27"/>
      <c r="L378" s="74"/>
      <c r="M378" s="27"/>
    </row>
    <row r="379" spans="2:13" x14ac:dyDescent="0.35">
      <c r="B379" s="323" t="s">
        <v>42</v>
      </c>
      <c r="C379" s="205">
        <f>C367+(1/16)</f>
        <v>2.5625</v>
      </c>
      <c r="D379" s="16" t="s">
        <v>70</v>
      </c>
      <c r="G379" s="27"/>
      <c r="H379" s="74"/>
      <c r="I379" s="52"/>
      <c r="J379" s="27"/>
      <c r="K379" s="27"/>
      <c r="L379" s="74"/>
      <c r="M379" s="27"/>
    </row>
    <row r="380" spans="2:13" x14ac:dyDescent="0.35">
      <c r="B380" s="188" t="s">
        <v>493</v>
      </c>
      <c r="C380" s="7" t="s">
        <v>508</v>
      </c>
      <c r="G380" s="27"/>
      <c r="H380" s="74"/>
      <c r="I380" s="52"/>
      <c r="J380" s="27"/>
      <c r="K380" s="27"/>
      <c r="L380" s="74"/>
      <c r="M380" s="27"/>
    </row>
    <row r="381" spans="2:13" x14ac:dyDescent="0.35">
      <c r="B381" s="324" t="s">
        <v>42</v>
      </c>
      <c r="C381" s="294">
        <f>C364*C368*(C369-C379)</f>
        <v>108.67500000000001</v>
      </c>
      <c r="D381" s="16" t="s">
        <v>491</v>
      </c>
      <c r="G381" s="27"/>
      <c r="H381" s="74"/>
      <c r="I381" s="52"/>
      <c r="J381" s="27"/>
      <c r="K381" s="27"/>
      <c r="L381" s="74"/>
      <c r="M381" s="27"/>
    </row>
    <row r="382" spans="2:13" x14ac:dyDescent="0.35">
      <c r="B382" s="188" t="s">
        <v>494</v>
      </c>
      <c r="C382" s="7" t="s">
        <v>511</v>
      </c>
      <c r="D382" s="16"/>
      <c r="G382" s="27"/>
      <c r="H382" s="74"/>
      <c r="I382" s="52"/>
      <c r="J382" s="27"/>
      <c r="K382" s="27"/>
      <c r="L382" s="27"/>
      <c r="M382" s="27"/>
    </row>
    <row r="383" spans="2:13" x14ac:dyDescent="0.35">
      <c r="B383" s="324" t="s">
        <v>42</v>
      </c>
      <c r="C383" s="294">
        <f>C365*C368*2*((C369-C367)/2)</f>
        <v>157.5</v>
      </c>
      <c r="D383" s="16" t="s">
        <v>491</v>
      </c>
      <c r="G383" s="27"/>
      <c r="H383" s="74"/>
      <c r="I383" s="89"/>
      <c r="J383" s="27"/>
      <c r="K383" s="27"/>
      <c r="L383" s="27"/>
      <c r="M383" s="27"/>
    </row>
    <row r="384" spans="2:13" x14ac:dyDescent="0.35">
      <c r="B384" s="188" t="s">
        <v>495</v>
      </c>
      <c r="C384" s="7" t="s">
        <v>512</v>
      </c>
      <c r="D384" s="16"/>
      <c r="G384" s="27"/>
      <c r="H384" s="74"/>
      <c r="I384" s="89"/>
      <c r="J384" s="27"/>
      <c r="K384" s="27"/>
      <c r="L384" s="27"/>
      <c r="M384" s="27"/>
    </row>
    <row r="385" spans="2:13" x14ac:dyDescent="0.35">
      <c r="B385" s="323" t="s">
        <v>42</v>
      </c>
      <c r="C385" s="294">
        <f>C366*C368*C367</f>
        <v>507.5</v>
      </c>
      <c r="D385" s="16" t="s">
        <v>491</v>
      </c>
      <c r="G385" s="27"/>
      <c r="H385" s="74"/>
      <c r="I385" s="89"/>
      <c r="J385" s="27"/>
      <c r="K385" s="27"/>
      <c r="L385" s="27"/>
      <c r="M385" s="27"/>
    </row>
    <row r="386" spans="2:13" x14ac:dyDescent="0.35">
      <c r="B386" s="188" t="s">
        <v>563</v>
      </c>
      <c r="C386" s="7" t="s">
        <v>513</v>
      </c>
      <c r="G386" s="27"/>
      <c r="H386" s="74"/>
      <c r="I386" s="89"/>
      <c r="J386" s="27"/>
      <c r="K386" s="27"/>
      <c r="L386" s="27"/>
      <c r="M386" s="27"/>
    </row>
    <row r="387" spans="2:13" x14ac:dyDescent="0.35">
      <c r="B387" s="324" t="s">
        <v>42</v>
      </c>
      <c r="C387" s="294">
        <f>C364 * 2 *C370 * ( C371 - C379)</f>
        <v>124.2</v>
      </c>
      <c r="D387" s="16" t="s">
        <v>491</v>
      </c>
      <c r="G387" s="27"/>
      <c r="H387" s="74"/>
      <c r="I387" s="98"/>
      <c r="J387" s="27"/>
      <c r="K387" s="27"/>
      <c r="L387" s="27"/>
      <c r="M387" s="27"/>
    </row>
    <row r="388" spans="2:13" x14ac:dyDescent="0.35">
      <c r="B388" s="188" t="s">
        <v>561</v>
      </c>
      <c r="C388" s="7" t="s">
        <v>514</v>
      </c>
      <c r="D388" s="16"/>
      <c r="G388" s="27"/>
      <c r="H388" s="74"/>
      <c r="I388" s="98"/>
      <c r="J388" s="27"/>
      <c r="K388" s="27"/>
      <c r="L388" s="27"/>
      <c r="M388" s="27"/>
    </row>
    <row r="389" spans="2:13" x14ac:dyDescent="0.35">
      <c r="B389" s="324" t="s">
        <v>42</v>
      </c>
      <c r="C389" s="294">
        <f>C365 * 4 * C370  * C372</f>
        <v>480</v>
      </c>
      <c r="D389" s="16" t="s">
        <v>491</v>
      </c>
      <c r="G389" s="27"/>
      <c r="H389" s="74"/>
      <c r="I389" s="98"/>
      <c r="J389" s="27"/>
      <c r="K389" s="27"/>
      <c r="L389" s="27"/>
      <c r="M389" s="27"/>
    </row>
    <row r="390" spans="2:13" x14ac:dyDescent="0.35">
      <c r="B390" s="188" t="s">
        <v>562</v>
      </c>
      <c r="C390" s="7" t="s">
        <v>515</v>
      </c>
      <c r="D390" s="16"/>
      <c r="G390" s="27"/>
      <c r="H390" s="74"/>
      <c r="I390" s="98"/>
      <c r="J390" s="27"/>
      <c r="K390" s="27"/>
      <c r="L390" s="27"/>
      <c r="M390" s="27"/>
    </row>
    <row r="391" spans="2:13" x14ac:dyDescent="0.35">
      <c r="B391" s="323" t="s">
        <v>42</v>
      </c>
      <c r="C391" s="294">
        <f>C366 * 2 * C370* C367</f>
        <v>580</v>
      </c>
      <c r="D391" s="16" t="s">
        <v>491</v>
      </c>
      <c r="G391" s="27"/>
      <c r="H391" s="74"/>
      <c r="I391" s="317"/>
      <c r="J391" s="27"/>
      <c r="K391" s="27"/>
      <c r="L391" s="27"/>
      <c r="M391" s="27"/>
    </row>
    <row r="392" spans="2:13" x14ac:dyDescent="0.35">
      <c r="B392" s="188"/>
      <c r="C392" s="7"/>
      <c r="G392" s="27"/>
      <c r="H392" s="74"/>
      <c r="I392" s="317"/>
      <c r="J392" s="27"/>
      <c r="K392" s="27"/>
      <c r="L392" s="27"/>
      <c r="M392" s="27"/>
    </row>
    <row r="393" spans="2:13" ht="18" x14ac:dyDescent="0.4">
      <c r="B393" s="136" t="s">
        <v>527</v>
      </c>
      <c r="C393" s="193"/>
      <c r="D393" s="16"/>
      <c r="G393" s="27"/>
      <c r="H393" s="74"/>
      <c r="I393" s="317"/>
      <c r="J393" s="88"/>
      <c r="K393" s="88"/>
      <c r="L393" s="88"/>
      <c r="M393" s="27"/>
    </row>
    <row r="394" spans="2:13" ht="16" thickBot="1" x14ac:dyDescent="0.4">
      <c r="B394" s="76"/>
      <c r="C394" s="183" t="s">
        <v>30</v>
      </c>
      <c r="G394" s="27"/>
      <c r="H394" s="74"/>
      <c r="I394" s="317"/>
      <c r="J394" s="88"/>
      <c r="K394" s="88"/>
      <c r="L394" s="88"/>
      <c r="M394" s="27"/>
    </row>
    <row r="395" spans="2:13" x14ac:dyDescent="0.35">
      <c r="B395" s="188" t="s">
        <v>517</v>
      </c>
      <c r="C395" s="325">
        <v>82.7</v>
      </c>
      <c r="D395" s="16" t="s">
        <v>491</v>
      </c>
      <c r="G395" s="27"/>
      <c r="H395" s="74"/>
      <c r="I395" s="319"/>
      <c r="J395" s="88"/>
      <c r="K395" s="89"/>
      <c r="L395" s="88"/>
      <c r="M395" s="27"/>
    </row>
    <row r="396" spans="2:13" ht="16" thickBot="1" x14ac:dyDescent="0.4">
      <c r="B396" s="102" t="s">
        <v>496</v>
      </c>
      <c r="C396" s="326">
        <v>25</v>
      </c>
      <c r="D396" s="16" t="s">
        <v>491</v>
      </c>
      <c r="G396" s="27"/>
      <c r="H396" s="74"/>
      <c r="I396" s="319"/>
      <c r="J396" s="88"/>
      <c r="K396" s="89"/>
      <c r="L396" s="88"/>
      <c r="M396" s="27"/>
    </row>
    <row r="397" spans="2:13" x14ac:dyDescent="0.35">
      <c r="B397" s="76"/>
      <c r="C397" s="183" t="s">
        <v>490</v>
      </c>
      <c r="G397" s="27"/>
      <c r="H397" s="74"/>
      <c r="I397" s="321"/>
      <c r="J397" s="88"/>
      <c r="K397" s="98"/>
      <c r="L397" s="88"/>
      <c r="M397" s="27"/>
    </row>
    <row r="398" spans="2:13" x14ac:dyDescent="0.35">
      <c r="B398" s="102" t="s">
        <v>565</v>
      </c>
      <c r="C398" s="1" t="s">
        <v>566</v>
      </c>
      <c r="G398" s="27"/>
      <c r="H398" s="74"/>
      <c r="I398" s="89"/>
      <c r="J398" s="88"/>
      <c r="K398" s="98"/>
      <c r="L398" s="88"/>
      <c r="M398" s="27"/>
    </row>
    <row r="399" spans="2:13" x14ac:dyDescent="0.35">
      <c r="B399" s="76" t="s">
        <v>42</v>
      </c>
      <c r="C399" s="3">
        <f>C373*C396</f>
        <v>37.5</v>
      </c>
      <c r="D399" s="327" t="s">
        <v>491</v>
      </c>
      <c r="G399" s="27"/>
      <c r="H399" s="74"/>
      <c r="I399" s="52"/>
      <c r="J399" s="88"/>
      <c r="K399" s="98"/>
      <c r="L399" s="88"/>
      <c r="M399" s="27"/>
    </row>
    <row r="400" spans="2:13" x14ac:dyDescent="0.35">
      <c r="B400" s="188" t="s">
        <v>497</v>
      </c>
      <c r="C400" s="7" t="s">
        <v>567</v>
      </c>
      <c r="G400" s="27"/>
      <c r="H400" s="74"/>
      <c r="I400" s="52"/>
      <c r="J400" s="88"/>
      <c r="K400" s="98"/>
      <c r="L400" s="88"/>
      <c r="M400" s="27"/>
    </row>
    <row r="401" spans="1:13" x14ac:dyDescent="0.35">
      <c r="B401" s="323" t="s">
        <v>42</v>
      </c>
      <c r="C401" s="193">
        <f>C395/C399</f>
        <v>2.2053333333333334</v>
      </c>
      <c r="G401" s="27"/>
      <c r="H401" s="74"/>
      <c r="I401" s="52"/>
      <c r="J401" s="88"/>
      <c r="K401" s="317"/>
      <c r="L401" s="88"/>
      <c r="M401" s="27"/>
    </row>
    <row r="402" spans="1:13" x14ac:dyDescent="0.35">
      <c r="G402" s="27"/>
      <c r="H402" s="74"/>
      <c r="I402" s="52"/>
      <c r="J402" s="88"/>
      <c r="K402" s="317"/>
      <c r="L402" s="88"/>
      <c r="M402" s="27"/>
    </row>
    <row r="403" spans="1:13" x14ac:dyDescent="0.35">
      <c r="B403" s="78"/>
      <c r="C403" s="79"/>
      <c r="D403" s="77"/>
      <c r="E403" s="77"/>
      <c r="F403" s="77"/>
      <c r="G403" s="27"/>
      <c r="H403" s="74"/>
      <c r="I403" s="52"/>
      <c r="J403" s="88"/>
      <c r="K403" s="317"/>
      <c r="L403" s="88"/>
      <c r="M403" s="27"/>
    </row>
    <row r="404" spans="1:13" x14ac:dyDescent="0.35">
      <c r="G404" s="27"/>
      <c r="H404" s="74"/>
      <c r="I404" s="52"/>
      <c r="J404" s="88"/>
      <c r="K404" s="317"/>
      <c r="L404" s="88"/>
      <c r="M404" s="27"/>
    </row>
    <row r="405" spans="1:13" x14ac:dyDescent="0.35">
      <c r="B405" s="7"/>
      <c r="G405" s="27"/>
      <c r="H405" s="74"/>
      <c r="I405" s="52"/>
      <c r="J405" s="88"/>
      <c r="K405" s="319"/>
      <c r="L405" s="88"/>
      <c r="M405" s="27"/>
    </row>
    <row r="406" spans="1:13" x14ac:dyDescent="0.35">
      <c r="C406" s="25" t="s">
        <v>631</v>
      </c>
      <c r="G406" s="27"/>
      <c r="H406" s="74"/>
      <c r="I406" s="52"/>
      <c r="J406" s="88"/>
      <c r="K406" s="319"/>
      <c r="L406" s="88"/>
      <c r="M406" s="27"/>
    </row>
    <row r="407" spans="1:13" x14ac:dyDescent="0.35">
      <c r="G407" s="27"/>
      <c r="H407" s="74"/>
      <c r="I407" s="52"/>
      <c r="J407" s="88"/>
      <c r="K407" s="321"/>
      <c r="L407" s="88"/>
      <c r="M407" s="27"/>
    </row>
    <row r="408" spans="1:13" x14ac:dyDescent="0.35">
      <c r="H408" s="25"/>
      <c r="I408" s="52"/>
      <c r="J408" s="88"/>
      <c r="K408" s="88"/>
      <c r="L408" s="88"/>
      <c r="M408" s="27"/>
    </row>
    <row r="409" spans="1:13" x14ac:dyDescent="0.35">
      <c r="I409" s="52"/>
      <c r="J409" s="27"/>
      <c r="K409" s="27"/>
      <c r="L409" s="27"/>
      <c r="M409" s="27"/>
    </row>
    <row r="410" spans="1:13" x14ac:dyDescent="0.35">
      <c r="A410" s="77"/>
      <c r="I410" s="52"/>
      <c r="J410" s="27"/>
      <c r="K410" s="27"/>
      <c r="L410" s="27"/>
      <c r="M410" s="27"/>
    </row>
    <row r="411" spans="1:13" x14ac:dyDescent="0.35">
      <c r="J411" s="27"/>
      <c r="K411" s="27"/>
      <c r="L411" s="27"/>
      <c r="M411" s="27"/>
    </row>
    <row r="412" spans="1:13" x14ac:dyDescent="0.35">
      <c r="J412" s="27"/>
      <c r="K412" s="27"/>
      <c r="L412" s="27"/>
      <c r="M412" s="27"/>
    </row>
    <row r="413" spans="1:13" x14ac:dyDescent="0.35">
      <c r="J413" s="27"/>
      <c r="K413" s="27"/>
      <c r="L413" s="27"/>
      <c r="M413" s="27"/>
    </row>
    <row r="414" spans="1:13" x14ac:dyDescent="0.35">
      <c r="J414" s="27"/>
      <c r="K414" s="27"/>
      <c r="L414" s="27"/>
      <c r="M414" s="27"/>
    </row>
    <row r="415" spans="1:13" x14ac:dyDescent="0.35">
      <c r="I415" s="52"/>
      <c r="J415" s="27"/>
      <c r="K415" s="27"/>
      <c r="L415" s="27"/>
      <c r="M415" s="27"/>
    </row>
    <row r="416" spans="1:13" x14ac:dyDescent="0.35">
      <c r="I416" s="52"/>
      <c r="J416" s="27"/>
      <c r="K416" s="27"/>
      <c r="L416" s="27"/>
      <c r="M416" s="27"/>
    </row>
    <row r="417" spans="8:13" x14ac:dyDescent="0.35">
      <c r="I417" s="52"/>
      <c r="J417" s="27"/>
      <c r="K417" s="27"/>
      <c r="L417" s="27"/>
      <c r="M417" s="27"/>
    </row>
    <row r="418" spans="8:13" x14ac:dyDescent="0.35">
      <c r="I418" s="52"/>
      <c r="J418" s="27"/>
      <c r="K418" s="27"/>
      <c r="L418" s="27"/>
      <c r="M418" s="27"/>
    </row>
    <row r="419" spans="8:13" x14ac:dyDescent="0.35">
      <c r="H419" s="25"/>
      <c r="I419" s="52"/>
      <c r="J419" s="27"/>
      <c r="K419" s="27"/>
      <c r="L419" s="27"/>
      <c r="M419" s="27"/>
    </row>
    <row r="420" spans="8:13" x14ac:dyDescent="0.35">
      <c r="H420" s="25"/>
      <c r="I420" s="52"/>
      <c r="J420" s="27"/>
      <c r="K420" s="27"/>
      <c r="L420" s="27"/>
      <c r="M420" s="27"/>
    </row>
    <row r="421" spans="8:13" x14ac:dyDescent="0.35">
      <c r="I421" s="52"/>
      <c r="J421" s="27"/>
      <c r="K421" s="27"/>
      <c r="L421" s="27"/>
      <c r="M421" s="27"/>
    </row>
    <row r="422" spans="8:13" x14ac:dyDescent="0.35">
      <c r="I422" s="52"/>
      <c r="J422" s="27"/>
      <c r="K422" s="27"/>
      <c r="L422" s="27"/>
      <c r="M422" s="27"/>
    </row>
    <row r="423" spans="8:13" x14ac:dyDescent="0.35">
      <c r="H423" s="25"/>
      <c r="I423" s="25"/>
      <c r="J423" s="27"/>
      <c r="K423" s="27"/>
      <c r="L423" s="27"/>
      <c r="M423" s="27"/>
    </row>
    <row r="424" spans="8:13" x14ac:dyDescent="0.35">
      <c r="H424" s="25"/>
      <c r="I424" s="25"/>
      <c r="J424" s="27"/>
      <c r="K424" s="27"/>
      <c r="L424" s="27"/>
      <c r="M424" s="27"/>
    </row>
    <row r="425" spans="8:13" x14ac:dyDescent="0.35">
      <c r="H425" s="25"/>
      <c r="I425" s="25"/>
      <c r="J425" s="27"/>
      <c r="K425" s="27"/>
      <c r="L425" s="27"/>
      <c r="M425" s="27"/>
    </row>
    <row r="426" spans="8:13" x14ac:dyDescent="0.35">
      <c r="H426" s="25"/>
      <c r="I426" s="25"/>
      <c r="J426" s="27"/>
      <c r="K426" s="27"/>
      <c r="L426" s="27"/>
      <c r="M426" s="27"/>
    </row>
    <row r="427" spans="8:13" x14ac:dyDescent="0.35">
      <c r="H427" s="25"/>
      <c r="I427" s="25"/>
      <c r="J427" s="27"/>
      <c r="K427" s="27"/>
      <c r="L427" s="27"/>
      <c r="M427" s="27"/>
    </row>
    <row r="428" spans="8:13" x14ac:dyDescent="0.35">
      <c r="H428" s="25"/>
      <c r="I428" s="25"/>
      <c r="J428" s="27"/>
      <c r="K428" s="27"/>
      <c r="L428" s="27"/>
      <c r="M428" s="27"/>
    </row>
    <row r="429" spans="8:13" x14ac:dyDescent="0.35">
      <c r="H429" s="25"/>
      <c r="I429" s="52"/>
      <c r="J429" s="27"/>
      <c r="K429" s="27"/>
      <c r="L429" s="27"/>
      <c r="M429" s="27"/>
    </row>
    <row r="430" spans="8:13" x14ac:dyDescent="0.35">
      <c r="H430" s="25"/>
      <c r="I430" s="52"/>
      <c r="J430" s="27"/>
      <c r="K430" s="27"/>
      <c r="L430" s="27"/>
      <c r="M430" s="27"/>
    </row>
    <row r="431" spans="8:13" x14ac:dyDescent="0.35">
      <c r="H431" s="25"/>
      <c r="I431" s="52"/>
      <c r="J431" s="27"/>
      <c r="K431" s="27"/>
      <c r="L431" s="27"/>
      <c r="M431" s="27"/>
    </row>
    <row r="432" spans="8:13" x14ac:dyDescent="0.35">
      <c r="H432" s="25"/>
      <c r="I432" s="52"/>
      <c r="J432" s="27"/>
      <c r="K432" s="27"/>
      <c r="L432" s="27"/>
      <c r="M432" s="27"/>
    </row>
    <row r="433" spans="8:13" x14ac:dyDescent="0.35">
      <c r="H433" s="25"/>
      <c r="I433" s="52"/>
      <c r="J433" s="27"/>
      <c r="K433" s="27"/>
      <c r="L433" s="27"/>
      <c r="M433" s="27"/>
    </row>
    <row r="434" spans="8:13" x14ac:dyDescent="0.35">
      <c r="H434" s="25"/>
      <c r="I434" s="52"/>
      <c r="J434" s="27"/>
      <c r="K434" s="27"/>
      <c r="L434" s="27"/>
      <c r="M434" s="27"/>
    </row>
    <row r="435" spans="8:13" x14ac:dyDescent="0.35">
      <c r="H435" s="25"/>
      <c r="I435" s="52"/>
      <c r="J435" s="27"/>
      <c r="K435" s="27"/>
      <c r="L435" s="27"/>
      <c r="M435" s="27"/>
    </row>
    <row r="436" spans="8:13" x14ac:dyDescent="0.35">
      <c r="H436" s="25"/>
      <c r="I436" s="52"/>
      <c r="J436" s="27"/>
      <c r="K436" s="27"/>
      <c r="L436" s="27"/>
      <c r="M436" s="27"/>
    </row>
    <row r="437" spans="8:13" x14ac:dyDescent="0.35">
      <c r="H437" s="25"/>
      <c r="I437" s="52"/>
      <c r="J437" s="27"/>
      <c r="K437" s="27"/>
      <c r="L437" s="27"/>
      <c r="M437" s="27"/>
    </row>
    <row r="438" spans="8:13" x14ac:dyDescent="0.35">
      <c r="H438" s="25"/>
      <c r="I438" s="52"/>
      <c r="J438" s="27"/>
      <c r="K438" s="27"/>
      <c r="L438" s="27"/>
      <c r="M438" s="27"/>
    </row>
    <row r="439" spans="8:13" x14ac:dyDescent="0.35">
      <c r="H439" s="25"/>
      <c r="I439" s="52"/>
      <c r="J439" s="27"/>
      <c r="K439" s="27"/>
      <c r="L439" s="27"/>
      <c r="M439" s="27"/>
    </row>
    <row r="440" spans="8:13" x14ac:dyDescent="0.35">
      <c r="H440" s="25"/>
      <c r="I440" s="52"/>
      <c r="J440" s="27"/>
      <c r="K440" s="27"/>
      <c r="L440" s="27"/>
      <c r="M440" s="27"/>
    </row>
    <row r="441" spans="8:13" x14ac:dyDescent="0.35">
      <c r="H441" s="25"/>
      <c r="I441" s="52"/>
      <c r="J441" s="27"/>
      <c r="K441" s="27"/>
      <c r="L441" s="27"/>
      <c r="M441" s="27"/>
    </row>
  </sheetData>
  <sheetProtection sheet="1" objects="1" scenarios="1" selectLockedCells="1"/>
  <hyperlinks>
    <hyperlink ref="B4" r:id="rId1" display="http://australia.cat.com/cda/layout?m=304236&amp;x=7&amp;f=" xr:uid="{00000000-0004-0000-0400-000000000000}"/>
    <hyperlink ref="B20" r:id="rId2" xr:uid="{00000000-0004-0000-0400-000001000000}"/>
  </hyperlinks>
  <printOptions gridLines="1"/>
  <pageMargins left="0.7" right="0.7" top="0.75" bottom="0.75" header="0.3" footer="0.3"/>
  <pageSetup orientation="portrait" horizontalDpi="300" verticalDpi="300" r:id="rId3"/>
  <drawing r:id="rId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AA94"/>
  <sheetViews>
    <sheetView zoomScaleNormal="100" workbookViewId="0">
      <selection activeCell="L1" sqref="L1"/>
    </sheetView>
  </sheetViews>
  <sheetFormatPr defaultRowHeight="15.5" x14ac:dyDescent="0.35"/>
  <cols>
    <col min="1" max="1" width="8.7265625" style="25"/>
    <col min="2" max="2" width="15.54296875" style="25" customWidth="1"/>
    <col min="3" max="3" width="14.7265625" style="25" customWidth="1"/>
    <col min="4" max="4" width="13.1796875" style="25" bestFit="1" customWidth="1"/>
    <col min="5" max="5" width="13.26953125" style="25" customWidth="1"/>
    <col min="6" max="6" width="15.54296875" style="25" customWidth="1"/>
    <col min="7" max="7" width="6.26953125" style="25" customWidth="1"/>
    <col min="8" max="10" width="8.7265625" style="25"/>
    <col min="11" max="11" width="27.36328125" style="25" customWidth="1"/>
    <col min="12" max="12" width="19.453125" style="25" customWidth="1"/>
    <col min="13" max="13" width="13.1796875" style="25" customWidth="1"/>
    <col min="14" max="14" width="13.26953125" style="25" customWidth="1"/>
    <col min="15" max="20" width="8.7265625" style="25"/>
    <col min="21" max="21" width="36.90625" style="25" customWidth="1"/>
    <col min="22" max="16384" width="8.7265625" style="25"/>
  </cols>
  <sheetData>
    <row r="1" spans="2:27" ht="20" x14ac:dyDescent="0.4">
      <c r="B1" s="137" t="s">
        <v>568</v>
      </c>
      <c r="C1" s="27"/>
      <c r="D1" s="27"/>
      <c r="E1" s="27"/>
      <c r="F1" s="27"/>
      <c r="G1" s="27"/>
      <c r="H1" s="27"/>
      <c r="I1" s="27"/>
      <c r="J1" s="27"/>
      <c r="K1" s="27"/>
      <c r="L1" s="27"/>
      <c r="M1" s="27"/>
      <c r="N1" s="27"/>
      <c r="O1" s="27"/>
      <c r="P1" s="27"/>
      <c r="Q1" s="27"/>
      <c r="R1" s="27"/>
      <c r="S1" s="27"/>
      <c r="T1" s="27"/>
      <c r="U1" s="27"/>
    </row>
    <row r="2" spans="2:27" ht="20" x14ac:dyDescent="0.4">
      <c r="B2" s="75"/>
      <c r="C2" s="379"/>
      <c r="D2" s="27"/>
      <c r="E2" s="27"/>
      <c r="F2" s="27"/>
      <c r="G2" s="27"/>
      <c r="H2" s="27"/>
      <c r="I2" s="27"/>
      <c r="J2" s="27"/>
      <c r="K2" s="382" t="s">
        <v>687</v>
      </c>
      <c r="L2" s="48"/>
      <c r="M2" s="379"/>
      <c r="N2" s="380"/>
      <c r="O2" s="339" t="s">
        <v>148</v>
      </c>
      <c r="P2" s="48"/>
      <c r="Q2" s="48"/>
      <c r="R2" s="48"/>
      <c r="S2" s="48"/>
      <c r="T2" s="48"/>
      <c r="U2" s="48"/>
      <c r="V2" s="48"/>
      <c r="W2" s="48"/>
      <c r="X2" s="48"/>
      <c r="Y2" s="48"/>
      <c r="Z2" s="48"/>
      <c r="AA2" s="48"/>
    </row>
    <row r="3" spans="2:27" x14ac:dyDescent="0.35">
      <c r="C3" s="74"/>
      <c r="D3" s="27"/>
      <c r="E3" s="27"/>
      <c r="F3" s="27"/>
      <c r="G3" s="27"/>
      <c r="H3" s="27"/>
      <c r="I3" s="27"/>
      <c r="J3" s="27"/>
      <c r="K3" s="381"/>
      <c r="L3" s="48"/>
      <c r="M3" s="48"/>
      <c r="N3" s="48"/>
      <c r="O3" s="48"/>
      <c r="P3" s="48"/>
      <c r="Q3" s="48"/>
      <c r="R3" s="48"/>
      <c r="S3" s="48"/>
      <c r="T3" s="48"/>
      <c r="U3" s="48"/>
      <c r="V3" s="48"/>
      <c r="W3" s="48"/>
      <c r="X3" s="48"/>
      <c r="Y3" s="48"/>
      <c r="Z3" s="48"/>
      <c r="AA3" s="48"/>
    </row>
    <row r="4" spans="2:27" x14ac:dyDescent="0.35">
      <c r="C4" s="27"/>
      <c r="D4" s="27"/>
      <c r="E4" s="27"/>
      <c r="F4" s="27"/>
      <c r="G4" s="27"/>
      <c r="H4" s="27"/>
      <c r="I4" s="27"/>
      <c r="J4" s="27"/>
      <c r="K4" s="48"/>
      <c r="L4" s="48"/>
      <c r="M4" s="48"/>
      <c r="N4" s="48"/>
      <c r="O4" s="48"/>
      <c r="P4" s="48"/>
      <c r="Q4" s="48"/>
      <c r="R4" s="48"/>
      <c r="S4" s="48"/>
      <c r="T4" s="48"/>
      <c r="U4" s="48"/>
      <c r="V4" s="48"/>
      <c r="W4" s="48"/>
      <c r="X4" s="48"/>
      <c r="Y4" s="48"/>
      <c r="Z4" s="48"/>
      <c r="AA4" s="48"/>
    </row>
    <row r="5" spans="2:27" ht="18" x14ac:dyDescent="0.4">
      <c r="B5" s="330" t="s">
        <v>569</v>
      </c>
      <c r="I5" s="27"/>
      <c r="J5" s="27"/>
      <c r="K5" s="7" t="s">
        <v>688</v>
      </c>
      <c r="M5" s="76"/>
      <c r="R5" s="27"/>
      <c r="S5" s="27"/>
      <c r="T5" s="27"/>
      <c r="U5" s="27"/>
      <c r="V5" s="27"/>
      <c r="W5" s="27"/>
      <c r="X5" s="27"/>
      <c r="Y5" s="27"/>
      <c r="Z5" s="27"/>
      <c r="AA5" s="48"/>
    </row>
    <row r="6" spans="2:27" x14ac:dyDescent="0.35">
      <c r="I6" s="27"/>
      <c r="J6" s="27"/>
      <c r="K6" s="188" t="s">
        <v>689</v>
      </c>
      <c r="L6" s="25" t="s">
        <v>690</v>
      </c>
      <c r="M6" s="76"/>
      <c r="R6" s="27"/>
      <c r="S6" s="27"/>
      <c r="T6" s="27"/>
      <c r="U6" s="27"/>
      <c r="V6" s="27"/>
      <c r="W6" s="27"/>
      <c r="X6" s="27"/>
      <c r="Y6" s="27"/>
      <c r="Z6" s="27"/>
      <c r="AA6" s="48"/>
    </row>
    <row r="7" spans="2:27" x14ac:dyDescent="0.35">
      <c r="B7" s="1" t="s">
        <v>570</v>
      </c>
      <c r="I7" s="27"/>
      <c r="J7" s="27"/>
      <c r="K7" s="188" t="s">
        <v>691</v>
      </c>
      <c r="L7" s="25" t="s">
        <v>692</v>
      </c>
      <c r="R7" s="27"/>
      <c r="S7" s="27"/>
      <c r="T7" s="27"/>
      <c r="U7" s="27"/>
      <c r="V7" s="27"/>
      <c r="W7" s="27"/>
      <c r="X7" s="27"/>
      <c r="Y7" s="27"/>
      <c r="Z7" s="27"/>
      <c r="AA7" s="48"/>
    </row>
    <row r="8" spans="2:27" x14ac:dyDescent="0.35">
      <c r="C8" s="76"/>
      <c r="F8" s="196"/>
      <c r="I8" s="27"/>
      <c r="J8" s="27"/>
      <c r="K8" s="188" t="s">
        <v>693</v>
      </c>
      <c r="L8" s="25" t="s">
        <v>694</v>
      </c>
      <c r="R8" s="27"/>
      <c r="S8" s="27"/>
      <c r="T8" s="27"/>
      <c r="U8" s="27"/>
      <c r="V8" s="27"/>
      <c r="W8" s="27"/>
      <c r="X8" s="27"/>
      <c r="Y8" s="27"/>
      <c r="Z8" s="27"/>
      <c r="AA8" s="48"/>
    </row>
    <row r="9" spans="2:27" ht="16" thickBot="1" x14ac:dyDescent="0.4">
      <c r="B9" s="331"/>
      <c r="C9" s="332" t="s">
        <v>571</v>
      </c>
      <c r="D9" s="333"/>
      <c r="E9" s="333"/>
      <c r="F9" s="332" t="s">
        <v>571</v>
      </c>
      <c r="G9" s="333"/>
      <c r="I9" s="27"/>
      <c r="J9" s="27"/>
      <c r="K9" s="188" t="s">
        <v>695</v>
      </c>
      <c r="L9" s="25" t="s">
        <v>696</v>
      </c>
      <c r="R9" s="27"/>
      <c r="S9" s="27"/>
      <c r="T9" s="27"/>
      <c r="U9" s="27"/>
      <c r="V9" s="27"/>
      <c r="W9" s="27"/>
      <c r="X9" s="27"/>
      <c r="Y9" s="27"/>
      <c r="Z9" s="27"/>
      <c r="AA9" s="48"/>
    </row>
    <row r="10" spans="2:27" ht="16" thickBot="1" x14ac:dyDescent="0.4">
      <c r="B10" s="331" t="s">
        <v>572</v>
      </c>
      <c r="C10" s="334">
        <v>950</v>
      </c>
      <c r="D10" s="335" t="s">
        <v>573</v>
      </c>
      <c r="E10" s="331" t="s">
        <v>572</v>
      </c>
      <c r="F10" s="334">
        <v>600</v>
      </c>
      <c r="G10" s="335" t="s">
        <v>160</v>
      </c>
      <c r="I10" s="27"/>
      <c r="J10" s="27"/>
      <c r="K10" s="7" t="s">
        <v>697</v>
      </c>
      <c r="N10" s="25" t="s">
        <v>698</v>
      </c>
      <c r="O10" s="363"/>
      <c r="P10" s="27"/>
      <c r="Q10" s="27"/>
      <c r="R10" s="27"/>
      <c r="S10" s="27"/>
      <c r="T10" s="27"/>
      <c r="U10" s="27"/>
      <c r="V10" s="27"/>
      <c r="W10" s="27"/>
      <c r="X10" s="27"/>
      <c r="Y10" s="27"/>
      <c r="Z10" s="27"/>
      <c r="AA10" s="48"/>
    </row>
    <row r="11" spans="2:27" x14ac:dyDescent="0.35">
      <c r="B11" s="331" t="s">
        <v>572</v>
      </c>
      <c r="C11" s="335" t="s">
        <v>574</v>
      </c>
      <c r="D11" s="335"/>
      <c r="E11" s="331" t="s">
        <v>572</v>
      </c>
      <c r="F11" s="17" t="s">
        <v>575</v>
      </c>
      <c r="G11" s="333"/>
      <c r="I11" s="27"/>
      <c r="J11" s="27"/>
      <c r="K11" s="188" t="s">
        <v>699</v>
      </c>
      <c r="L11" s="25" t="s">
        <v>690</v>
      </c>
      <c r="N11" s="133" t="s">
        <v>700</v>
      </c>
      <c r="O11" s="27"/>
      <c r="P11" s="27"/>
      <c r="Q11" s="27"/>
      <c r="R11" s="133" t="s">
        <v>701</v>
      </c>
      <c r="S11" s="27"/>
      <c r="T11" s="27"/>
      <c r="U11" s="27"/>
      <c r="V11" s="27"/>
      <c r="W11" s="27"/>
      <c r="X11" s="27"/>
      <c r="Y11" s="27"/>
      <c r="Z11" s="27"/>
      <c r="AA11" s="48"/>
    </row>
    <row r="12" spans="2:27" x14ac:dyDescent="0.35">
      <c r="B12" s="331" t="s">
        <v>572</v>
      </c>
      <c r="C12" s="336">
        <f>5*(C10 - 32)/9</f>
        <v>510</v>
      </c>
      <c r="D12" s="335" t="s">
        <v>160</v>
      </c>
      <c r="E12" s="331" t="s">
        <v>572</v>
      </c>
      <c r="F12" s="335">
        <f>(9*F10/5) + 32</f>
        <v>1112</v>
      </c>
      <c r="G12" s="335" t="s">
        <v>573</v>
      </c>
      <c r="I12" s="27"/>
      <c r="J12" s="27"/>
      <c r="K12" s="188" t="s">
        <v>702</v>
      </c>
      <c r="L12" s="25" t="s">
        <v>692</v>
      </c>
      <c r="N12" s="364"/>
      <c r="O12" s="52"/>
      <c r="P12" s="27"/>
      <c r="Q12" s="27"/>
      <c r="R12" s="27"/>
      <c r="S12" s="27"/>
      <c r="T12" s="27"/>
      <c r="U12" s="27"/>
      <c r="V12" s="27"/>
      <c r="W12" s="27"/>
      <c r="X12" s="27"/>
      <c r="Y12" s="27"/>
      <c r="Z12" s="27"/>
      <c r="AA12" s="48"/>
    </row>
    <row r="13" spans="2:27" x14ac:dyDescent="0.35">
      <c r="B13" s="331"/>
      <c r="C13" s="333"/>
      <c r="D13" s="333"/>
      <c r="E13" s="333"/>
      <c r="F13" s="333"/>
      <c r="G13" s="333"/>
      <c r="I13" s="27"/>
      <c r="J13" s="27"/>
      <c r="K13" s="188" t="s">
        <v>703</v>
      </c>
      <c r="L13" s="25" t="s">
        <v>704</v>
      </c>
      <c r="N13" s="365"/>
      <c r="O13" s="366"/>
      <c r="P13" s="27"/>
      <c r="Q13" s="27"/>
      <c r="R13" s="27"/>
      <c r="S13" s="27"/>
      <c r="T13" s="27"/>
      <c r="U13" s="27"/>
      <c r="V13" s="27"/>
      <c r="W13" s="27"/>
      <c r="X13" s="27"/>
      <c r="Y13" s="27"/>
      <c r="Z13" s="27"/>
      <c r="AA13" s="364"/>
    </row>
    <row r="14" spans="2:27" ht="16" thickBot="1" x14ac:dyDescent="0.4">
      <c r="C14" s="332" t="s">
        <v>571</v>
      </c>
      <c r="D14" s="337"/>
      <c r="E14" s="331"/>
      <c r="F14" s="332" t="s">
        <v>571</v>
      </c>
      <c r="G14" s="337"/>
      <c r="I14" s="27"/>
      <c r="J14" s="27"/>
      <c r="K14" s="1" t="s">
        <v>705</v>
      </c>
      <c r="N14" s="364"/>
      <c r="O14" s="52"/>
      <c r="P14" s="27"/>
      <c r="Q14" s="27"/>
      <c r="R14" s="27"/>
      <c r="S14" s="27"/>
      <c r="T14" s="27"/>
      <c r="U14" s="27"/>
      <c r="V14" s="27"/>
      <c r="W14" s="27"/>
      <c r="X14" s="27"/>
      <c r="Y14" s="27"/>
      <c r="Z14" s="27"/>
      <c r="AA14" s="364"/>
    </row>
    <row r="15" spans="2:27" ht="16" thickBot="1" x14ac:dyDescent="0.4">
      <c r="B15" s="331" t="s">
        <v>572</v>
      </c>
      <c r="C15" s="334">
        <v>590</v>
      </c>
      <c r="D15" s="335" t="s">
        <v>160</v>
      </c>
      <c r="E15" s="331" t="s">
        <v>572</v>
      </c>
      <c r="F15" s="338">
        <v>1110</v>
      </c>
      <c r="G15" s="335" t="s">
        <v>573</v>
      </c>
      <c r="I15" s="27"/>
      <c r="J15" s="27"/>
      <c r="N15" s="365"/>
      <c r="O15" s="367"/>
      <c r="P15" s="27"/>
      <c r="Q15" s="27"/>
      <c r="R15" s="27"/>
      <c r="S15" s="27"/>
      <c r="T15" s="27"/>
      <c r="U15" s="27"/>
      <c r="V15" s="27"/>
      <c r="W15" s="27"/>
      <c r="X15" s="27"/>
      <c r="Y15" s="27"/>
      <c r="Z15" s="27"/>
      <c r="AA15" s="364"/>
    </row>
    <row r="16" spans="2:27" x14ac:dyDescent="0.35">
      <c r="B16" s="331" t="s">
        <v>572</v>
      </c>
      <c r="C16" s="335" t="s">
        <v>576</v>
      </c>
      <c r="D16" s="335"/>
      <c r="E16" s="331" t="s">
        <v>572</v>
      </c>
      <c r="F16" s="17" t="s">
        <v>577</v>
      </c>
      <c r="G16" s="335"/>
      <c r="I16" s="27"/>
      <c r="J16" s="27"/>
      <c r="L16" s="27"/>
      <c r="S16" s="27"/>
      <c r="T16" s="27"/>
      <c r="U16" s="27"/>
      <c r="V16" s="27"/>
      <c r="W16" s="27"/>
      <c r="X16" s="27"/>
      <c r="Y16" s="27"/>
      <c r="Z16" s="27"/>
      <c r="AA16" s="364"/>
    </row>
    <row r="17" spans="2:27" x14ac:dyDescent="0.35">
      <c r="B17" s="331" t="s">
        <v>572</v>
      </c>
      <c r="C17" s="335">
        <f>C15 + 273</f>
        <v>863</v>
      </c>
      <c r="D17" s="335" t="s">
        <v>170</v>
      </c>
      <c r="E17" s="331" t="s">
        <v>572</v>
      </c>
      <c r="F17" s="335">
        <f>F15+460</f>
        <v>1570</v>
      </c>
      <c r="G17" s="335" t="s">
        <v>578</v>
      </c>
      <c r="I17" s="27"/>
      <c r="J17" s="27"/>
      <c r="K17" s="25" t="s">
        <v>706</v>
      </c>
      <c r="L17" s="27"/>
      <c r="N17" s="27"/>
      <c r="O17" s="27"/>
      <c r="P17" s="27"/>
      <c r="Q17" s="27"/>
      <c r="R17" s="27"/>
      <c r="S17" s="27"/>
      <c r="T17" s="27"/>
      <c r="U17" s="27"/>
      <c r="V17" s="27"/>
      <c r="W17" s="27"/>
      <c r="X17" s="27"/>
      <c r="Y17" s="27"/>
      <c r="Z17" s="27"/>
      <c r="AA17" s="364"/>
    </row>
    <row r="18" spans="2:27" x14ac:dyDescent="0.35">
      <c r="G18" s="27"/>
      <c r="I18" s="27"/>
      <c r="J18" s="27"/>
      <c r="K18" s="27"/>
      <c r="L18" s="27" t="s">
        <v>707</v>
      </c>
      <c r="N18" s="27"/>
      <c r="O18" s="27"/>
      <c r="P18" s="27"/>
      <c r="Q18" s="27"/>
      <c r="R18" s="27"/>
      <c r="S18" s="27"/>
      <c r="T18" s="27"/>
      <c r="U18" s="27"/>
      <c r="V18" s="27"/>
      <c r="W18" s="27"/>
      <c r="X18" s="27"/>
      <c r="Y18" s="27"/>
      <c r="Z18" s="27"/>
      <c r="AA18" s="364"/>
    </row>
    <row r="19" spans="2:27" ht="18" x14ac:dyDescent="0.4">
      <c r="B19" s="136" t="s">
        <v>579</v>
      </c>
      <c r="C19" s="195"/>
      <c r="D19" s="195"/>
      <c r="E19" s="195"/>
      <c r="F19" s="196"/>
      <c r="G19" s="27"/>
      <c r="I19" s="27"/>
      <c r="J19" s="27"/>
      <c r="K19" s="27"/>
      <c r="L19" s="27" t="s">
        <v>708</v>
      </c>
      <c r="N19" s="27"/>
      <c r="O19" s="27"/>
      <c r="P19" s="27"/>
      <c r="Q19" s="27"/>
      <c r="R19" s="27"/>
      <c r="S19" s="27"/>
      <c r="T19" s="27"/>
      <c r="U19" s="27"/>
      <c r="V19" s="27"/>
      <c r="W19" s="27"/>
      <c r="X19" s="27"/>
      <c r="Y19" s="27"/>
      <c r="Z19" s="27"/>
      <c r="AA19" s="48"/>
    </row>
    <row r="20" spans="2:27" x14ac:dyDescent="0.35">
      <c r="B20" s="195"/>
      <c r="C20" s="195"/>
      <c r="D20" s="195"/>
      <c r="E20" s="195"/>
      <c r="F20" s="196"/>
      <c r="G20" s="27"/>
      <c r="I20" s="27"/>
      <c r="J20" s="27"/>
      <c r="K20" s="16"/>
      <c r="L20" s="27"/>
      <c r="N20" s="27"/>
      <c r="O20" s="27"/>
      <c r="P20" s="27"/>
      <c r="Q20" s="27"/>
      <c r="R20" s="27"/>
      <c r="S20" s="27"/>
      <c r="T20" s="27"/>
      <c r="U20" s="27"/>
      <c r="V20" s="27"/>
      <c r="W20" s="27"/>
      <c r="X20" s="27"/>
      <c r="Y20" s="27"/>
      <c r="Z20" s="27"/>
      <c r="AA20" s="48"/>
    </row>
    <row r="21" spans="2:27" ht="16" thickBot="1" x14ac:dyDescent="0.4">
      <c r="C21" s="332" t="s">
        <v>571</v>
      </c>
      <c r="D21" s="73"/>
      <c r="F21" s="332" t="s">
        <v>571</v>
      </c>
      <c r="G21" s="73"/>
      <c r="I21" s="27"/>
      <c r="J21" s="27"/>
      <c r="K21" s="7"/>
      <c r="L21" s="27"/>
      <c r="N21" s="27"/>
      <c r="O21" s="27"/>
      <c r="P21" s="27"/>
      <c r="Q21" s="27"/>
      <c r="R21" s="27"/>
      <c r="S21" s="27"/>
      <c r="T21" s="27"/>
      <c r="U21" s="27"/>
      <c r="V21" s="27"/>
      <c r="W21" s="27"/>
      <c r="X21" s="27"/>
      <c r="Y21" s="27"/>
      <c r="Z21" s="27"/>
      <c r="AA21" s="48"/>
    </row>
    <row r="22" spans="2:27" ht="16" thickBot="1" x14ac:dyDescent="0.4">
      <c r="B22" s="331" t="s">
        <v>572</v>
      </c>
      <c r="C22" s="338">
        <v>650</v>
      </c>
      <c r="D22" s="335" t="s">
        <v>170</v>
      </c>
      <c r="E22" s="331" t="s">
        <v>572</v>
      </c>
      <c r="F22" s="338">
        <v>1170</v>
      </c>
      <c r="G22" s="335" t="s">
        <v>578</v>
      </c>
      <c r="I22" s="27"/>
      <c r="J22" s="27"/>
      <c r="K22" s="7"/>
      <c r="L22" s="27"/>
      <c r="N22" s="27"/>
      <c r="O22" s="27"/>
      <c r="P22" s="27"/>
      <c r="Q22" s="27"/>
      <c r="R22" s="27"/>
      <c r="S22" s="27"/>
      <c r="T22" s="27"/>
      <c r="U22" s="27"/>
      <c r="V22" s="27"/>
      <c r="W22" s="27"/>
      <c r="X22" s="27"/>
      <c r="Y22" s="27"/>
      <c r="Z22" s="27"/>
      <c r="AA22" s="48"/>
    </row>
    <row r="23" spans="2:27" x14ac:dyDescent="0.35">
      <c r="B23" s="331" t="s">
        <v>572</v>
      </c>
      <c r="C23" s="339">
        <f>C22*1.8</f>
        <v>1170</v>
      </c>
      <c r="D23" s="339" t="s">
        <v>578</v>
      </c>
      <c r="E23" s="331" t="s">
        <v>572</v>
      </c>
      <c r="F23" s="340">
        <f>F22/1.8</f>
        <v>650</v>
      </c>
      <c r="G23" s="339" t="s">
        <v>170</v>
      </c>
      <c r="I23" s="27"/>
      <c r="J23" s="27"/>
      <c r="L23" s="27"/>
      <c r="N23" s="27"/>
      <c r="O23" s="27"/>
      <c r="P23" s="27"/>
      <c r="Q23" s="27"/>
      <c r="R23" s="27"/>
      <c r="S23" s="27"/>
      <c r="T23" s="27"/>
      <c r="U23" s="27"/>
      <c r="V23" s="27"/>
      <c r="W23" s="27"/>
      <c r="X23" s="27"/>
      <c r="Y23" s="27"/>
      <c r="Z23" s="27"/>
      <c r="AA23" s="48"/>
    </row>
    <row r="24" spans="2:27" ht="16" thickBot="1" x14ac:dyDescent="0.4">
      <c r="I24" s="27"/>
      <c r="J24" s="27"/>
      <c r="K24" s="27"/>
      <c r="L24" s="27"/>
      <c r="N24" s="27"/>
      <c r="O24" s="27"/>
      <c r="P24" s="27"/>
      <c r="Q24" s="27"/>
      <c r="R24" s="27"/>
      <c r="S24" s="27"/>
      <c r="T24" s="27"/>
      <c r="U24" s="27"/>
      <c r="V24" s="27"/>
      <c r="W24" s="27"/>
      <c r="X24" s="27"/>
      <c r="Y24" s="27"/>
      <c r="Z24" s="27"/>
      <c r="AA24" s="48"/>
    </row>
    <row r="25" spans="2:27" ht="16" thickBot="1" x14ac:dyDescent="0.4">
      <c r="B25" s="18" t="s">
        <v>580</v>
      </c>
      <c r="C25" s="19" t="s">
        <v>568</v>
      </c>
      <c r="D25" s="20" t="s">
        <v>581</v>
      </c>
      <c r="E25" s="19" t="s">
        <v>582</v>
      </c>
      <c r="F25" s="21" t="s">
        <v>568</v>
      </c>
      <c r="G25" s="27"/>
      <c r="I25" s="27"/>
      <c r="J25" s="27"/>
      <c r="N25" s="27"/>
      <c r="O25" s="27"/>
      <c r="P25" s="27"/>
      <c r="Q25" s="27"/>
      <c r="R25" s="27"/>
      <c r="S25" s="27"/>
      <c r="T25" s="27"/>
      <c r="U25" s="27"/>
      <c r="V25" s="27"/>
      <c r="W25" s="27"/>
      <c r="X25" s="27"/>
      <c r="Y25" s="27"/>
      <c r="Z25" s="27"/>
      <c r="AA25" s="48"/>
    </row>
    <row r="26" spans="2:27" x14ac:dyDescent="0.35">
      <c r="B26" s="341">
        <v>10</v>
      </c>
      <c r="C26" s="342" t="s">
        <v>583</v>
      </c>
      <c r="D26" s="343">
        <v>0.30480000000000002</v>
      </c>
      <c r="E26" s="344">
        <f>B26/D26</f>
        <v>32.808398950131235</v>
      </c>
      <c r="F26" s="345" t="s">
        <v>71</v>
      </c>
      <c r="G26" s="27"/>
      <c r="I26" s="27"/>
      <c r="J26" s="27"/>
      <c r="N26" s="27"/>
      <c r="O26" s="27"/>
      <c r="P26" s="27"/>
      <c r="Q26" s="27"/>
      <c r="R26" s="27"/>
      <c r="S26" s="27"/>
      <c r="T26" s="27"/>
      <c r="U26" s="27"/>
      <c r="V26" s="27"/>
      <c r="W26" s="27"/>
      <c r="X26" s="27"/>
      <c r="Y26" s="27"/>
      <c r="Z26" s="27"/>
      <c r="AA26" s="48"/>
    </row>
    <row r="27" spans="2:27" x14ac:dyDescent="0.35">
      <c r="B27" s="346">
        <v>10</v>
      </c>
      <c r="C27" s="347" t="s">
        <v>584</v>
      </c>
      <c r="D27" s="23">
        <v>0.4536</v>
      </c>
      <c r="E27" s="348">
        <f>B27/D27</f>
        <v>22.045855379188712</v>
      </c>
      <c r="F27" s="349" t="s">
        <v>585</v>
      </c>
      <c r="G27" s="27"/>
      <c r="I27" s="27"/>
      <c r="J27" s="27"/>
      <c r="N27" s="27"/>
      <c r="O27" s="27"/>
      <c r="P27" s="27"/>
      <c r="Q27" s="27"/>
      <c r="R27" s="27"/>
      <c r="S27" s="27"/>
      <c r="T27" s="27"/>
      <c r="U27" s="27"/>
      <c r="V27" s="27"/>
      <c r="W27" s="27"/>
      <c r="X27" s="27"/>
      <c r="Y27" s="27"/>
      <c r="Z27" s="27"/>
      <c r="AA27" s="48"/>
    </row>
    <row r="28" spans="2:27" x14ac:dyDescent="0.35">
      <c r="B28" s="346">
        <v>10</v>
      </c>
      <c r="C28" s="347" t="s">
        <v>586</v>
      </c>
      <c r="D28" s="224" t="s">
        <v>587</v>
      </c>
      <c r="E28" s="350">
        <f>B28</f>
        <v>10</v>
      </c>
      <c r="F28" s="349" t="s">
        <v>299</v>
      </c>
      <c r="G28" s="27"/>
      <c r="I28" s="27"/>
      <c r="J28" s="27"/>
      <c r="N28" s="27"/>
      <c r="O28" s="27"/>
      <c r="P28" s="27"/>
      <c r="Q28" s="27"/>
      <c r="R28" s="27"/>
      <c r="S28" s="27"/>
      <c r="T28" s="27"/>
      <c r="U28" s="27"/>
      <c r="V28" s="27"/>
      <c r="W28" s="27"/>
      <c r="X28" s="27"/>
      <c r="Y28" s="27"/>
      <c r="Z28" s="27"/>
      <c r="AA28" s="48"/>
    </row>
    <row r="29" spans="2:27" ht="17.5" x14ac:dyDescent="0.35">
      <c r="B29" s="346">
        <v>10</v>
      </c>
      <c r="C29" s="347" t="s">
        <v>669</v>
      </c>
      <c r="D29" s="226">
        <v>9.2899999999999996E-2</v>
      </c>
      <c r="E29" s="348">
        <f>B29/D29</f>
        <v>107.64262648008612</v>
      </c>
      <c r="F29" s="349" t="s">
        <v>670</v>
      </c>
      <c r="G29" s="27"/>
      <c r="I29" s="27"/>
      <c r="J29" s="27"/>
      <c r="N29" s="27"/>
      <c r="O29" s="27"/>
      <c r="P29" s="27"/>
      <c r="Q29" s="27"/>
      <c r="R29" s="27"/>
      <c r="S29" s="27"/>
      <c r="T29" s="27"/>
      <c r="U29" s="27"/>
      <c r="V29" s="27"/>
      <c r="W29" s="27"/>
      <c r="X29" s="27"/>
      <c r="Y29" s="27"/>
      <c r="Z29" s="27"/>
      <c r="AA29" s="48"/>
    </row>
    <row r="30" spans="2:27" ht="17.5" x14ac:dyDescent="0.35">
      <c r="B30" s="346">
        <v>10</v>
      </c>
      <c r="C30" s="347" t="s">
        <v>671</v>
      </c>
      <c r="D30" s="23">
        <v>2.8320000000000001E-2</v>
      </c>
      <c r="E30" s="348">
        <f>B30/D30</f>
        <v>353.10734463276833</v>
      </c>
      <c r="F30" s="349" t="s">
        <v>672</v>
      </c>
      <c r="G30" s="27"/>
      <c r="I30" s="27"/>
      <c r="J30" s="27"/>
      <c r="N30" s="27"/>
      <c r="O30" s="27"/>
      <c r="P30" s="27"/>
      <c r="Q30" s="27"/>
      <c r="R30" s="368" t="s">
        <v>709</v>
      </c>
      <c r="S30" s="368" t="s">
        <v>710</v>
      </c>
      <c r="T30" s="27"/>
      <c r="U30" s="27"/>
      <c r="V30" s="27"/>
      <c r="W30" s="27"/>
      <c r="X30" s="27"/>
      <c r="Y30" s="27"/>
      <c r="Z30" s="27"/>
      <c r="AA30" s="48"/>
    </row>
    <row r="31" spans="2:27" x14ac:dyDescent="0.35">
      <c r="B31" s="346">
        <v>10</v>
      </c>
      <c r="C31" s="347" t="s">
        <v>588</v>
      </c>
      <c r="D31" s="23">
        <v>0.30480000000000002</v>
      </c>
      <c r="E31" s="348">
        <f>B31/D31</f>
        <v>32.808398950131235</v>
      </c>
      <c r="F31" s="349" t="s">
        <v>41</v>
      </c>
      <c r="G31" s="27"/>
      <c r="I31" s="27"/>
      <c r="J31" s="27"/>
      <c r="N31" s="27"/>
      <c r="O31" s="27"/>
      <c r="P31" s="27"/>
      <c r="Q31" s="27"/>
      <c r="R31" s="368">
        <v>1</v>
      </c>
      <c r="S31" s="13">
        <v>10</v>
      </c>
      <c r="T31" s="27"/>
      <c r="U31" s="27"/>
      <c r="V31" s="27"/>
      <c r="W31" s="27"/>
      <c r="X31" s="27"/>
      <c r="Y31" s="27"/>
      <c r="Z31" s="27"/>
      <c r="AA31" s="48"/>
    </row>
    <row r="32" spans="2:27" ht="17.5" x14ac:dyDescent="0.35">
      <c r="B32" s="346">
        <v>10</v>
      </c>
      <c r="C32" s="347" t="s">
        <v>673</v>
      </c>
      <c r="D32" s="23">
        <v>0.30480000000000002</v>
      </c>
      <c r="E32" s="348">
        <f>B32/D32</f>
        <v>32.808398950131235</v>
      </c>
      <c r="F32" s="349" t="s">
        <v>674</v>
      </c>
      <c r="G32" s="27"/>
      <c r="I32" s="27"/>
      <c r="J32" s="27"/>
      <c r="N32" s="27"/>
      <c r="O32" s="133" t="s">
        <v>711</v>
      </c>
      <c r="P32" s="27"/>
      <c r="Q32" s="27"/>
      <c r="R32" s="368">
        <v>2</v>
      </c>
      <c r="S32" s="13">
        <v>6</v>
      </c>
      <c r="T32" s="27"/>
      <c r="U32" s="27"/>
      <c r="V32" s="27"/>
      <c r="W32" s="27"/>
      <c r="X32" s="27"/>
      <c r="Y32" s="27"/>
      <c r="Z32" s="27"/>
      <c r="AA32" s="49"/>
    </row>
    <row r="33" spans="2:27" ht="17.5" x14ac:dyDescent="0.35">
      <c r="B33" s="346">
        <v>10</v>
      </c>
      <c r="C33" s="347" t="s">
        <v>589</v>
      </c>
      <c r="D33" s="224" t="s">
        <v>587</v>
      </c>
      <c r="E33" s="350">
        <f>B33</f>
        <v>10</v>
      </c>
      <c r="F33" s="349" t="s">
        <v>675</v>
      </c>
      <c r="G33" s="27"/>
      <c r="I33" s="27"/>
      <c r="J33" s="27"/>
      <c r="K33" s="16" t="s">
        <v>712</v>
      </c>
      <c r="L33" s="49"/>
      <c r="M33" s="49"/>
      <c r="N33" s="48"/>
      <c r="O33" s="369" t="s">
        <v>469</v>
      </c>
      <c r="P33" s="370">
        <v>10</v>
      </c>
      <c r="Q33" s="27" t="s">
        <v>292</v>
      </c>
      <c r="R33" s="368">
        <v>3</v>
      </c>
      <c r="S33" s="133" t="s">
        <v>713</v>
      </c>
      <c r="T33" s="27"/>
      <c r="U33" s="27"/>
      <c r="V33" s="27"/>
      <c r="W33" s="27"/>
      <c r="X33" s="27"/>
      <c r="Y33" s="27"/>
      <c r="Z33" s="27"/>
      <c r="AA33" s="49"/>
    </row>
    <row r="34" spans="2:27" ht="16" thickBot="1" x14ac:dyDescent="0.4">
      <c r="B34" s="346">
        <v>10</v>
      </c>
      <c r="C34" s="347" t="s">
        <v>590</v>
      </c>
      <c r="D34" s="23">
        <v>4.4480000000000004</v>
      </c>
      <c r="E34" s="348">
        <f t="shared" ref="E34:E49" si="0">B34/D34</f>
        <v>2.2482014388489207</v>
      </c>
      <c r="F34" s="349" t="s">
        <v>591</v>
      </c>
      <c r="G34" s="27"/>
      <c r="I34" s="27"/>
      <c r="J34" s="27"/>
      <c r="K34" s="73"/>
      <c r="L34" s="183" t="s">
        <v>30</v>
      </c>
      <c r="N34" s="48"/>
      <c r="O34" s="369" t="s">
        <v>714</v>
      </c>
      <c r="P34" s="370">
        <v>6</v>
      </c>
      <c r="Q34" s="27" t="s">
        <v>715</v>
      </c>
      <c r="R34" s="368">
        <v>4</v>
      </c>
      <c r="S34" s="133" t="s">
        <v>708</v>
      </c>
      <c r="T34" s="27"/>
      <c r="U34" s="27"/>
      <c r="V34" s="27"/>
      <c r="W34" s="27"/>
      <c r="X34" s="27"/>
      <c r="Y34" s="27"/>
      <c r="Z34" s="27"/>
      <c r="AA34" s="49"/>
    </row>
    <row r="35" spans="2:27" ht="18" thickBot="1" x14ac:dyDescent="0.4">
      <c r="B35" s="346">
        <v>10</v>
      </c>
      <c r="C35" s="347" t="s">
        <v>676</v>
      </c>
      <c r="D35" s="23">
        <v>16.02</v>
      </c>
      <c r="E35" s="351">
        <f t="shared" si="0"/>
        <v>0.62421972534332082</v>
      </c>
      <c r="F35" s="349" t="s">
        <v>677</v>
      </c>
      <c r="G35" s="27"/>
      <c r="I35" s="27"/>
      <c r="J35" s="27"/>
      <c r="K35" s="188" t="s">
        <v>716</v>
      </c>
      <c r="L35" s="371">
        <v>10</v>
      </c>
      <c r="M35" s="16" t="s">
        <v>292</v>
      </c>
      <c r="N35" s="48"/>
      <c r="O35" s="102" t="s">
        <v>717</v>
      </c>
      <c r="P35" s="3" t="s">
        <v>718</v>
      </c>
      <c r="R35" s="368">
        <v>5</v>
      </c>
      <c r="S35" s="133" t="s">
        <v>719</v>
      </c>
      <c r="T35" s="27"/>
      <c r="U35" s="27"/>
      <c r="V35" s="27"/>
      <c r="W35" s="27"/>
      <c r="X35" s="27"/>
      <c r="Y35" s="27"/>
      <c r="Z35" s="27"/>
      <c r="AA35" s="49"/>
    </row>
    <row r="36" spans="2:27" ht="18" thickBot="1" x14ac:dyDescent="0.4">
      <c r="B36" s="346">
        <v>10</v>
      </c>
      <c r="C36" s="347" t="s">
        <v>678</v>
      </c>
      <c r="D36" s="23">
        <v>157.1</v>
      </c>
      <c r="E36" s="348">
        <f t="shared" si="0"/>
        <v>6.3653723742838952E-2</v>
      </c>
      <c r="F36" s="349" t="s">
        <v>679</v>
      </c>
      <c r="G36" s="27"/>
      <c r="I36" s="27"/>
      <c r="J36" s="27"/>
      <c r="K36" s="188" t="s">
        <v>720</v>
      </c>
      <c r="L36" s="372">
        <v>6</v>
      </c>
      <c r="M36" s="16" t="s">
        <v>292</v>
      </c>
      <c r="N36" s="27"/>
      <c r="O36" s="102" t="s">
        <v>42</v>
      </c>
      <c r="P36" s="373">
        <f>L36/L35</f>
        <v>0.6</v>
      </c>
      <c r="Q36" s="25" t="s">
        <v>721</v>
      </c>
      <c r="R36" s="368">
        <v>6</v>
      </c>
      <c r="S36" s="133" t="s">
        <v>722</v>
      </c>
      <c r="T36" s="27"/>
      <c r="U36" s="27"/>
      <c r="V36" s="27"/>
      <c r="W36" s="27"/>
      <c r="X36" s="27"/>
      <c r="Y36" s="27"/>
      <c r="Z36" s="27"/>
      <c r="AA36" s="49"/>
    </row>
    <row r="37" spans="2:27" ht="17.5" x14ac:dyDescent="0.35">
      <c r="B37" s="346">
        <v>10</v>
      </c>
      <c r="C37" s="347" t="s">
        <v>162</v>
      </c>
      <c r="D37" s="23">
        <v>4.7879999999999999E-2</v>
      </c>
      <c r="E37" s="350">
        <f t="shared" si="0"/>
        <v>208.85547201336675</v>
      </c>
      <c r="F37" s="349" t="s">
        <v>680</v>
      </c>
      <c r="G37" s="27"/>
      <c r="I37" s="27"/>
      <c r="J37" s="27"/>
      <c r="K37" s="76"/>
      <c r="L37" s="183" t="s">
        <v>723</v>
      </c>
      <c r="N37" s="27"/>
      <c r="O37" s="102" t="s">
        <v>724</v>
      </c>
      <c r="P37" s="3" t="s">
        <v>725</v>
      </c>
      <c r="R37" s="368">
        <v>7</v>
      </c>
      <c r="S37" s="13">
        <v>2</v>
      </c>
      <c r="T37" s="27"/>
      <c r="U37" s="27"/>
      <c r="V37" s="27"/>
      <c r="W37" s="27"/>
      <c r="X37" s="27"/>
      <c r="Y37" s="27"/>
      <c r="Z37" s="27"/>
      <c r="AA37" s="49"/>
    </row>
    <row r="38" spans="2:27" ht="16" thickBot="1" x14ac:dyDescent="0.4">
      <c r="B38" s="346">
        <v>10</v>
      </c>
      <c r="C38" s="347" t="s">
        <v>592</v>
      </c>
      <c r="D38" s="23">
        <v>1.3560000000000001</v>
      </c>
      <c r="E38" s="352">
        <f t="shared" si="0"/>
        <v>7.3746312684365778</v>
      </c>
      <c r="F38" s="349" t="s">
        <v>593</v>
      </c>
      <c r="G38" s="27"/>
      <c r="I38" s="27"/>
      <c r="J38" s="27"/>
      <c r="K38" s="188" t="s">
        <v>726</v>
      </c>
      <c r="L38" s="7" t="s">
        <v>727</v>
      </c>
      <c r="M38" s="16"/>
      <c r="N38" s="27"/>
      <c r="O38" s="76" t="s">
        <v>42</v>
      </c>
      <c r="P38" s="374">
        <f>ATAN(L36/L35)</f>
        <v>0.54041950027058416</v>
      </c>
      <c r="Q38" s="25" t="s">
        <v>728</v>
      </c>
      <c r="R38" s="368">
        <v>8</v>
      </c>
      <c r="S38" s="133" t="s">
        <v>696</v>
      </c>
      <c r="T38" s="27"/>
      <c r="U38" s="27"/>
      <c r="V38" s="27"/>
      <c r="W38" s="27"/>
      <c r="X38" s="27"/>
      <c r="Y38" s="27"/>
      <c r="Z38" s="27"/>
      <c r="AA38" s="49"/>
    </row>
    <row r="39" spans="2:27" ht="16" thickBot="1" x14ac:dyDescent="0.4">
      <c r="B39" s="346">
        <v>10</v>
      </c>
      <c r="C39" s="347" t="s">
        <v>592</v>
      </c>
      <c r="D39" s="23">
        <v>1055</v>
      </c>
      <c r="E39" s="348">
        <f t="shared" si="0"/>
        <v>9.4786729857819912E-3</v>
      </c>
      <c r="F39" s="349" t="s">
        <v>594</v>
      </c>
      <c r="G39" s="27"/>
      <c r="I39" s="27"/>
      <c r="J39" s="27"/>
      <c r="K39" s="323" t="s">
        <v>42</v>
      </c>
      <c r="L39" s="375">
        <f>( L35^2 + L36^2 )^(1/2)</f>
        <v>11.661903789690601</v>
      </c>
      <c r="M39" s="16" t="s">
        <v>292</v>
      </c>
      <c r="N39" s="27"/>
      <c r="O39" s="102" t="s">
        <v>729</v>
      </c>
      <c r="P39" s="1" t="s">
        <v>730</v>
      </c>
      <c r="Q39" s="73" t="s">
        <v>731</v>
      </c>
      <c r="R39" s="368">
        <v>9</v>
      </c>
      <c r="S39" s="370">
        <v>10</v>
      </c>
      <c r="T39" s="27"/>
      <c r="U39" s="27"/>
      <c r="V39" s="27"/>
      <c r="W39" s="27"/>
      <c r="X39" s="27"/>
      <c r="Y39" s="27"/>
      <c r="Z39" s="27"/>
      <c r="AA39" s="49"/>
    </row>
    <row r="40" spans="2:27" ht="16" thickBot="1" x14ac:dyDescent="0.4">
      <c r="B40" s="346">
        <v>10</v>
      </c>
      <c r="C40" s="347" t="s">
        <v>595</v>
      </c>
      <c r="D40" s="23">
        <v>1.3560000000000001</v>
      </c>
      <c r="E40" s="348">
        <f t="shared" si="0"/>
        <v>7.3746312684365778</v>
      </c>
      <c r="F40" s="349" t="s">
        <v>596</v>
      </c>
      <c r="G40" s="27"/>
      <c r="I40" s="27"/>
      <c r="J40" s="27"/>
      <c r="K40" s="188" t="s">
        <v>732</v>
      </c>
      <c r="L40" s="16" t="s">
        <v>733</v>
      </c>
      <c r="M40" s="16"/>
      <c r="N40" s="27"/>
      <c r="O40" s="102" t="s">
        <v>724</v>
      </c>
      <c r="P40" s="112" t="s">
        <v>734</v>
      </c>
      <c r="R40" s="368">
        <v>10</v>
      </c>
      <c r="S40" s="370">
        <v>6</v>
      </c>
      <c r="T40" s="27"/>
      <c r="U40" s="27"/>
      <c r="V40" s="27"/>
      <c r="W40" s="27"/>
      <c r="X40" s="27"/>
      <c r="Y40" s="27"/>
      <c r="Z40" s="27"/>
      <c r="AA40" s="49"/>
    </row>
    <row r="41" spans="2:27" ht="16" thickBot="1" x14ac:dyDescent="0.4">
      <c r="B41" s="346">
        <v>10</v>
      </c>
      <c r="C41" s="347" t="s">
        <v>597</v>
      </c>
      <c r="D41" s="23">
        <v>1055</v>
      </c>
      <c r="E41" s="348">
        <f t="shared" si="0"/>
        <v>9.4786729857819912E-3</v>
      </c>
      <c r="F41" s="349" t="s">
        <v>598</v>
      </c>
      <c r="G41" s="27"/>
      <c r="I41" s="27"/>
      <c r="J41" s="27"/>
      <c r="K41" s="188" t="s">
        <v>42</v>
      </c>
      <c r="L41" s="376">
        <f>57.3 * ATAN(L36 / L35)</f>
        <v>30.966037365504469</v>
      </c>
      <c r="M41" s="16" t="s">
        <v>128</v>
      </c>
      <c r="N41" s="27"/>
      <c r="O41" s="76" t="s">
        <v>42</v>
      </c>
      <c r="P41" s="112">
        <f>57.3*P38</f>
        <v>30.966037365504469</v>
      </c>
      <c r="Q41" s="25" t="s">
        <v>731</v>
      </c>
      <c r="R41" s="27"/>
      <c r="S41" s="27"/>
      <c r="T41" s="27"/>
      <c r="U41" s="27"/>
      <c r="V41" s="27"/>
      <c r="W41" s="27"/>
      <c r="X41" s="27"/>
      <c r="Y41" s="27"/>
      <c r="Z41" s="27"/>
      <c r="AA41" s="49"/>
    </row>
    <row r="42" spans="2:27" x14ac:dyDescent="0.35">
      <c r="B42" s="346">
        <v>10</v>
      </c>
      <c r="C42" s="347" t="s">
        <v>599</v>
      </c>
      <c r="D42" s="23">
        <v>0.4536</v>
      </c>
      <c r="E42" s="350">
        <f t="shared" si="0"/>
        <v>22.045855379188712</v>
      </c>
      <c r="F42" s="349" t="s">
        <v>600</v>
      </c>
      <c r="G42" s="27"/>
      <c r="I42" s="27"/>
      <c r="J42" s="27"/>
      <c r="N42" s="27"/>
      <c r="O42" s="27"/>
      <c r="P42" s="27"/>
      <c r="Q42" s="27"/>
      <c r="R42" s="27"/>
      <c r="S42" s="27"/>
      <c r="T42" s="27"/>
      <c r="U42" s="27"/>
      <c r="V42" s="27"/>
      <c r="W42" s="27"/>
      <c r="X42" s="27"/>
      <c r="Y42" s="27"/>
      <c r="Z42" s="27"/>
      <c r="AA42" s="49"/>
    </row>
    <row r="43" spans="2:27" ht="17.5" x14ac:dyDescent="0.35">
      <c r="B43" s="346">
        <v>10</v>
      </c>
      <c r="C43" s="347" t="s">
        <v>681</v>
      </c>
      <c r="D43" s="23">
        <v>2.8320000000000001E-2</v>
      </c>
      <c r="E43" s="350">
        <f t="shared" si="0"/>
        <v>353.10734463276833</v>
      </c>
      <c r="F43" s="349" t="s">
        <v>682</v>
      </c>
      <c r="G43" s="27"/>
      <c r="I43" s="27"/>
      <c r="J43" s="27"/>
      <c r="K43" s="16" t="s">
        <v>735</v>
      </c>
      <c r="M43" s="76"/>
      <c r="N43" s="27"/>
      <c r="O43" s="27"/>
      <c r="P43" s="27"/>
      <c r="Q43" s="27"/>
      <c r="R43" s="27"/>
      <c r="S43" s="27"/>
      <c r="T43" s="27"/>
      <c r="U43" s="27"/>
      <c r="V43" s="27"/>
      <c r="W43" s="27"/>
      <c r="X43" s="27"/>
      <c r="Y43" s="27"/>
      <c r="Z43" s="27"/>
      <c r="AA43" s="49"/>
    </row>
    <row r="44" spans="2:27" x14ac:dyDescent="0.35">
      <c r="B44" s="346">
        <v>10</v>
      </c>
      <c r="C44" s="347" t="s">
        <v>601</v>
      </c>
      <c r="D44" s="23">
        <v>4.1870000000000003</v>
      </c>
      <c r="E44" s="348">
        <f t="shared" si="0"/>
        <v>2.3883448770002387</v>
      </c>
      <c r="F44" s="349" t="s">
        <v>602</v>
      </c>
      <c r="G44" s="27"/>
      <c r="I44" s="27"/>
      <c r="J44" s="27"/>
      <c r="K44" s="3" t="s">
        <v>736</v>
      </c>
      <c r="M44" s="76"/>
      <c r="N44" s="52"/>
      <c r="O44" s="27"/>
      <c r="P44" s="27"/>
      <c r="Q44" s="27"/>
      <c r="R44" s="27"/>
      <c r="S44" s="27"/>
      <c r="T44" s="27"/>
      <c r="U44" s="27"/>
      <c r="V44" s="27"/>
      <c r="W44" s="27"/>
      <c r="X44" s="27"/>
      <c r="Y44" s="27"/>
      <c r="Z44" s="27"/>
      <c r="AA44" s="49"/>
    </row>
    <row r="45" spans="2:27" x14ac:dyDescent="0.35">
      <c r="B45" s="346">
        <v>10</v>
      </c>
      <c r="C45" s="347" t="s">
        <v>164</v>
      </c>
      <c r="D45" s="23">
        <v>2.3260000000000001</v>
      </c>
      <c r="E45" s="348">
        <f t="shared" si="0"/>
        <v>4.2992261392949267</v>
      </c>
      <c r="F45" s="349" t="s">
        <v>603</v>
      </c>
      <c r="G45" s="27"/>
      <c r="I45" s="27"/>
      <c r="J45" s="27"/>
      <c r="K45" s="3" t="s">
        <v>737</v>
      </c>
      <c r="M45" s="76"/>
      <c r="N45" s="27"/>
      <c r="O45" s="27"/>
      <c r="P45" s="27"/>
      <c r="Q45" s="27"/>
      <c r="R45" s="27"/>
      <c r="S45" s="27"/>
      <c r="T45" s="27"/>
      <c r="U45" s="27"/>
      <c r="V45" s="27"/>
      <c r="W45" s="27"/>
      <c r="X45" s="27"/>
      <c r="Y45" s="27"/>
      <c r="Z45" s="27"/>
      <c r="AA45" s="49"/>
    </row>
    <row r="46" spans="2:27" x14ac:dyDescent="0.35">
      <c r="B46" s="346">
        <v>10</v>
      </c>
      <c r="C46" s="347" t="s">
        <v>601</v>
      </c>
      <c r="D46" s="23">
        <v>4.1870000000000003</v>
      </c>
      <c r="E46" s="348">
        <f t="shared" si="0"/>
        <v>2.3883448770002387</v>
      </c>
      <c r="F46" s="349" t="s">
        <v>602</v>
      </c>
      <c r="G46" s="27"/>
      <c r="I46" s="27"/>
      <c r="J46" s="27"/>
      <c r="K46" s="3" t="s">
        <v>738</v>
      </c>
      <c r="M46" s="76"/>
      <c r="N46" s="27"/>
      <c r="O46" s="27"/>
      <c r="P46" s="27"/>
      <c r="Q46" s="27"/>
      <c r="R46" s="27"/>
      <c r="S46" s="27"/>
      <c r="T46" s="27"/>
      <c r="U46" s="27"/>
      <c r="V46" s="27"/>
      <c r="W46" s="27"/>
      <c r="X46" s="27"/>
      <c r="Y46" s="27"/>
      <c r="Z46" s="27"/>
      <c r="AA46" s="49"/>
    </row>
    <row r="47" spans="2:27" ht="17.5" x14ac:dyDescent="0.35">
      <c r="B47" s="346">
        <v>10</v>
      </c>
      <c r="C47" s="347" t="s">
        <v>683</v>
      </c>
      <c r="D47" s="23">
        <v>6.2420000000000003E-2</v>
      </c>
      <c r="E47" s="350">
        <f t="shared" si="0"/>
        <v>160.20506247997437</v>
      </c>
      <c r="F47" s="349" t="s">
        <v>684</v>
      </c>
      <c r="G47" s="27"/>
      <c r="I47" s="27"/>
      <c r="J47" s="27"/>
      <c r="K47" s="3" t="s">
        <v>739</v>
      </c>
      <c r="M47" s="377"/>
      <c r="N47" s="27"/>
      <c r="O47" s="27"/>
      <c r="P47" s="369"/>
      <c r="Q47" s="13"/>
      <c r="R47" s="27"/>
      <c r="S47" s="27"/>
      <c r="T47" s="27"/>
      <c r="U47" s="27"/>
      <c r="V47" s="27"/>
      <c r="W47" s="27"/>
      <c r="X47" s="27"/>
      <c r="Y47" s="27"/>
      <c r="Z47" s="27"/>
      <c r="AA47" s="49"/>
    </row>
    <row r="48" spans="2:27" x14ac:dyDescent="0.35">
      <c r="B48" s="346">
        <v>10</v>
      </c>
      <c r="C48" s="353" t="s">
        <v>598</v>
      </c>
      <c r="D48" s="228">
        <v>1.4148000000000001</v>
      </c>
      <c r="E48" s="350">
        <f t="shared" si="0"/>
        <v>7.0681368391292052</v>
      </c>
      <c r="F48" s="354" t="s">
        <v>56</v>
      </c>
      <c r="G48" s="27"/>
      <c r="I48" s="27"/>
      <c r="J48" s="27"/>
      <c r="N48" s="27"/>
      <c r="O48" s="27"/>
      <c r="P48" s="369"/>
      <c r="Q48" s="13"/>
      <c r="R48" s="27"/>
      <c r="S48" s="27"/>
      <c r="T48" s="27"/>
      <c r="U48" s="27"/>
      <c r="V48" s="27"/>
      <c r="W48" s="27"/>
      <c r="X48" s="27"/>
      <c r="Y48" s="27"/>
      <c r="Z48" s="27"/>
      <c r="AA48" s="49"/>
    </row>
    <row r="49" spans="2:27" x14ac:dyDescent="0.35">
      <c r="B49" s="346">
        <v>10</v>
      </c>
      <c r="C49" s="353" t="s">
        <v>596</v>
      </c>
      <c r="D49" s="228">
        <v>550</v>
      </c>
      <c r="E49" s="350">
        <f t="shared" si="0"/>
        <v>1.8181818181818181E-2</v>
      </c>
      <c r="F49" s="354" t="s">
        <v>56</v>
      </c>
      <c r="G49" s="27"/>
      <c r="I49" s="27"/>
      <c r="J49" s="27"/>
      <c r="M49" s="76"/>
      <c r="N49" s="74"/>
      <c r="O49" s="378"/>
      <c r="P49" s="133"/>
      <c r="Q49" s="13"/>
      <c r="R49" s="27"/>
      <c r="S49" s="27"/>
      <c r="T49" s="27"/>
      <c r="U49" s="27"/>
      <c r="V49" s="27"/>
      <c r="W49" s="27"/>
      <c r="X49" s="27"/>
      <c r="Y49" s="27"/>
      <c r="Z49" s="27"/>
      <c r="AA49" s="49"/>
    </row>
    <row r="50" spans="2:27" ht="16" thickBot="1" x14ac:dyDescent="0.4">
      <c r="B50" s="355">
        <v>10000</v>
      </c>
      <c r="C50" s="356" t="s">
        <v>595</v>
      </c>
      <c r="D50" s="357">
        <v>1.341E-3</v>
      </c>
      <c r="E50" s="358">
        <f>B50*D50</f>
        <v>13.41</v>
      </c>
      <c r="F50" s="359" t="s">
        <v>56</v>
      </c>
      <c r="G50" s="27"/>
      <c r="I50" s="27"/>
      <c r="J50" s="27"/>
      <c r="N50" s="27"/>
      <c r="O50" s="27"/>
      <c r="P50" s="27"/>
      <c r="Q50" s="27"/>
      <c r="R50" s="27"/>
      <c r="S50" s="27"/>
      <c r="T50" s="27"/>
      <c r="U50" s="27"/>
      <c r="V50" s="27"/>
      <c r="W50" s="27"/>
      <c r="X50" s="27"/>
      <c r="Y50" s="27"/>
      <c r="Z50" s="27"/>
      <c r="AA50" s="49"/>
    </row>
    <row r="51" spans="2:27" x14ac:dyDescent="0.35">
      <c r="G51" s="27"/>
      <c r="I51" s="27"/>
      <c r="J51" s="27"/>
      <c r="N51" s="27"/>
      <c r="O51" s="27"/>
      <c r="P51" s="27"/>
      <c r="Q51" s="27"/>
      <c r="R51" s="27"/>
      <c r="S51" s="27"/>
      <c r="T51" s="27"/>
      <c r="U51" s="27"/>
      <c r="V51" s="27"/>
      <c r="W51" s="27"/>
      <c r="X51" s="27"/>
      <c r="Y51" s="27"/>
      <c r="Z51" s="27"/>
      <c r="AA51" s="49"/>
    </row>
    <row r="52" spans="2:27" ht="18" x14ac:dyDescent="0.4">
      <c r="B52" s="136" t="s">
        <v>604</v>
      </c>
      <c r="C52" s="195"/>
      <c r="D52" s="195"/>
      <c r="E52" s="195" t="s">
        <v>685</v>
      </c>
      <c r="F52" s="228" t="s">
        <v>686</v>
      </c>
      <c r="G52" s="27"/>
      <c r="I52" s="27"/>
      <c r="J52" s="27"/>
      <c r="N52" s="27"/>
      <c r="O52" s="27"/>
      <c r="P52" s="27"/>
      <c r="Q52" s="27"/>
      <c r="R52" s="27"/>
      <c r="S52" s="1" t="s">
        <v>0</v>
      </c>
      <c r="T52" s="27"/>
      <c r="U52" s="27"/>
      <c r="V52" s="27"/>
      <c r="W52" s="27"/>
      <c r="X52" s="27"/>
      <c r="Y52" s="27"/>
      <c r="Z52" s="27"/>
      <c r="AA52" s="49"/>
    </row>
    <row r="53" spans="2:27" ht="16" thickBot="1" x14ac:dyDescent="0.4">
      <c r="B53" s="195"/>
      <c r="C53" s="195"/>
      <c r="D53" s="195"/>
      <c r="E53" s="195"/>
      <c r="F53" s="196"/>
      <c r="G53" s="27"/>
      <c r="I53" s="27"/>
      <c r="J53" s="27"/>
      <c r="N53" s="27"/>
      <c r="O53" s="27"/>
      <c r="P53" s="27"/>
      <c r="Q53" s="27"/>
      <c r="R53" s="27"/>
      <c r="S53" s="1" t="s">
        <v>1</v>
      </c>
      <c r="T53" s="27"/>
      <c r="U53" s="27"/>
      <c r="V53" s="27"/>
      <c r="W53" s="27"/>
      <c r="X53" s="27"/>
      <c r="Y53" s="27"/>
      <c r="Z53" s="27"/>
      <c r="AA53" s="49"/>
    </row>
    <row r="54" spans="2:27" ht="16" thickBot="1" x14ac:dyDescent="0.4">
      <c r="B54" s="18" t="s">
        <v>580</v>
      </c>
      <c r="C54" s="19" t="s">
        <v>568</v>
      </c>
      <c r="D54" s="20" t="s">
        <v>605</v>
      </c>
      <c r="E54" s="19" t="s">
        <v>582</v>
      </c>
      <c r="F54" s="21" t="s">
        <v>568</v>
      </c>
      <c r="G54" s="27"/>
      <c r="I54" s="27"/>
      <c r="J54" s="27"/>
      <c r="N54" s="27"/>
      <c r="O54" s="27"/>
      <c r="P54" s="27"/>
      <c r="Q54" s="27"/>
      <c r="R54" s="27"/>
      <c r="S54" s="1" t="s">
        <v>2</v>
      </c>
      <c r="T54" s="27"/>
      <c r="U54" s="27"/>
      <c r="V54" s="27"/>
      <c r="W54" s="27"/>
      <c r="X54" s="27"/>
      <c r="Y54" s="27"/>
      <c r="Z54" s="27"/>
      <c r="AA54" s="49"/>
    </row>
    <row r="55" spans="2:27" x14ac:dyDescent="0.35">
      <c r="B55" s="341">
        <v>10</v>
      </c>
      <c r="C55" s="342" t="s">
        <v>71</v>
      </c>
      <c r="D55" s="343">
        <v>0.30480000000000002</v>
      </c>
      <c r="E55" s="344">
        <f>D55*B55</f>
        <v>3.048</v>
      </c>
      <c r="F55" s="345" t="s">
        <v>583</v>
      </c>
      <c r="G55" s="27"/>
      <c r="I55" s="27"/>
      <c r="J55" s="27"/>
      <c r="N55" s="27"/>
      <c r="O55" s="27"/>
      <c r="P55" s="27"/>
      <c r="Q55" s="27"/>
      <c r="R55" s="27"/>
      <c r="S55" s="27"/>
      <c r="T55" s="27"/>
      <c r="U55" s="27"/>
      <c r="V55" s="27"/>
      <c r="W55" s="27"/>
      <c r="X55" s="27"/>
      <c r="Y55" s="27"/>
      <c r="Z55" s="27"/>
      <c r="AA55" s="49"/>
    </row>
    <row r="56" spans="2:27" x14ac:dyDescent="0.35">
      <c r="B56" s="346">
        <v>10</v>
      </c>
      <c r="C56" s="347" t="s">
        <v>585</v>
      </c>
      <c r="D56" s="23">
        <v>0.4536</v>
      </c>
      <c r="E56" s="350">
        <f>D56*B56</f>
        <v>4.5359999999999996</v>
      </c>
      <c r="F56" s="349" t="s">
        <v>584</v>
      </c>
      <c r="G56" s="27"/>
      <c r="I56" s="27"/>
      <c r="J56" s="27"/>
      <c r="M56" s="76"/>
      <c r="N56" s="27"/>
      <c r="O56" s="27"/>
      <c r="P56" s="27"/>
      <c r="Q56" s="27"/>
      <c r="R56" s="27"/>
      <c r="S56" s="27"/>
      <c r="T56" s="27"/>
      <c r="U56" s="27"/>
      <c r="V56" s="27"/>
      <c r="W56" s="27"/>
      <c r="X56" s="27"/>
      <c r="Y56" s="27"/>
      <c r="Z56" s="27"/>
      <c r="AA56" s="49"/>
    </row>
    <row r="57" spans="2:27" x14ac:dyDescent="0.35">
      <c r="B57" s="346">
        <v>10</v>
      </c>
      <c r="C57" s="347" t="s">
        <v>299</v>
      </c>
      <c r="D57" s="224" t="s">
        <v>587</v>
      </c>
      <c r="E57" s="350">
        <f>B57</f>
        <v>10</v>
      </c>
      <c r="F57" s="349" t="s">
        <v>586</v>
      </c>
      <c r="G57" s="27"/>
      <c r="I57" s="27"/>
      <c r="J57" s="27"/>
      <c r="K57" s="1" t="s">
        <v>740</v>
      </c>
      <c r="M57" s="76"/>
      <c r="N57" s="27"/>
      <c r="O57" s="27"/>
      <c r="P57" s="27"/>
      <c r="Q57" s="27"/>
      <c r="R57" s="27"/>
      <c r="S57" s="27"/>
      <c r="T57" s="27"/>
      <c r="U57" s="27"/>
      <c r="V57" s="27"/>
      <c r="W57" s="27"/>
      <c r="X57" s="27"/>
      <c r="Y57" s="27"/>
      <c r="Z57" s="27"/>
      <c r="AA57" s="49"/>
    </row>
    <row r="58" spans="2:27" ht="17.5" x14ac:dyDescent="0.35">
      <c r="B58" s="346">
        <v>10</v>
      </c>
      <c r="C58" s="347" t="s">
        <v>670</v>
      </c>
      <c r="D58" s="226">
        <v>9.2899999999999996E-2</v>
      </c>
      <c r="E58" s="348">
        <f>D58*B58</f>
        <v>0.92899999999999994</v>
      </c>
      <c r="F58" s="349" t="s">
        <v>669</v>
      </c>
      <c r="G58" s="27"/>
      <c r="I58" s="27"/>
      <c r="J58" s="27"/>
      <c r="K58" s="49"/>
      <c r="L58" s="49"/>
      <c r="M58" s="49"/>
      <c r="N58" s="49"/>
      <c r="O58" s="49"/>
      <c r="P58" s="49"/>
      <c r="Q58" s="49"/>
      <c r="R58" s="49"/>
      <c r="S58" s="49"/>
      <c r="T58" s="49"/>
      <c r="U58" s="49"/>
      <c r="V58" s="49"/>
      <c r="W58" s="49"/>
      <c r="X58" s="49"/>
      <c r="Y58" s="49"/>
      <c r="Z58" s="49"/>
      <c r="AA58" s="49"/>
    </row>
    <row r="59" spans="2:27" ht="17.5" x14ac:dyDescent="0.35">
      <c r="B59" s="346">
        <v>10</v>
      </c>
      <c r="C59" s="347" t="s">
        <v>672</v>
      </c>
      <c r="D59" s="23">
        <v>2.8320000000000001E-2</v>
      </c>
      <c r="E59" s="348">
        <f>D59*B59</f>
        <v>0.28320000000000001</v>
      </c>
      <c r="F59" s="349" t="s">
        <v>671</v>
      </c>
      <c r="G59" s="27"/>
      <c r="I59" s="27"/>
      <c r="J59" s="27"/>
      <c r="K59" s="27"/>
      <c r="L59" s="27"/>
      <c r="M59" s="27"/>
      <c r="N59" s="27"/>
      <c r="O59" s="27"/>
      <c r="P59" s="27"/>
      <c r="Q59" s="27"/>
      <c r="R59" s="27"/>
    </row>
    <row r="60" spans="2:27" x14ac:dyDescent="0.35">
      <c r="B60" s="346">
        <v>10</v>
      </c>
      <c r="C60" s="347" t="s">
        <v>41</v>
      </c>
      <c r="D60" s="23">
        <v>0.30480000000000002</v>
      </c>
      <c r="E60" s="348">
        <f>D60*B60</f>
        <v>3.048</v>
      </c>
      <c r="F60" s="349" t="s">
        <v>588</v>
      </c>
      <c r="G60" s="27"/>
      <c r="I60" s="27"/>
      <c r="J60" s="27"/>
      <c r="K60" s="27"/>
      <c r="L60" s="27"/>
      <c r="M60" s="27"/>
      <c r="N60" s="27"/>
      <c r="O60" s="27"/>
      <c r="P60" s="27"/>
      <c r="Q60" s="27"/>
      <c r="R60" s="27"/>
    </row>
    <row r="61" spans="2:27" ht="17.5" x14ac:dyDescent="0.35">
      <c r="B61" s="346">
        <v>10</v>
      </c>
      <c r="C61" s="347" t="s">
        <v>674</v>
      </c>
      <c r="D61" s="23">
        <v>0.30480000000000002</v>
      </c>
      <c r="E61" s="348">
        <f>D61*B61</f>
        <v>3.048</v>
      </c>
      <c r="F61" s="349" t="s">
        <v>673</v>
      </c>
      <c r="G61" s="27"/>
      <c r="I61" s="27"/>
      <c r="J61" s="27"/>
      <c r="K61" s="27"/>
      <c r="L61" s="27"/>
      <c r="M61" s="27"/>
      <c r="N61" s="27"/>
      <c r="O61" s="27"/>
      <c r="P61" s="27"/>
      <c r="Q61" s="27"/>
      <c r="R61" s="27"/>
    </row>
    <row r="62" spans="2:27" ht="17.5" x14ac:dyDescent="0.35">
      <c r="B62" s="346">
        <v>10</v>
      </c>
      <c r="C62" s="347" t="s">
        <v>675</v>
      </c>
      <c r="D62" s="224" t="s">
        <v>587</v>
      </c>
      <c r="E62" s="350">
        <f>B62</f>
        <v>10</v>
      </c>
      <c r="F62" s="349" t="s">
        <v>589</v>
      </c>
      <c r="G62" s="27"/>
      <c r="I62" s="27"/>
      <c r="J62" s="27"/>
      <c r="K62" s="27"/>
      <c r="L62" s="27"/>
      <c r="M62" s="27"/>
      <c r="N62" s="27"/>
      <c r="O62" s="27"/>
      <c r="P62" s="27"/>
      <c r="Q62" s="27"/>
      <c r="R62" s="27"/>
    </row>
    <row r="63" spans="2:27" x14ac:dyDescent="0.35">
      <c r="B63" s="346">
        <v>10</v>
      </c>
      <c r="C63" s="347" t="s">
        <v>591</v>
      </c>
      <c r="D63" s="23">
        <v>4.4480000000000004</v>
      </c>
      <c r="E63" s="348">
        <f t="shared" ref="E63:E79" si="1">D63*B63</f>
        <v>44.480000000000004</v>
      </c>
      <c r="F63" s="349" t="s">
        <v>590</v>
      </c>
      <c r="G63" s="27"/>
      <c r="I63" s="27"/>
      <c r="J63" s="27"/>
      <c r="K63" s="27"/>
      <c r="L63" s="27"/>
      <c r="M63" s="27"/>
      <c r="N63" s="27"/>
      <c r="O63" s="27"/>
      <c r="P63" s="27"/>
      <c r="Q63" s="27"/>
      <c r="R63" s="27"/>
    </row>
    <row r="64" spans="2:27" ht="17.5" x14ac:dyDescent="0.35">
      <c r="B64" s="360">
        <v>10</v>
      </c>
      <c r="C64" s="347" t="s">
        <v>677</v>
      </c>
      <c r="D64" s="23">
        <v>16.02</v>
      </c>
      <c r="E64" s="348">
        <f t="shared" si="1"/>
        <v>160.19999999999999</v>
      </c>
      <c r="F64" s="349" t="s">
        <v>676</v>
      </c>
      <c r="G64" s="27"/>
      <c r="I64" s="27"/>
      <c r="J64" s="27"/>
      <c r="K64" s="27"/>
      <c r="L64" s="27"/>
      <c r="M64" s="27"/>
      <c r="N64" s="27"/>
      <c r="O64" s="27"/>
      <c r="P64" s="27"/>
      <c r="Q64" s="27"/>
      <c r="R64" s="27"/>
    </row>
    <row r="65" spans="2:18" ht="17.5" x14ac:dyDescent="0.35">
      <c r="B65" s="346">
        <v>10</v>
      </c>
      <c r="C65" s="347" t="s">
        <v>679</v>
      </c>
      <c r="D65" s="23">
        <v>157.1</v>
      </c>
      <c r="E65" s="361">
        <f t="shared" si="1"/>
        <v>1571</v>
      </c>
      <c r="F65" s="349" t="s">
        <v>678</v>
      </c>
      <c r="G65" s="27"/>
      <c r="I65" s="27"/>
      <c r="J65" s="27"/>
      <c r="K65" s="27"/>
      <c r="L65" s="27"/>
      <c r="M65" s="27"/>
      <c r="N65" s="27"/>
      <c r="O65" s="27"/>
      <c r="P65" s="27"/>
      <c r="Q65" s="27"/>
      <c r="R65" s="27"/>
    </row>
    <row r="66" spans="2:18" ht="17.5" x14ac:dyDescent="0.35">
      <c r="B66" s="346">
        <v>10</v>
      </c>
      <c r="C66" s="347" t="s">
        <v>680</v>
      </c>
      <c r="D66" s="23">
        <v>4.7879999999999999E-2</v>
      </c>
      <c r="E66" s="348">
        <f t="shared" si="1"/>
        <v>0.4788</v>
      </c>
      <c r="F66" s="349" t="s">
        <v>162</v>
      </c>
      <c r="G66" s="27"/>
      <c r="I66" s="27"/>
      <c r="J66" s="27"/>
      <c r="K66" s="27"/>
      <c r="L66" s="27"/>
      <c r="M66" s="27"/>
      <c r="N66" s="27"/>
      <c r="O66" s="27"/>
      <c r="P66" s="27"/>
      <c r="Q66" s="27"/>
      <c r="R66" s="27"/>
    </row>
    <row r="67" spans="2:18" x14ac:dyDescent="0.35">
      <c r="B67" s="346">
        <v>10</v>
      </c>
      <c r="C67" s="347" t="s">
        <v>593</v>
      </c>
      <c r="D67" s="23">
        <v>1.3560000000000001</v>
      </c>
      <c r="E67" s="348">
        <f t="shared" si="1"/>
        <v>13.56</v>
      </c>
      <c r="F67" s="349" t="s">
        <v>592</v>
      </c>
      <c r="G67" s="27"/>
      <c r="I67" s="27"/>
      <c r="J67" s="27"/>
      <c r="K67" s="27"/>
      <c r="L67" s="27"/>
      <c r="M67" s="27"/>
      <c r="N67" s="27"/>
      <c r="O67" s="27"/>
      <c r="P67" s="27"/>
      <c r="Q67" s="27"/>
      <c r="R67" s="27"/>
    </row>
    <row r="68" spans="2:18" x14ac:dyDescent="0.35">
      <c r="B68" s="346">
        <v>10</v>
      </c>
      <c r="C68" s="347" t="s">
        <v>594</v>
      </c>
      <c r="D68" s="23">
        <v>1055</v>
      </c>
      <c r="E68" s="361">
        <f t="shared" si="1"/>
        <v>10550</v>
      </c>
      <c r="F68" s="349" t="s">
        <v>592</v>
      </c>
      <c r="G68" s="27"/>
      <c r="I68" s="27"/>
      <c r="J68" s="27"/>
      <c r="K68" s="27"/>
      <c r="L68" s="27"/>
      <c r="M68" s="27"/>
      <c r="N68" s="27"/>
      <c r="O68" s="27"/>
      <c r="P68" s="27"/>
      <c r="Q68" s="27"/>
      <c r="R68" s="27"/>
    </row>
    <row r="69" spans="2:18" x14ac:dyDescent="0.35">
      <c r="B69" s="346">
        <v>10</v>
      </c>
      <c r="C69" s="347" t="s">
        <v>596</v>
      </c>
      <c r="D69" s="23">
        <v>1.3560000000000001</v>
      </c>
      <c r="E69" s="348">
        <f t="shared" si="1"/>
        <v>13.56</v>
      </c>
      <c r="F69" s="349" t="s">
        <v>606</v>
      </c>
      <c r="G69" s="27"/>
      <c r="I69" s="27"/>
      <c r="J69" s="27"/>
      <c r="K69" s="27"/>
      <c r="L69" s="27"/>
      <c r="M69" s="27"/>
      <c r="N69" s="27"/>
      <c r="O69" s="27"/>
      <c r="P69" s="27"/>
      <c r="Q69" s="27"/>
      <c r="R69" s="27"/>
    </row>
    <row r="70" spans="2:18" x14ac:dyDescent="0.35">
      <c r="B70" s="346">
        <v>10</v>
      </c>
      <c r="C70" s="347" t="s">
        <v>598</v>
      </c>
      <c r="D70" s="23">
        <v>1055</v>
      </c>
      <c r="E70" s="361">
        <f t="shared" si="1"/>
        <v>10550</v>
      </c>
      <c r="F70" s="349" t="s">
        <v>607</v>
      </c>
      <c r="G70" s="27"/>
      <c r="I70" s="27"/>
      <c r="J70" s="27"/>
      <c r="K70" s="27"/>
      <c r="L70" s="27"/>
      <c r="M70" s="27"/>
      <c r="N70" s="27"/>
      <c r="O70" s="27"/>
      <c r="P70" s="27"/>
      <c r="Q70" s="27"/>
      <c r="R70" s="27"/>
    </row>
    <row r="71" spans="2:18" x14ac:dyDescent="0.35">
      <c r="B71" s="346">
        <v>10</v>
      </c>
      <c r="C71" s="347" t="s">
        <v>600</v>
      </c>
      <c r="D71" s="23">
        <v>0.4536</v>
      </c>
      <c r="E71" s="348">
        <f t="shared" si="1"/>
        <v>4.5359999999999996</v>
      </c>
      <c r="F71" s="349" t="s">
        <v>599</v>
      </c>
      <c r="G71" s="27"/>
      <c r="I71" s="27"/>
      <c r="J71" s="27"/>
      <c r="K71" s="27"/>
      <c r="L71" s="27"/>
      <c r="M71" s="27"/>
      <c r="N71" s="27"/>
      <c r="O71" s="27"/>
      <c r="P71" s="27"/>
      <c r="Q71" s="27"/>
      <c r="R71" s="27"/>
    </row>
    <row r="72" spans="2:18" ht="17.5" x14ac:dyDescent="0.35">
      <c r="B72" s="346">
        <v>10</v>
      </c>
      <c r="C72" s="347" t="s">
        <v>682</v>
      </c>
      <c r="D72" s="23">
        <v>2.8320000000000001E-2</v>
      </c>
      <c r="E72" s="348">
        <f t="shared" si="1"/>
        <v>0.28320000000000001</v>
      </c>
      <c r="F72" s="349" t="s">
        <v>681</v>
      </c>
      <c r="G72" s="27"/>
      <c r="I72" s="27"/>
      <c r="J72" s="27"/>
      <c r="K72" s="27"/>
      <c r="L72" s="27"/>
      <c r="M72" s="27"/>
      <c r="N72" s="27"/>
      <c r="O72" s="27"/>
      <c r="P72" s="27"/>
      <c r="Q72" s="27"/>
      <c r="R72" s="27"/>
    </row>
    <row r="73" spans="2:18" x14ac:dyDescent="0.35">
      <c r="B73" s="346">
        <v>10</v>
      </c>
      <c r="C73" s="347" t="s">
        <v>602</v>
      </c>
      <c r="D73" s="23">
        <v>4.1870000000000003</v>
      </c>
      <c r="E73" s="352">
        <f t="shared" si="1"/>
        <v>41.870000000000005</v>
      </c>
      <c r="F73" s="349" t="s">
        <v>601</v>
      </c>
      <c r="G73" s="27"/>
      <c r="I73" s="27"/>
      <c r="J73" s="27"/>
      <c r="K73" s="27"/>
      <c r="L73" s="27"/>
      <c r="M73" s="27"/>
      <c r="N73" s="27"/>
      <c r="O73" s="27"/>
      <c r="P73" s="27"/>
      <c r="Q73" s="27"/>
      <c r="R73" s="27"/>
    </row>
    <row r="74" spans="2:18" x14ac:dyDescent="0.35">
      <c r="B74" s="346">
        <v>10</v>
      </c>
      <c r="C74" s="347" t="s">
        <v>603</v>
      </c>
      <c r="D74" s="23">
        <v>2.3260000000000001</v>
      </c>
      <c r="E74" s="352">
        <f t="shared" si="1"/>
        <v>23.26</v>
      </c>
      <c r="F74" s="349" t="s">
        <v>164</v>
      </c>
      <c r="G74" s="27"/>
      <c r="I74" s="27"/>
      <c r="J74" s="27"/>
      <c r="K74" s="27"/>
      <c r="L74" s="27"/>
      <c r="M74" s="27"/>
      <c r="N74" s="27"/>
      <c r="O74" s="27"/>
      <c r="P74" s="27"/>
      <c r="Q74" s="27"/>
      <c r="R74" s="27"/>
    </row>
    <row r="75" spans="2:18" x14ac:dyDescent="0.35">
      <c r="B75" s="346">
        <v>10</v>
      </c>
      <c r="C75" s="347" t="s">
        <v>602</v>
      </c>
      <c r="D75" s="23">
        <v>4.1870000000000003</v>
      </c>
      <c r="E75" s="352">
        <f t="shared" si="1"/>
        <v>41.870000000000005</v>
      </c>
      <c r="F75" s="349" t="s">
        <v>601</v>
      </c>
      <c r="G75" s="27"/>
      <c r="I75" s="27"/>
      <c r="J75" s="27"/>
      <c r="K75" s="27"/>
      <c r="L75" s="27"/>
      <c r="M75" s="27"/>
      <c r="N75" s="27"/>
      <c r="O75" s="27"/>
      <c r="P75" s="27"/>
      <c r="Q75" s="27"/>
      <c r="R75" s="27"/>
    </row>
    <row r="76" spans="2:18" ht="17.5" x14ac:dyDescent="0.35">
      <c r="B76" s="346">
        <v>10</v>
      </c>
      <c r="C76" s="347" t="s">
        <v>684</v>
      </c>
      <c r="D76" s="23">
        <v>6.2420000000000003E-2</v>
      </c>
      <c r="E76" s="348">
        <f t="shared" si="1"/>
        <v>0.62420000000000009</v>
      </c>
      <c r="F76" s="349" t="s">
        <v>683</v>
      </c>
      <c r="G76" s="27"/>
      <c r="I76" s="27"/>
      <c r="J76" s="27"/>
      <c r="K76" s="27"/>
      <c r="L76" s="27"/>
      <c r="M76" s="27"/>
      <c r="N76" s="27"/>
      <c r="O76" s="27"/>
      <c r="P76" s="27"/>
      <c r="Q76" s="27"/>
      <c r="R76" s="27"/>
    </row>
    <row r="77" spans="2:18" x14ac:dyDescent="0.35">
      <c r="B77" s="346">
        <v>10</v>
      </c>
      <c r="C77" s="353" t="s">
        <v>56</v>
      </c>
      <c r="D77" s="228">
        <v>1.4148000000000001</v>
      </c>
      <c r="E77" s="348">
        <f t="shared" si="1"/>
        <v>14.148</v>
      </c>
      <c r="F77" s="354" t="s">
        <v>598</v>
      </c>
      <c r="G77" s="27"/>
      <c r="I77" s="27"/>
      <c r="J77" s="27"/>
      <c r="K77" s="27"/>
      <c r="L77" s="27"/>
      <c r="M77" s="27"/>
      <c r="N77" s="27"/>
      <c r="O77" s="27"/>
      <c r="P77" s="27"/>
      <c r="Q77" s="27"/>
      <c r="R77" s="27"/>
    </row>
    <row r="78" spans="2:18" x14ac:dyDescent="0.35">
      <c r="B78" s="346">
        <v>10</v>
      </c>
      <c r="C78" s="353" t="s">
        <v>56</v>
      </c>
      <c r="D78" s="228">
        <v>550</v>
      </c>
      <c r="E78" s="361">
        <f t="shared" si="1"/>
        <v>5500</v>
      </c>
      <c r="F78" s="354" t="s">
        <v>596</v>
      </c>
      <c r="G78" s="27"/>
      <c r="I78" s="27"/>
      <c r="J78" s="27"/>
      <c r="K78" s="27"/>
      <c r="L78" s="27"/>
      <c r="M78" s="27"/>
      <c r="N78" s="27"/>
      <c r="O78" s="27"/>
      <c r="P78" s="27"/>
      <c r="Q78" s="27"/>
      <c r="R78" s="27"/>
    </row>
    <row r="79" spans="2:18" ht="16" thickBot="1" x14ac:dyDescent="0.4">
      <c r="B79" s="355">
        <v>10</v>
      </c>
      <c r="C79" s="356" t="s">
        <v>56</v>
      </c>
      <c r="D79" s="357">
        <v>746</v>
      </c>
      <c r="E79" s="362">
        <f t="shared" si="1"/>
        <v>7460</v>
      </c>
      <c r="F79" s="359" t="s">
        <v>595</v>
      </c>
      <c r="G79" s="27"/>
      <c r="I79" s="27"/>
      <c r="J79" s="27"/>
      <c r="K79" s="27"/>
      <c r="L79" s="27"/>
      <c r="M79" s="27"/>
      <c r="N79" s="27"/>
      <c r="O79" s="27"/>
      <c r="P79" s="27"/>
      <c r="Q79" s="27"/>
      <c r="R79" s="27"/>
    </row>
    <row r="80" spans="2:18" x14ac:dyDescent="0.35">
      <c r="G80" s="27"/>
      <c r="I80" s="27"/>
      <c r="J80" s="27"/>
      <c r="K80" s="27"/>
      <c r="L80" s="27"/>
      <c r="M80" s="27"/>
      <c r="N80" s="27"/>
      <c r="O80" s="27"/>
      <c r="P80" s="27"/>
      <c r="Q80" s="27"/>
      <c r="R80" s="27"/>
    </row>
    <row r="81" spans="2:18" ht="17.5" x14ac:dyDescent="0.35">
      <c r="E81" s="195" t="s">
        <v>685</v>
      </c>
      <c r="F81" s="228" t="s">
        <v>686</v>
      </c>
      <c r="G81" s="27"/>
      <c r="I81" s="27"/>
      <c r="J81" s="27"/>
      <c r="K81" s="27"/>
      <c r="L81" s="27"/>
      <c r="M81" s="27"/>
      <c r="N81" s="27"/>
      <c r="O81" s="27"/>
      <c r="P81" s="27"/>
      <c r="Q81" s="27"/>
      <c r="R81" s="27"/>
    </row>
    <row r="82" spans="2:18" x14ac:dyDescent="0.35">
      <c r="H82" s="27"/>
      <c r="I82" s="27"/>
      <c r="J82" s="27"/>
      <c r="K82" s="27"/>
      <c r="L82" s="27"/>
      <c r="M82" s="27"/>
      <c r="N82" s="27"/>
      <c r="O82" s="27"/>
      <c r="P82" s="27"/>
      <c r="Q82" s="27"/>
      <c r="R82" s="27"/>
    </row>
    <row r="83" spans="2:18" x14ac:dyDescent="0.35">
      <c r="B83" s="77"/>
      <c r="C83" s="78"/>
      <c r="D83" s="79"/>
      <c r="E83" s="77"/>
      <c r="F83" s="77"/>
      <c r="G83" s="77"/>
      <c r="H83" s="27"/>
      <c r="I83" s="27"/>
      <c r="J83" s="27"/>
      <c r="K83" s="27"/>
      <c r="L83" s="27"/>
      <c r="M83" s="27"/>
      <c r="N83" s="27"/>
      <c r="O83" s="27"/>
      <c r="P83" s="27"/>
      <c r="Q83" s="27"/>
      <c r="R83" s="27"/>
    </row>
    <row r="84" spans="2:18" x14ac:dyDescent="0.35">
      <c r="H84" s="27"/>
      <c r="I84" s="27"/>
      <c r="J84" s="27"/>
      <c r="K84" s="27"/>
      <c r="L84" s="27"/>
      <c r="M84" s="27"/>
      <c r="N84" s="27"/>
      <c r="O84" s="27"/>
      <c r="P84" s="27"/>
      <c r="Q84" s="27"/>
      <c r="R84" s="27"/>
    </row>
    <row r="85" spans="2:18" x14ac:dyDescent="0.35">
      <c r="C85" s="7"/>
      <c r="H85" s="27"/>
      <c r="I85" s="27"/>
      <c r="J85" s="27"/>
      <c r="K85" s="27"/>
      <c r="L85" s="27"/>
      <c r="M85" s="27"/>
      <c r="N85" s="27"/>
      <c r="O85" s="27"/>
      <c r="P85" s="27"/>
      <c r="Q85" s="27"/>
      <c r="R85" s="27"/>
    </row>
    <row r="86" spans="2:18" x14ac:dyDescent="0.35">
      <c r="D86" s="25" t="s">
        <v>631</v>
      </c>
      <c r="H86" s="27"/>
      <c r="I86" s="27"/>
      <c r="J86" s="27"/>
      <c r="K86" s="27"/>
      <c r="L86" s="27"/>
      <c r="M86" s="27"/>
      <c r="N86" s="27"/>
      <c r="O86" s="27"/>
      <c r="P86" s="27"/>
      <c r="Q86" s="27"/>
      <c r="R86" s="27"/>
    </row>
    <row r="87" spans="2:18" x14ac:dyDescent="0.35">
      <c r="H87" s="27"/>
      <c r="I87" s="27"/>
      <c r="J87" s="27"/>
      <c r="K87" s="27"/>
      <c r="L87" s="27"/>
      <c r="M87" s="27"/>
      <c r="N87" s="27"/>
      <c r="O87" s="27"/>
      <c r="P87" s="27"/>
      <c r="Q87" s="27"/>
      <c r="R87" s="27"/>
    </row>
    <row r="88" spans="2:18" x14ac:dyDescent="0.35">
      <c r="H88" s="27"/>
      <c r="I88" s="27"/>
      <c r="J88" s="27"/>
      <c r="K88" s="27"/>
      <c r="L88" s="27"/>
      <c r="M88" s="27"/>
      <c r="N88" s="27"/>
      <c r="O88" s="27"/>
      <c r="P88" s="27"/>
      <c r="Q88" s="27"/>
      <c r="R88" s="27"/>
    </row>
    <row r="89" spans="2:18" x14ac:dyDescent="0.35">
      <c r="H89" s="27"/>
      <c r="I89" s="27"/>
      <c r="J89" s="27"/>
      <c r="K89" s="27"/>
      <c r="L89" s="27"/>
      <c r="M89" s="27"/>
      <c r="N89" s="27"/>
      <c r="O89" s="27"/>
      <c r="P89" s="27"/>
      <c r="Q89" s="27"/>
      <c r="R89" s="27"/>
    </row>
    <row r="90" spans="2:18" x14ac:dyDescent="0.35">
      <c r="H90" s="27"/>
      <c r="I90" s="27"/>
      <c r="J90" s="27"/>
      <c r="K90" s="27"/>
      <c r="L90" s="27"/>
      <c r="M90" s="27"/>
      <c r="N90" s="27"/>
      <c r="O90" s="27"/>
      <c r="P90" s="27"/>
      <c r="Q90" s="27"/>
      <c r="R90" s="27"/>
    </row>
    <row r="91" spans="2:18" x14ac:dyDescent="0.35">
      <c r="H91" s="27"/>
      <c r="I91" s="27"/>
      <c r="J91" s="27"/>
      <c r="K91" s="27"/>
      <c r="L91" s="27"/>
      <c r="M91" s="27"/>
      <c r="N91" s="27"/>
      <c r="O91" s="27"/>
      <c r="P91" s="27"/>
      <c r="Q91" s="27"/>
      <c r="R91" s="27"/>
    </row>
    <row r="92" spans="2:18" x14ac:dyDescent="0.35">
      <c r="H92" s="27"/>
      <c r="I92" s="27"/>
      <c r="J92" s="27"/>
      <c r="K92" s="27"/>
      <c r="L92" s="27"/>
      <c r="M92" s="27"/>
      <c r="N92" s="27"/>
      <c r="O92" s="27"/>
      <c r="P92" s="27"/>
      <c r="Q92" s="27"/>
      <c r="R92" s="27"/>
    </row>
    <row r="93" spans="2:18" x14ac:dyDescent="0.35">
      <c r="H93" s="27"/>
    </row>
    <row r="94" spans="2:18" x14ac:dyDescent="0.35">
      <c r="H94" s="27"/>
    </row>
  </sheetData>
  <sheetProtection sheet="1" objects="1" scenarios="1" selectLockedCells="1"/>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16</vt:i4>
      </vt:variant>
    </vt:vector>
  </HeadingPairs>
  <TitlesOfParts>
    <vt:vector size="22" baseType="lpstr">
      <vt:lpstr>APPLICATIONS</vt:lpstr>
      <vt:lpstr>DRIVE CALCULATIONS</vt:lpstr>
      <vt:lpstr>DIESEL ENGINES</vt:lpstr>
      <vt:lpstr>FLUID POWER</vt:lpstr>
      <vt:lpstr>BUCKET ARM FORCES</vt:lpstr>
      <vt:lpstr>UNITS</vt:lpstr>
      <vt:lpstr>APPLICATIONS!c1470167</vt:lpstr>
      <vt:lpstr>APPLICATIONS!c1470242</vt:lpstr>
      <vt:lpstr>APPLICATIONS!c1480359</vt:lpstr>
      <vt:lpstr>APPLICATIONS!c1480360</vt:lpstr>
      <vt:lpstr>APPLICATIONS!c1480361</vt:lpstr>
      <vt:lpstr>APPLICATIONS!c1480527</vt:lpstr>
      <vt:lpstr>APPLICATIONS!c1480528</vt:lpstr>
      <vt:lpstr>APPLICATIONS!c1480529</vt:lpstr>
      <vt:lpstr>APPLICATIONS!c1480531</vt:lpstr>
      <vt:lpstr>APPLICATIONS!c1480642</vt:lpstr>
      <vt:lpstr>APPLICATIONS!c1480662</vt:lpstr>
      <vt:lpstr>APPLICATIONS!c1480663</vt:lpstr>
      <vt:lpstr>APPLICATIONS!c1480664</vt:lpstr>
      <vt:lpstr>APPLICATIONS!c1941521</vt:lpstr>
      <vt:lpstr>APPLICATIONS!c2043803</vt:lpstr>
      <vt:lpstr>APPLICATIONS!c2128870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Andrew</dc:creator>
  <cp:lastModifiedBy>John Andrew</cp:lastModifiedBy>
  <cp:lastPrinted>2010-05-26T12:50:47Z</cp:lastPrinted>
  <dcterms:created xsi:type="dcterms:W3CDTF">2010-04-12T13:21:32Z</dcterms:created>
  <dcterms:modified xsi:type="dcterms:W3CDTF">2022-12-15T19:32:10Z</dcterms:modified>
</cp:coreProperties>
</file>