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E:\A43-PDH PROCESS PUMPS PIPE &amp; FITTINGS\"/>
    </mc:Choice>
  </mc:AlternateContent>
  <xr:revisionPtr revIDLastSave="0" documentId="13_ncr:1_{0078D544-5175-4006-9303-D9A31DFE624F}" xr6:coauthVersionLast="45" xr6:coauthVersionMax="45" xr10:uidLastSave="{00000000-0000-0000-0000-000000000000}"/>
  <bookViews>
    <workbookView xWindow="-120" yWindow="-120" windowWidth="24240" windowHeight="13140" xr2:uid="{00000000-000D-0000-FFFF-FFFF00000000}"/>
  </bookViews>
  <sheets>
    <sheet name="PUMPS" sheetId="1" r:id="rId1"/>
    <sheet name="PIPING" sheetId="2" r:id="rId2"/>
    <sheet name="SYSTEMS" sheetId="3" r:id="rId3"/>
    <sheet name="SOFTWARE" sheetId="4" r:id="rId4"/>
    <sheet name="CALCULATOR" sheetId="5" r:id="rId5"/>
    <sheet name="LINKS" sheetId="6" r:id="rId6"/>
    <sheet name="PIPE &amp; FITTINGS" sheetId="8"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2" i="1" l="1"/>
  <c r="H129" i="1"/>
  <c r="E46" i="8" l="1"/>
  <c r="C218" i="3"/>
  <c r="C71" i="3"/>
  <c r="C73" i="3"/>
  <c r="C74" i="3" s="1"/>
  <c r="C69" i="3" l="1"/>
  <c r="C56" i="3"/>
  <c r="C54" i="3"/>
  <c r="C58" i="3" l="1"/>
  <c r="C76" i="3"/>
  <c r="C401" i="2"/>
  <c r="E401" i="2" s="1"/>
  <c r="I550" i="2"/>
  <c r="C550" i="2"/>
  <c r="C502" i="2"/>
  <c r="C504" i="2" s="1"/>
  <c r="C500" i="2"/>
  <c r="C498" i="2"/>
  <c r="I544" i="2"/>
  <c r="I546" i="2" s="1"/>
  <c r="C544" i="2"/>
  <c r="C546" i="2" s="1"/>
  <c r="C409" i="2"/>
  <c r="C506" i="2" l="1"/>
  <c r="C508" i="2"/>
  <c r="I548" i="2"/>
  <c r="C548" i="2"/>
  <c r="E409" i="2"/>
  <c r="C408" i="2"/>
  <c r="C413" i="2" s="1"/>
  <c r="C402" i="2"/>
  <c r="C406" i="2" s="1"/>
  <c r="C392" i="2"/>
  <c r="C391" i="2"/>
  <c r="C435" i="2"/>
  <c r="C439" i="2" s="1"/>
  <c r="C432" i="2"/>
  <c r="C433" i="2" s="1"/>
  <c r="C390" i="2"/>
  <c r="E279" i="2"/>
  <c r="F256" i="2"/>
  <c r="F257" i="2"/>
  <c r="F258" i="2"/>
  <c r="F259" i="2"/>
  <c r="F260" i="2"/>
  <c r="F261" i="2"/>
  <c r="F262" i="2"/>
  <c r="F263" i="2"/>
  <c r="F264" i="2"/>
  <c r="F265" i="2"/>
  <c r="F266" i="2"/>
  <c r="F267" i="2"/>
  <c r="F268" i="2"/>
  <c r="F269" i="2"/>
  <c r="F270" i="2"/>
  <c r="F271" i="2"/>
  <c r="F272" i="2"/>
  <c r="F273" i="2"/>
  <c r="F274" i="2"/>
  <c r="F275" i="2"/>
  <c r="F276" i="2"/>
  <c r="F277" i="2"/>
  <c r="F278" i="2"/>
  <c r="F255" i="2"/>
  <c r="I149" i="3"/>
  <c r="I144" i="3"/>
  <c r="I140" i="3"/>
  <c r="I136" i="3"/>
  <c r="I135" i="3"/>
  <c r="C145" i="2"/>
  <c r="C332" i="2"/>
  <c r="C328" i="2"/>
  <c r="C324" i="2"/>
  <c r="D49" i="5"/>
  <c r="D48" i="5"/>
  <c r="D47" i="5"/>
  <c r="D46" i="5"/>
  <c r="C437" i="2" l="1"/>
  <c r="C444" i="2" s="1"/>
  <c r="C446" i="2" s="1"/>
  <c r="C448" i="2" s="1"/>
  <c r="C450" i="2" s="1"/>
  <c r="C452" i="2" s="1"/>
  <c r="C404" i="2"/>
  <c r="C441" i="2" s="1"/>
  <c r="C411" i="2"/>
  <c r="F279" i="2"/>
  <c r="I138" i="3"/>
  <c r="I142" i="3" s="1"/>
  <c r="I146" i="3" s="1"/>
  <c r="I147" i="3" s="1"/>
  <c r="C326" i="2"/>
  <c r="C330" i="2" s="1"/>
  <c r="C334" i="2" s="1"/>
  <c r="C185" i="2"/>
  <c r="C172" i="2"/>
  <c r="C132" i="2"/>
  <c r="D94" i="3"/>
  <c r="D93" i="3"/>
  <c r="D92" i="3"/>
  <c r="D91" i="3"/>
  <c r="D90" i="3"/>
  <c r="D89" i="3"/>
  <c r="D88" i="3"/>
  <c r="D87" i="3"/>
  <c r="C149" i="3"/>
  <c r="C144" i="3"/>
  <c r="C140" i="3"/>
  <c r="C136" i="3"/>
  <c r="C135" i="3"/>
  <c r="E37" i="2"/>
  <c r="C132" i="1"/>
  <c r="C129" i="1"/>
  <c r="I185" i="2"/>
  <c r="I180" i="2"/>
  <c r="I176" i="2"/>
  <c r="I172" i="2"/>
  <c r="I171" i="2"/>
  <c r="I145" i="2"/>
  <c r="I140" i="2"/>
  <c r="I136" i="2"/>
  <c r="I132" i="2"/>
  <c r="I131" i="2"/>
  <c r="C311" i="2"/>
  <c r="C292" i="2"/>
  <c r="C288" i="2"/>
  <c r="C290" i="2" s="1"/>
  <c r="C237" i="2"/>
  <c r="C233" i="2"/>
  <c r="C229" i="2"/>
  <c r="C228" i="2"/>
  <c r="C180" i="2"/>
  <c r="C176" i="2"/>
  <c r="C171" i="2"/>
  <c r="C140" i="2"/>
  <c r="C136" i="2"/>
  <c r="C131" i="2"/>
  <c r="C114" i="2"/>
  <c r="C112" i="2"/>
  <c r="D100" i="2"/>
  <c r="D99" i="2"/>
  <c r="D98" i="2"/>
  <c r="D97" i="2"/>
  <c r="D96" i="2"/>
  <c r="D95" i="2"/>
  <c r="D94" i="2"/>
  <c r="D93" i="2"/>
  <c r="C57" i="2"/>
  <c r="C53" i="2"/>
  <c r="C49" i="2"/>
  <c r="C51" i="2" s="1"/>
  <c r="E38" i="2"/>
  <c r="E36" i="2"/>
  <c r="E35" i="2"/>
  <c r="E34" i="2"/>
  <c r="E33" i="2"/>
  <c r="E32" i="2"/>
  <c r="E31" i="2"/>
  <c r="I151" i="3" l="1"/>
  <c r="I153" i="3" s="1"/>
  <c r="D334" i="2"/>
  <c r="C338" i="2"/>
  <c r="C340" i="2" s="1"/>
  <c r="C55" i="2"/>
  <c r="C59" i="2" s="1"/>
  <c r="C60" i="2" s="1"/>
  <c r="C138" i="3"/>
  <c r="C142" i="3" s="1"/>
  <c r="C151" i="3" s="1"/>
  <c r="I134" i="2"/>
  <c r="I138" i="2" s="1"/>
  <c r="I142" i="2" s="1"/>
  <c r="I143" i="2" s="1"/>
  <c r="I174" i="2"/>
  <c r="I178" i="2" s="1"/>
  <c r="C294" i="2"/>
  <c r="C299" i="2" s="1"/>
  <c r="C134" i="2"/>
  <c r="C138" i="2" s="1"/>
  <c r="C174" i="2"/>
  <c r="C178" i="2" s="1"/>
  <c r="C231" i="2"/>
  <c r="C235" i="2" s="1"/>
  <c r="C239" i="2" s="1"/>
  <c r="C147" i="2" l="1"/>
  <c r="C149" i="2" s="1"/>
  <c r="C151" i="2" s="1"/>
  <c r="C182" i="2"/>
  <c r="D182" i="2" s="1"/>
  <c r="C153" i="3"/>
  <c r="C208" i="2"/>
  <c r="C210" i="2" s="1"/>
  <c r="C212" i="2" s="1"/>
  <c r="I182" i="2"/>
  <c r="J182" i="2" s="1"/>
  <c r="I208" i="2"/>
  <c r="I210" i="2" s="1"/>
  <c r="I212" i="2" s="1"/>
  <c r="C301" i="2"/>
  <c r="C303" i="2" s="1"/>
  <c r="C146" i="3"/>
  <c r="C147" i="3" s="1"/>
  <c r="C142" i="2"/>
  <c r="C143" i="2" s="1"/>
  <c r="I147" i="2"/>
  <c r="I149" i="2" s="1"/>
  <c r="I151" i="2" s="1"/>
  <c r="C242" i="2"/>
  <c r="C244" i="2" s="1"/>
  <c r="C246" i="2" s="1"/>
  <c r="C248" i="2" s="1"/>
  <c r="C240" i="2"/>
  <c r="C200" i="2" l="1"/>
  <c r="I183" i="2"/>
  <c r="I200" i="2"/>
  <c r="C183" i="2"/>
</calcChain>
</file>

<file path=xl/sharedStrings.xml><?xml version="1.0" encoding="utf-8"?>
<sst xmlns="http://schemas.openxmlformats.org/spreadsheetml/2006/main" count="1448" uniqueCount="498">
  <si>
    <t>Input</t>
  </si>
  <si>
    <t>ft</t>
  </si>
  <si>
    <t>lbs/ft^3</t>
  </si>
  <si>
    <t>Output</t>
  </si>
  <si>
    <t>=</t>
  </si>
  <si>
    <t>``</t>
  </si>
  <si>
    <t>ft/sec^2</t>
  </si>
  <si>
    <t>3.1416*D^2/4</t>
  </si>
  <si>
    <t>gpm</t>
  </si>
  <si>
    <t>in</t>
  </si>
  <si>
    <t>Pipe internal diameter,  D =</t>
  </si>
  <si>
    <t>Q / A</t>
  </si>
  <si>
    <t>ft^2</t>
  </si>
  <si>
    <t>ft^3/sec</t>
  </si>
  <si>
    <t xml:space="preserve">ft/sec </t>
  </si>
  <si>
    <t>ρ / 32.2</t>
  </si>
  <si>
    <t>slugs/ft^3</t>
  </si>
  <si>
    <t>q / 448.831</t>
  </si>
  <si>
    <t>Moody fluid in pipe friction factor,  f =</t>
  </si>
  <si>
    <t>Pipe Material</t>
  </si>
  <si>
    <t>Roughness</t>
  </si>
  <si>
    <t>inches</t>
  </si>
  <si>
    <t>feet</t>
  </si>
  <si>
    <t>Drawn brass</t>
  </si>
  <si>
    <t>Copper</t>
  </si>
  <si>
    <t>PVC</t>
  </si>
  <si>
    <t>Commercial Steel</t>
  </si>
  <si>
    <t>Wrought iron</t>
  </si>
  <si>
    <t>Asphalted cast iron</t>
  </si>
  <si>
    <t>Galvanized iron</t>
  </si>
  <si>
    <t>Cast Iron</t>
  </si>
  <si>
    <t>Concrete</t>
  </si>
  <si>
    <t>0.001 to .01</t>
  </si>
  <si>
    <t>.012 to .120</t>
  </si>
  <si>
    <t>Reynolds number,  Re =</t>
  </si>
  <si>
    <t>Fluid flow rate,  q =</t>
  </si>
  <si>
    <t>Length of straight pipe,  L =</t>
  </si>
  <si>
    <t>Gravitational constant,  g =</t>
  </si>
  <si>
    <t>Pipe internal diameter,  d =</t>
  </si>
  <si>
    <t>Pipe internal area,  A=</t>
  </si>
  <si>
    <t>Fluid flow volume,  Q =</t>
  </si>
  <si>
    <t>Fluid flow velocity,  V =</t>
  </si>
  <si>
    <t>Pipe Material =</t>
  </si>
  <si>
    <t>1.00 x 10^7</t>
  </si>
  <si>
    <t>Pipe straight length,  L =</t>
  </si>
  <si>
    <t>Reynolds Number,  Re</t>
  </si>
  <si>
    <t xml:space="preserve">Turbulent Fluid in Pipe, Friction </t>
  </si>
  <si>
    <t>Roughness,  e =</t>
  </si>
  <si>
    <t>f * (L/D) * (V^2 / (2 * g)</t>
  </si>
  <si>
    <t>e / d=</t>
  </si>
  <si>
    <r>
      <t xml:space="preserve">D * V * ρ / </t>
    </r>
    <r>
      <rPr>
        <b/>
        <sz val="10"/>
        <color indexed="8"/>
        <rFont val="Calibri"/>
        <family val="2"/>
      </rPr>
      <t>µ</t>
    </r>
  </si>
  <si>
    <r>
      <t>(1.14 + (2* Log</t>
    </r>
    <r>
      <rPr>
        <b/>
        <vertAlign val="subscript"/>
        <sz val="10"/>
        <color indexed="8"/>
        <rFont val="Arial"/>
        <family val="2"/>
      </rPr>
      <t>10</t>
    </r>
    <r>
      <rPr>
        <b/>
        <sz val="10"/>
        <color indexed="8"/>
        <rFont val="Arial"/>
        <family val="2"/>
      </rPr>
      <t>(d/e)))^-2</t>
    </r>
  </si>
  <si>
    <t>Pipe flow friction pressure drop,  ΔP =</t>
  </si>
  <si>
    <t>lbs/ft^2</t>
  </si>
  <si>
    <t>psi</t>
  </si>
  <si>
    <t>ΔP / 144</t>
  </si>
  <si>
    <t>Pipe flow friction pressure drop,  Δp =</t>
  </si>
  <si>
    <r>
      <t>Darcy Weisbach pressure head loss,  h</t>
    </r>
    <r>
      <rPr>
        <b/>
        <vertAlign val="subscript"/>
        <sz val="10"/>
        <color indexed="8"/>
        <rFont val="Arial"/>
        <family val="2"/>
      </rPr>
      <t>L</t>
    </r>
    <r>
      <rPr>
        <b/>
        <sz val="10"/>
        <color indexed="8"/>
        <rFont val="Arial"/>
        <family val="2"/>
      </rPr>
      <t xml:space="preserve"> =</t>
    </r>
  </si>
  <si>
    <t xml:space="preserve">  is a function of roughness only.    =</t>
  </si>
  <si>
    <t>((-2 * Log((e/D) / 3.7)) + (2.51 / (Re * f^0.5)))^-2</t>
  </si>
  <si>
    <t>[((-2 * Log((e/D) / 3.7)) + (2.51 / (Re * f^0.5)))^-2] / f</t>
  </si>
  <si>
    <t>Divide both sides of friction equation by f,  1 =</t>
  </si>
  <si>
    <t>Input from above</t>
  </si>
  <si>
    <t>Chosen friction factor  f  from above</t>
  </si>
  <si>
    <t xml:space="preserve">Smooth Pipe - turbulent flow friction f </t>
  </si>
  <si>
    <t>.316 / (Re^0.25)</t>
  </si>
  <si>
    <t>Smooth Pipe turbulent flow friction factor,  f =</t>
  </si>
  <si>
    <r>
      <t>D * V * ρ</t>
    </r>
    <r>
      <rPr>
        <b/>
        <vertAlign val="subscript"/>
        <sz val="10"/>
        <color indexed="8"/>
        <rFont val="Arial"/>
        <family val="2"/>
      </rPr>
      <t>M</t>
    </r>
    <r>
      <rPr>
        <b/>
        <sz val="10"/>
        <color indexed="8"/>
        <rFont val="Arial"/>
        <family val="2"/>
      </rPr>
      <t xml:space="preserve"> / </t>
    </r>
    <r>
      <rPr>
        <b/>
        <sz val="10"/>
        <color indexed="8"/>
        <rFont val="Calibri"/>
        <family val="2"/>
      </rPr>
      <t>µ</t>
    </r>
  </si>
  <si>
    <r>
      <t>ρ</t>
    </r>
    <r>
      <rPr>
        <b/>
        <vertAlign val="subscript"/>
        <sz val="10"/>
        <color indexed="8"/>
        <rFont val="Arial"/>
        <family val="2"/>
      </rPr>
      <t>M</t>
    </r>
    <r>
      <rPr>
        <b/>
        <sz val="10"/>
        <color indexed="8"/>
        <rFont val="Arial"/>
        <family val="2"/>
      </rPr>
      <t xml:space="preserve"> * g * h</t>
    </r>
    <r>
      <rPr>
        <b/>
        <vertAlign val="subscript"/>
        <sz val="10"/>
        <color indexed="8"/>
        <rFont val="Arial"/>
        <family val="2"/>
      </rPr>
      <t>L</t>
    </r>
  </si>
  <si>
    <t>d/12</t>
  </si>
  <si>
    <t>inches (in)</t>
  </si>
  <si>
    <t>feet (ft)</t>
  </si>
  <si>
    <t>pounds mass (lbs)</t>
  </si>
  <si>
    <t>slugs</t>
  </si>
  <si>
    <t xml:space="preserve">gallons </t>
  </si>
  <si>
    <t>cu ft  (ft^3)</t>
  </si>
  <si>
    <t>gallons/hr  (gph)</t>
  </si>
  <si>
    <t>cu ft per sec  (cfs)</t>
  </si>
  <si>
    <t>gallons/min  (gpm)</t>
  </si>
  <si>
    <t xml:space="preserve">gallons  </t>
  </si>
  <si>
    <t>US Barrels</t>
  </si>
  <si>
    <t xml:space="preserve">feet water </t>
  </si>
  <si>
    <t>inches mercury (in )</t>
  </si>
  <si>
    <t>pounds per sq in  (psi)</t>
  </si>
  <si>
    <t>PROCESS PUMP AND PIPING EXAMPLE</t>
  </si>
  <si>
    <t>Pipe Fittings and Valves</t>
  </si>
  <si>
    <t>Loss Factor  K  is the number of velocity heads (V^2 / 2g) lost by flow though a fitting or valve.</t>
  </si>
  <si>
    <t>Elbow, 90 deg long radius</t>
  </si>
  <si>
    <t>Elbow, 90 deg short radius</t>
  </si>
  <si>
    <t>Elbow, 45 deg long radius</t>
  </si>
  <si>
    <t>Elbow, 45 deg short radius</t>
  </si>
  <si>
    <t>Bend, 180 deg close return</t>
  </si>
  <si>
    <t>Standard Fitting</t>
  </si>
  <si>
    <t>Tee, used as elbow</t>
  </si>
  <si>
    <t>Tee, branch blocked</t>
  </si>
  <si>
    <t>Coupling</t>
  </si>
  <si>
    <t>Union</t>
  </si>
  <si>
    <t>Gate Valve, full open</t>
  </si>
  <si>
    <t>Gate Valve, 1/4 open</t>
  </si>
  <si>
    <t>Gate Valve, 1/2 open</t>
  </si>
  <si>
    <t>Gate Valve, 3/4 open</t>
  </si>
  <si>
    <t>Glob Valve, full open</t>
  </si>
  <si>
    <t>Glob Valve, 1/2 open</t>
  </si>
  <si>
    <t>Y or Blow-off, open</t>
  </si>
  <si>
    <t xml:space="preserve">Butterfly valve angle, 5 deg </t>
  </si>
  <si>
    <t xml:space="preserve">Butterfly valve angle, 10 deg </t>
  </si>
  <si>
    <t xml:space="preserve">Butterfly valve angle, 20 deg </t>
  </si>
  <si>
    <t xml:space="preserve">Butterfly valve angle, 40 deg </t>
  </si>
  <si>
    <t xml:space="preserve">Butterfly valve angle, 60 deg </t>
  </si>
  <si>
    <t>Check valve, swing</t>
  </si>
  <si>
    <t>Check valve, disk</t>
  </si>
  <si>
    <t>Check valve, ball</t>
  </si>
  <si>
    <t>Factor  K</t>
  </si>
  <si>
    <t>Σ(N*K) * (V^2 / (2*g))</t>
  </si>
  <si>
    <r>
      <t>ρ</t>
    </r>
    <r>
      <rPr>
        <b/>
        <sz val="10"/>
        <color indexed="8"/>
        <rFont val="Arial"/>
        <family val="2"/>
      </rPr>
      <t xml:space="preserve"> * h</t>
    </r>
    <r>
      <rPr>
        <b/>
        <vertAlign val="subscript"/>
        <sz val="10"/>
        <color indexed="8"/>
        <rFont val="Arial"/>
        <family val="2"/>
      </rPr>
      <t>L</t>
    </r>
  </si>
  <si>
    <t>Straight Pipe flow friction pressure drop,  Δp =</t>
  </si>
  <si>
    <t>Straight Pipe flow friction pressure drop,  ΔP =</t>
  </si>
  <si>
    <t>Input loss from above.</t>
  </si>
  <si>
    <t>Conversion Factors</t>
  </si>
  <si>
    <t xml:space="preserve"> http://commons.wikimedia.org/wiki/File:Piping_system_on_a_chemical_tanker.jpg</t>
  </si>
  <si>
    <t>Units</t>
  </si>
  <si>
    <t>Pump specific speed,  Ns =</t>
  </si>
  <si>
    <t>TOTAL Pipe and Fittings pressure drop,  H =</t>
  </si>
  <si>
    <t>Allowable pressure head loss,  H =</t>
  </si>
  <si>
    <t>rpm</t>
  </si>
  <si>
    <t>n * q^0.5 / H^0.75</t>
  </si>
  <si>
    <t>dimensionless</t>
  </si>
  <si>
    <t>Pump Specific  Speed</t>
  </si>
  <si>
    <t>http://www.cranepumps.com/pumpselector.php</t>
  </si>
  <si>
    <r>
      <t>Pump efficiency,  Eff</t>
    </r>
    <r>
      <rPr>
        <vertAlign val="subscript"/>
        <sz val="10"/>
        <color theme="1"/>
        <rFont val="Arial"/>
        <family val="2"/>
      </rPr>
      <t>P</t>
    </r>
    <r>
      <rPr>
        <sz val="10"/>
        <color theme="1"/>
        <rFont val="Arial"/>
        <family val="2"/>
      </rPr>
      <t xml:space="preserve"> =</t>
    </r>
  </si>
  <si>
    <r>
      <t>Drive efficiency - Gear or Belt,  Eff</t>
    </r>
    <r>
      <rPr>
        <vertAlign val="subscript"/>
        <sz val="10"/>
        <color theme="1"/>
        <rFont val="Arial"/>
        <family val="2"/>
      </rPr>
      <t>D</t>
    </r>
    <r>
      <rPr>
        <sz val="10"/>
        <color theme="1"/>
        <rFont val="Arial"/>
        <family val="2"/>
      </rPr>
      <t xml:space="preserve"> =</t>
    </r>
  </si>
  <si>
    <r>
      <t>Motor efficiency,  Eff</t>
    </r>
    <r>
      <rPr>
        <vertAlign val="subscript"/>
        <sz val="10"/>
        <color theme="1"/>
        <rFont val="Arial"/>
        <family val="2"/>
      </rPr>
      <t>M</t>
    </r>
    <r>
      <rPr>
        <sz val="10"/>
        <color theme="1"/>
        <rFont val="Arial"/>
        <family val="2"/>
      </rPr>
      <t xml:space="preserve"> =</t>
    </r>
  </si>
  <si>
    <r>
      <t>q * H / (3960 * Eff</t>
    </r>
    <r>
      <rPr>
        <b/>
        <vertAlign val="subscript"/>
        <sz val="10"/>
        <color theme="1"/>
        <rFont val="Arial"/>
        <family val="2"/>
      </rPr>
      <t>P</t>
    </r>
    <r>
      <rPr>
        <b/>
        <sz val="10"/>
        <color theme="1"/>
        <rFont val="Arial"/>
        <family val="2"/>
      </rPr>
      <t xml:space="preserve"> * Eff</t>
    </r>
    <r>
      <rPr>
        <b/>
        <vertAlign val="subscript"/>
        <sz val="10"/>
        <color theme="1"/>
        <rFont val="Arial"/>
        <family val="2"/>
      </rPr>
      <t>D</t>
    </r>
    <r>
      <rPr>
        <b/>
        <sz val="10"/>
        <color theme="1"/>
        <rFont val="Arial"/>
        <family val="2"/>
      </rPr>
      <t xml:space="preserve"> * Eff</t>
    </r>
    <r>
      <rPr>
        <b/>
        <vertAlign val="subscript"/>
        <sz val="10"/>
        <color theme="1"/>
        <rFont val="Arial"/>
        <family val="2"/>
      </rPr>
      <t>M</t>
    </r>
    <r>
      <rPr>
        <b/>
        <sz val="10"/>
        <color theme="1"/>
        <rFont val="Arial"/>
        <family val="2"/>
      </rPr>
      <t>)</t>
    </r>
  </si>
  <si>
    <t>hp</t>
  </si>
  <si>
    <t>Centrifugal pump type from diagram above =</t>
  </si>
  <si>
    <t xml:space="preserve"> the desired value that you type in the Goal Seek dialog box,   To value:   [                    ]</t>
  </si>
  <si>
    <t xml:space="preserve">When using Goal Seek unprotect the spread sheet by selecting: Drop down menu: </t>
  </si>
  <si>
    <t>When Excel's Goal Seek is not needed, restore protection with drop down menu:</t>
  </si>
  <si>
    <t>Tools &gt; Protection &gt; Protect Sheet &gt; OK</t>
  </si>
  <si>
    <t xml:space="preserve">Excel's, "Goal Seek" adjusts one input numerical value to cause a calculated formula cell to equal </t>
  </si>
  <si>
    <t xml:space="preserve">Tools &gt; Protection &gt; Unprotect Sheet &gt; OK </t>
  </si>
  <si>
    <t>Next type in the box,   To value:   [                    ]</t>
  </si>
  <si>
    <t xml:space="preserve">Pick the cell containing formula result &gt; Data &gt; What If &gt; Goal Seek &gt;    </t>
  </si>
  <si>
    <t>By changing the value in the cell containing a numerical value &gt;</t>
  </si>
  <si>
    <r>
      <t>Standard motor power,  P</t>
    </r>
    <r>
      <rPr>
        <b/>
        <vertAlign val="subscript"/>
        <sz val="10"/>
        <color theme="1"/>
        <rFont val="Arial"/>
        <family val="2"/>
      </rPr>
      <t>S</t>
    </r>
    <r>
      <rPr>
        <b/>
        <sz val="10"/>
        <color theme="1"/>
        <rFont val="Arial"/>
        <family val="2"/>
      </rPr>
      <t xml:space="preserve"> =</t>
    </r>
  </si>
  <si>
    <t>Fitting flow friction pressure drop,  ΔP =</t>
  </si>
  <si>
    <t>Fitting  flow friction pressure drop,  Δp =</t>
  </si>
  <si>
    <t>Net Positive Suction Head   NPSH</t>
  </si>
  <si>
    <t>Pipe Internal Roughness</t>
  </si>
  <si>
    <t>Suction + Discharge length of straight pipe,  L =</t>
  </si>
  <si>
    <t>GPM</t>
  </si>
  <si>
    <t>Head Loss (ft)</t>
  </si>
  <si>
    <t>SELECT FLOW SYSTEM</t>
  </si>
  <si>
    <t>ENTER FLOW PARAMETERS</t>
  </si>
  <si>
    <t>ADD PIPE FITTINGS</t>
  </si>
  <si>
    <t>CALCULATED VALUES</t>
  </si>
  <si>
    <t>RATED DESIGN POINT</t>
  </si>
  <si>
    <t>Click on “SEARCH”.</t>
  </si>
  <si>
    <t>Click on the pump row to select a pump. Click on a column header to sort the list.</t>
  </si>
  <si>
    <t>SELECTED PUMP: 6SE300*4L</t>
  </si>
  <si>
    <t>SELECTED PUMP: 6SE300*4L PERFORMANCE CURVES</t>
  </si>
  <si>
    <t>Pump impellor rotational speed,  n =</t>
  </si>
  <si>
    <r>
      <t>Darcy Weisbach pressure head loss,  h</t>
    </r>
    <r>
      <rPr>
        <vertAlign val="subscript"/>
        <sz val="10"/>
        <color indexed="8"/>
        <rFont val="Arial"/>
        <family val="2"/>
      </rPr>
      <t>L</t>
    </r>
    <r>
      <rPr>
        <sz val="10"/>
        <color indexed="8"/>
        <rFont val="Arial"/>
        <family val="2"/>
      </rPr>
      <t xml:space="preserve"> =</t>
    </r>
  </si>
  <si>
    <r>
      <t>Sum of fitting head loses,  h</t>
    </r>
    <r>
      <rPr>
        <vertAlign val="subscript"/>
        <sz val="10"/>
        <color theme="1"/>
        <rFont val="Arial"/>
        <family val="2"/>
      </rPr>
      <t>F</t>
    </r>
    <r>
      <rPr>
        <sz val="10"/>
        <color theme="1"/>
        <rFont val="Arial"/>
        <family val="2"/>
      </rPr>
      <t xml:space="preserve"> =</t>
    </r>
  </si>
  <si>
    <r>
      <t>h + h</t>
    </r>
    <r>
      <rPr>
        <vertAlign val="subscript"/>
        <sz val="10"/>
        <color theme="1"/>
        <rFont val="Arial"/>
        <family val="2"/>
      </rPr>
      <t>F</t>
    </r>
  </si>
  <si>
    <t>PROBLEM - Turbulent Region  Fluid Static Head Loss</t>
  </si>
  <si>
    <t xml:space="preserve">EXAMPLE - Turbulent  Region  Fluid Static Head Loss </t>
  </si>
  <si>
    <r>
      <rPr>
        <b/>
        <sz val="10"/>
        <color theme="1"/>
        <rFont val="Arial"/>
        <family val="2"/>
      </rPr>
      <t>(1.14 + (2* Log</t>
    </r>
    <r>
      <rPr>
        <b/>
        <vertAlign val="subscript"/>
        <sz val="10"/>
        <color indexed="8"/>
        <rFont val="Arial"/>
        <family val="2"/>
      </rPr>
      <t>10</t>
    </r>
    <r>
      <rPr>
        <b/>
        <sz val="10"/>
        <color indexed="8"/>
        <rFont val="Arial"/>
        <family val="2"/>
      </rPr>
      <t>(d/e)))^-2</t>
    </r>
  </si>
  <si>
    <t xml:space="preserve">Moody turbulent fluid in pipe friction factor,  f  is a function of roughness only.  </t>
  </si>
  <si>
    <t>Relative roughness,  e / d=</t>
  </si>
  <si>
    <t>TOTAL VALVE &amp; FITTING PRESSURE HEAD LOSS</t>
  </si>
  <si>
    <t>TOTAL PIPE, VALVE, &amp; FITTING PRESSURE HEAD LOSS</t>
  </si>
  <si>
    <t>Sum of straight pipe head loses from above,  h =</t>
  </si>
  <si>
    <t>ft^2/sec</t>
  </si>
  <si>
    <t>Pressure Drop Calculator</t>
  </si>
  <si>
    <t>Length (ft) =</t>
  </si>
  <si>
    <t>Pipe Internal Diameter (in) =</t>
  </si>
  <si>
    <t>Roughness (in) =</t>
  </si>
  <si>
    <t>Inlet Flow (gpm) =</t>
  </si>
  <si>
    <t>mm</t>
  </si>
  <si>
    <t>Temp (F)</t>
  </si>
  <si>
    <t>Dynamic</t>
  </si>
  <si>
    <t>Viscosity</t>
  </si>
  <si>
    <t>lb-sec/ft^2</t>
  </si>
  <si>
    <t>Moody Diagram</t>
  </si>
  <si>
    <t>Normal fluid flow velocity, V = 10 ft/sec</t>
  </si>
  <si>
    <t>Pressure drop, h = 4 ft per 100 ft of pipe</t>
  </si>
  <si>
    <t>Laminar Fluid Flow in Pipe Head Loss f</t>
  </si>
  <si>
    <t xml:space="preserve">  is a function of Reynolds number only.    =</t>
  </si>
  <si>
    <t>Revise flow rate, pipe diameter until Re &lt; 2,100 for laminar flow</t>
  </si>
  <si>
    <t>Laminar Fluid Flow in Pipe Head Loss,  f =</t>
  </si>
  <si>
    <t>64 / Re</t>
  </si>
  <si>
    <t>Fluid viscosity,  µ =</t>
  </si>
  <si>
    <t>Fluid density,  ρ =</t>
  </si>
  <si>
    <r>
      <t>Fluid mass density,  ρ</t>
    </r>
    <r>
      <rPr>
        <b/>
        <vertAlign val="subscript"/>
        <sz val="10"/>
        <color indexed="8"/>
        <rFont val="Arial"/>
        <family val="2"/>
      </rPr>
      <t>M</t>
    </r>
    <r>
      <rPr>
        <b/>
        <sz val="10"/>
        <color indexed="8"/>
        <rFont val="Arial"/>
        <family val="2"/>
      </rPr>
      <t xml:space="preserve"> =</t>
    </r>
  </si>
  <si>
    <r>
      <t>Fluid mass density,  ρ</t>
    </r>
    <r>
      <rPr>
        <vertAlign val="subscript"/>
        <sz val="10"/>
        <color indexed="8"/>
        <rFont val="Arial"/>
        <family val="2"/>
      </rPr>
      <t>M</t>
    </r>
    <r>
      <rPr>
        <sz val="10"/>
        <color indexed="8"/>
        <rFont val="Arial"/>
        <family val="2"/>
      </rPr>
      <t xml:space="preserve"> =</t>
    </r>
  </si>
  <si>
    <t>PROBLEM - Transition Region Fluid Static Head Loss: Re is between 2,100 and  4000</t>
  </si>
  <si>
    <t>EXAMPLE - Transition Region Fluid Static Head Loss: Re is between 2,100 and  4000</t>
  </si>
  <si>
    <t>Laminar/turbulent transition region friction f  equation Re is between 2,100 and  4000</t>
  </si>
  <si>
    <t>Laminar/turbulent  transition region friction f  equation Re is between 2,100 and  4000</t>
  </si>
  <si>
    <t>Guess transition friction factor,  f =</t>
  </si>
  <si>
    <t>Transition friction formula,  f =</t>
  </si>
  <si>
    <t>Transition  friction factor  f  from above</t>
  </si>
  <si>
    <t>Transition friction factor,  f =</t>
  </si>
  <si>
    <t>Fitting Quantity N</t>
  </si>
  <si>
    <t>Negligible</t>
  </si>
  <si>
    <r>
      <t>Minimum motor power,  P</t>
    </r>
    <r>
      <rPr>
        <b/>
        <vertAlign val="subscript"/>
        <sz val="10"/>
        <color theme="1"/>
        <rFont val="Arial"/>
        <family val="2"/>
      </rPr>
      <t>M</t>
    </r>
    <r>
      <rPr>
        <b/>
        <sz val="10"/>
        <color theme="1"/>
        <rFont val="Arial"/>
        <family val="2"/>
      </rPr>
      <t xml:space="preserve"> =</t>
    </r>
  </si>
  <si>
    <r>
      <rPr>
        <sz val="10"/>
        <color indexed="8"/>
        <rFont val="Arial"/>
        <family val="2"/>
      </rPr>
      <t>Fluid density,  ρ</t>
    </r>
    <r>
      <rPr>
        <sz val="10"/>
        <color indexed="8"/>
        <rFont val="Arial"/>
        <family val="2"/>
      </rPr>
      <t xml:space="preserve"> =</t>
    </r>
  </si>
  <si>
    <t>Laminar Flow Re &lt; 2,100</t>
  </si>
  <si>
    <t>Turbulent Flow Re &gt; 4,000</t>
  </si>
  <si>
    <t>PROCESS PUMPS, VALVES, &amp; PIPE SPREADSHEET ANALYSIS</t>
  </si>
  <si>
    <t>Process Piping Pressure Head Loss</t>
  </si>
  <si>
    <t>http://www.taylor-engineering.com/publications/design_guides.shtml</t>
  </si>
  <si>
    <t>Taylor Engineering - Publications</t>
  </si>
  <si>
    <t>Pipe Sizing Based on First Costs and Future Energy Costs</t>
  </si>
  <si>
    <t>Radial Vane</t>
  </si>
  <si>
    <r>
      <t>Minimum pump drive motor power,  P</t>
    </r>
    <r>
      <rPr>
        <b/>
        <vertAlign val="subscript"/>
        <sz val="10"/>
        <color theme="1"/>
        <rFont val="Arial"/>
        <family val="2"/>
      </rPr>
      <t>M</t>
    </r>
    <r>
      <rPr>
        <b/>
        <sz val="10"/>
        <color theme="1"/>
        <rFont val="Arial"/>
        <family val="2"/>
      </rPr>
      <t xml:space="preserve"> =</t>
    </r>
  </si>
  <si>
    <t>http://www1.eere.energy.gov/industry/bestpractices/pdfs/10097517.pdf</t>
  </si>
  <si>
    <t>DETERMINING ELECTRIC MOTOR LOAD AND EFFICIENCY</t>
  </si>
  <si>
    <t>US Department of energy</t>
  </si>
  <si>
    <r>
      <t>Motor efficiency see chart right,  Eff</t>
    </r>
    <r>
      <rPr>
        <vertAlign val="subscript"/>
        <sz val="10"/>
        <color theme="1"/>
        <rFont val="Arial"/>
        <family val="2"/>
      </rPr>
      <t>M</t>
    </r>
    <r>
      <rPr>
        <sz val="10"/>
        <color theme="1"/>
        <rFont val="Arial"/>
        <family val="2"/>
      </rPr>
      <t xml:space="preserve"> =</t>
    </r>
  </si>
  <si>
    <r>
      <t>Process Industry Rules of Thumb -</t>
    </r>
    <r>
      <rPr>
        <sz val="12"/>
        <color theme="1"/>
        <rFont val="Arial"/>
        <family val="2"/>
      </rPr>
      <t xml:space="preserve"> (repeated from above)</t>
    </r>
  </si>
  <si>
    <t xml:space="preserve">NOTE: Moody fluid in pipe friction factor, f above applies to turbulent flow only. </t>
  </si>
  <si>
    <t xml:space="preserve"> </t>
  </si>
  <si>
    <t>Average fluid flow velocity,  V =</t>
  </si>
  <si>
    <t>Schedule 40 pipe size VS friction pressure loss graph.</t>
  </si>
  <si>
    <t>WATER CONVERSION TABLE</t>
  </si>
  <si>
    <t>http://dnrc.mt.gov/wrd/water_rts/wr_general_info/wrforms/615.pdf</t>
  </si>
  <si>
    <t>http://www.vikinggroupinc.com/techarticles/frictionloss.pdf</t>
  </si>
  <si>
    <t>Darcy-Weisbach Formula vs. Hazen-Williams</t>
  </si>
  <si>
    <t>PROBLEM - TURBULENT Region  Fluid Static Head Loss</t>
  </si>
  <si>
    <t>EXAMPLE - TURBULENT Region  Fluid Static Head Loss</t>
  </si>
  <si>
    <r>
      <t>The above Darcy Weisbach pressure head loss,  h</t>
    </r>
    <r>
      <rPr>
        <b/>
        <vertAlign val="subscript"/>
        <sz val="10"/>
        <color indexed="8"/>
        <rFont val="Arial"/>
        <family val="2"/>
      </rPr>
      <t>L</t>
    </r>
    <r>
      <rPr>
        <b/>
        <sz val="10"/>
        <color indexed="8"/>
        <rFont val="Arial"/>
        <family val="2"/>
      </rPr>
      <t xml:space="preserve"> = f * (L/D) * (V^2 / (2 * g) was used to obtain values </t>
    </r>
  </si>
  <si>
    <t xml:space="preserve">to create the System Head Loss VS Flow Rate graph.
</t>
  </si>
  <si>
    <t>The above Darcy Weisbach pressure head loss curve has been plotted on the pump performance graph.</t>
  </si>
  <si>
    <t>to drive a centrifugal pump supplying liquids though: piping, fittings, and valves.</t>
  </si>
  <si>
    <t xml:space="preserve">This 3 PDH course includes spread sheets that can be used to calculate the: motor power required </t>
  </si>
  <si>
    <t>N*K</t>
  </si>
  <si>
    <t>=Σ(N*K)</t>
  </si>
  <si>
    <t>Number of fittings,  ΣN =</t>
  </si>
  <si>
    <t>Sum of velocity head factors above, ΣNK =</t>
  </si>
  <si>
    <t>END OF WORKSHEET</t>
  </si>
  <si>
    <t xml:space="preserve">www.engineeringtoolbox.com/moody-diagram-d_61... </t>
  </si>
  <si>
    <t>To scroll, roll the mouse wheel.</t>
  </si>
  <si>
    <t>To zoom in, depress the Ctrl key and roll the mouse wheel away from you.</t>
  </si>
  <si>
    <t>To open another, "Work Sheet Lesson" select a tab at the bottom of this spreadsheet.</t>
  </si>
  <si>
    <t xml:space="preserve">To unlock the cells of this spreadsheet: Home &gt; Format &gt; Unprotect Sheet. </t>
  </si>
  <si>
    <t xml:space="preserve">To lock the cells of this spreadsheet: Home &gt; Format &gt; Protect Sheet. </t>
  </si>
  <si>
    <t>To open a new spreadsheet topic click on the tabs below.</t>
  </si>
  <si>
    <t>PIPE EXPANSION LOOP</t>
  </si>
  <si>
    <t>Pipe length,  A =</t>
  </si>
  <si>
    <t>Pipe length,  B =</t>
  </si>
  <si>
    <t>Pipe length,  C =</t>
  </si>
  <si>
    <t>Pipe high temperature,  TH =</t>
  </si>
  <si>
    <t>Pipe low temperature,  TL =</t>
  </si>
  <si>
    <t>Pipe wall thickness,  w =</t>
  </si>
  <si>
    <t>lb/sq in</t>
  </si>
  <si>
    <t>Stainless Steel 304</t>
  </si>
  <si>
    <t>Stainless Steel 310</t>
  </si>
  <si>
    <t>Stainless Steel 316</t>
  </si>
  <si>
    <t xml:space="preserve">Steel Stainless Ferritic (410) </t>
  </si>
  <si>
    <t xml:space="preserve">ABS (Acrylonitrile butadiene styrene) </t>
  </si>
  <si>
    <t xml:space="preserve">ABS -glass fiber-reinforced </t>
  </si>
  <si>
    <t xml:space="preserve">deg F </t>
  </si>
  <si>
    <t>Input: meters</t>
  </si>
  <si>
    <t>Output: ft</t>
  </si>
  <si>
    <t>Pipe length feet,  L =</t>
  </si>
  <si>
    <t>Pipe material =</t>
  </si>
  <si>
    <r>
      <t>10</t>
    </r>
    <r>
      <rPr>
        <vertAlign val="superscript"/>
        <sz val="10"/>
        <color theme="1"/>
        <rFont val="Arial"/>
        <family val="2"/>
      </rPr>
      <t>-6</t>
    </r>
    <r>
      <rPr>
        <sz val="10"/>
        <color theme="1"/>
        <rFont val="Arial"/>
        <family val="2"/>
      </rPr>
      <t xml:space="preserve"> in/in-deg F</t>
    </r>
  </si>
  <si>
    <t>sq in</t>
  </si>
  <si>
    <t>A + B + C</t>
  </si>
  <si>
    <t>Pipe Anchor Force due to Thermal Expansion</t>
  </si>
  <si>
    <t>Temperature change,  ΔT =</t>
  </si>
  <si>
    <t>TH - TL</t>
  </si>
  <si>
    <t>A*Sc</t>
  </si>
  <si>
    <t>lbs</t>
  </si>
  <si>
    <t>Pipe D bending stress,  Sb =</t>
  </si>
  <si>
    <t>Pipe D moment,  M =</t>
  </si>
  <si>
    <t>in-lbs</t>
  </si>
  <si>
    <t>Pipe section modulus, Ix =</t>
  </si>
  <si>
    <t>in^4</t>
  </si>
  <si>
    <t>lbs/sq in</t>
  </si>
  <si>
    <t>Aluminum  Alloy 6061</t>
  </si>
  <si>
    <r>
      <t xml:space="preserve">Pipe material thermal coefficient of expansion,  </t>
    </r>
    <r>
      <rPr>
        <sz val="10"/>
        <color theme="1"/>
        <rFont val="Calibri"/>
        <family val="2"/>
      </rPr>
      <t>α</t>
    </r>
    <r>
      <rPr>
        <sz val="10"/>
        <color theme="1"/>
        <rFont val="Arial"/>
        <family val="2"/>
      </rPr>
      <t xml:space="preserve"> =</t>
    </r>
  </si>
  <si>
    <r>
      <t>E*</t>
    </r>
    <r>
      <rPr>
        <b/>
        <sz val="10"/>
        <color theme="1"/>
        <rFont val="Calibri"/>
        <family val="2"/>
      </rPr>
      <t>α</t>
    </r>
    <r>
      <rPr>
        <b/>
        <sz val="10"/>
        <color theme="1"/>
        <rFont val="Arial"/>
        <family val="2"/>
      </rPr>
      <t>*ΔT</t>
    </r>
  </si>
  <si>
    <t>Pipe length meters,  L =</t>
  </si>
  <si>
    <t xml:space="preserve">m </t>
  </si>
  <si>
    <t>deg C</t>
  </si>
  <si>
    <t>Pipe diameter inches,  D =</t>
  </si>
  <si>
    <t>deg F</t>
  </si>
  <si>
    <t>CONVERT MERTIC TO US UNITS</t>
  </si>
  <si>
    <t>Total pipe length between rigid supports,  Lf =</t>
  </si>
  <si>
    <t>π*(DX^2 - DI^2)/4</t>
  </si>
  <si>
    <t>Total pipe length (inches),  Li =</t>
  </si>
  <si>
    <t>Steel 0.22%C</t>
  </si>
  <si>
    <t>Un-restricted total pipe thermal expansion,  X =</t>
  </si>
  <si>
    <t>Fe*E*12 / 2</t>
  </si>
  <si>
    <t>Pipe A, B,&amp; C anchored compressive stress, Sc =</t>
  </si>
  <si>
    <t>Pipe Bending Stress With Expansion Loop</t>
  </si>
  <si>
    <t xml:space="preserve">X / 2 </t>
  </si>
  <si>
    <t>Pipe loop member E deflection,  Y =</t>
  </si>
  <si>
    <t>Pipe compressive force with expansion loop,  Fe =</t>
  </si>
  <si>
    <t>Pipe compressive force without expansion loop,  F =</t>
  </si>
  <si>
    <t>Pipe length,  H =</t>
  </si>
  <si>
    <t>12*E*I*(Y) /  (12*H)^3</t>
  </si>
  <si>
    <t>Pipe (ID 1 to 12 in) or (OD 14 in and larger) dia,  D =</t>
  </si>
  <si>
    <t>Pipe internal diameter,  D1 =</t>
  </si>
  <si>
    <t>Pipe external diameter,  D2 =</t>
  </si>
  <si>
    <t>Pipe (ID 1 to 12 in)</t>
  </si>
  <si>
    <t>Pipe (ID 14 in and larger)</t>
  </si>
  <si>
    <t>π*(D2^4 - D1^4)/ 64</t>
  </si>
  <si>
    <t>Pipe outside diameter,  D2 =</t>
  </si>
  <si>
    <t>Pipe section area,  A =</t>
  </si>
  <si>
    <t>Pipe section modulus,  I =</t>
  </si>
  <si>
    <t>M*(D2/2) / Ix</t>
  </si>
  <si>
    <t>Pipe Section Properties (inch units)</t>
  </si>
  <si>
    <t>Pipe material input above =</t>
  </si>
  <si>
    <t>Pipe material allowable bending stress,  Sa=</t>
  </si>
  <si>
    <t>Enter "OK" pipe section values from above:</t>
  </si>
  <si>
    <t>Pipe diameter millimeters,  D =</t>
  </si>
  <si>
    <t>Temperature Centigrade,  T =</t>
  </si>
  <si>
    <t>Temperature Fahrenheit,  T =</t>
  </si>
  <si>
    <t>Pipe material modulus of elasticity,  E =</t>
  </si>
  <si>
    <t>INPUT</t>
  </si>
  <si>
    <t>ROLL =</t>
  </si>
  <si>
    <t>CALCULATIONS</t>
  </si>
  <si>
    <t>deg</t>
  </si>
  <si>
    <t>TRAVEL =</t>
  </si>
  <si>
    <t>(ROLL^2 + SET^2)^(1/2)</t>
  </si>
  <si>
    <t>AC = BD =</t>
  </si>
  <si>
    <t>57.30*ATAN(BD / RUN)</t>
  </si>
  <si>
    <t>(RUN^2 + BD^2)^(1/2)</t>
  </si>
  <si>
    <t>ELBOW ANGLE, DAB =</t>
  </si>
  <si>
    <t>SET  =</t>
  </si>
  <si>
    <t>RUN  =</t>
  </si>
  <si>
    <t>TRAVEL CALCULATION METHOD</t>
  </si>
  <si>
    <t xml:space="preserve">       Data &gt; What-If Analysis &gt; Goal Seek</t>
  </si>
  <si>
    <t xml:space="preserve">       Pick the "To value" box &gt; Type 45</t>
  </si>
  <si>
    <t xml:space="preserve">       OK &gt; OK</t>
  </si>
  <si>
    <t>CALCULATE TRAVEL</t>
  </si>
  <si>
    <t>TRAVEL EXAMPLE ONLY</t>
  </si>
  <si>
    <t>PIPE TRAVEL WITH RUN &amp; SET</t>
  </si>
  <si>
    <t>PIPE TRAVEL WITH ROLLING OFFSET</t>
  </si>
  <si>
    <t>1.5*D</t>
  </si>
  <si>
    <t>Pipe nominal diameter (12 or less) (14 or more)  D =</t>
  </si>
  <si>
    <t>D</t>
  </si>
  <si>
    <t>CALCULATE PIPE TRAVEL</t>
  </si>
  <si>
    <t>SET</t>
  </si>
  <si>
    <t>(RUN^2 + SET^2)^(1/2)</t>
  </si>
  <si>
    <r>
      <t>Long radius Pipe spool travel length,  L</t>
    </r>
    <r>
      <rPr>
        <b/>
        <vertAlign val="subscript"/>
        <sz val="10"/>
        <color theme="1"/>
        <rFont val="Arial"/>
        <family val="2"/>
      </rPr>
      <t>L</t>
    </r>
    <r>
      <rPr>
        <b/>
        <sz val="10"/>
        <color theme="1"/>
        <rFont val="Arial"/>
        <family val="2"/>
      </rPr>
      <t xml:space="preserve"> =</t>
    </r>
  </si>
  <si>
    <r>
      <t>Short radius Pipe spool travel length,  L</t>
    </r>
    <r>
      <rPr>
        <b/>
        <vertAlign val="subscript"/>
        <sz val="10"/>
        <color theme="1"/>
        <rFont val="Arial"/>
        <family val="2"/>
      </rPr>
      <t>S</t>
    </r>
    <r>
      <rPr>
        <b/>
        <sz val="10"/>
        <color theme="1"/>
        <rFont val="Arial"/>
        <family val="2"/>
      </rPr>
      <t xml:space="preserve"> =</t>
    </r>
  </si>
  <si>
    <r>
      <t>45 deg long radius Elbow,  R</t>
    </r>
    <r>
      <rPr>
        <b/>
        <vertAlign val="subscript"/>
        <sz val="10"/>
        <color theme="1"/>
        <rFont val="Arial"/>
        <family val="2"/>
      </rPr>
      <t>L</t>
    </r>
    <r>
      <rPr>
        <b/>
        <sz val="10"/>
        <color theme="1"/>
        <rFont val="Arial"/>
        <family val="2"/>
      </rPr>
      <t xml:space="preserve"> =</t>
    </r>
  </si>
  <si>
    <r>
      <t>45 deg short radius Elbow,  R</t>
    </r>
    <r>
      <rPr>
        <b/>
        <vertAlign val="subscript"/>
        <sz val="10"/>
        <color theme="1"/>
        <rFont val="Arial"/>
        <family val="2"/>
      </rPr>
      <t>S</t>
    </r>
    <r>
      <rPr>
        <b/>
        <sz val="10"/>
        <color theme="1"/>
        <rFont val="Arial"/>
        <family val="2"/>
      </rPr>
      <t xml:space="preserve"> =</t>
    </r>
  </si>
  <si>
    <r>
      <t>TRAVEL - 2*(R</t>
    </r>
    <r>
      <rPr>
        <b/>
        <vertAlign val="subscript"/>
        <sz val="10"/>
        <color theme="1"/>
        <rFont val="Arial"/>
        <family val="2"/>
      </rPr>
      <t>L</t>
    </r>
    <r>
      <rPr>
        <b/>
        <sz val="10"/>
        <color theme="1"/>
        <rFont val="Arial"/>
        <family val="2"/>
      </rPr>
      <t>*SIN(22.5 / 57.3))</t>
    </r>
  </si>
  <si>
    <r>
      <t>TRAVEL - 2*(R</t>
    </r>
    <r>
      <rPr>
        <b/>
        <vertAlign val="subscript"/>
        <sz val="10"/>
        <color theme="1"/>
        <rFont val="Arial"/>
        <family val="2"/>
      </rPr>
      <t>S</t>
    </r>
    <r>
      <rPr>
        <b/>
        <sz val="10"/>
        <color theme="1"/>
        <rFont val="Arial"/>
        <family val="2"/>
      </rPr>
      <t>*SIN(22.5 / 57.3))</t>
    </r>
  </si>
  <si>
    <t>http://pccenergygroup.com/PDFs/PCC-materials/Conversion%20Booklet.pdf</t>
  </si>
  <si>
    <t>Hackney Ladish  link to dimensions of pipe fittings above:</t>
  </si>
  <si>
    <t>PIPE:</t>
  </si>
  <si>
    <t>See "PIPE &amp; FITTINGS" tab below.</t>
  </si>
  <si>
    <t>SCH 40, Steel</t>
  </si>
  <si>
    <t xml:space="preserve">Steel 0.22% C  </t>
  </si>
  <si>
    <t>Steel 0.22% C</t>
  </si>
  <si>
    <t>Pipe cross section area, Ap =</t>
  </si>
  <si>
    <t>ELBOW ANGLE, DBE =</t>
  </si>
  <si>
    <t>57.30*ATAN(SET / ROLL)</t>
  </si>
  <si>
    <t xml:space="preserve">       Pick the cell with a formula: C544</t>
  </si>
  <si>
    <t xml:space="preserve">       Pick the "By changing cell" box &gt; Pick cell C539 or other cell with unknown dimension.</t>
  </si>
  <si>
    <t>1 AB must equal BD for a 45 degree triangle.</t>
  </si>
  <si>
    <t>2  Given any two dimensions from RUN, ROLL, and SET</t>
  </si>
  <si>
    <t>3  Type a trial value for the third unknown dimension.</t>
  </si>
  <si>
    <t>4  Use "Goal Seek" to make angle DAB = 45 degress and find the third dimension.</t>
  </si>
  <si>
    <t>Nominal Pipe Diameter,  Dn =</t>
  </si>
  <si>
    <t>Nominal Diameter</t>
  </si>
  <si>
    <t>Wall thick  in</t>
  </si>
  <si>
    <t>Applied Stress / Allowable Stress</t>
  </si>
  <si>
    <t>Pipe safety factor =</t>
  </si>
  <si>
    <t xml:space="preserve">&lt;&lt;&lt; Use "GOAL SEEK"  to adjust H ft to </t>
  </si>
  <si>
    <t>obtain the desired safety factor.</t>
  </si>
  <si>
    <t>Water</t>
  </si>
  <si>
    <t>Fluid spedific gravity,  SG =</t>
  </si>
  <si>
    <t>Pd*2.31 / SG</t>
  </si>
  <si>
    <t xml:space="preserve">Liquid name is: </t>
  </si>
  <si>
    <t>2.31 ft = 1 psi</t>
  </si>
  <si>
    <t>http://www.sealing.com/fileadmin/docs/Pump_Formulas.pdf</t>
  </si>
  <si>
    <t>Liquid teperature, t =</t>
  </si>
  <si>
    <t>pdf TOTAL DIFFERENTIAL HEAD (THD)</t>
  </si>
  <si>
    <t>System Head = total discharge head - total suction head</t>
  </si>
  <si>
    <t>SUCTION</t>
  </si>
  <si>
    <t>DISCHARGE</t>
  </si>
  <si>
    <t>LIQUID</t>
  </si>
  <si>
    <t>Suction static head,  Hss =</t>
  </si>
  <si>
    <t>Suction surface pressure, Hps =</t>
  </si>
  <si>
    <t>Discharge surface pressure, Hpd =</t>
  </si>
  <si>
    <t>Discharge static head ,  Hsd =</t>
  </si>
  <si>
    <t>Discharge friction head (pipe and fittings),  Hfd =</t>
  </si>
  <si>
    <t>psig</t>
  </si>
  <si>
    <t>Suction friction head (pipe and fittings), Hfs =</t>
  </si>
  <si>
    <t>psia</t>
  </si>
  <si>
    <t>Pipe and fittings heads Hfd and Hfs are calculated under "PIPING" tab below.</t>
  </si>
  <si>
    <r>
      <t>Darcy Weisbach friction pressure head loss,  Hfd or Hfs</t>
    </r>
    <r>
      <rPr>
        <b/>
        <sz val="10"/>
        <color indexed="8"/>
        <rFont val="Arial"/>
        <family val="2"/>
      </rPr>
      <t xml:space="preserve"> =</t>
    </r>
  </si>
  <si>
    <t xml:space="preserve">was used to obtain values to create the System Head Loss VS Flow Rate graph.
</t>
  </si>
  <si>
    <r>
      <t>The above Darcy Weisbach liquid in pipe friction pressure head loss,  Hf</t>
    </r>
    <r>
      <rPr>
        <b/>
        <sz val="10"/>
        <color indexed="8"/>
        <rFont val="Arial"/>
        <family val="2"/>
      </rPr>
      <t xml:space="preserve"> = f * (L/D) * (V^2 / (2 * g) </t>
    </r>
  </si>
  <si>
    <t xml:space="preserve">               Total suction head,  Hs = Hss + Hps = Hfs</t>
  </si>
  <si>
    <t xml:space="preserve">          Total discharge head,  Hd = Hsd + Hpd + Hfd</t>
  </si>
  <si>
    <t xml:space="preserve">                         System Head,  H = Hd - Hs</t>
  </si>
  <si>
    <t xml:space="preserve">          Total discharge head,  Hd =</t>
  </si>
  <si>
    <t>Hsd + Hpd + Hfd</t>
  </si>
  <si>
    <t xml:space="preserve">  Total suction head,  Hs =</t>
  </si>
  <si>
    <t>Hss + Hps + Hfs</t>
  </si>
  <si>
    <t xml:space="preserve">Available NPSH is "the difference between the total suction head and 
</t>
  </si>
  <si>
    <t>the vapor pressure of the liquid, in feet of liquid, at the suction flange."</t>
  </si>
  <si>
    <t>Total suction head, in feet of liquid, absolute,  Hsa =</t>
  </si>
  <si>
    <t>Vapor pressure of liquid at suction nozzle,  Hypa =</t>
  </si>
  <si>
    <t>Pumping System Head,  H =</t>
  </si>
  <si>
    <t>Hd + Hs</t>
  </si>
  <si>
    <t>Hsa - Hypa</t>
  </si>
  <si>
    <t>Absolute pressure in liquid suction tank, Ps =</t>
  </si>
  <si>
    <t>Ps - 14.7</t>
  </si>
  <si>
    <t>Gage suction pressure,  Psg =</t>
  </si>
  <si>
    <t>Available net position suction head (NPSHA),  Hsv =</t>
  </si>
  <si>
    <t>NPSHA is a function of your system and must be calculated, whereas NPSHR</t>
  </si>
  <si>
    <t xml:space="preserve">function of the pump and must be provided by the pump manufacturer. </t>
  </si>
  <si>
    <t xml:space="preserve">NPSHA MUST be greater than NPSHR for the pump system to operate without cavitating. </t>
  </si>
  <si>
    <t>Use this calculation</t>
  </si>
  <si>
    <t>Example only</t>
  </si>
  <si>
    <t xml:space="preserve">          Density and Viscosity </t>
  </si>
  <si>
    <t xml:space="preserve">                   of Water</t>
  </si>
  <si>
    <t xml:space="preserve"> (Slugs/ft^3)</t>
  </si>
  <si>
    <r>
      <t xml:space="preserve"> 10</t>
    </r>
    <r>
      <rPr>
        <b/>
        <vertAlign val="superscript"/>
        <sz val="11"/>
        <color theme="1"/>
        <rFont val="Arial"/>
        <family val="2"/>
      </rPr>
      <t>-6</t>
    </r>
    <r>
      <rPr>
        <b/>
        <sz val="11"/>
        <color theme="1"/>
        <rFont val="Arial"/>
        <family val="2"/>
      </rPr>
      <t xml:space="preserve"> in/in-deg F</t>
    </r>
  </si>
  <si>
    <r>
      <t>α*10</t>
    </r>
    <r>
      <rPr>
        <b/>
        <vertAlign val="superscript"/>
        <sz val="10"/>
        <color theme="1"/>
        <rFont val="Arial"/>
        <family val="2"/>
      </rPr>
      <t>-6</t>
    </r>
    <r>
      <rPr>
        <b/>
        <sz val="10"/>
        <color theme="1"/>
        <rFont val="Arial"/>
        <family val="2"/>
      </rPr>
      <t>*Li*ΔT</t>
    </r>
  </si>
  <si>
    <t>Pump and Piping Systems</t>
  </si>
  <si>
    <t>0.000002*T^3 - 0.0002*T^2 + 0.0112*T - 0.1436</t>
  </si>
  <si>
    <t xml:space="preserve">Suction static head,  Hss </t>
  </si>
  <si>
    <t xml:space="preserve">Discharge static head ,  Hsd </t>
  </si>
  <si>
    <t>Head,  H =</t>
  </si>
  <si>
    <t>Fluid flow rate,  Q =</t>
  </si>
  <si>
    <t>Specific gravity of the fluid,  sg =</t>
  </si>
  <si>
    <t>Calculate</t>
  </si>
  <si>
    <t>Fuid power,  P =</t>
  </si>
  <si>
    <t>Q*H*sg / 3960</t>
  </si>
  <si>
    <t xml:space="preserve">                      Sch 40                       </t>
  </si>
  <si>
    <t>Material Thermal Expansion Coefficient (α)</t>
  </si>
  <si>
    <t>Pipe wall thickness,  t =</t>
  </si>
  <si>
    <t>Pipe outside diameter,  D =</t>
  </si>
  <si>
    <t>Nominal pipe size =</t>
  </si>
  <si>
    <t>Pipe schedule =</t>
  </si>
  <si>
    <t>Nom. Pipe Size</t>
  </si>
  <si>
    <t>Outside Diameter</t>
  </si>
  <si>
    <t>Light WT</t>
  </si>
  <si>
    <t>STD</t>
  </si>
  <si>
    <t>XS</t>
  </si>
  <si>
    <t>XXS</t>
  </si>
  <si>
    <t>SCH 20</t>
  </si>
  <si>
    <t>SCH 30</t>
  </si>
  <si>
    <t>SCH 40</t>
  </si>
  <si>
    <t>SCH 60</t>
  </si>
  <si>
    <t>SCH 80</t>
  </si>
  <si>
    <t>SCH 100</t>
  </si>
  <si>
    <t>SCH 120</t>
  </si>
  <si>
    <t>SCH 140</t>
  </si>
  <si>
    <t>SCH 160</t>
  </si>
  <si>
    <t>½</t>
  </si>
  <si>
    <t>-</t>
  </si>
  <si>
    <t>¾</t>
  </si>
  <si>
    <t>1¼</t>
  </si>
  <si>
    <t>1½</t>
  </si>
  <si>
    <t>2½</t>
  </si>
  <si>
    <t>3½</t>
  </si>
  <si>
    <t>http://www.hackneyladish.com/DimensionData-pr5.aspx</t>
  </si>
  <si>
    <t>STANDARD PIPE DIMENSIONS</t>
  </si>
  <si>
    <t>STANDARD FITTINGS</t>
  </si>
  <si>
    <t>Pipe outside diameter,  d =</t>
  </si>
  <si>
    <t>D - 2*t</t>
  </si>
  <si>
    <t>PIPE INTERNAL DIAMETER</t>
  </si>
  <si>
    <t>xs</t>
  </si>
  <si>
    <t>© Copy Write, John Andrew P.E.  10 May 2013</t>
  </si>
  <si>
    <t xml:space="preserve"> (m)</t>
  </si>
  <si>
    <t xml:space="preserve"> (mm)</t>
  </si>
  <si>
    <t xml:space="preserve"> (m^3/s)</t>
  </si>
  <si>
    <t>Data &gt; What If &gt; Goal Seek &gt; C200 = 1:       1 =</t>
  </si>
  <si>
    <t xml:space="preserve">by changing the value in cell C197            </t>
  </si>
  <si>
    <t>Revised 28 July 2020</t>
  </si>
  <si>
    <t>M389  PROCESS PUMPS, VALVES, &amp; PIPE SPREADSHEET ANALYSIS</t>
  </si>
  <si>
    <t>M389   PROCESS PUMPS, VALVES, &amp; PIPE SPREADSHEET ANALYSIS</t>
  </si>
  <si>
    <t>http://www.pressure-drop.com/Online-Calculator/</t>
  </si>
  <si>
    <t>Pressure Drop Calculator download at:</t>
  </si>
  <si>
    <t>Vendor Piping System Software</t>
  </si>
  <si>
    <t>Example: Pump Selection</t>
  </si>
  <si>
    <t>Data &gt; What if &gt; Goal Seek &gt;</t>
  </si>
  <si>
    <t>To value:  10</t>
  </si>
  <si>
    <t>OK</t>
  </si>
  <si>
    <t>Fluid Flow Rate, q = 89  gpm</t>
  </si>
  <si>
    <r>
      <t>Fluid flow rate was q = 100 gpm &amp; P</t>
    </r>
    <r>
      <rPr>
        <b/>
        <sz val="8"/>
        <color theme="1"/>
        <rFont val="Arial"/>
        <family val="2"/>
      </rPr>
      <t>M</t>
    </r>
    <r>
      <rPr>
        <b/>
        <sz val="10"/>
        <color theme="1"/>
        <rFont val="Arial"/>
        <family val="2"/>
      </rPr>
      <t xml:space="preserve"> = 11.26 hp</t>
    </r>
  </si>
  <si>
    <t>Pump Performance (See Problem: Pump Selection below)</t>
  </si>
  <si>
    <t>Problem: Pump Selection</t>
  </si>
  <si>
    <t>Goal Seek Method</t>
  </si>
  <si>
    <t>Pick cell with equation (Yellow Cell)  C132</t>
  </si>
  <si>
    <t>By changing cell: Pick cell C121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</si>
</sst>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
    <numFmt numFmtId="165" formatCode="0.00000"/>
    <numFmt numFmtId="166" formatCode="0.000"/>
    <numFmt numFmtId="167" formatCode="0.0000000"/>
    <numFmt numFmtId="168" formatCode="[$$-409]#,##0.00;[Red]&quot;-&quot;[$$-409]#,##0.00"/>
    <numFmt numFmtId="169" formatCode="0.00000000"/>
    <numFmt numFmtId="170" formatCode="0.000000"/>
    <numFmt numFmtId="171" formatCode="0.0"/>
    <numFmt numFmtId="172" formatCode="0.000E+00"/>
  </numFmts>
  <fonts count="41" x14ac:knownFonts="1">
    <font>
      <sz val="11"/>
      <color theme="1"/>
      <name val="Arial"/>
      <family val="2"/>
    </font>
    <font>
      <sz val="11"/>
      <color theme="1"/>
      <name val="Calibri"/>
      <family val="2"/>
      <scheme val="minor"/>
    </font>
    <font>
      <sz val="10"/>
      <color indexed="8"/>
      <name val="Arial"/>
      <family val="2"/>
    </font>
    <font>
      <b/>
      <sz val="10"/>
      <color indexed="8"/>
      <name val="Calibri"/>
      <family val="2"/>
    </font>
    <font>
      <b/>
      <vertAlign val="subscript"/>
      <sz val="10"/>
      <color indexed="8"/>
      <name val="Arial"/>
      <family val="2"/>
    </font>
    <font>
      <b/>
      <sz val="10"/>
      <color indexed="8"/>
      <name val="Arial"/>
      <family val="2"/>
    </font>
    <font>
      <sz val="10"/>
      <name val="Arial"/>
      <family val="2"/>
    </font>
    <font>
      <b/>
      <i/>
      <sz val="16"/>
      <color theme="1"/>
      <name val="Arial"/>
      <family val="2"/>
    </font>
    <font>
      <b/>
      <i/>
      <u/>
      <sz val="11"/>
      <color theme="1"/>
      <name val="Arial"/>
      <family val="2"/>
    </font>
    <font>
      <b/>
      <sz val="10"/>
      <color theme="1"/>
      <name val="Arial"/>
      <family val="2"/>
    </font>
    <font>
      <sz val="10"/>
      <color theme="1"/>
      <name val="Arial"/>
      <family val="2"/>
    </font>
    <font>
      <b/>
      <sz val="10"/>
      <color rgb="FFFF0000"/>
      <name val="Arial"/>
      <family val="2"/>
    </font>
    <font>
      <b/>
      <sz val="12"/>
      <color theme="1"/>
      <name val="Arial"/>
      <family val="2"/>
    </font>
    <font>
      <b/>
      <sz val="11"/>
      <color theme="1"/>
      <name val="Arial"/>
      <family val="2"/>
    </font>
    <font>
      <b/>
      <vertAlign val="subscript"/>
      <sz val="10"/>
      <color theme="1"/>
      <name val="Arial"/>
      <family val="2"/>
    </font>
    <font>
      <u/>
      <sz val="11"/>
      <color theme="10"/>
      <name val="Arial"/>
      <family val="2"/>
    </font>
    <font>
      <vertAlign val="subscript"/>
      <sz val="10"/>
      <color theme="1"/>
      <name val="Arial"/>
      <family val="2"/>
    </font>
    <font>
      <b/>
      <sz val="11"/>
      <color rgb="FF000000"/>
      <name val="Calibri"/>
      <family val="2"/>
    </font>
    <font>
      <b/>
      <sz val="10"/>
      <color rgb="FF000000"/>
      <name val="Arial"/>
      <family val="2"/>
    </font>
    <font>
      <u/>
      <sz val="10"/>
      <color theme="10"/>
      <name val="Arial"/>
      <family val="2"/>
    </font>
    <font>
      <b/>
      <sz val="9"/>
      <color rgb="FF000000"/>
      <name val="Verdana"/>
      <family val="2"/>
    </font>
    <font>
      <b/>
      <sz val="12"/>
      <color rgb="FF000000"/>
      <name val="Verdana"/>
      <family val="2"/>
    </font>
    <font>
      <vertAlign val="subscript"/>
      <sz val="10"/>
      <color indexed="8"/>
      <name val="Arial"/>
      <family val="2"/>
    </font>
    <font>
      <b/>
      <sz val="10"/>
      <color indexed="12"/>
      <name val="Arial"/>
      <family val="2"/>
    </font>
    <font>
      <b/>
      <sz val="12"/>
      <color rgb="FF000000"/>
      <name val="Arial"/>
      <family val="2"/>
    </font>
    <font>
      <sz val="12"/>
      <color theme="1"/>
      <name val="Arial"/>
      <family val="2"/>
    </font>
    <font>
      <b/>
      <sz val="14"/>
      <color theme="1"/>
      <name val="Arial"/>
      <family val="2"/>
    </font>
    <font>
      <b/>
      <sz val="10"/>
      <name val="Arial"/>
      <family val="2"/>
    </font>
    <font>
      <b/>
      <u/>
      <sz val="11"/>
      <color rgb="FF000000"/>
      <name val="Calibri"/>
      <family val="2"/>
    </font>
    <font>
      <b/>
      <vertAlign val="superscript"/>
      <sz val="11"/>
      <color theme="1"/>
      <name val="Arial"/>
      <family val="2"/>
    </font>
    <font>
      <vertAlign val="superscript"/>
      <sz val="10"/>
      <color theme="1"/>
      <name val="Arial"/>
      <family val="2"/>
    </font>
    <font>
      <b/>
      <vertAlign val="superscript"/>
      <sz val="10"/>
      <color theme="1"/>
      <name val="Arial"/>
      <family val="2"/>
    </font>
    <font>
      <sz val="10"/>
      <color theme="1"/>
      <name val="Calibri"/>
      <family val="2"/>
    </font>
    <font>
      <b/>
      <sz val="10"/>
      <color theme="1"/>
      <name val="Calibri"/>
      <family val="2"/>
    </font>
    <font>
      <b/>
      <sz val="9"/>
      <color theme="1"/>
      <name val="Arial"/>
      <family val="2"/>
    </font>
    <font>
      <b/>
      <u/>
      <sz val="10"/>
      <color theme="1"/>
      <name val="Arial"/>
      <family val="2"/>
    </font>
    <font>
      <u/>
      <sz val="11"/>
      <color theme="10"/>
      <name val="Calibri"/>
      <family val="2"/>
    </font>
    <font>
      <u/>
      <sz val="10"/>
      <color indexed="12"/>
      <name val="Arial"/>
      <family val="2"/>
    </font>
    <font>
      <b/>
      <sz val="11"/>
      <color rgb="FFFF0000"/>
      <name val="Arial"/>
      <family val="2"/>
    </font>
    <font>
      <b/>
      <sz val="12"/>
      <color rgb="FFFF0000"/>
      <name val="Arial"/>
      <family val="2"/>
    </font>
    <font>
      <b/>
      <sz val="8"/>
      <color theme="1"/>
      <name val="Arial"/>
      <family val="2"/>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DDDDDD"/>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rgb="FFCCCCCC"/>
      </left>
      <right style="thin">
        <color rgb="FFCCCCCC"/>
      </right>
      <top style="thin">
        <color rgb="FFCCCCCC"/>
      </top>
      <bottom style="thin">
        <color rgb="FFCCCCCC"/>
      </bottom>
      <diagonal/>
    </border>
  </borders>
  <cellStyleXfs count="12">
    <xf numFmtId="0" fontId="0" fillId="0" borderId="0"/>
    <xf numFmtId="0" fontId="7" fillId="0" borderId="0">
      <alignment horizontal="center"/>
    </xf>
    <xf numFmtId="0" fontId="7" fillId="0" borderId="0">
      <alignment horizontal="center" textRotation="90"/>
    </xf>
    <xf numFmtId="0" fontId="8" fillId="0" borderId="0"/>
    <xf numFmtId="168" fontId="8" fillId="0" borderId="0"/>
    <xf numFmtId="0" fontId="15" fillId="0" borderId="0" applyNumberFormat="0" applyFill="0" applyBorder="0" applyAlignment="0" applyProtection="0">
      <alignment vertical="top"/>
      <protection locked="0"/>
    </xf>
    <xf numFmtId="0" fontId="1" fillId="0" borderId="0"/>
    <xf numFmtId="0" fontId="36" fillId="0" borderId="0" applyNumberFormat="0" applyFill="0" applyBorder="0" applyAlignment="0" applyProtection="0">
      <alignment vertical="top"/>
      <protection locked="0"/>
    </xf>
    <xf numFmtId="9" fontId="1" fillId="0" borderId="0" applyFont="0" applyFill="0" applyBorder="0" applyAlignment="0" applyProtection="0"/>
    <xf numFmtId="43" fontId="1" fillId="0" borderId="0" applyFont="0" applyFill="0" applyBorder="0" applyAlignment="0" applyProtection="0"/>
    <xf numFmtId="0" fontId="6" fillId="0" borderId="0"/>
    <xf numFmtId="0" fontId="37" fillId="0" borderId="0" applyNumberFormat="0" applyFill="0" applyBorder="0" applyAlignment="0" applyProtection="0">
      <alignment vertical="top"/>
      <protection locked="0"/>
    </xf>
  </cellStyleXfs>
  <cellXfs count="306">
    <xf numFmtId="0" fontId="0" fillId="0" borderId="0" xfId="0"/>
    <xf numFmtId="0" fontId="9" fillId="0" borderId="0" xfId="0" applyFont="1"/>
    <xf numFmtId="0" fontId="10" fillId="0" borderId="0" xfId="0" applyFont="1" applyAlignment="1">
      <alignment horizontal="right"/>
    </xf>
    <xf numFmtId="0" fontId="10" fillId="0" borderId="0" xfId="0" applyFont="1" applyAlignment="1">
      <alignment horizontal="left"/>
    </xf>
    <xf numFmtId="0" fontId="10" fillId="0" borderId="0" xfId="0" applyFont="1"/>
    <xf numFmtId="0" fontId="9" fillId="0" borderId="0" xfId="0" applyFont="1" applyAlignment="1">
      <alignment horizontal="left"/>
    </xf>
    <xf numFmtId="0" fontId="10" fillId="0" borderId="0" xfId="0" applyFont="1" applyBorder="1" applyAlignment="1">
      <alignment horizontal="left"/>
    </xf>
    <xf numFmtId="164" fontId="10" fillId="0" borderId="0" xfId="0" applyNumberFormat="1" applyFont="1" applyAlignment="1">
      <alignment horizontal="left"/>
    </xf>
    <xf numFmtId="0" fontId="11" fillId="0" borderId="0" xfId="0" applyFont="1" applyAlignment="1">
      <alignment horizontal="center"/>
    </xf>
    <xf numFmtId="171" fontId="10" fillId="0" borderId="1" xfId="0" applyNumberFormat="1" applyFont="1" applyBorder="1" applyAlignment="1">
      <alignment horizontal="left"/>
    </xf>
    <xf numFmtId="166" fontId="10" fillId="0" borderId="2" xfId="0" applyNumberFormat="1" applyFont="1" applyBorder="1" applyAlignment="1">
      <alignment horizontal="left"/>
    </xf>
    <xf numFmtId="0" fontId="10" fillId="0" borderId="2" xfId="0" applyFont="1" applyBorder="1" applyAlignment="1">
      <alignment horizontal="left"/>
    </xf>
    <xf numFmtId="169" fontId="10" fillId="0" borderId="2" xfId="0" applyNumberFormat="1" applyFont="1" applyBorder="1" applyAlignment="1">
      <alignment horizontal="left"/>
    </xf>
    <xf numFmtId="2" fontId="10" fillId="0" borderId="2" xfId="0" applyNumberFormat="1" applyFont="1" applyBorder="1" applyAlignment="1">
      <alignment horizontal="left"/>
    </xf>
    <xf numFmtId="0" fontId="10" fillId="0" borderId="3" xfId="0" applyFont="1" applyBorder="1" applyAlignment="1">
      <alignment horizontal="left"/>
    </xf>
    <xf numFmtId="0" fontId="9" fillId="0" borderId="0" xfId="0" applyFont="1" applyAlignment="1">
      <alignment horizontal="right"/>
    </xf>
    <xf numFmtId="164" fontId="9" fillId="0" borderId="0" xfId="0" applyNumberFormat="1" applyFont="1" applyAlignment="1">
      <alignment horizontal="left"/>
    </xf>
    <xf numFmtId="166" fontId="9" fillId="0" borderId="0" xfId="0" applyNumberFormat="1" applyFont="1" applyAlignment="1">
      <alignment horizontal="left"/>
    </xf>
    <xf numFmtId="2" fontId="9" fillId="0" borderId="0" xfId="0" applyNumberFormat="1" applyFont="1" applyAlignment="1">
      <alignment horizontal="left"/>
    </xf>
    <xf numFmtId="3" fontId="9" fillId="0" borderId="0" xfId="0" applyNumberFormat="1" applyFont="1" applyAlignment="1">
      <alignment horizontal="left"/>
    </xf>
    <xf numFmtId="172" fontId="9" fillId="0" borderId="0" xfId="0" applyNumberFormat="1" applyFont="1" applyAlignment="1">
      <alignment horizontal="left"/>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10" fillId="0" borderId="4" xfId="0" applyFont="1" applyBorder="1" applyAlignment="1">
      <alignment horizontal="right"/>
    </xf>
    <xf numFmtId="0" fontId="10" fillId="0" borderId="1" xfId="0" applyFont="1" applyBorder="1" applyAlignment="1">
      <alignment horizontal="center"/>
    </xf>
    <xf numFmtId="170" fontId="10" fillId="0" borderId="9" xfId="0" applyNumberFormat="1" applyFont="1" applyBorder="1" applyAlignment="1">
      <alignment horizontal="center"/>
    </xf>
    <xf numFmtId="0" fontId="10" fillId="0" borderId="10" xfId="0" applyFont="1" applyBorder="1" applyAlignment="1">
      <alignment horizontal="right"/>
    </xf>
    <xf numFmtId="0" fontId="10" fillId="0" borderId="2" xfId="0" applyFont="1" applyBorder="1" applyAlignment="1">
      <alignment horizontal="center"/>
    </xf>
    <xf numFmtId="170" fontId="10" fillId="0" borderId="11" xfId="0" applyNumberFormat="1" applyFont="1" applyBorder="1" applyAlignment="1">
      <alignment horizontal="center"/>
    </xf>
    <xf numFmtId="0" fontId="10" fillId="0" borderId="7" xfId="0" applyFont="1" applyBorder="1" applyAlignment="1">
      <alignment horizontal="right"/>
    </xf>
    <xf numFmtId="0" fontId="10" fillId="0" borderId="3" xfId="0" applyFont="1" applyBorder="1" applyAlignment="1">
      <alignment horizontal="center"/>
    </xf>
    <xf numFmtId="170" fontId="10" fillId="0" borderId="8" xfId="0" applyNumberFormat="1" applyFont="1" applyBorder="1" applyAlignment="1">
      <alignment horizontal="center"/>
    </xf>
    <xf numFmtId="164" fontId="10" fillId="0" borderId="2" xfId="0" applyNumberFormat="1" applyFont="1" applyBorder="1" applyAlignment="1">
      <alignment horizontal="left"/>
    </xf>
    <xf numFmtId="0" fontId="9" fillId="0" borderId="0" xfId="0" applyFont="1" applyBorder="1" applyAlignment="1">
      <alignment horizontal="left"/>
    </xf>
    <xf numFmtId="2" fontId="10" fillId="0" borderId="0" xfId="0" applyNumberFormat="1" applyFont="1" applyAlignment="1">
      <alignment horizontal="left"/>
    </xf>
    <xf numFmtId="165" fontId="10" fillId="0" borderId="0" xfId="0" applyNumberFormat="1" applyFont="1" applyAlignment="1">
      <alignment horizontal="left"/>
    </xf>
    <xf numFmtId="0" fontId="9" fillId="0" borderId="0" xfId="0" applyFont="1" applyAlignment="1">
      <alignment horizontal="center"/>
    </xf>
    <xf numFmtId="166" fontId="10" fillId="0" borderId="0" xfId="0" applyNumberFormat="1" applyFont="1" applyAlignment="1">
      <alignment horizontal="left"/>
    </xf>
    <xf numFmtId="167" fontId="10" fillId="0" borderId="0" xfId="0" applyNumberFormat="1" applyFont="1" applyAlignment="1">
      <alignment horizontal="left"/>
    </xf>
    <xf numFmtId="2" fontId="10" fillId="0" borderId="0" xfId="0" applyNumberFormat="1" applyFont="1" applyAlignment="1">
      <alignment horizontal="center"/>
    </xf>
    <xf numFmtId="164" fontId="10" fillId="0" borderId="0" xfId="0" applyNumberFormat="1" applyFont="1"/>
    <xf numFmtId="165" fontId="10" fillId="0" borderId="0" xfId="0" applyNumberFormat="1" applyFont="1"/>
    <xf numFmtId="0" fontId="12" fillId="0" borderId="0" xfId="0" applyFont="1"/>
    <xf numFmtId="0" fontId="12" fillId="0" borderId="0" xfId="0" applyFont="1" applyAlignment="1">
      <alignment horizontal="left"/>
    </xf>
    <xf numFmtId="171" fontId="9" fillId="0" borderId="0" xfId="0" applyNumberFormat="1" applyFont="1" applyAlignment="1">
      <alignment horizontal="left"/>
    </xf>
    <xf numFmtId="164" fontId="9" fillId="0" borderId="12" xfId="0" applyNumberFormat="1" applyFont="1" applyBorder="1" applyAlignment="1">
      <alignment horizontal="left"/>
    </xf>
    <xf numFmtId="0" fontId="9" fillId="0" borderId="12" xfId="0" applyFont="1" applyBorder="1" applyAlignment="1">
      <alignment horizontal="left"/>
    </xf>
    <xf numFmtId="0" fontId="10" fillId="0" borderId="0" xfId="0" applyFont="1" applyAlignment="1">
      <alignment horizontal="center"/>
    </xf>
    <xf numFmtId="0" fontId="10" fillId="0" borderId="10" xfId="0" applyFont="1" applyBorder="1" applyAlignment="1">
      <alignment horizontal="left"/>
    </xf>
    <xf numFmtId="0" fontId="10" fillId="0" borderId="11" xfId="0" applyFont="1" applyBorder="1"/>
    <xf numFmtId="0" fontId="10" fillId="0" borderId="11" xfId="0" applyFont="1" applyBorder="1" applyAlignment="1">
      <alignment horizontal="left"/>
    </xf>
    <xf numFmtId="0" fontId="6" fillId="0" borderId="10" xfId="0" applyFont="1" applyBorder="1" applyAlignment="1">
      <alignment horizontal="left"/>
    </xf>
    <xf numFmtId="164" fontId="10" fillId="0" borderId="7" xfId="0" applyNumberFormat="1" applyFont="1" applyBorder="1" applyAlignment="1">
      <alignment horizontal="left"/>
    </xf>
    <xf numFmtId="0" fontId="10" fillId="0" borderId="8" xfId="0" applyFont="1" applyBorder="1" applyAlignment="1">
      <alignment horizontal="left"/>
    </xf>
    <xf numFmtId="171" fontId="10" fillId="0" borderId="2" xfId="0" applyNumberFormat="1" applyFont="1" applyBorder="1" applyAlignment="1">
      <alignment horizontal="center"/>
    </xf>
    <xf numFmtId="2" fontId="10" fillId="0" borderId="2" xfId="0" applyNumberFormat="1" applyFont="1" applyBorder="1" applyAlignment="1">
      <alignment horizontal="center"/>
    </xf>
    <xf numFmtId="164" fontId="10" fillId="0" borderId="2" xfId="0" applyNumberFormat="1" applyFont="1" applyBorder="1" applyAlignment="1">
      <alignment horizontal="center"/>
    </xf>
    <xf numFmtId="166" fontId="10" fillId="0" borderId="2" xfId="0" applyNumberFormat="1" applyFont="1" applyBorder="1" applyAlignment="1">
      <alignment horizontal="center"/>
    </xf>
    <xf numFmtId="2" fontId="10" fillId="0" borderId="3" xfId="0" applyNumberFormat="1" applyFont="1" applyBorder="1" applyAlignment="1">
      <alignment horizontal="center"/>
    </xf>
    <xf numFmtId="0" fontId="10" fillId="0" borderId="5" xfId="0" applyFont="1" applyBorder="1" applyAlignment="1">
      <alignment horizontal="left"/>
    </xf>
    <xf numFmtId="0" fontId="11" fillId="0" borderId="12" xfId="0" applyFont="1" applyBorder="1" applyAlignment="1">
      <alignment horizontal="center"/>
    </xf>
    <xf numFmtId="0" fontId="10" fillId="0" borderId="6" xfId="0" applyFont="1" applyBorder="1"/>
    <xf numFmtId="0" fontId="0" fillId="0" borderId="0" xfId="0" applyAlignment="1">
      <alignment horizontal="right"/>
    </xf>
    <xf numFmtId="171" fontId="10" fillId="0" borderId="3" xfId="0" applyNumberFormat="1" applyFont="1" applyBorder="1" applyAlignment="1">
      <alignment horizontal="center"/>
    </xf>
    <xf numFmtId="0" fontId="9" fillId="0" borderId="12" xfId="0" applyFont="1" applyBorder="1" applyAlignment="1">
      <alignment horizontal="center"/>
    </xf>
    <xf numFmtId="0" fontId="12" fillId="0" borderId="0" xfId="0" applyFont="1" applyBorder="1" applyAlignment="1">
      <alignment horizontal="center"/>
    </xf>
    <xf numFmtId="0" fontId="11" fillId="0" borderId="1" xfId="0" applyFont="1" applyBorder="1" applyAlignment="1">
      <alignment horizontal="center"/>
    </xf>
    <xf numFmtId="171" fontId="10" fillId="0" borderId="0" xfId="0" applyNumberFormat="1" applyFont="1" applyBorder="1" applyAlignment="1">
      <alignment horizontal="left"/>
    </xf>
    <xf numFmtId="166" fontId="10" fillId="0" borderId="0" xfId="0" applyNumberFormat="1" applyFont="1" applyBorder="1" applyAlignment="1">
      <alignment horizontal="left"/>
    </xf>
    <xf numFmtId="0" fontId="10" fillId="0" borderId="0" xfId="0" applyFont="1" applyBorder="1" applyAlignment="1">
      <alignment horizontal="right"/>
    </xf>
    <xf numFmtId="0" fontId="11" fillId="0" borderId="0" xfId="0" applyFont="1" applyBorder="1" applyAlignment="1">
      <alignment horizontal="right"/>
    </xf>
    <xf numFmtId="0" fontId="12" fillId="0" borderId="0" xfId="0" applyFont="1" applyBorder="1" applyAlignment="1">
      <alignment horizontal="left"/>
    </xf>
    <xf numFmtId="0" fontId="11" fillId="0" borderId="0" xfId="0" applyFont="1" applyBorder="1" applyAlignment="1">
      <alignment horizontal="center"/>
    </xf>
    <xf numFmtId="0" fontId="9" fillId="0" borderId="0" xfId="0" applyFont="1" applyBorder="1" applyAlignment="1">
      <alignment horizontal="right"/>
    </xf>
    <xf numFmtId="0" fontId="9" fillId="0" borderId="0" xfId="0" applyFont="1" applyBorder="1"/>
    <xf numFmtId="164" fontId="9" fillId="0" borderId="0" xfId="0" applyNumberFormat="1" applyFont="1" applyBorder="1" applyAlignment="1">
      <alignment horizontal="left"/>
    </xf>
    <xf numFmtId="166" fontId="9" fillId="0" borderId="0" xfId="0" applyNumberFormat="1" applyFont="1" applyBorder="1" applyAlignment="1">
      <alignment horizontal="left"/>
    </xf>
    <xf numFmtId="2" fontId="9" fillId="0" borderId="0" xfId="0" applyNumberFormat="1" applyFont="1" applyBorder="1" applyAlignment="1">
      <alignment horizontal="left"/>
    </xf>
    <xf numFmtId="3" fontId="9" fillId="0" borderId="0" xfId="0" applyNumberFormat="1" applyFont="1" applyBorder="1" applyAlignment="1">
      <alignment horizontal="left"/>
    </xf>
    <xf numFmtId="172" fontId="9" fillId="0" borderId="0" xfId="0" applyNumberFormat="1" applyFont="1" applyBorder="1" applyAlignment="1">
      <alignment horizontal="left"/>
    </xf>
    <xf numFmtId="0" fontId="10" fillId="0" borderId="0" xfId="0" applyFont="1" applyBorder="1"/>
    <xf numFmtId="171" fontId="9" fillId="0" borderId="0" xfId="0" applyNumberFormat="1" applyFont="1" applyBorder="1" applyAlignment="1">
      <alignment horizontal="left"/>
    </xf>
    <xf numFmtId="0" fontId="12" fillId="0" borderId="0" xfId="0" applyFont="1" applyBorder="1" applyAlignment="1">
      <alignment horizontal="right"/>
    </xf>
    <xf numFmtId="0" fontId="12" fillId="0" borderId="0" xfId="0" applyFont="1" applyBorder="1"/>
    <xf numFmtId="0" fontId="10" fillId="0" borderId="0" xfId="0" applyFont="1" applyBorder="1" applyAlignment="1">
      <alignment horizontal="center"/>
    </xf>
    <xf numFmtId="166" fontId="10" fillId="0" borderId="0" xfId="0" applyNumberFormat="1" applyFont="1" applyBorder="1" applyAlignment="1">
      <alignment horizontal="center"/>
    </xf>
    <xf numFmtId="2" fontId="10" fillId="0" borderId="0" xfId="0" applyNumberFormat="1" applyFont="1" applyBorder="1" applyAlignment="1">
      <alignment horizontal="center"/>
    </xf>
    <xf numFmtId="164" fontId="10" fillId="0" borderId="0" xfId="0" applyNumberFormat="1" applyFont="1" applyBorder="1" applyAlignment="1">
      <alignment horizontal="center"/>
    </xf>
    <xf numFmtId="0" fontId="6" fillId="0" borderId="0" xfId="0" applyFont="1" applyBorder="1" applyAlignment="1">
      <alignment horizontal="left"/>
    </xf>
    <xf numFmtId="171" fontId="10" fillId="0" borderId="0" xfId="0" applyNumberFormat="1" applyFont="1" applyBorder="1" applyAlignment="1">
      <alignment horizontal="center"/>
    </xf>
    <xf numFmtId="164" fontId="10" fillId="0" borderId="0" xfId="0" applyNumberFormat="1" applyFont="1" applyBorder="1" applyAlignment="1">
      <alignment horizontal="left"/>
    </xf>
    <xf numFmtId="169" fontId="10" fillId="0" borderId="0" xfId="0" applyNumberFormat="1" applyFont="1" applyBorder="1" applyAlignment="1">
      <alignment horizontal="left"/>
    </xf>
    <xf numFmtId="2" fontId="10" fillId="0" borderId="0" xfId="0" applyNumberFormat="1" applyFont="1" applyBorder="1" applyAlignment="1">
      <alignment horizontal="left"/>
    </xf>
    <xf numFmtId="0" fontId="9" fillId="0" borderId="0" xfId="0" applyFont="1" applyBorder="1" applyAlignment="1">
      <alignment horizontal="center"/>
    </xf>
    <xf numFmtId="170" fontId="10" fillId="0" borderId="0" xfId="0" applyNumberFormat="1" applyFont="1" applyBorder="1" applyAlignment="1">
      <alignment horizontal="center"/>
    </xf>
    <xf numFmtId="0" fontId="13" fillId="0" borderId="0" xfId="0" applyFont="1"/>
    <xf numFmtId="1" fontId="9" fillId="0" borderId="0" xfId="0" applyNumberFormat="1" applyFont="1" applyBorder="1" applyAlignment="1">
      <alignment horizontal="left"/>
    </xf>
    <xf numFmtId="9" fontId="10" fillId="0" borderId="2" xfId="0" applyNumberFormat="1" applyFont="1" applyBorder="1" applyAlignment="1">
      <alignment horizontal="left"/>
    </xf>
    <xf numFmtId="9" fontId="10" fillId="0" borderId="3" xfId="0" applyNumberFormat="1" applyFont="1" applyBorder="1" applyAlignment="1">
      <alignment horizontal="left"/>
    </xf>
    <xf numFmtId="0" fontId="17" fillId="0" borderId="0" xfId="0" applyFont="1"/>
    <xf numFmtId="0" fontId="18" fillId="0" borderId="0" xfId="0" applyFont="1" applyAlignment="1">
      <alignment horizontal="left" readingOrder="1"/>
    </xf>
    <xf numFmtId="0" fontId="18" fillId="0" borderId="0" xfId="0" applyFont="1"/>
    <xf numFmtId="0" fontId="5" fillId="0" borderId="0" xfId="0" applyFont="1" applyAlignment="1">
      <alignment horizontal="right"/>
    </xf>
    <xf numFmtId="171" fontId="10" fillId="0" borderId="2" xfId="0" applyNumberFormat="1" applyFont="1" applyBorder="1" applyAlignment="1">
      <alignment horizontal="left"/>
    </xf>
    <xf numFmtId="0" fontId="9" fillId="0" borderId="7" xfId="0" applyFont="1" applyBorder="1" applyAlignment="1">
      <alignment horizontal="right"/>
    </xf>
    <xf numFmtId="0" fontId="9" fillId="0" borderId="5" xfId="0" applyFont="1" applyBorder="1" applyAlignment="1"/>
    <xf numFmtId="0" fontId="10" fillId="0" borderId="12" xfId="0" applyFont="1" applyBorder="1" applyAlignment="1">
      <alignment horizontal="center"/>
    </xf>
    <xf numFmtId="0" fontId="20" fillId="0" borderId="0" xfId="0" applyFont="1"/>
    <xf numFmtId="0" fontId="21" fillId="0" borderId="0" xfId="0" applyFont="1" applyAlignment="1">
      <alignment horizontal="left"/>
    </xf>
    <xf numFmtId="0" fontId="9" fillId="0" borderId="5" xfId="0" applyFont="1" applyBorder="1" applyAlignment="1">
      <alignment horizontal="left"/>
    </xf>
    <xf numFmtId="165" fontId="9" fillId="0" borderId="0" xfId="0" applyNumberFormat="1" applyFont="1" applyAlignment="1">
      <alignment horizontal="left"/>
    </xf>
    <xf numFmtId="0" fontId="23" fillId="0" borderId="0" xfId="0" applyFont="1" applyBorder="1" applyAlignment="1">
      <alignment horizontal="left"/>
    </xf>
    <xf numFmtId="0" fontId="15" fillId="0" borderId="0" xfId="5" applyAlignment="1" applyProtection="1"/>
    <xf numFmtId="2" fontId="0" fillId="0" borderId="1" xfId="0" applyNumberFormat="1" applyBorder="1" applyAlignment="1">
      <alignment horizontal="right"/>
    </xf>
    <xf numFmtId="0" fontId="0" fillId="0" borderId="2" xfId="0" applyBorder="1" applyAlignment="1">
      <alignment horizontal="right"/>
    </xf>
    <xf numFmtId="169" fontId="0" fillId="0" borderId="2" xfId="0" applyNumberFormat="1" applyBorder="1" applyAlignment="1">
      <alignment horizontal="right"/>
    </xf>
    <xf numFmtId="0" fontId="0" fillId="0" borderId="3" xfId="0" applyBorder="1" applyAlignment="1">
      <alignment horizontal="right"/>
    </xf>
    <xf numFmtId="0" fontId="10" fillId="0" borderId="13" xfId="0" applyFont="1" applyBorder="1" applyAlignment="1">
      <alignment horizontal="center"/>
    </xf>
    <xf numFmtId="0" fontId="10" fillId="0" borderId="9" xfId="0" applyFont="1" applyBorder="1" applyAlignment="1">
      <alignment horizontal="center"/>
    </xf>
    <xf numFmtId="0" fontId="10" fillId="0" borderId="11"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169" fontId="10" fillId="0" borderId="11" xfId="0" applyNumberFormat="1" applyFont="1" applyBorder="1" applyAlignment="1">
      <alignment horizontal="center"/>
    </xf>
    <xf numFmtId="0" fontId="9" fillId="0" borderId="4" xfId="0" applyFont="1" applyBorder="1" applyAlignment="1">
      <alignment horizontal="left"/>
    </xf>
    <xf numFmtId="170" fontId="9" fillId="0" borderId="0" xfId="0" applyNumberFormat="1" applyFont="1" applyAlignment="1">
      <alignment horizontal="left"/>
    </xf>
    <xf numFmtId="0" fontId="2" fillId="0" borderId="0" xfId="0" applyFont="1" applyAlignment="1">
      <alignment horizontal="right"/>
    </xf>
    <xf numFmtId="0" fontId="0" fillId="0" borderId="0" xfId="0" applyAlignment="1">
      <alignment horizontal="left"/>
    </xf>
    <xf numFmtId="0" fontId="24" fillId="0" borderId="0" xfId="0" applyFont="1"/>
    <xf numFmtId="0" fontId="15" fillId="0" borderId="0" xfId="5" applyAlignment="1" applyProtection="1">
      <alignment horizontal="left"/>
    </xf>
    <xf numFmtId="0" fontId="9" fillId="0" borderId="0" xfId="0" applyFont="1" applyAlignment="1"/>
    <xf numFmtId="0" fontId="10" fillId="0" borderId="0" xfId="0" applyFont="1" applyAlignment="1"/>
    <xf numFmtId="1" fontId="10" fillId="0" borderId="1" xfId="0" applyNumberFormat="1" applyFont="1" applyBorder="1" applyAlignment="1" applyProtection="1">
      <alignment horizontal="left"/>
      <protection locked="0"/>
    </xf>
    <xf numFmtId="1" fontId="10" fillId="0" borderId="2" xfId="0" applyNumberFormat="1" applyFont="1" applyBorder="1" applyAlignment="1" applyProtection="1">
      <alignment horizontal="left"/>
      <protection locked="0"/>
    </xf>
    <xf numFmtId="9" fontId="10" fillId="0" borderId="2" xfId="0" applyNumberFormat="1" applyFont="1" applyBorder="1" applyAlignment="1" applyProtection="1">
      <alignment horizontal="left"/>
      <protection locked="0"/>
    </xf>
    <xf numFmtId="9" fontId="10" fillId="0" borderId="3" xfId="0" applyNumberFormat="1" applyFont="1" applyBorder="1" applyAlignment="1" applyProtection="1">
      <alignment horizontal="left"/>
      <protection locked="0"/>
    </xf>
    <xf numFmtId="0" fontId="9" fillId="0" borderId="12" xfId="0" applyFont="1" applyBorder="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0" fillId="0" borderId="0" xfId="0" applyAlignment="1" applyProtection="1">
      <alignment horizontal="right"/>
      <protection locked="0"/>
    </xf>
    <xf numFmtId="0" fontId="9" fillId="0" borderId="10" xfId="0" applyFont="1" applyBorder="1"/>
    <xf numFmtId="0" fontId="10" fillId="0" borderId="0" xfId="0" applyFont="1" applyAlignment="1" applyProtection="1">
      <alignment horizontal="right"/>
      <protection locked="0"/>
    </xf>
    <xf numFmtId="171" fontId="10" fillId="0" borderId="1" xfId="0" applyNumberFormat="1" applyFont="1" applyBorder="1" applyAlignment="1" applyProtection="1">
      <alignment horizontal="left"/>
      <protection locked="0"/>
    </xf>
    <xf numFmtId="166" fontId="10" fillId="0" borderId="2" xfId="0" applyNumberFormat="1" applyFont="1" applyBorder="1" applyAlignment="1" applyProtection="1">
      <alignment horizontal="left"/>
      <protection locked="0"/>
    </xf>
    <xf numFmtId="0" fontId="10" fillId="0" borderId="2" xfId="0" applyFont="1" applyBorder="1" applyAlignment="1" applyProtection="1">
      <alignment horizontal="left"/>
      <protection locked="0"/>
    </xf>
    <xf numFmtId="169" fontId="10" fillId="0" borderId="2" xfId="0" applyNumberFormat="1" applyFont="1" applyBorder="1" applyAlignment="1" applyProtection="1">
      <alignment horizontal="left"/>
      <protection locked="0"/>
    </xf>
    <xf numFmtId="2" fontId="10" fillId="0" borderId="2" xfId="0" applyNumberFormat="1" applyFont="1" applyBorder="1" applyAlignment="1" applyProtection="1">
      <alignment horizontal="left"/>
      <protection locked="0"/>
    </xf>
    <xf numFmtId="0" fontId="10" fillId="0" borderId="1" xfId="0" applyFont="1" applyBorder="1" applyAlignment="1" applyProtection="1">
      <alignment horizontal="left"/>
      <protection locked="0"/>
    </xf>
    <xf numFmtId="3" fontId="10" fillId="0" borderId="2" xfId="0" applyNumberFormat="1" applyFont="1" applyBorder="1" applyAlignment="1" applyProtection="1">
      <alignment horizontal="left"/>
      <protection locked="0"/>
    </xf>
    <xf numFmtId="165" fontId="10" fillId="0" borderId="2" xfId="0" applyNumberFormat="1" applyFont="1" applyBorder="1" applyAlignment="1" applyProtection="1">
      <alignment horizontal="left"/>
      <protection locked="0"/>
    </xf>
    <xf numFmtId="0" fontId="10" fillId="0" borderId="3" xfId="0" applyFont="1" applyBorder="1" applyAlignment="1" applyProtection="1">
      <alignment horizontal="left"/>
      <protection locked="0"/>
    </xf>
    <xf numFmtId="164" fontId="10" fillId="0" borderId="2" xfId="0" applyNumberFormat="1" applyFont="1" applyBorder="1" applyAlignment="1" applyProtection="1">
      <alignment horizontal="left"/>
      <protection locked="0"/>
    </xf>
    <xf numFmtId="164" fontId="9" fillId="0" borderId="12" xfId="0" applyNumberFormat="1" applyFont="1" applyBorder="1" applyAlignment="1" applyProtection="1">
      <alignment horizontal="left"/>
      <protection locked="0"/>
    </xf>
    <xf numFmtId="166" fontId="9" fillId="0" borderId="12" xfId="0" applyNumberFormat="1" applyFont="1" applyBorder="1" applyAlignment="1" applyProtection="1">
      <alignment horizontal="left"/>
      <protection locked="0"/>
    </xf>
    <xf numFmtId="171" fontId="10" fillId="0" borderId="0" xfId="0" applyNumberFormat="1" applyFont="1" applyBorder="1" applyAlignment="1" applyProtection="1">
      <alignment horizontal="left"/>
      <protection locked="0"/>
    </xf>
    <xf numFmtId="166" fontId="10" fillId="0" borderId="0" xfId="0" applyNumberFormat="1" applyFont="1" applyBorder="1" applyAlignment="1" applyProtection="1">
      <alignment horizontal="left"/>
      <protection locked="0"/>
    </xf>
    <xf numFmtId="0" fontId="10" fillId="0" borderId="0" xfId="0" applyFont="1" applyBorder="1" applyAlignment="1" applyProtection="1">
      <alignment horizontal="left"/>
      <protection locked="0"/>
    </xf>
    <xf numFmtId="169" fontId="10" fillId="0" borderId="0" xfId="0" applyNumberFormat="1" applyFont="1" applyBorder="1" applyAlignment="1" applyProtection="1">
      <alignment horizontal="left"/>
      <protection locked="0"/>
    </xf>
    <xf numFmtId="2" fontId="10" fillId="0" borderId="0" xfId="0" applyNumberFormat="1" applyFont="1" applyBorder="1" applyAlignment="1" applyProtection="1">
      <alignment horizontal="left"/>
      <protection locked="0"/>
    </xf>
    <xf numFmtId="170" fontId="10" fillId="0" borderId="0" xfId="0" applyNumberFormat="1" applyFont="1" applyAlignment="1" applyProtection="1">
      <alignment horizontal="center"/>
      <protection locked="0"/>
    </xf>
    <xf numFmtId="171" fontId="10" fillId="0" borderId="2" xfId="0" applyNumberFormat="1" applyFont="1" applyBorder="1" applyAlignment="1" applyProtection="1">
      <alignment horizontal="left"/>
      <protection locked="0"/>
    </xf>
    <xf numFmtId="0" fontId="10" fillId="0" borderId="0" xfId="0" applyFont="1" applyBorder="1" applyAlignment="1" applyProtection="1">
      <alignment horizontal="center"/>
      <protection locked="0"/>
    </xf>
    <xf numFmtId="0" fontId="12" fillId="0" borderId="0" xfId="0" applyFont="1" applyAlignment="1" applyProtection="1">
      <alignment horizontal="left"/>
      <protection locked="0"/>
    </xf>
    <xf numFmtId="0" fontId="11" fillId="0" borderId="0" xfId="0" applyFont="1" applyAlignment="1" applyProtection="1">
      <alignment horizontal="center"/>
      <protection locked="0"/>
    </xf>
    <xf numFmtId="0" fontId="10" fillId="0" borderId="0" xfId="0" applyFont="1" applyAlignment="1" applyProtection="1">
      <alignment horizontal="left"/>
      <protection locked="0"/>
    </xf>
    <xf numFmtId="0" fontId="9" fillId="0" borderId="0" xfId="0" applyFont="1" applyAlignment="1" applyProtection="1">
      <alignment horizontal="right"/>
      <protection locked="0"/>
    </xf>
    <xf numFmtId="0" fontId="9" fillId="0" borderId="0" xfId="0" applyFont="1" applyAlignment="1" applyProtection="1">
      <alignment horizontal="left"/>
      <protection locked="0"/>
    </xf>
    <xf numFmtId="166" fontId="9" fillId="0" borderId="0" xfId="0" applyNumberFormat="1" applyFont="1" applyAlignment="1" applyProtection="1">
      <alignment horizontal="left"/>
      <protection locked="0"/>
    </xf>
    <xf numFmtId="0" fontId="9" fillId="0" borderId="12" xfId="0" applyFont="1" applyBorder="1" applyAlignment="1" applyProtection="1">
      <alignment horizontal="center"/>
      <protection locked="0"/>
    </xf>
    <xf numFmtId="166" fontId="10" fillId="0" borderId="1" xfId="0" applyNumberFormat="1" applyFont="1" applyBorder="1" applyAlignment="1" applyProtection="1">
      <alignment horizontal="center"/>
    </xf>
    <xf numFmtId="166" fontId="10" fillId="0" borderId="2" xfId="0" applyNumberFormat="1" applyFont="1" applyBorder="1" applyAlignment="1" applyProtection="1">
      <alignment horizontal="center"/>
    </xf>
    <xf numFmtId="166" fontId="10" fillId="0" borderId="3" xfId="0" applyNumberFormat="1" applyFont="1" applyBorder="1" applyAlignment="1" applyProtection="1">
      <alignment horizontal="center"/>
    </xf>
    <xf numFmtId="166" fontId="9" fillId="0" borderId="12" xfId="0" applyNumberFormat="1" applyFont="1" applyBorder="1" applyAlignment="1" applyProtection="1">
      <alignment horizontal="center"/>
    </xf>
    <xf numFmtId="0" fontId="10" fillId="0" borderId="0" xfId="0" applyFont="1" applyBorder="1" applyProtection="1">
      <protection locked="0"/>
    </xf>
    <xf numFmtId="0" fontId="10" fillId="0" borderId="2" xfId="0" applyFont="1" applyBorder="1" applyAlignment="1" applyProtection="1">
      <alignment horizontal="center"/>
      <protection locked="0"/>
    </xf>
    <xf numFmtId="0" fontId="10" fillId="0" borderId="1" xfId="0" applyFont="1" applyBorder="1" applyAlignment="1" applyProtection="1">
      <alignment horizontal="center"/>
      <protection locked="0"/>
    </xf>
    <xf numFmtId="171" fontId="10" fillId="0" borderId="2" xfId="0" applyNumberFormat="1" applyFont="1" applyBorder="1" applyAlignment="1" applyProtection="1">
      <alignment horizontal="center"/>
      <protection locked="0"/>
    </xf>
    <xf numFmtId="0" fontId="10" fillId="0" borderId="3" xfId="0" applyFont="1" applyBorder="1" applyAlignment="1" applyProtection="1">
      <alignment horizontal="center"/>
      <protection locked="0"/>
    </xf>
    <xf numFmtId="171" fontId="10" fillId="0" borderId="3" xfId="0" applyNumberFormat="1" applyFont="1" applyBorder="1" applyAlignment="1" applyProtection="1">
      <alignment horizontal="center"/>
      <protection locked="0"/>
    </xf>
    <xf numFmtId="0" fontId="15" fillId="0" borderId="0" xfId="5" applyAlignment="1" applyProtection="1">
      <protection locked="0"/>
    </xf>
    <xf numFmtId="0" fontId="9" fillId="0" borderId="0" xfId="0" applyFont="1" applyProtection="1"/>
    <xf numFmtId="0" fontId="27" fillId="0" borderId="0" xfId="0" applyFont="1" applyAlignment="1" applyProtection="1">
      <alignment horizontal="left"/>
    </xf>
    <xf numFmtId="0" fontId="28" fillId="0" borderId="0" xfId="0" applyFont="1" applyProtection="1"/>
    <xf numFmtId="0" fontId="10" fillId="0" borderId="0" xfId="0" applyFont="1" applyAlignment="1" applyProtection="1">
      <alignment horizontal="center"/>
      <protection locked="0"/>
    </xf>
    <xf numFmtId="0" fontId="23" fillId="0" borderId="0" xfId="0" applyFont="1" applyBorder="1" applyAlignment="1">
      <alignment horizontal="center"/>
    </xf>
    <xf numFmtId="0" fontId="9" fillId="0" borderId="0" xfId="0" applyFont="1" applyAlignment="1" applyProtection="1">
      <alignment horizontal="center"/>
      <protection locked="0"/>
    </xf>
    <xf numFmtId="171" fontId="9" fillId="0" borderId="0" xfId="0" applyNumberFormat="1" applyFont="1" applyBorder="1" applyAlignment="1">
      <alignment horizontal="center"/>
    </xf>
    <xf numFmtId="1" fontId="9" fillId="0" borderId="0" xfId="0" applyNumberFormat="1" applyFont="1" applyAlignment="1">
      <alignment horizontal="left"/>
    </xf>
    <xf numFmtId="166" fontId="27" fillId="0" borderId="0" xfId="0" applyNumberFormat="1" applyFont="1" applyBorder="1" applyAlignment="1">
      <alignment horizontal="left"/>
    </xf>
    <xf numFmtId="0" fontId="34" fillId="0" borderId="0" xfId="0" applyFont="1" applyAlignment="1">
      <alignment horizontal="right"/>
    </xf>
    <xf numFmtId="0" fontId="9" fillId="0" borderId="1"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3" xfId="0" applyFont="1" applyBorder="1" applyAlignment="1" applyProtection="1">
      <alignment horizontal="left"/>
      <protection locked="0"/>
    </xf>
    <xf numFmtId="166" fontId="10" fillId="0" borderId="1" xfId="0" applyNumberFormat="1" applyFont="1" applyBorder="1" applyAlignment="1" applyProtection="1">
      <alignment horizontal="left"/>
      <protection locked="0"/>
    </xf>
    <xf numFmtId="0" fontId="10" fillId="0" borderId="1" xfId="0" applyFont="1" applyBorder="1" applyProtection="1">
      <protection locked="0"/>
    </xf>
    <xf numFmtId="3" fontId="10" fillId="0" borderId="3" xfId="0" applyNumberFormat="1" applyFont="1" applyBorder="1" applyAlignment="1" applyProtection="1">
      <alignment horizontal="left"/>
      <protection locked="0"/>
    </xf>
    <xf numFmtId="0" fontId="9" fillId="0" borderId="12" xfId="0" quotePrefix="1" applyFont="1" applyBorder="1" applyAlignment="1" applyProtection="1">
      <alignment horizontal="left"/>
      <protection locked="0"/>
    </xf>
    <xf numFmtId="0" fontId="35" fillId="0" borderId="0" xfId="0" applyFont="1" applyAlignment="1">
      <alignment horizontal="left"/>
    </xf>
    <xf numFmtId="0" fontId="9" fillId="0" borderId="0" xfId="0" applyFont="1" applyAlignment="1" applyProtection="1">
      <alignment horizontal="left"/>
    </xf>
    <xf numFmtId="0" fontId="11" fillId="0" borderId="0" xfId="0" applyFont="1" applyAlignment="1" applyProtection="1">
      <alignment horizontal="center"/>
    </xf>
    <xf numFmtId="0" fontId="10" fillId="0" borderId="0" xfId="0" applyFont="1" applyProtection="1"/>
    <xf numFmtId="0" fontId="10" fillId="0" borderId="0" xfId="0" applyFont="1" applyAlignment="1" applyProtection="1">
      <alignment horizontal="right"/>
    </xf>
    <xf numFmtId="166" fontId="10" fillId="0" borderId="1" xfId="0" applyNumberFormat="1" applyFont="1" applyBorder="1" applyAlignment="1" applyProtection="1">
      <alignment horizontal="left"/>
    </xf>
    <xf numFmtId="166" fontId="10" fillId="0" borderId="2" xfId="0" applyNumberFormat="1" applyFont="1" applyBorder="1" applyAlignment="1" applyProtection="1">
      <alignment horizontal="left"/>
    </xf>
    <xf numFmtId="166" fontId="10" fillId="0" borderId="3" xfId="0" applyNumberFormat="1" applyFont="1" applyBorder="1" applyAlignment="1" applyProtection="1">
      <alignment horizontal="left"/>
    </xf>
    <xf numFmtId="0" fontId="9" fillId="0" borderId="0" xfId="0" applyFont="1" applyAlignment="1" applyProtection="1">
      <alignment horizontal="right"/>
    </xf>
    <xf numFmtId="166" fontId="9" fillId="0" borderId="0" xfId="0" applyNumberFormat="1" applyFont="1" applyAlignment="1" applyProtection="1">
      <alignment horizontal="left"/>
    </xf>
    <xf numFmtId="166" fontId="10" fillId="0" borderId="3" xfId="0" applyNumberFormat="1" applyFont="1" applyBorder="1" applyAlignment="1" applyProtection="1">
      <alignment horizontal="left"/>
      <protection locked="0"/>
    </xf>
    <xf numFmtId="171" fontId="9" fillId="3" borderId="12" xfId="0" applyNumberFormat="1" applyFont="1" applyFill="1" applyBorder="1" applyAlignment="1" applyProtection="1">
      <alignment horizontal="left"/>
      <protection locked="0"/>
    </xf>
    <xf numFmtId="171" fontId="9" fillId="3" borderId="12" xfId="0" applyNumberFormat="1" applyFont="1" applyFill="1" applyBorder="1" applyAlignment="1" applyProtection="1">
      <alignment horizontal="left"/>
    </xf>
    <xf numFmtId="171" fontId="9" fillId="0" borderId="0" xfId="0" applyNumberFormat="1" applyFont="1" applyFill="1" applyBorder="1" applyAlignment="1" applyProtection="1">
      <alignment horizontal="left"/>
      <protection locked="0"/>
    </xf>
    <xf numFmtId="166" fontId="9" fillId="0" borderId="0" xfId="0" applyNumberFormat="1" applyFont="1" applyBorder="1" applyAlignment="1" applyProtection="1">
      <alignment horizontal="left"/>
      <protection locked="0"/>
    </xf>
    <xf numFmtId="0" fontId="13" fillId="0" borderId="0" xfId="0" applyFont="1" applyAlignment="1">
      <alignment horizontal="left"/>
    </xf>
    <xf numFmtId="0" fontId="25" fillId="0" borderId="0" xfId="0" applyFont="1"/>
    <xf numFmtId="0" fontId="13" fillId="0" borderId="0" xfId="0" applyFont="1" applyBorder="1" applyAlignment="1">
      <alignment horizontal="center"/>
    </xf>
    <xf numFmtId="0" fontId="17" fillId="0" borderId="0" xfId="0" applyFont="1" applyBorder="1" applyAlignment="1">
      <alignment horizontal="right"/>
    </xf>
    <xf numFmtId="0" fontId="12" fillId="0" borderId="0" xfId="0" applyFont="1" applyAlignment="1" applyProtection="1">
      <alignment horizontal="left"/>
    </xf>
    <xf numFmtId="166" fontId="10" fillId="0" borderId="3" xfId="0" applyNumberFormat="1" applyFont="1" applyBorder="1" applyAlignment="1">
      <alignment horizontal="center"/>
    </xf>
    <xf numFmtId="2" fontId="9" fillId="3" borderId="12" xfId="0" applyNumberFormat="1" applyFont="1" applyFill="1" applyBorder="1" applyAlignment="1" applyProtection="1">
      <alignment horizontal="left"/>
      <protection locked="0"/>
    </xf>
    <xf numFmtId="1" fontId="10" fillId="0" borderId="0" xfId="0" applyNumberFormat="1" applyFont="1" applyBorder="1" applyAlignment="1" applyProtection="1">
      <alignment horizontal="left"/>
      <protection locked="0"/>
    </xf>
    <xf numFmtId="171" fontId="10" fillId="0" borderId="0" xfId="0" applyNumberFormat="1" applyFont="1" applyAlignment="1">
      <alignment horizontal="left"/>
    </xf>
    <xf numFmtId="0" fontId="0" fillId="0" borderId="0" xfId="0" applyAlignment="1">
      <alignment horizontal="center" wrapText="1"/>
    </xf>
    <xf numFmtId="0" fontId="0" fillId="0" borderId="0" xfId="0" applyAlignment="1">
      <alignment horizontal="center"/>
    </xf>
    <xf numFmtId="0" fontId="9" fillId="0" borderId="0" xfId="0" applyFont="1" applyAlignment="1">
      <alignment horizontal="center" vertical="center" wrapText="1"/>
    </xf>
    <xf numFmtId="0" fontId="10" fillId="0" borderId="0" xfId="0" applyFont="1" applyAlignment="1">
      <alignment horizontal="center" wrapText="1"/>
    </xf>
    <xf numFmtId="171" fontId="10" fillId="0" borderId="0" xfId="0" applyNumberFormat="1" applyFont="1" applyAlignment="1">
      <alignment horizontal="center" wrapText="1"/>
    </xf>
    <xf numFmtId="165" fontId="10" fillId="0" borderId="0" xfId="0" applyNumberFormat="1" applyFont="1" applyAlignment="1">
      <alignment horizontal="center"/>
    </xf>
    <xf numFmtId="171" fontId="10" fillId="0" borderId="0" xfId="0" applyNumberFormat="1" applyFont="1" applyAlignment="1" applyProtection="1">
      <alignment horizontal="left"/>
      <protection locked="0"/>
    </xf>
    <xf numFmtId="0" fontId="9" fillId="0" borderId="0" xfId="0" applyFont="1" applyProtection="1">
      <protection locked="0"/>
    </xf>
    <xf numFmtId="0" fontId="10" fillId="0" borderId="12" xfId="0" applyFont="1" applyBorder="1" applyAlignment="1">
      <alignment horizontal="left"/>
    </xf>
    <xf numFmtId="0" fontId="12" fillId="0" borderId="0" xfId="0" applyFont="1" applyProtection="1">
      <protection locked="0"/>
    </xf>
    <xf numFmtId="0" fontId="9" fillId="0" borderId="1" xfId="0" applyFont="1" applyBorder="1" applyAlignment="1">
      <alignment horizontal="center"/>
    </xf>
    <xf numFmtId="0" fontId="9" fillId="0" borderId="2" xfId="0" applyFont="1" applyBorder="1" applyAlignment="1">
      <alignment horizontal="center"/>
    </xf>
    <xf numFmtId="0" fontId="23" fillId="0" borderId="12" xfId="0" applyFont="1" applyBorder="1" applyAlignment="1">
      <alignment horizontal="left"/>
    </xf>
    <xf numFmtId="11" fontId="10" fillId="0" borderId="0" xfId="0" applyNumberFormat="1" applyFont="1" applyAlignment="1">
      <alignment horizontal="left"/>
    </xf>
    <xf numFmtId="0" fontId="13" fillId="0" borderId="0" xfId="0" applyFont="1" applyProtection="1"/>
    <xf numFmtId="0" fontId="13" fillId="0" borderId="0" xfId="0" applyFont="1" applyAlignment="1" applyProtection="1">
      <alignment horizontal="right"/>
    </xf>
    <xf numFmtId="171" fontId="9" fillId="0" borderId="11" xfId="0" applyNumberFormat="1" applyFont="1" applyBorder="1" applyAlignment="1">
      <alignment horizontal="center"/>
    </xf>
    <xf numFmtId="0" fontId="10" fillId="0" borderId="4" xfId="0" applyFont="1" applyBorder="1"/>
    <xf numFmtId="0" fontId="10" fillId="0" borderId="10" xfId="0" applyFont="1" applyBorder="1"/>
    <xf numFmtId="0" fontId="9" fillId="0" borderId="11" xfId="0" applyFont="1" applyBorder="1" applyAlignment="1">
      <alignment horizontal="right"/>
    </xf>
    <xf numFmtId="0" fontId="17" fillId="0" borderId="11" xfId="0" applyFont="1" applyBorder="1" applyAlignment="1">
      <alignment horizontal="right"/>
    </xf>
    <xf numFmtId="0" fontId="23" fillId="0" borderId="10" xfId="0" applyFont="1" applyBorder="1" applyAlignment="1">
      <alignment horizontal="left"/>
    </xf>
    <xf numFmtId="0" fontId="10" fillId="0" borderId="7" xfId="0" applyFont="1" applyBorder="1"/>
    <xf numFmtId="0" fontId="9" fillId="0" borderId="8" xfId="0" applyFont="1" applyBorder="1" applyAlignment="1">
      <alignment horizontal="right"/>
    </xf>
    <xf numFmtId="0" fontId="13" fillId="0" borderId="6" xfId="0" applyFont="1" applyBorder="1" applyAlignment="1">
      <alignment horizontal="center" wrapText="1"/>
    </xf>
    <xf numFmtId="0" fontId="9" fillId="0" borderId="9" xfId="0" applyFont="1" applyBorder="1" applyAlignment="1">
      <alignment horizontal="right"/>
    </xf>
    <xf numFmtId="0" fontId="9" fillId="0" borderId="12" xfId="0" applyFont="1" applyBorder="1" applyAlignment="1">
      <alignment wrapText="1"/>
    </xf>
    <xf numFmtId="0" fontId="13" fillId="4" borderId="14" xfId="0" applyFont="1" applyFill="1" applyBorder="1" applyAlignment="1">
      <alignment horizontal="center" wrapText="1"/>
    </xf>
    <xf numFmtId="0" fontId="0" fillId="0" borderId="14" xfId="0" applyBorder="1" applyAlignment="1">
      <alignment horizontal="center" wrapText="1"/>
    </xf>
    <xf numFmtId="0" fontId="26" fillId="0" borderId="0" xfId="0" applyFont="1"/>
    <xf numFmtId="0" fontId="26" fillId="0" borderId="0" xfId="0" applyFont="1" applyAlignment="1">
      <alignment horizontal="right"/>
    </xf>
    <xf numFmtId="0" fontId="0" fillId="2" borderId="14" xfId="0" applyFill="1" applyBorder="1" applyAlignment="1">
      <alignment horizontal="center" wrapText="1"/>
    </xf>
    <xf numFmtId="0" fontId="0" fillId="0" borderId="0" xfId="0" applyAlignment="1" applyProtection="1">
      <alignment horizontal="center"/>
      <protection locked="0"/>
    </xf>
    <xf numFmtId="0" fontId="26" fillId="0" borderId="0" xfId="0" applyFont="1" applyBorder="1" applyAlignment="1" applyProtection="1">
      <alignment horizontal="right"/>
      <protection locked="0"/>
    </xf>
    <xf numFmtId="0" fontId="38" fillId="0" borderId="0" xfId="0" applyFont="1"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right"/>
      <protection locked="0"/>
    </xf>
    <xf numFmtId="0" fontId="0" fillId="0" borderId="0" xfId="0" applyBorder="1" applyAlignment="1" applyProtection="1">
      <alignment horizontal="center"/>
      <protection locked="0"/>
    </xf>
    <xf numFmtId="0" fontId="12" fillId="0" borderId="0" xfId="0" applyFont="1" applyAlignment="1">
      <alignment horizontal="right"/>
    </xf>
    <xf numFmtId="0" fontId="12" fillId="0" borderId="1" xfId="0" applyFont="1" applyBorder="1" applyAlignment="1" applyProtection="1">
      <alignment horizontal="center"/>
      <protection locked="0"/>
    </xf>
    <xf numFmtId="0" fontId="12" fillId="0" borderId="2" xfId="0" applyFont="1" applyBorder="1" applyAlignment="1" applyProtection="1">
      <alignment horizontal="center"/>
      <protection locked="0"/>
    </xf>
    <xf numFmtId="166" fontId="12" fillId="0" borderId="2" xfId="0" applyNumberFormat="1" applyFont="1" applyBorder="1" applyAlignment="1" applyProtection="1">
      <alignment horizontal="center"/>
      <protection locked="0"/>
    </xf>
    <xf numFmtId="0" fontId="12" fillId="0" borderId="3" xfId="0" applyFont="1" applyBorder="1" applyAlignment="1" applyProtection="1">
      <alignment horizontal="center"/>
      <protection locked="0"/>
    </xf>
    <xf numFmtId="0" fontId="39" fillId="0" borderId="0" xfId="0" applyFont="1" applyAlignment="1">
      <alignment horizontal="center"/>
    </xf>
    <xf numFmtId="0" fontId="12" fillId="0" borderId="0" xfId="0" applyFont="1" applyAlignment="1">
      <alignment horizontal="center"/>
    </xf>
    <xf numFmtId="166" fontId="12" fillId="0" borderId="0" xfId="0" applyNumberFormat="1" applyFont="1" applyAlignment="1">
      <alignment horizontal="center"/>
    </xf>
    <xf numFmtId="171" fontId="10" fillId="0" borderId="1" xfId="0" applyNumberFormat="1" applyFont="1" applyBorder="1" applyAlignment="1" applyProtection="1">
      <alignment horizontal="left"/>
    </xf>
    <xf numFmtId="164" fontId="10" fillId="0" borderId="2" xfId="0" applyNumberFormat="1" applyFont="1" applyBorder="1" applyAlignment="1" applyProtection="1">
      <alignment horizontal="left"/>
    </xf>
    <xf numFmtId="0" fontId="10" fillId="0" borderId="2" xfId="0" applyFont="1" applyBorder="1" applyAlignment="1" applyProtection="1">
      <alignment horizontal="left"/>
    </xf>
    <xf numFmtId="169" fontId="10" fillId="0" borderId="2" xfId="0" applyNumberFormat="1" applyFont="1" applyBorder="1" applyAlignment="1" applyProtection="1">
      <alignment horizontal="left"/>
    </xf>
    <xf numFmtId="2" fontId="10" fillId="0" borderId="2" xfId="0" applyNumberFormat="1" applyFont="1" applyBorder="1" applyAlignment="1" applyProtection="1">
      <alignment horizontal="left"/>
    </xf>
    <xf numFmtId="0" fontId="10" fillId="0" borderId="3" xfId="0" applyFont="1" applyBorder="1" applyAlignment="1" applyProtection="1">
      <alignment horizontal="left"/>
    </xf>
    <xf numFmtId="166" fontId="9" fillId="3" borderId="12" xfId="0" applyNumberFormat="1" applyFont="1" applyFill="1" applyBorder="1" applyAlignment="1" applyProtection="1">
      <alignment horizontal="left"/>
      <protection locked="0"/>
    </xf>
    <xf numFmtId="166" fontId="9" fillId="3" borderId="12" xfId="0" applyNumberFormat="1" applyFont="1" applyFill="1" applyBorder="1" applyAlignment="1">
      <alignment horizontal="left"/>
    </xf>
    <xf numFmtId="166" fontId="10" fillId="0" borderId="1" xfId="0" applyNumberFormat="1" applyFont="1" applyBorder="1" applyAlignment="1">
      <alignment horizontal="center"/>
    </xf>
    <xf numFmtId="0" fontId="19" fillId="0" borderId="0" xfId="5" applyFont="1" applyAlignment="1" applyProtection="1">
      <protection locked="0"/>
    </xf>
    <xf numFmtId="0" fontId="10" fillId="0" borderId="0" xfId="0" applyFont="1" applyAlignment="1" applyProtection="1">
      <alignment horizontal="left"/>
    </xf>
    <xf numFmtId="0" fontId="10" fillId="0" borderId="0" xfId="0" applyFont="1" applyBorder="1" applyProtection="1"/>
    <xf numFmtId="1" fontId="10" fillId="0" borderId="1" xfId="0" applyNumberFormat="1" applyFont="1" applyBorder="1" applyAlignment="1" applyProtection="1">
      <alignment horizontal="left"/>
    </xf>
    <xf numFmtId="1" fontId="10" fillId="0" borderId="2" xfId="0" applyNumberFormat="1" applyFont="1" applyBorder="1" applyAlignment="1" applyProtection="1">
      <alignment horizontal="left"/>
    </xf>
    <xf numFmtId="9" fontId="10" fillId="0" borderId="2" xfId="0" applyNumberFormat="1" applyFont="1" applyBorder="1" applyAlignment="1" applyProtection="1">
      <alignment horizontal="left"/>
    </xf>
    <xf numFmtId="9" fontId="10" fillId="0" borderId="3" xfId="0" applyNumberFormat="1" applyFont="1" applyBorder="1" applyAlignment="1" applyProtection="1">
      <alignment horizontal="left"/>
    </xf>
    <xf numFmtId="0" fontId="9" fillId="0" borderId="0" xfId="0" applyFont="1" applyBorder="1" applyAlignment="1" applyProtection="1">
      <alignment horizontal="right"/>
    </xf>
    <xf numFmtId="164" fontId="9" fillId="0" borderId="0" xfId="0" applyNumberFormat="1" applyFont="1" applyBorder="1" applyAlignment="1" applyProtection="1">
      <alignment horizontal="left"/>
    </xf>
    <xf numFmtId="1" fontId="9" fillId="0" borderId="0" xfId="0" applyNumberFormat="1" applyFont="1" applyBorder="1" applyAlignment="1" applyProtection="1">
      <alignment horizontal="left"/>
    </xf>
    <xf numFmtId="0" fontId="9" fillId="0" borderId="12" xfId="0" applyFont="1" applyBorder="1" applyAlignment="1" applyProtection="1">
      <alignment horizontal="left"/>
    </xf>
    <xf numFmtId="2" fontId="9" fillId="0" borderId="0" xfId="0" applyNumberFormat="1" applyFont="1" applyBorder="1" applyAlignment="1" applyProtection="1">
      <alignment horizontal="left"/>
    </xf>
    <xf numFmtId="0" fontId="9" fillId="0" borderId="0" xfId="0" applyFont="1" applyBorder="1" applyAlignment="1" applyProtection="1">
      <alignment horizontal="left"/>
    </xf>
    <xf numFmtId="2" fontId="9" fillId="3" borderId="12" xfId="0" applyNumberFormat="1" applyFont="1" applyFill="1" applyBorder="1" applyAlignment="1" applyProtection="1">
      <alignment horizontal="left"/>
    </xf>
    <xf numFmtId="3" fontId="9" fillId="0" borderId="0" xfId="0" applyNumberFormat="1" applyFont="1" applyBorder="1" applyAlignment="1" applyProtection="1">
      <alignment horizontal="left"/>
    </xf>
    <xf numFmtId="0" fontId="13" fillId="0" borderId="0" xfId="0" applyFont="1" applyBorder="1" applyAlignment="1" applyProtection="1">
      <alignment horizontal="left"/>
    </xf>
    <xf numFmtId="0" fontId="10" fillId="0" borderId="0" xfId="0" applyFont="1" applyBorder="1" applyAlignment="1" applyProtection="1">
      <alignment horizontal="left"/>
    </xf>
    <xf numFmtId="0" fontId="9" fillId="0" borderId="0" xfId="0" applyFont="1" applyAlignment="1" applyProtection="1">
      <alignment horizontal="center"/>
    </xf>
    <xf numFmtId="0" fontId="13" fillId="0" borderId="0" xfId="0" applyFont="1" applyAlignment="1" applyProtection="1">
      <alignment horizontal="left"/>
    </xf>
    <xf numFmtId="1" fontId="10" fillId="0" borderId="0" xfId="0" applyNumberFormat="1" applyFont="1" applyBorder="1" applyAlignment="1" applyProtection="1">
      <alignment horizontal="left"/>
    </xf>
    <xf numFmtId="0" fontId="13" fillId="0" borderId="0" xfId="0" applyFont="1" applyAlignment="1" applyProtection="1">
      <alignment horizontal="center"/>
    </xf>
    <xf numFmtId="2" fontId="10" fillId="0" borderId="0" xfId="0" applyNumberFormat="1" applyFont="1" applyBorder="1" applyAlignment="1" applyProtection="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cellXfs>
  <cellStyles count="12">
    <cellStyle name="Comma 2" xfId="9" xr:uid="{00000000-0005-0000-0000-000000000000}"/>
    <cellStyle name="Heading" xfId="1" xr:uid="{00000000-0005-0000-0000-000001000000}"/>
    <cellStyle name="Heading1" xfId="2" xr:uid="{00000000-0005-0000-0000-000002000000}"/>
    <cellStyle name="Hyperlink" xfId="5" builtinId="8"/>
    <cellStyle name="Hyperlink 2" xfId="11" xr:uid="{00000000-0005-0000-0000-000004000000}"/>
    <cellStyle name="Hyperlink 3" xfId="7" xr:uid="{00000000-0005-0000-0000-000005000000}"/>
    <cellStyle name="Normal" xfId="0" builtinId="0" customBuiltin="1"/>
    <cellStyle name="Normal 2" xfId="10" xr:uid="{00000000-0005-0000-0000-000007000000}"/>
    <cellStyle name="Normal 3" xfId="6" xr:uid="{00000000-0005-0000-0000-000008000000}"/>
    <cellStyle name="Percent 2" xfId="8" xr:uid="{00000000-0005-0000-0000-000009000000}"/>
    <cellStyle name="Result" xfId="3" xr:uid="{00000000-0005-0000-0000-00000A000000}"/>
    <cellStyle name="Result2" xfId="4"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System Head Loss VS</a:t>
            </a:r>
            <a:r>
              <a:rPr lang="en-US" sz="1400" baseline="0"/>
              <a:t> Flow Rate</a:t>
            </a:r>
            <a:endParaRPr lang="en-US" sz="1400"/>
          </a:p>
        </c:rich>
      </c:tx>
      <c:layout>
        <c:manualLayout>
          <c:xMode val="edge"/>
          <c:yMode val="edge"/>
          <c:x val="0.2136276314092424"/>
          <c:y val="3.240740740740778E-2"/>
        </c:manualLayout>
      </c:layout>
      <c:overlay val="0"/>
    </c:title>
    <c:autoTitleDeleted val="0"/>
    <c:plotArea>
      <c:layout/>
      <c:scatterChart>
        <c:scatterStyle val="lineMarker"/>
        <c:varyColors val="0"/>
        <c:ser>
          <c:idx val="0"/>
          <c:order val="0"/>
          <c:tx>
            <c:strRef>
              <c:f>SYSTEMS!$F$156</c:f>
              <c:strCache>
                <c:ptCount val="1"/>
                <c:pt idx="0">
                  <c:v>Head Loss (ft)</c:v>
                </c:pt>
              </c:strCache>
            </c:strRef>
          </c:tx>
          <c:spPr>
            <a:ln w="28575">
              <a:noFill/>
            </a:ln>
          </c:spPr>
          <c:trendline>
            <c:trendlineType val="poly"/>
            <c:order val="2"/>
            <c:dispRSqr val="1"/>
            <c:dispEq val="1"/>
            <c:trendlineLbl>
              <c:layout>
                <c:manualLayout>
                  <c:x val="0.16175396896848437"/>
                  <c:y val="0.66577537182852908"/>
                </c:manualLayout>
              </c:layout>
              <c:numFmt formatCode="General" sourceLinked="0"/>
            </c:trendlineLbl>
          </c:trendline>
          <c:xVal>
            <c:numRef>
              <c:f>SYSTEMS!$E$157:$E$162</c:f>
              <c:numCache>
                <c:formatCode>General</c:formatCode>
                <c:ptCount val="6"/>
                <c:pt idx="0">
                  <c:v>0</c:v>
                </c:pt>
                <c:pt idx="1">
                  <c:v>10</c:v>
                </c:pt>
                <c:pt idx="2">
                  <c:v>40</c:v>
                </c:pt>
                <c:pt idx="3">
                  <c:v>70</c:v>
                </c:pt>
                <c:pt idx="4">
                  <c:v>100</c:v>
                </c:pt>
                <c:pt idx="5">
                  <c:v>130</c:v>
                </c:pt>
              </c:numCache>
            </c:numRef>
          </c:xVal>
          <c:yVal>
            <c:numRef>
              <c:f>SYSTEMS!$F$157:$F$162</c:f>
              <c:numCache>
                <c:formatCode>General</c:formatCode>
                <c:ptCount val="6"/>
                <c:pt idx="0">
                  <c:v>0</c:v>
                </c:pt>
                <c:pt idx="1">
                  <c:v>0.3</c:v>
                </c:pt>
                <c:pt idx="2">
                  <c:v>4.3</c:v>
                </c:pt>
                <c:pt idx="3" formatCode="0.0">
                  <c:v>13</c:v>
                </c:pt>
                <c:pt idx="4" formatCode="0.0">
                  <c:v>26.6</c:v>
                </c:pt>
                <c:pt idx="5" formatCode="0.0">
                  <c:v>44.9</c:v>
                </c:pt>
              </c:numCache>
            </c:numRef>
          </c:yVal>
          <c:smooth val="0"/>
          <c:extLst>
            <c:ext xmlns:c16="http://schemas.microsoft.com/office/drawing/2014/chart" uri="{C3380CC4-5D6E-409C-BE32-E72D297353CC}">
              <c16:uniqueId val="{00000001-EDD7-4454-9BB4-F79BEBF1A6A9}"/>
            </c:ext>
          </c:extLst>
        </c:ser>
        <c:dLbls>
          <c:showLegendKey val="0"/>
          <c:showVal val="0"/>
          <c:showCatName val="0"/>
          <c:showSerName val="0"/>
          <c:showPercent val="0"/>
          <c:showBubbleSize val="0"/>
        </c:dLbls>
        <c:axId val="233015384"/>
        <c:axId val="233012248"/>
      </c:scatterChart>
      <c:valAx>
        <c:axId val="233015384"/>
        <c:scaling>
          <c:orientation val="minMax"/>
        </c:scaling>
        <c:delete val="0"/>
        <c:axPos val="b"/>
        <c:majorGridlines/>
        <c:title>
          <c:tx>
            <c:rich>
              <a:bodyPr/>
              <a:lstStyle/>
              <a:p>
                <a:pPr>
                  <a:defRPr/>
                </a:pPr>
                <a:r>
                  <a:rPr lang="en-US">
                    <a:latin typeface="Arial" pitchFamily="34" charset="0"/>
                    <a:cs typeface="Arial" pitchFamily="34" charset="0"/>
                  </a:rPr>
                  <a:t>FLOW q (gpm)</a:t>
                </a:r>
              </a:p>
            </c:rich>
          </c:tx>
          <c:layout>
            <c:manualLayout>
              <c:xMode val="edge"/>
              <c:yMode val="edge"/>
              <c:x val="0.21833489206194867"/>
              <c:y val="0.87268518518519089"/>
            </c:manualLayout>
          </c:layout>
          <c:overlay val="0"/>
        </c:title>
        <c:numFmt formatCode="General" sourceLinked="1"/>
        <c:majorTickMark val="none"/>
        <c:minorTickMark val="none"/>
        <c:tickLblPos val="nextTo"/>
        <c:crossAx val="233012248"/>
        <c:crosses val="autoZero"/>
        <c:crossBetween val="midCat"/>
        <c:majorUnit val="20"/>
      </c:valAx>
      <c:valAx>
        <c:axId val="233012248"/>
        <c:scaling>
          <c:orientation val="minMax"/>
        </c:scaling>
        <c:delete val="0"/>
        <c:axPos val="l"/>
        <c:majorGridlines/>
        <c:title>
          <c:tx>
            <c:rich>
              <a:bodyPr/>
              <a:lstStyle/>
              <a:p>
                <a:pPr>
                  <a:defRPr/>
                </a:pPr>
                <a:r>
                  <a:rPr lang="en-US">
                    <a:latin typeface="Arial" pitchFamily="34" charset="0"/>
                    <a:cs typeface="Arial" pitchFamily="34" charset="0"/>
                  </a:rPr>
                  <a:t>HEAD</a:t>
                </a:r>
                <a:r>
                  <a:rPr lang="en-US" baseline="0">
                    <a:latin typeface="Arial" pitchFamily="34" charset="0"/>
                    <a:cs typeface="Arial" pitchFamily="34" charset="0"/>
                  </a:rPr>
                  <a:t> LOSS h (ft</a:t>
                </a:r>
                <a:r>
                  <a:rPr lang="en-US" baseline="0"/>
                  <a:t>)</a:t>
                </a:r>
                <a:endParaRPr lang="en-US"/>
              </a:p>
            </c:rich>
          </c:tx>
          <c:overlay val="0"/>
        </c:title>
        <c:numFmt formatCode="General" sourceLinked="1"/>
        <c:majorTickMark val="none"/>
        <c:minorTickMark val="none"/>
        <c:tickLblPos val="nextTo"/>
        <c:crossAx val="233015384"/>
        <c:crosses val="autoZero"/>
        <c:crossBetween val="midCat"/>
      </c:valAx>
    </c:plotArea>
    <c:plotVisOnly val="1"/>
    <c:dispBlanksAs val="gap"/>
    <c:showDLblsOverMax val="0"/>
  </c:chart>
  <c:printSettings>
    <c:headerFooter/>
    <c:pageMargins b="0.75000000000000511" l="0.70000000000000062" r="0.70000000000000062" t="0.750000000000005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System Head Loss VS</a:t>
            </a:r>
            <a:r>
              <a:rPr lang="en-US" sz="1400" baseline="0"/>
              <a:t> Flow Rate</a:t>
            </a:r>
            <a:endParaRPr lang="en-US" sz="1400"/>
          </a:p>
        </c:rich>
      </c:tx>
      <c:layout>
        <c:manualLayout>
          <c:xMode val="edge"/>
          <c:yMode val="edge"/>
          <c:x val="0.2136276314092424"/>
          <c:y val="3.2407407407407801E-2"/>
        </c:manualLayout>
      </c:layout>
      <c:overlay val="0"/>
    </c:title>
    <c:autoTitleDeleted val="0"/>
    <c:plotArea>
      <c:layout/>
      <c:scatterChart>
        <c:scatterStyle val="lineMarker"/>
        <c:varyColors val="0"/>
        <c:ser>
          <c:idx val="0"/>
          <c:order val="0"/>
          <c:tx>
            <c:strRef>
              <c:f>SYSTEMS!$F$156</c:f>
              <c:strCache>
                <c:ptCount val="1"/>
                <c:pt idx="0">
                  <c:v>Head Loss (ft)</c:v>
                </c:pt>
              </c:strCache>
            </c:strRef>
          </c:tx>
          <c:spPr>
            <a:ln w="28575">
              <a:noFill/>
            </a:ln>
          </c:spPr>
          <c:trendline>
            <c:trendlineType val="poly"/>
            <c:order val="2"/>
            <c:dispRSqr val="1"/>
            <c:dispEq val="1"/>
            <c:trendlineLbl>
              <c:layout>
                <c:manualLayout>
                  <c:x val="0.16175396896848437"/>
                  <c:y val="0.66577537182852953"/>
                </c:manualLayout>
              </c:layout>
              <c:numFmt formatCode="General" sourceLinked="0"/>
            </c:trendlineLbl>
          </c:trendline>
          <c:xVal>
            <c:numRef>
              <c:f>SYSTEMS!$E$157:$E$162</c:f>
              <c:numCache>
                <c:formatCode>General</c:formatCode>
                <c:ptCount val="6"/>
                <c:pt idx="0">
                  <c:v>0</c:v>
                </c:pt>
                <c:pt idx="1">
                  <c:v>10</c:v>
                </c:pt>
                <c:pt idx="2">
                  <c:v>40</c:v>
                </c:pt>
                <c:pt idx="3">
                  <c:v>70</c:v>
                </c:pt>
                <c:pt idx="4">
                  <c:v>100</c:v>
                </c:pt>
                <c:pt idx="5">
                  <c:v>130</c:v>
                </c:pt>
              </c:numCache>
            </c:numRef>
          </c:xVal>
          <c:yVal>
            <c:numRef>
              <c:f>SYSTEMS!$F$157:$F$162</c:f>
              <c:numCache>
                <c:formatCode>General</c:formatCode>
                <c:ptCount val="6"/>
                <c:pt idx="0">
                  <c:v>0</c:v>
                </c:pt>
                <c:pt idx="1">
                  <c:v>0.3</c:v>
                </c:pt>
                <c:pt idx="2">
                  <c:v>4.3</c:v>
                </c:pt>
                <c:pt idx="3" formatCode="0.0">
                  <c:v>13</c:v>
                </c:pt>
                <c:pt idx="4" formatCode="0.0">
                  <c:v>26.6</c:v>
                </c:pt>
                <c:pt idx="5" formatCode="0.0">
                  <c:v>44.9</c:v>
                </c:pt>
              </c:numCache>
            </c:numRef>
          </c:yVal>
          <c:smooth val="0"/>
          <c:extLst>
            <c:ext xmlns:c16="http://schemas.microsoft.com/office/drawing/2014/chart" uri="{C3380CC4-5D6E-409C-BE32-E72D297353CC}">
              <c16:uniqueId val="{00000001-F069-45B0-B8B4-724D02DD8D55}"/>
            </c:ext>
          </c:extLst>
        </c:ser>
        <c:dLbls>
          <c:showLegendKey val="0"/>
          <c:showVal val="0"/>
          <c:showCatName val="0"/>
          <c:showSerName val="0"/>
          <c:showPercent val="0"/>
          <c:showBubbleSize val="0"/>
        </c:dLbls>
        <c:axId val="441143184"/>
        <c:axId val="441139656"/>
      </c:scatterChart>
      <c:valAx>
        <c:axId val="441143184"/>
        <c:scaling>
          <c:orientation val="minMax"/>
        </c:scaling>
        <c:delete val="0"/>
        <c:axPos val="b"/>
        <c:majorGridlines/>
        <c:title>
          <c:tx>
            <c:rich>
              <a:bodyPr/>
              <a:lstStyle/>
              <a:p>
                <a:pPr>
                  <a:defRPr/>
                </a:pPr>
                <a:r>
                  <a:rPr lang="en-US">
                    <a:latin typeface="Arial" pitchFamily="34" charset="0"/>
                    <a:cs typeface="Arial" pitchFamily="34" charset="0"/>
                  </a:rPr>
                  <a:t>FLOW q (gpm)</a:t>
                </a:r>
              </a:p>
            </c:rich>
          </c:tx>
          <c:layout>
            <c:manualLayout>
              <c:xMode val="edge"/>
              <c:yMode val="edge"/>
              <c:x val="0.21833489206194875"/>
              <c:y val="0.87268518518519111"/>
            </c:manualLayout>
          </c:layout>
          <c:overlay val="0"/>
        </c:title>
        <c:numFmt formatCode="General" sourceLinked="1"/>
        <c:majorTickMark val="none"/>
        <c:minorTickMark val="none"/>
        <c:tickLblPos val="nextTo"/>
        <c:crossAx val="441139656"/>
        <c:crosses val="autoZero"/>
        <c:crossBetween val="midCat"/>
        <c:majorUnit val="20"/>
      </c:valAx>
      <c:valAx>
        <c:axId val="441139656"/>
        <c:scaling>
          <c:orientation val="minMax"/>
        </c:scaling>
        <c:delete val="0"/>
        <c:axPos val="l"/>
        <c:majorGridlines/>
        <c:title>
          <c:tx>
            <c:rich>
              <a:bodyPr/>
              <a:lstStyle/>
              <a:p>
                <a:pPr>
                  <a:defRPr/>
                </a:pPr>
                <a:r>
                  <a:rPr lang="en-US">
                    <a:latin typeface="Arial" pitchFamily="34" charset="0"/>
                    <a:cs typeface="Arial" pitchFamily="34" charset="0"/>
                  </a:rPr>
                  <a:t>HEAD</a:t>
                </a:r>
                <a:r>
                  <a:rPr lang="en-US" baseline="0">
                    <a:latin typeface="Arial" pitchFamily="34" charset="0"/>
                    <a:cs typeface="Arial" pitchFamily="34" charset="0"/>
                  </a:rPr>
                  <a:t> LOSS h (ft</a:t>
                </a:r>
                <a:r>
                  <a:rPr lang="en-US" baseline="0"/>
                  <a:t>)</a:t>
                </a:r>
                <a:endParaRPr lang="en-US"/>
              </a:p>
            </c:rich>
          </c:tx>
          <c:overlay val="0"/>
        </c:title>
        <c:numFmt formatCode="General" sourceLinked="1"/>
        <c:majorTickMark val="none"/>
        <c:minorTickMark val="none"/>
        <c:tickLblPos val="nextTo"/>
        <c:crossAx val="441143184"/>
        <c:crosses val="autoZero"/>
        <c:crossBetween val="midCat"/>
      </c:valAx>
    </c:plotArea>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jp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0" Type="http://schemas.openxmlformats.org/officeDocument/2006/relationships/image" Target="../media/image18.jpeg"/><Relationship Id="rId4" Type="http://schemas.openxmlformats.org/officeDocument/2006/relationships/image" Target="../media/image12.png"/><Relationship Id="rId9"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4.jpeg"/><Relationship Id="rId5" Type="http://schemas.openxmlformats.org/officeDocument/2006/relationships/chart" Target="../charts/chart2.xml"/><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jpeg"/><Relationship Id="rId3" Type="http://schemas.openxmlformats.org/officeDocument/2006/relationships/image" Target="../media/image27.jpeg"/><Relationship Id="rId7" Type="http://schemas.openxmlformats.org/officeDocument/2006/relationships/image" Target="../media/image31.jpeg"/><Relationship Id="rId2" Type="http://schemas.openxmlformats.org/officeDocument/2006/relationships/image" Target="../media/image26.jpeg"/><Relationship Id="rId1" Type="http://schemas.openxmlformats.org/officeDocument/2006/relationships/image" Target="../media/image25.jpeg"/><Relationship Id="rId6" Type="http://schemas.openxmlformats.org/officeDocument/2006/relationships/image" Target="../media/image30.jpeg"/><Relationship Id="rId5" Type="http://schemas.openxmlformats.org/officeDocument/2006/relationships/image" Target="../media/image29.jpeg"/><Relationship Id="rId4" Type="http://schemas.openxmlformats.org/officeDocument/2006/relationships/image" Target="../media/image2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4.png"/></Relationships>
</file>

<file path=xl/drawings/_rels/drawing7.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xdr:from>
      <xdr:col>1</xdr:col>
      <xdr:colOff>1371600</xdr:colOff>
      <xdr:row>20</xdr:row>
      <xdr:rowOff>95250</xdr:rowOff>
    </xdr:from>
    <xdr:to>
      <xdr:col>3</xdr:col>
      <xdr:colOff>581025</xdr:colOff>
      <xdr:row>42</xdr:row>
      <xdr:rowOff>123825</xdr:rowOff>
    </xdr:to>
    <xdr:pic>
      <xdr:nvPicPr>
        <xdr:cNvPr id="1478" name="Picture 348" descr="Process Flow Diagram-1">
          <a:extLst>
            <a:ext uri="{FF2B5EF4-FFF2-40B4-BE49-F238E27FC236}">
              <a16:creationId xmlns:a16="http://schemas.microsoft.com/office/drawing/2014/main" id="{00000000-0008-0000-0000-0000C6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66875" y="619125"/>
          <a:ext cx="3848100" cy="3629025"/>
        </a:xfrm>
        <a:prstGeom prst="rect">
          <a:avLst/>
        </a:prstGeom>
        <a:noFill/>
        <a:ln w="9525">
          <a:noFill/>
          <a:miter lim="800000"/>
          <a:headEnd/>
          <a:tailEnd/>
        </a:ln>
      </xdr:spPr>
    </xdr:pic>
    <xdr:clientData/>
  </xdr:twoCellAnchor>
  <xdr:twoCellAnchor editAs="oneCell">
    <xdr:from>
      <xdr:col>1</xdr:col>
      <xdr:colOff>571500</xdr:colOff>
      <xdr:row>70</xdr:row>
      <xdr:rowOff>47625</xdr:rowOff>
    </xdr:from>
    <xdr:to>
      <xdr:col>4</xdr:col>
      <xdr:colOff>371475</xdr:colOff>
      <xdr:row>92</xdr:row>
      <xdr:rowOff>76200</xdr:rowOff>
    </xdr:to>
    <xdr:pic>
      <xdr:nvPicPr>
        <xdr:cNvPr id="1479" name="Picture 9" descr="PUMP &amp; TANK-1.jpg">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2" cstate="print"/>
        <a:srcRect/>
        <a:stretch>
          <a:fillRect/>
        </a:stretch>
      </xdr:blipFill>
      <xdr:spPr bwMode="auto">
        <a:xfrm>
          <a:off x="866775" y="7953375"/>
          <a:ext cx="5391150" cy="3629025"/>
        </a:xfrm>
        <a:prstGeom prst="rect">
          <a:avLst/>
        </a:prstGeom>
        <a:noFill/>
        <a:ln w="9525">
          <a:noFill/>
          <a:miter lim="800000"/>
          <a:headEnd/>
          <a:tailEnd/>
        </a:ln>
      </xdr:spPr>
    </xdr:pic>
    <xdr:clientData/>
  </xdr:twoCellAnchor>
  <xdr:twoCellAnchor>
    <xdr:from>
      <xdr:col>1</xdr:col>
      <xdr:colOff>762000</xdr:colOff>
      <xdr:row>92</xdr:row>
      <xdr:rowOff>57150</xdr:rowOff>
    </xdr:from>
    <xdr:to>
      <xdr:col>4</xdr:col>
      <xdr:colOff>219075</xdr:colOff>
      <xdr:row>99</xdr:row>
      <xdr:rowOff>38100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57275" y="11715750"/>
          <a:ext cx="50482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centrifugal pump above must be flooded before starting the driver motor.         An eccentric reducer at the pump suction flange prevents cavitation.               Cavitation includes air bubbles and severe turbulence that can damage the pump.   The gate valve between the pump and tank </a:t>
          </a:r>
          <a:r>
            <a:rPr lang="en-US" sz="1100" baseline="0"/>
            <a:t> must not be used for throttling or controlling flow rate but must be fully open for operation or fully closed for maintenance.  </a:t>
          </a:r>
          <a:endParaRPr lang="en-US" sz="1100"/>
        </a:p>
      </xdr:txBody>
    </xdr:sp>
    <xdr:clientData/>
  </xdr:twoCellAnchor>
  <xdr:twoCellAnchor>
    <xdr:from>
      <xdr:col>1</xdr:col>
      <xdr:colOff>714375</xdr:colOff>
      <xdr:row>44</xdr:row>
      <xdr:rowOff>142876</xdr:rowOff>
    </xdr:from>
    <xdr:to>
      <xdr:col>4</xdr:col>
      <xdr:colOff>142875</xdr:colOff>
      <xdr:row>64</xdr:row>
      <xdr:rowOff>104775</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09650" y="4591051"/>
          <a:ext cx="5019675" cy="3581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solidFill>
                <a:schemeClr val="dk1"/>
              </a:solidFill>
              <a:latin typeface="Arial" pitchFamily="34" charset="0"/>
              <a:ea typeface="+mn-ea"/>
              <a:cs typeface="Arial" pitchFamily="34" charset="0"/>
            </a:rPr>
            <a:t>PROCESS FLOW DIAGRAMS</a:t>
          </a:r>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Above is the image at: </a:t>
          </a:r>
          <a:r>
            <a:rPr lang="en-US" sz="1000" u="sng">
              <a:solidFill>
                <a:schemeClr val="dk1"/>
              </a:solidFill>
              <a:latin typeface="Arial" pitchFamily="34" charset="0"/>
              <a:ea typeface="+mn-ea"/>
              <a:cs typeface="Arial" pitchFamily="34" charset="0"/>
              <a:hlinkClick xmlns:r="http://schemas.openxmlformats.org/officeDocument/2006/relationships" r:id=""/>
            </a:rPr>
            <a:t>www.absoluteastronomy.com/topics/Process_Flow...</a:t>
          </a:r>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The process flow diagram above depicts a single chemical engineering unit process known as an amine treating plant.</a:t>
          </a:r>
        </a:p>
        <a:p>
          <a:r>
            <a:rPr lang="en-US" sz="1000">
              <a:solidFill>
                <a:schemeClr val="dk1"/>
              </a:solidFill>
              <a:latin typeface="Arial" pitchFamily="34" charset="0"/>
              <a:ea typeface="+mn-ea"/>
              <a:cs typeface="Arial" pitchFamily="34" charset="0"/>
            </a:rPr>
            <a:t> </a:t>
          </a:r>
        </a:p>
        <a:p>
          <a:r>
            <a:rPr lang="en-US" sz="1000">
              <a:solidFill>
                <a:schemeClr val="dk1"/>
              </a:solidFill>
              <a:latin typeface="Arial" pitchFamily="34" charset="0"/>
              <a:ea typeface="+mn-ea"/>
              <a:cs typeface="Arial" pitchFamily="34" charset="0"/>
            </a:rPr>
            <a:t>A </a:t>
          </a:r>
          <a:r>
            <a:rPr lang="en-US" sz="1000" b="1">
              <a:solidFill>
                <a:schemeClr val="dk1"/>
              </a:solidFill>
              <a:latin typeface="Arial" pitchFamily="34" charset="0"/>
              <a:ea typeface="+mn-ea"/>
              <a:cs typeface="Arial" pitchFamily="34" charset="0"/>
            </a:rPr>
            <a:t>process flow diagram</a:t>
          </a:r>
          <a:r>
            <a:rPr lang="en-US" sz="1000">
              <a:solidFill>
                <a:schemeClr val="dk1"/>
              </a:solidFill>
              <a:latin typeface="Arial" pitchFamily="34" charset="0"/>
              <a:ea typeface="+mn-ea"/>
              <a:cs typeface="Arial" pitchFamily="34" charset="0"/>
            </a:rPr>
            <a:t> (PFD) is a diagram commonly used in </a:t>
          </a:r>
          <a:r>
            <a:rPr lang="en-US" sz="1000" u="none">
              <a:solidFill>
                <a:schemeClr val="dk1"/>
              </a:solidFill>
              <a:latin typeface="Arial" pitchFamily="34" charset="0"/>
              <a:ea typeface="+mn-ea"/>
              <a:cs typeface="Arial" pitchFamily="34" charset="0"/>
            </a:rPr>
            <a:t>chemical</a:t>
          </a:r>
          <a:r>
            <a:rPr lang="en-US" sz="1000" i="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r>
            <a:rPr lang="en-US" sz="1000" b="0">
              <a:solidFill>
                <a:schemeClr val="dk1"/>
              </a:solidFill>
              <a:latin typeface="Arial" pitchFamily="34" charset="0"/>
              <a:ea typeface="+mn-ea"/>
              <a:cs typeface="Arial" pitchFamily="34" charset="0"/>
            </a:rPr>
            <a:t> engineering.</a:t>
          </a:r>
        </a:p>
        <a:p>
          <a:r>
            <a:rPr lang="en-US" sz="1000">
              <a:solidFill>
                <a:schemeClr val="dk1"/>
              </a:solidFill>
              <a:latin typeface="Arial" pitchFamily="34" charset="0"/>
              <a:ea typeface="+mn-ea"/>
              <a:cs typeface="Arial" pitchFamily="34" charset="0"/>
            </a:rPr>
            <a:t>Chemical engineering is the branch of engineering that deals with the application of physical science and life sciences with mathematics, to the process of converting raw materials or chemicals into more useful or valuable forms</a:t>
          </a:r>
          <a:r>
            <a:rPr lang="en-US" sz="1000" baseline="0">
              <a:solidFill>
                <a:schemeClr val="dk1"/>
              </a:solidFill>
              <a:latin typeface="Arial" pitchFamily="34" charset="0"/>
              <a:ea typeface="+mn-ea"/>
              <a:cs typeface="Arial" pitchFamily="34" charset="0"/>
            </a:rPr>
            <a:t> </a:t>
          </a:r>
          <a:r>
            <a:rPr lang="en-US" sz="1000" u="none">
              <a:solidFill>
                <a:schemeClr val="dk1"/>
              </a:solidFill>
              <a:latin typeface="Arial" pitchFamily="34" charset="0"/>
              <a:ea typeface="+mn-ea"/>
              <a:cs typeface="Arial" pitchFamily="34" charset="0"/>
            </a:rPr>
            <a:t>and process engineering.</a:t>
          </a:r>
          <a:r>
            <a:rPr lang="en-US" sz="1000" i="0" u="none">
              <a:solidFill>
                <a:schemeClr val="dk1"/>
              </a:solidFill>
              <a:latin typeface="Arial" pitchFamily="34" charset="0"/>
              <a:ea typeface="+mn-ea"/>
              <a:cs typeface="Arial" pitchFamily="34" charset="0"/>
            </a:rPr>
            <a:t> </a:t>
          </a:r>
          <a:endParaRPr lang="en-US" sz="1000" u="none">
            <a:solidFill>
              <a:schemeClr val="dk1"/>
            </a:solidFill>
            <a:latin typeface="Arial" pitchFamily="34" charset="0"/>
            <a:ea typeface="+mn-ea"/>
            <a:cs typeface="Arial" pitchFamily="34" charset="0"/>
          </a:endParaRPr>
        </a:p>
        <a:p>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 </a:t>
          </a:r>
        </a:p>
        <a:p>
          <a:r>
            <a:rPr lang="en-US" sz="1000" b="1">
              <a:solidFill>
                <a:schemeClr val="dk1"/>
              </a:solidFill>
              <a:latin typeface="Arial" pitchFamily="34" charset="0"/>
              <a:ea typeface="+mn-ea"/>
              <a:cs typeface="Arial" pitchFamily="34" charset="0"/>
            </a:rPr>
            <a:t>Process engineering</a:t>
          </a:r>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Process engineering focuses on the design, operation and maintenance of chemical and other process manufacturing activities. Process engineering is often a synonym for chemical engineering but process engineers are found in a vast range of industries, such as the petrochemical, mineral processing,...</a:t>
          </a:r>
        </a:p>
        <a:p>
          <a:br>
            <a:rPr lang="en-US" sz="1000">
              <a:solidFill>
                <a:schemeClr val="dk1"/>
              </a:solidFill>
              <a:latin typeface="Arial" pitchFamily="34" charset="0"/>
              <a:ea typeface="+mn-ea"/>
              <a:cs typeface="Arial" pitchFamily="34" charset="0"/>
            </a:rPr>
          </a:br>
          <a:r>
            <a:rPr lang="en-US" sz="1000">
              <a:solidFill>
                <a:schemeClr val="dk1"/>
              </a:solidFill>
              <a:latin typeface="Arial" pitchFamily="34" charset="0"/>
              <a:ea typeface="+mn-ea"/>
              <a:cs typeface="Arial" pitchFamily="34" charset="0"/>
            </a:rPr>
            <a:t> to indicate the general flow of plant processes and equipment. The PFD displays the relationship between </a:t>
          </a:r>
          <a:r>
            <a:rPr lang="en-US" sz="1000" i="1">
              <a:solidFill>
                <a:schemeClr val="dk1"/>
              </a:solidFill>
              <a:latin typeface="Arial" pitchFamily="34" charset="0"/>
              <a:ea typeface="+mn-ea"/>
              <a:cs typeface="Arial" pitchFamily="34" charset="0"/>
            </a:rPr>
            <a:t>major</a:t>
          </a:r>
          <a:r>
            <a:rPr lang="en-US" sz="1000">
              <a:solidFill>
                <a:schemeClr val="dk1"/>
              </a:solidFill>
              <a:latin typeface="Arial" pitchFamily="34" charset="0"/>
              <a:ea typeface="+mn-ea"/>
              <a:cs typeface="Arial" pitchFamily="34" charset="0"/>
            </a:rPr>
            <a:t> equipment of a plant facility and does not show minor details such as piping details and designations. Another commonly-used term for a PFD is a </a:t>
          </a:r>
          <a:r>
            <a:rPr lang="en-US" sz="1000" i="1">
              <a:solidFill>
                <a:schemeClr val="dk1"/>
              </a:solidFill>
              <a:latin typeface="Arial" pitchFamily="34" charset="0"/>
              <a:ea typeface="+mn-ea"/>
              <a:cs typeface="Arial" pitchFamily="34" charset="0"/>
            </a:rPr>
            <a:t>flow sheet</a:t>
          </a:r>
          <a:r>
            <a:rPr lang="en-US" sz="1000">
              <a:solidFill>
                <a:schemeClr val="dk1"/>
              </a:solidFill>
              <a:latin typeface="Arial" pitchFamily="34" charset="0"/>
              <a:ea typeface="+mn-ea"/>
              <a:cs typeface="Arial" pitchFamily="34" charset="0"/>
            </a:rPr>
            <a:t>.</a:t>
          </a:r>
          <a:br>
            <a:rPr lang="en-US" sz="1000">
              <a:solidFill>
                <a:schemeClr val="dk1"/>
              </a:solidFill>
              <a:latin typeface="Arial" pitchFamily="34" charset="0"/>
              <a:ea typeface="+mn-ea"/>
              <a:cs typeface="Arial" pitchFamily="34" charset="0"/>
            </a:rPr>
          </a:br>
          <a:endParaRPr lang="en-US" sz="1100">
            <a:latin typeface="Arial" pitchFamily="34" charset="0"/>
            <a:cs typeface="Arial" pitchFamily="34" charset="0"/>
          </a:endParaRPr>
        </a:p>
      </xdr:txBody>
    </xdr:sp>
    <xdr:clientData/>
  </xdr:twoCellAnchor>
  <xdr:twoCellAnchor editAs="oneCell">
    <xdr:from>
      <xdr:col>1</xdr:col>
      <xdr:colOff>28575</xdr:colOff>
      <xdr:row>101</xdr:row>
      <xdr:rowOff>104775</xdr:rowOff>
    </xdr:from>
    <xdr:to>
      <xdr:col>4</xdr:col>
      <xdr:colOff>1294543</xdr:colOff>
      <xdr:row>116</xdr:row>
      <xdr:rowOff>85412</xdr:rowOff>
    </xdr:to>
    <xdr:pic>
      <xdr:nvPicPr>
        <xdr:cNvPr id="13" name="Picture 12" descr="Centrifugal  Pump  Types-1.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stretch>
          <a:fillRect/>
        </a:stretch>
      </xdr:blipFill>
      <xdr:spPr>
        <a:xfrm>
          <a:off x="323850" y="14354175"/>
          <a:ext cx="6857143" cy="2504762"/>
        </a:xfrm>
        <a:prstGeom prst="rect">
          <a:avLst/>
        </a:prstGeom>
      </xdr:spPr>
    </xdr:pic>
    <xdr:clientData/>
  </xdr:twoCellAnchor>
  <xdr:twoCellAnchor>
    <xdr:from>
      <xdr:col>1</xdr:col>
      <xdr:colOff>600075</xdr:colOff>
      <xdr:row>134</xdr:row>
      <xdr:rowOff>76200</xdr:rowOff>
    </xdr:from>
    <xdr:to>
      <xdr:col>3</xdr:col>
      <xdr:colOff>666750</xdr:colOff>
      <xdr:row>138</xdr:row>
      <xdr:rowOff>38100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5350" y="22507575"/>
          <a:ext cx="470535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dk1"/>
              </a:solidFill>
              <a:latin typeface="+mn-lt"/>
              <a:ea typeface="+mn-ea"/>
              <a:cs typeface="+mn-cs"/>
            </a:rPr>
            <a:t>Pump efficiencies typically range from about 50% to 80%.    See (Systems).                                               Power that is not converted into kinetic energy is lost as heat.</a:t>
          </a:r>
          <a:endParaRPr lang="en-US" sz="1100"/>
        </a:p>
      </xdr:txBody>
    </xdr:sp>
    <xdr:clientData/>
  </xdr:twoCellAnchor>
  <xdr:twoCellAnchor>
    <xdr:from>
      <xdr:col>5</xdr:col>
      <xdr:colOff>85725</xdr:colOff>
      <xdr:row>43</xdr:row>
      <xdr:rowOff>38100</xdr:rowOff>
    </xdr:from>
    <xdr:to>
      <xdr:col>9</xdr:col>
      <xdr:colOff>66675</xdr:colOff>
      <xdr:row>70</xdr:row>
      <xdr:rowOff>114300</xdr:rowOff>
    </xdr:to>
    <xdr:pic>
      <xdr:nvPicPr>
        <xdr:cNvPr id="2049" name="Picture 1" descr="Centrifugal Pump Section-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267575" y="7429500"/>
          <a:ext cx="4962525" cy="4733925"/>
        </a:xfrm>
        <a:prstGeom prst="rect">
          <a:avLst/>
        </a:prstGeom>
        <a:noFill/>
        <a:ln w="9525">
          <a:noFill/>
          <a:miter lim="800000"/>
          <a:headEnd/>
          <a:tailEnd/>
        </a:ln>
      </xdr:spPr>
    </xdr:pic>
    <xdr:clientData/>
  </xdr:twoCellAnchor>
  <xdr:twoCellAnchor>
    <xdr:from>
      <xdr:col>1</xdr:col>
      <xdr:colOff>200025</xdr:colOff>
      <xdr:row>140</xdr:row>
      <xdr:rowOff>66674</xdr:rowOff>
    </xdr:from>
    <xdr:to>
      <xdr:col>2</xdr:col>
      <xdr:colOff>666750</xdr:colOff>
      <xdr:row>170</xdr:row>
      <xdr:rowOff>114300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95300" y="23564849"/>
          <a:ext cx="3486150" cy="498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u="none">
              <a:solidFill>
                <a:sysClr val="windowText" lastClr="000000"/>
              </a:solidFill>
              <a:latin typeface="Arial" pitchFamily="34" charset="0"/>
              <a:cs typeface="Arial" pitchFamily="34" charset="0"/>
            </a:rPr>
            <a:t>The </a:t>
          </a:r>
          <a:r>
            <a:rPr lang="en-US" sz="1000" b="1" u="none">
              <a:solidFill>
                <a:sysClr val="windowText" lastClr="000000"/>
              </a:solidFill>
              <a:latin typeface="Arial" pitchFamily="34" charset="0"/>
              <a:cs typeface="Arial" pitchFamily="34" charset="0"/>
            </a:rPr>
            <a:t>volute</a:t>
          </a:r>
          <a:r>
            <a:rPr lang="en-US" sz="1000" u="none">
              <a:solidFill>
                <a:sysClr val="windowText" lastClr="000000"/>
              </a:solidFill>
              <a:latin typeface="Arial" pitchFamily="34" charset="0"/>
              <a:cs typeface="Arial" pitchFamily="34" charset="0"/>
            </a:rPr>
            <a:t> of a centrifugal pump is the casing that receives the fluid being pumped by the impeller, slowing down the fluid's rate of flow.                                                               A volute is a curved funnel that increases in area as it approaches the discharge port.</a:t>
          </a:r>
          <a:r>
            <a:rPr lang="en-US" sz="1000" u="none" baseline="30000">
              <a:solidFill>
                <a:sysClr val="windowText" lastClr="000000"/>
              </a:solidFill>
              <a:latin typeface="Arial" pitchFamily="34" charset="0"/>
              <a:cs typeface="Arial" pitchFamily="34" charset="0"/>
            </a:rPr>
            <a:t>                                                                    </a:t>
          </a:r>
          <a:r>
            <a:rPr lang="en-US" sz="1000" u="none">
              <a:solidFill>
                <a:sysClr val="windowText" lastClr="000000"/>
              </a:solidFill>
              <a:latin typeface="Arial" pitchFamily="34" charset="0"/>
              <a:cs typeface="Arial" pitchFamily="34" charset="0"/>
            </a:rPr>
            <a:t>The volute converts kinetic energy into pressure by reducing speed while increasing pressure, helping to balance the hydraulic pressure on the shaft of the pump.</a:t>
          </a:r>
          <a:r>
            <a:rPr lang="en-US" sz="1000">
              <a:latin typeface="Arial" pitchFamily="34" charset="0"/>
              <a:cs typeface="Arial" pitchFamily="34" charset="0"/>
            </a:rPr>
            <a:t>                         </a:t>
          </a:r>
          <a:r>
            <a:rPr lang="en-US" sz="1000" baseline="0">
              <a:solidFill>
                <a:schemeClr val="dk1"/>
              </a:solidFill>
              <a:latin typeface="Arial" pitchFamily="34" charset="0"/>
              <a:ea typeface="+mn-ea"/>
              <a:cs typeface="Arial" pitchFamily="34" charset="0"/>
            </a:rPr>
            <a:t>The volute also plays a role in pump efficiency.                        At specific speeds below 2000, its losses range from 1 to 2.5% but losses can approach 10% at speeds over 5000.       Typically, volute design begins with the throat, as its cross sectional area will determine the flow velocity out of the volute.                                                                                          Flow through the throat and other portions of the casing follows the law of constant angular momentum so the designer will try to avoid abrupt changes its nearly circular geometry while gradually increasing its volume.                  Another critical area of the volute is the clearance between the outer circumference of the impeller and that of the volute tongue or cutwater.                                                 As this distance becomes larger, an increasing volume of pumpage escapes entry into the volute throat and is re-circulated into the volute case.                                                    The smallest distance possible, that does not give rise to pressure pulsations, will produce the best efficiency.                   As a rule of thumb, 5 to 10% of the impeller radius tends to be a safe value.                                                                       Pump efficiency decreases when smaller impellers are installed in a pump because of the increased amount of fluid that slips through the space between the tips of the impeller blades and the pump casing.</a:t>
          </a:r>
          <a:endParaRPr lang="en-US" sz="800">
            <a:latin typeface="Arial" pitchFamily="34" charset="0"/>
            <a:cs typeface="Arial" pitchFamily="34" charset="0"/>
          </a:endParaRPr>
        </a:p>
      </xdr:txBody>
    </xdr:sp>
    <xdr:clientData/>
  </xdr:twoCellAnchor>
  <xdr:twoCellAnchor editAs="oneCell">
    <xdr:from>
      <xdr:col>6</xdr:col>
      <xdr:colOff>47625</xdr:colOff>
      <xdr:row>86</xdr:row>
      <xdr:rowOff>57150</xdr:rowOff>
    </xdr:from>
    <xdr:to>
      <xdr:col>11</xdr:col>
      <xdr:colOff>608714</xdr:colOff>
      <xdr:row>111</xdr:row>
      <xdr:rowOff>94725</xdr:rowOff>
    </xdr:to>
    <xdr:pic>
      <xdr:nvPicPr>
        <xdr:cNvPr id="15" name="Picture 14" descr="MOTOR EFFICIENCIES-10-300 HP.pn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print"/>
        <a:stretch>
          <a:fillRect/>
        </a:stretch>
      </xdr:blipFill>
      <xdr:spPr>
        <a:xfrm>
          <a:off x="7553325" y="14697075"/>
          <a:ext cx="7095239" cy="4200000"/>
        </a:xfrm>
        <a:prstGeom prst="rect">
          <a:avLst/>
        </a:prstGeom>
      </xdr:spPr>
    </xdr:pic>
    <xdr:clientData/>
  </xdr:twoCellAnchor>
  <xdr:twoCellAnchor>
    <xdr:from>
      <xdr:col>1</xdr:col>
      <xdr:colOff>276225</xdr:colOff>
      <xdr:row>172</xdr:row>
      <xdr:rowOff>133351</xdr:rowOff>
    </xdr:from>
    <xdr:to>
      <xdr:col>4</xdr:col>
      <xdr:colOff>76200</xdr:colOff>
      <xdr:row>196</xdr:row>
      <xdr:rowOff>38101</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571500" y="28889326"/>
          <a:ext cx="5391150" cy="386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latin typeface="Arial" pitchFamily="34" charset="0"/>
              <a:cs typeface="Arial" pitchFamily="34" charset="0"/>
            </a:rPr>
            <a:t>AFFINITY  LAWS                                                                                                                                                          </a:t>
          </a:r>
          <a:r>
            <a:rPr lang="en-US" sz="1050" u="none">
              <a:latin typeface="Arial" pitchFamily="34" charset="0"/>
              <a:cs typeface="Arial" pitchFamily="34" charset="0"/>
            </a:rPr>
            <a:t>The </a:t>
          </a:r>
          <a:r>
            <a:rPr lang="en-US" sz="1050" b="1" u="none">
              <a:latin typeface="Arial" pitchFamily="34" charset="0"/>
              <a:cs typeface="Arial" pitchFamily="34" charset="0"/>
            </a:rPr>
            <a:t>affinity laws</a:t>
          </a:r>
          <a:r>
            <a:rPr lang="en-US" sz="1050" u="none">
              <a:latin typeface="Arial" pitchFamily="34" charset="0"/>
              <a:cs typeface="Arial" pitchFamily="34" charset="0"/>
            </a:rPr>
            <a:t> are used in </a:t>
          </a:r>
          <a:r>
            <a:rPr lang="en-US" sz="1050" u="none">
              <a:solidFill>
                <a:sysClr val="windowText" lastClr="000000"/>
              </a:solidFill>
              <a:latin typeface="Arial" pitchFamily="34" charset="0"/>
              <a:cs typeface="Arial" pitchFamily="34" charset="0"/>
              <a:hlinkClick xmlns:r="http://schemas.openxmlformats.org/officeDocument/2006/relationships" r:id=""/>
            </a:rPr>
            <a:t>hydraulics</a:t>
          </a:r>
          <a:r>
            <a:rPr lang="en-US" sz="1050" u="none">
              <a:solidFill>
                <a:sysClr val="windowText" lastClr="000000"/>
              </a:solidFill>
              <a:latin typeface="Arial" pitchFamily="34" charset="0"/>
              <a:cs typeface="Arial" pitchFamily="34" charset="0"/>
            </a:rPr>
            <a:t> and </a:t>
          </a:r>
          <a:r>
            <a:rPr lang="en-US" sz="1050" u="none">
              <a:solidFill>
                <a:sysClr val="windowText" lastClr="000000"/>
              </a:solidFill>
              <a:latin typeface="Arial" pitchFamily="34" charset="0"/>
              <a:cs typeface="Arial" pitchFamily="34" charset="0"/>
              <a:hlinkClick xmlns:r="http://schemas.openxmlformats.org/officeDocument/2006/relationships" r:id=""/>
            </a:rPr>
            <a:t>HVAC</a:t>
          </a:r>
          <a:r>
            <a:rPr lang="en-US" sz="1050" u="none">
              <a:solidFill>
                <a:sysClr val="windowText" lastClr="000000"/>
              </a:solidFill>
              <a:latin typeface="Arial" pitchFamily="34" charset="0"/>
              <a:cs typeface="Arial" pitchFamily="34" charset="0"/>
            </a:rPr>
            <a:t> to express the relationship between variables involved in pump or fan performance (such as </a:t>
          </a:r>
          <a:r>
            <a:rPr lang="en-US" sz="1050" u="none">
              <a:solidFill>
                <a:sysClr val="windowText" lastClr="000000"/>
              </a:solidFill>
              <a:latin typeface="Arial" pitchFamily="34" charset="0"/>
              <a:cs typeface="Arial" pitchFamily="34" charset="0"/>
              <a:hlinkClick xmlns:r="http://schemas.openxmlformats.org/officeDocument/2006/relationships" r:id=""/>
            </a:rPr>
            <a:t>head</a:t>
          </a:r>
          <a:r>
            <a:rPr lang="en-US" sz="1050" u="none">
              <a:solidFill>
                <a:sysClr val="windowText" lastClr="000000"/>
              </a:solidFill>
              <a:latin typeface="Arial" pitchFamily="34" charset="0"/>
              <a:cs typeface="Arial" pitchFamily="34" charset="0"/>
            </a:rPr>
            <a:t>, </a:t>
          </a:r>
          <a:r>
            <a:rPr lang="en-US" sz="1050" u="none">
              <a:solidFill>
                <a:sysClr val="windowText" lastClr="000000"/>
              </a:solidFill>
              <a:latin typeface="Arial" pitchFamily="34" charset="0"/>
              <a:cs typeface="Arial" pitchFamily="34" charset="0"/>
              <a:hlinkClick xmlns:r="http://schemas.openxmlformats.org/officeDocument/2006/relationships" r:id=""/>
            </a:rPr>
            <a:t>volumetric flow rate</a:t>
          </a:r>
          <a:r>
            <a:rPr lang="en-US" sz="1050" u="none">
              <a:solidFill>
                <a:sysClr val="windowText" lastClr="000000"/>
              </a:solidFill>
              <a:latin typeface="Arial" pitchFamily="34" charset="0"/>
              <a:cs typeface="Arial" pitchFamily="34" charset="0"/>
            </a:rPr>
            <a:t>, shaft speed, and </a:t>
          </a:r>
          <a:r>
            <a:rPr lang="en-US" sz="1050" u="none">
              <a:solidFill>
                <a:sysClr val="windowText" lastClr="000000"/>
              </a:solidFill>
              <a:latin typeface="Arial" pitchFamily="34" charset="0"/>
              <a:cs typeface="Arial" pitchFamily="34" charset="0"/>
              <a:hlinkClick xmlns:r="http://schemas.openxmlformats.org/officeDocument/2006/relationships" r:id=""/>
            </a:rPr>
            <a:t>power</a:t>
          </a:r>
          <a:r>
            <a:rPr lang="en-US" sz="1050" u="none">
              <a:solidFill>
                <a:sysClr val="windowText" lastClr="000000"/>
              </a:solidFill>
              <a:latin typeface="Arial" pitchFamily="34" charset="0"/>
              <a:cs typeface="Arial" pitchFamily="34" charset="0"/>
            </a:rPr>
            <a:t>). They apply to </a:t>
          </a:r>
          <a:r>
            <a:rPr lang="en-US" sz="1050" u="none">
              <a:solidFill>
                <a:sysClr val="windowText" lastClr="000000"/>
              </a:solidFill>
              <a:latin typeface="Arial" pitchFamily="34" charset="0"/>
              <a:cs typeface="Arial" pitchFamily="34" charset="0"/>
              <a:hlinkClick xmlns:r="http://schemas.openxmlformats.org/officeDocument/2006/relationships" r:id=""/>
            </a:rPr>
            <a:t>pumps</a:t>
          </a:r>
          <a:r>
            <a:rPr lang="en-US" sz="1050" u="none">
              <a:solidFill>
                <a:sysClr val="windowText" lastClr="000000"/>
              </a:solidFill>
              <a:latin typeface="Arial" pitchFamily="34" charset="0"/>
              <a:cs typeface="Arial" pitchFamily="34" charset="0"/>
            </a:rPr>
            <a:t>, </a:t>
          </a:r>
          <a:r>
            <a:rPr lang="en-US" sz="1050" u="none">
              <a:solidFill>
                <a:sysClr val="windowText" lastClr="000000"/>
              </a:solidFill>
              <a:latin typeface="Arial" pitchFamily="34" charset="0"/>
              <a:cs typeface="Arial" pitchFamily="34" charset="0"/>
              <a:hlinkClick xmlns:r="http://schemas.openxmlformats.org/officeDocument/2006/relationships" r:id=""/>
            </a:rPr>
            <a:t>fans</a:t>
          </a:r>
          <a:r>
            <a:rPr lang="en-US" sz="1050" u="none">
              <a:solidFill>
                <a:sysClr val="windowText" lastClr="000000"/>
              </a:solidFill>
              <a:latin typeface="Arial" pitchFamily="34" charset="0"/>
              <a:cs typeface="Arial" pitchFamily="34" charset="0"/>
            </a:rPr>
            <a:t>, and </a:t>
          </a:r>
          <a:r>
            <a:rPr lang="en-US" sz="1050" u="none">
              <a:solidFill>
                <a:sysClr val="windowText" lastClr="000000"/>
              </a:solidFill>
              <a:latin typeface="Arial" pitchFamily="34" charset="0"/>
              <a:cs typeface="Arial" pitchFamily="34" charset="0"/>
              <a:hlinkClick xmlns:r="http://schemas.openxmlformats.org/officeDocument/2006/relationships" r:id=""/>
            </a:rPr>
            <a:t>hydraulic turbines</a:t>
          </a:r>
          <a:r>
            <a:rPr lang="en-US" sz="1050" u="none">
              <a:solidFill>
                <a:sysClr val="windowText" lastClr="000000"/>
              </a:solidFill>
              <a:latin typeface="Arial" pitchFamily="34" charset="0"/>
              <a:cs typeface="Arial" pitchFamily="34" charset="0"/>
            </a:rPr>
            <a:t>. In these rotary implements, the affinity laws apply both to centrifugal and axial flows. http://en.wikipedia.org/wiki/Affinity_laws                                                                                                 </a:t>
          </a:r>
          <a:r>
            <a:rPr lang="en-US" sz="1000" u="none">
              <a:solidFill>
                <a:sysClr val="windowText" lastClr="000000"/>
              </a:solidFill>
              <a:latin typeface="Arial" pitchFamily="34" charset="0"/>
              <a:cs typeface="Arial" pitchFamily="34" charset="0"/>
            </a:rPr>
            <a:t>                                                                                           </a:t>
          </a:r>
          <a:r>
            <a:rPr lang="en-US" sz="1000" b="1" i="1" u="none">
              <a:solidFill>
                <a:sysClr val="windowText" lastClr="000000"/>
              </a:solidFill>
              <a:latin typeface="Arial" pitchFamily="34" charset="0"/>
              <a:cs typeface="Arial" pitchFamily="34" charset="0"/>
            </a:rPr>
            <a:t>Q</a:t>
          </a:r>
          <a:r>
            <a:rPr lang="en-US" sz="1000" b="1" u="none">
              <a:solidFill>
                <a:sysClr val="windowText" lastClr="000000"/>
              </a:solidFill>
              <a:latin typeface="Arial" pitchFamily="34" charset="0"/>
              <a:cs typeface="Arial" pitchFamily="34" charset="0"/>
            </a:rPr>
            <a:t> is the volumetric flow rate (e.g. </a:t>
          </a:r>
          <a:r>
            <a:rPr lang="en-US" sz="1000" b="1" u="none">
              <a:solidFill>
                <a:sysClr val="windowText" lastClr="000000"/>
              </a:solidFill>
              <a:latin typeface="Arial" pitchFamily="34" charset="0"/>
              <a:cs typeface="Arial" pitchFamily="34" charset="0"/>
              <a:hlinkClick xmlns:r="http://schemas.openxmlformats.org/officeDocument/2006/relationships" r:id=""/>
            </a:rPr>
            <a:t>CFM</a:t>
          </a:r>
          <a:r>
            <a:rPr lang="en-US" sz="1000" b="1" u="none">
              <a:solidFill>
                <a:sysClr val="windowText" lastClr="000000"/>
              </a:solidFill>
              <a:latin typeface="Arial" pitchFamily="34" charset="0"/>
              <a:cs typeface="Arial" pitchFamily="34" charset="0"/>
            </a:rPr>
            <a:t>, GPM or L/s),</a:t>
          </a:r>
        </a:p>
        <a:p>
          <a:r>
            <a:rPr lang="en-US" sz="1000" b="1" i="1" u="none">
              <a:solidFill>
                <a:sysClr val="windowText" lastClr="000000"/>
              </a:solidFill>
              <a:latin typeface="Arial" pitchFamily="34" charset="0"/>
              <a:cs typeface="Arial" pitchFamily="34" charset="0"/>
            </a:rPr>
            <a:t>D</a:t>
          </a:r>
          <a:r>
            <a:rPr lang="en-US" sz="1000" b="1" u="none">
              <a:solidFill>
                <a:sysClr val="windowText" lastClr="000000"/>
              </a:solidFill>
              <a:latin typeface="Arial" pitchFamily="34" charset="0"/>
              <a:cs typeface="Arial" pitchFamily="34" charset="0"/>
            </a:rPr>
            <a:t> is the impeller diameter (e.g. in or mm),</a:t>
          </a:r>
        </a:p>
        <a:p>
          <a:r>
            <a:rPr lang="en-US" sz="1000" b="1" i="1" u="none">
              <a:solidFill>
                <a:sysClr val="windowText" lastClr="000000"/>
              </a:solidFill>
              <a:latin typeface="Arial" pitchFamily="34" charset="0"/>
              <a:cs typeface="Arial" pitchFamily="34" charset="0"/>
            </a:rPr>
            <a:t>N</a:t>
          </a:r>
          <a:r>
            <a:rPr lang="en-US" sz="1000" b="1" u="none">
              <a:solidFill>
                <a:sysClr val="windowText" lastClr="000000"/>
              </a:solidFill>
              <a:latin typeface="Arial" pitchFamily="34" charset="0"/>
              <a:cs typeface="Arial" pitchFamily="34" charset="0"/>
            </a:rPr>
            <a:t> is the shaft rotational speed (e.g. </a:t>
          </a:r>
          <a:r>
            <a:rPr lang="en-US" sz="1000" b="1" u="none">
              <a:solidFill>
                <a:sysClr val="windowText" lastClr="000000"/>
              </a:solidFill>
              <a:latin typeface="Arial" pitchFamily="34" charset="0"/>
              <a:cs typeface="Arial" pitchFamily="34" charset="0"/>
              <a:hlinkClick xmlns:r="http://schemas.openxmlformats.org/officeDocument/2006/relationships" r:id=""/>
            </a:rPr>
            <a:t>rpm</a:t>
          </a:r>
          <a:r>
            <a:rPr lang="en-US" sz="1000" b="1" u="none">
              <a:solidFill>
                <a:sysClr val="windowText" lastClr="000000"/>
              </a:solidFill>
              <a:latin typeface="Arial" pitchFamily="34" charset="0"/>
              <a:cs typeface="Arial" pitchFamily="34" charset="0"/>
            </a:rPr>
            <a:t>),</a:t>
          </a:r>
        </a:p>
        <a:p>
          <a:r>
            <a:rPr lang="en-US" sz="1000" b="1" i="1" u="none">
              <a:latin typeface="Arial" pitchFamily="34" charset="0"/>
              <a:cs typeface="Arial" pitchFamily="34" charset="0"/>
            </a:rPr>
            <a:t>H</a:t>
          </a:r>
          <a:r>
            <a:rPr lang="en-US" sz="1000" b="1" u="none">
              <a:latin typeface="Arial" pitchFamily="34" charset="0"/>
              <a:cs typeface="Arial" pitchFamily="34" charset="0"/>
            </a:rPr>
            <a:t> is the pressure or head developed by th</a:t>
          </a:r>
          <a:r>
            <a:rPr lang="en-US" sz="1000" b="1">
              <a:latin typeface="Arial" pitchFamily="34" charset="0"/>
              <a:cs typeface="Arial" pitchFamily="34" charset="0"/>
            </a:rPr>
            <a:t>e fan/pump (e.g. ft or m), and</a:t>
          </a:r>
        </a:p>
        <a:p>
          <a:r>
            <a:rPr lang="en-US" sz="1000" b="1" i="1">
              <a:latin typeface="Arial" pitchFamily="34" charset="0"/>
              <a:cs typeface="Arial" pitchFamily="34" charset="0"/>
            </a:rPr>
            <a:t>P</a:t>
          </a:r>
          <a:r>
            <a:rPr lang="en-US" sz="1000" b="1">
              <a:latin typeface="Arial" pitchFamily="34" charset="0"/>
              <a:cs typeface="Arial" pitchFamily="34" charset="0"/>
            </a:rPr>
            <a:t> is the shaft power (e.g. W).                                                                                                    </a:t>
          </a:r>
          <a:r>
            <a:rPr lang="en-US" sz="1200" b="1">
              <a:solidFill>
                <a:schemeClr val="dk1"/>
              </a:solidFill>
              <a:latin typeface="Arial" pitchFamily="34" charset="0"/>
              <a:ea typeface="+mn-ea"/>
              <a:cs typeface="Arial" pitchFamily="34" charset="0"/>
            </a:rPr>
            <a:t>Law 1. With impeller diameter (D) held constant:</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Law 1a. Flow is proportional to shaft speed:    </a:t>
          </a:r>
          <a:endParaRPr lang="en-US" sz="1000" b="1">
            <a:latin typeface="Arial" pitchFamily="34" charset="0"/>
            <a:cs typeface="Arial" pitchFamily="34" charset="0"/>
          </a:endParaRPr>
        </a:p>
        <a:p>
          <a:r>
            <a:rPr lang="en-US" sz="1000">
              <a:latin typeface="Arial" pitchFamily="34" charset="0"/>
              <a:cs typeface="Arial" pitchFamily="34" charset="0"/>
            </a:rPr>
            <a:t>Q1/Q2/ = N1/N2</a:t>
          </a:r>
          <a:r>
            <a:rPr lang="en-US" sz="1000" baseline="0">
              <a:latin typeface="Arial" pitchFamily="34" charset="0"/>
              <a:cs typeface="Arial" pitchFamily="34" charset="0"/>
            </a:rPr>
            <a:t> </a:t>
          </a:r>
          <a:r>
            <a:rPr lang="en-US" sz="1000">
              <a:latin typeface="Arial" pitchFamily="34" charset="0"/>
              <a:cs typeface="Arial" pitchFamily="34" charset="0"/>
            </a:rPr>
            <a:t>                                                                                                                        H1/H2 =</a:t>
          </a:r>
          <a:r>
            <a:rPr lang="en-US" sz="1000" baseline="0">
              <a:latin typeface="Arial" pitchFamily="34" charset="0"/>
              <a:cs typeface="Arial" pitchFamily="34" charset="0"/>
            </a:rPr>
            <a:t> </a:t>
          </a:r>
          <a:r>
            <a:rPr lang="en-US" sz="1100">
              <a:solidFill>
                <a:schemeClr val="dk1"/>
              </a:solidFill>
              <a:latin typeface="Arial" pitchFamily="34" charset="0"/>
              <a:ea typeface="+mn-ea"/>
              <a:cs typeface="Arial" pitchFamily="34" charset="0"/>
            </a:rPr>
            <a:t>(N1/N2)^2                                                                                                                                       P1/P2 =</a:t>
          </a:r>
          <a:r>
            <a:rPr lang="en-US" sz="1100" baseline="0">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(N1/N2)^3                                                                                                                  </a:t>
          </a:r>
          <a:r>
            <a:rPr lang="en-US" sz="1200" b="1">
              <a:solidFill>
                <a:schemeClr val="dk1"/>
              </a:solidFill>
              <a:latin typeface="Arial" pitchFamily="34" charset="0"/>
              <a:ea typeface="+mn-ea"/>
              <a:cs typeface="Arial" pitchFamily="34" charset="0"/>
            </a:rPr>
            <a:t>Law 2. With impeller speed (N) held constant:</a:t>
          </a:r>
          <a:endParaRPr lang="en-US" sz="1000">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Law 1a. Flow is proportional to shaft speed:    </a:t>
          </a:r>
          <a:endParaRPr lang="en-US" sz="1000" b="1">
            <a:solidFill>
              <a:schemeClr val="dk1"/>
            </a:solidFill>
            <a:latin typeface="Arial" pitchFamily="34" charset="0"/>
            <a:ea typeface="+mn-ea"/>
            <a:cs typeface="Arial" pitchFamily="34" charset="0"/>
          </a:endParaRPr>
        </a:p>
        <a:p>
          <a:r>
            <a:rPr lang="en-US" sz="1000">
              <a:solidFill>
                <a:schemeClr val="dk1"/>
              </a:solidFill>
              <a:latin typeface="Arial" pitchFamily="34" charset="0"/>
              <a:ea typeface="+mn-ea"/>
              <a:cs typeface="Arial" pitchFamily="34" charset="0"/>
            </a:rPr>
            <a:t>Q1/Q2/ = D1/D2</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                                                                                                                            H1/H2 =</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(D1/D2)^2                                                                                                                                       P1/P2 =</a:t>
          </a:r>
          <a:r>
            <a:rPr lang="en-US" sz="10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(D1/D2)^3</a:t>
          </a:r>
        </a:p>
        <a:p>
          <a:r>
            <a:rPr lang="en-US" sz="1100" u="sng">
              <a:latin typeface="Arial" pitchFamily="34" charset="0"/>
              <a:cs typeface="Arial" pitchFamily="34" charset="0"/>
            </a:rPr>
            <a:t>Note: the above affinity laws are approximate and not exact for pumps</a:t>
          </a:r>
          <a:r>
            <a:rPr lang="en-US" sz="1100" u="sng" baseline="0">
              <a:latin typeface="Arial" pitchFamily="34" charset="0"/>
              <a:cs typeface="Arial" pitchFamily="34" charset="0"/>
            </a:rPr>
            <a:t> because of the losses described above.</a:t>
          </a:r>
          <a:endParaRPr lang="en-US" sz="1100" u="sng">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a:latin typeface="Arial" pitchFamily="34" charset="0"/>
            <a:cs typeface="Arial" pitchFamily="34" charset="0"/>
          </a:endParaRPr>
        </a:p>
        <a:p>
          <a:endParaRPr lang="en-US" sz="1100"/>
        </a:p>
      </xdr:txBody>
    </xdr:sp>
    <xdr:clientData/>
  </xdr:twoCellAnchor>
  <xdr:twoCellAnchor>
    <xdr:from>
      <xdr:col>1</xdr:col>
      <xdr:colOff>257175</xdr:colOff>
      <xdr:row>197</xdr:row>
      <xdr:rowOff>47626</xdr:rowOff>
    </xdr:from>
    <xdr:to>
      <xdr:col>4</xdr:col>
      <xdr:colOff>38100</xdr:colOff>
      <xdr:row>205</xdr:row>
      <xdr:rowOff>142876</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552450" y="33289876"/>
          <a:ext cx="53721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DISCLAIMER: The materials contained in the online course are not intended as a representation or warranty on the part of PDH Center or any other person/organization named herein. The materials are for general information only. They are not a substitute for competent professional advice. Application of this information to a specific project should be reviewed by a registered architect and/or professional engineer/surveyor. Anyone making use of the information set forth herein does so at their own risk and assumes any and all resulting liability arising therefrom.</a:t>
          </a:r>
        </a:p>
        <a:p>
          <a:endParaRPr lang="en-US" sz="1100"/>
        </a:p>
      </xdr:txBody>
    </xdr:sp>
    <xdr:clientData/>
  </xdr:twoCellAnchor>
  <xdr:twoCellAnchor editAs="oneCell">
    <xdr:from>
      <xdr:col>2</xdr:col>
      <xdr:colOff>971550</xdr:colOff>
      <xdr:row>143</xdr:row>
      <xdr:rowOff>19050</xdr:rowOff>
    </xdr:from>
    <xdr:to>
      <xdr:col>4</xdr:col>
      <xdr:colOff>933450</xdr:colOff>
      <xdr:row>158</xdr:row>
      <xdr:rowOff>47625</xdr:rowOff>
    </xdr:to>
    <xdr:pic>
      <xdr:nvPicPr>
        <xdr:cNvPr id="18" name="Picture 17" descr="PUMP DESIGN-1.jp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cstate="print"/>
        <a:stretch>
          <a:fillRect/>
        </a:stretch>
      </xdr:blipFill>
      <xdr:spPr>
        <a:xfrm>
          <a:off x="4286250" y="24364950"/>
          <a:ext cx="2533650" cy="2495550"/>
        </a:xfrm>
        <a:prstGeom prst="rect">
          <a:avLst/>
        </a:prstGeom>
      </xdr:spPr>
    </xdr:pic>
    <xdr:clientData/>
  </xdr:twoCellAnchor>
  <xdr:twoCellAnchor editAs="oneCell">
    <xdr:from>
      <xdr:col>8</xdr:col>
      <xdr:colOff>542925</xdr:colOff>
      <xdr:row>119</xdr:row>
      <xdr:rowOff>47625</xdr:rowOff>
    </xdr:from>
    <xdr:to>
      <xdr:col>11</xdr:col>
      <xdr:colOff>190500</xdr:colOff>
      <xdr:row>127</xdr:row>
      <xdr:rowOff>114300</xdr:rowOff>
    </xdr:to>
    <xdr:pic>
      <xdr:nvPicPr>
        <xdr:cNvPr id="14" name="Picture 13">
          <a:extLst>
            <a:ext uri="{FF2B5EF4-FFF2-40B4-BE49-F238E27FC236}">
              <a16:creationId xmlns:a16="http://schemas.microsoft.com/office/drawing/2014/main" id="{BF3ED977-3EE2-49B8-ABB8-E7FC4ED984A3}"/>
            </a:ext>
          </a:extLst>
        </xdr:cNvPr>
        <xdr:cNvPicPr/>
      </xdr:nvPicPr>
      <xdr:blipFill>
        <a:blip xmlns:r="http://schemas.openxmlformats.org/officeDocument/2006/relationships" r:embed="rId7"/>
        <a:stretch>
          <a:fillRect/>
        </a:stretch>
      </xdr:blipFill>
      <xdr:spPr>
        <a:xfrm>
          <a:off x="12125325" y="20278725"/>
          <a:ext cx="2105025" cy="1495425"/>
        </a:xfrm>
        <a:prstGeom prst="rect">
          <a:avLst/>
        </a:prstGeom>
      </xdr:spPr>
    </xdr:pic>
    <xdr:clientData/>
  </xdr:twoCellAnchor>
  <xdr:twoCellAnchor editAs="oneCell">
    <xdr:from>
      <xdr:col>8</xdr:col>
      <xdr:colOff>533400</xdr:colOff>
      <xdr:row>131</xdr:row>
      <xdr:rowOff>161925</xdr:rowOff>
    </xdr:from>
    <xdr:to>
      <xdr:col>11</xdr:col>
      <xdr:colOff>657225</xdr:colOff>
      <xdr:row>140</xdr:row>
      <xdr:rowOff>47625</xdr:rowOff>
    </xdr:to>
    <xdr:pic>
      <xdr:nvPicPr>
        <xdr:cNvPr id="19" name="Picture 18">
          <a:extLst>
            <a:ext uri="{FF2B5EF4-FFF2-40B4-BE49-F238E27FC236}">
              <a16:creationId xmlns:a16="http://schemas.microsoft.com/office/drawing/2014/main" id="{E3775CE2-BD69-485E-8A12-9E1AE28B0509}"/>
            </a:ext>
          </a:extLst>
        </xdr:cNvPr>
        <xdr:cNvPicPr/>
      </xdr:nvPicPr>
      <xdr:blipFill>
        <a:blip xmlns:r="http://schemas.openxmlformats.org/officeDocument/2006/relationships" r:embed="rId8"/>
        <a:stretch>
          <a:fillRect/>
        </a:stretch>
      </xdr:blipFill>
      <xdr:spPr>
        <a:xfrm>
          <a:off x="12115800" y="22517100"/>
          <a:ext cx="2581275"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62</xdr:row>
      <xdr:rowOff>38101</xdr:rowOff>
    </xdr:from>
    <xdr:to>
      <xdr:col>2</xdr:col>
      <xdr:colOff>1228726</xdr:colOff>
      <xdr:row>88</xdr:row>
      <xdr:rowOff>5984</xdr:rowOff>
    </xdr:to>
    <xdr:pic>
      <xdr:nvPicPr>
        <xdr:cNvPr id="2" name="Picture 2" descr="MOODY=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71450" y="10277476"/>
          <a:ext cx="4324351" cy="4216033"/>
        </a:xfrm>
        <a:prstGeom prst="rect">
          <a:avLst/>
        </a:prstGeom>
        <a:noFill/>
        <a:ln w="9525">
          <a:noFill/>
          <a:miter lim="800000"/>
          <a:headEnd/>
          <a:tailEnd/>
        </a:ln>
      </xdr:spPr>
    </xdr:pic>
    <xdr:clientData/>
  </xdr:twoCellAnchor>
  <xdr:twoCellAnchor>
    <xdr:from>
      <xdr:col>2</xdr:col>
      <xdr:colOff>1397001</xdr:colOff>
      <xdr:row>61</xdr:row>
      <xdr:rowOff>158750</xdr:rowOff>
    </xdr:from>
    <xdr:to>
      <xdr:col>4</xdr:col>
      <xdr:colOff>1079500</xdr:colOff>
      <xdr:row>69</xdr:row>
      <xdr:rowOff>139700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673601" y="10471150"/>
          <a:ext cx="190499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latin typeface="Arial" pitchFamily="34" charset="0"/>
              <a:cs typeface="Arial" pitchFamily="34" charset="0"/>
            </a:rPr>
            <a:t>Fluid flow when:                          Re</a:t>
          </a:r>
          <a:r>
            <a:rPr lang="en-US" sz="1000" baseline="0">
              <a:latin typeface="Arial" pitchFamily="34" charset="0"/>
              <a:cs typeface="Arial" pitchFamily="34" charset="0"/>
            </a:rPr>
            <a:t> = 1.629 x 10^5 is  </a:t>
          </a:r>
          <a:r>
            <a:rPr lang="en-US" sz="1000" u="sng" baseline="0">
              <a:latin typeface="Arial" pitchFamily="34" charset="0"/>
              <a:cs typeface="Arial" pitchFamily="34" charset="0"/>
            </a:rPr>
            <a:t>turbulent </a:t>
          </a:r>
          <a:r>
            <a:rPr lang="en-US" sz="1000" baseline="0">
              <a:latin typeface="Arial" pitchFamily="34" charset="0"/>
              <a:cs typeface="Arial" pitchFamily="34" charset="0"/>
            </a:rPr>
            <a:t>as indicated on the Moody diagram left.                                                           </a:t>
          </a:r>
          <a:r>
            <a:rPr lang="en-US" sz="1000" baseline="0">
              <a:solidFill>
                <a:schemeClr val="dk1"/>
              </a:solidFill>
              <a:latin typeface="Arial" pitchFamily="34" charset="0"/>
              <a:ea typeface="+mn-ea"/>
              <a:cs typeface="Arial" pitchFamily="34" charset="0"/>
            </a:rPr>
            <a:t>Diagram</a:t>
          </a:r>
          <a:r>
            <a:rPr lang="en-US" sz="1000">
              <a:solidFill>
                <a:schemeClr val="dk1"/>
              </a:solidFill>
              <a:latin typeface="Arial" pitchFamily="34" charset="0"/>
              <a:ea typeface="+mn-ea"/>
              <a:cs typeface="Arial" pitchFamily="34" charset="0"/>
            </a:rPr>
            <a:t> left is the image at: </a:t>
          </a:r>
          <a:r>
            <a:rPr lang="en-US" sz="1000">
              <a:solidFill>
                <a:schemeClr val="dk1"/>
              </a:solidFill>
              <a:latin typeface="Arial" pitchFamily="34" charset="0"/>
              <a:ea typeface="+mn-ea"/>
              <a:cs typeface="Arial" pitchFamily="34" charset="0"/>
              <a:hlinkClick xmlns:r="http://schemas.openxmlformats.org/officeDocument/2006/relationships" r:id=""/>
            </a:rPr>
            <a:t>www.engineeringtoolbox.com/moody-diagram-d_61...</a:t>
          </a:r>
          <a:endParaRPr lang="en-US" sz="1000">
            <a:solidFill>
              <a:schemeClr val="dk1"/>
            </a:solidFill>
            <a:latin typeface="Arial" pitchFamily="34" charset="0"/>
            <a:ea typeface="+mn-ea"/>
            <a:cs typeface="Arial" pitchFamily="34" charset="0"/>
          </a:endParaRPr>
        </a:p>
        <a:p>
          <a:endParaRPr lang="en-US" sz="1100"/>
        </a:p>
      </xdr:txBody>
    </xdr:sp>
    <xdr:clientData/>
  </xdr:twoCellAnchor>
  <xdr:twoCellAnchor>
    <xdr:from>
      <xdr:col>1</xdr:col>
      <xdr:colOff>1057275</xdr:colOff>
      <xdr:row>152</xdr:row>
      <xdr:rowOff>19049</xdr:rowOff>
    </xdr:from>
    <xdr:to>
      <xdr:col>3</xdr:col>
      <xdr:colOff>495300</xdr:colOff>
      <xdr:row>158</xdr:row>
      <xdr:rowOff>104774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352550" y="21545549"/>
          <a:ext cx="4076700"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MOODY DIAGRAM for conditions above:</a:t>
          </a:r>
        </a:p>
        <a:p>
          <a:r>
            <a:rPr lang="en-US" sz="1000" b="1" baseline="0">
              <a:solidFill>
                <a:schemeClr val="dk1"/>
              </a:solidFill>
              <a:latin typeface="Arial" pitchFamily="34" charset="0"/>
              <a:ea typeface="+mn-ea"/>
              <a:cs typeface="Arial" pitchFamily="34" charset="0"/>
            </a:rPr>
            <a:t>From the Moody diagram, the point for                                            Re = _____________and Roughness </a:t>
          </a:r>
          <a:r>
            <a:rPr lang="el-GR" sz="1000" b="1" baseline="0">
              <a:solidFill>
                <a:schemeClr val="dk1"/>
              </a:solidFill>
              <a:latin typeface="Arial" pitchFamily="34" charset="0"/>
              <a:ea typeface="+mn-ea"/>
              <a:cs typeface="Arial" pitchFamily="34" charset="0"/>
            </a:rPr>
            <a:t>ε/</a:t>
          </a:r>
          <a:r>
            <a:rPr lang="en-US" sz="1000" b="1" baseline="0">
              <a:solidFill>
                <a:schemeClr val="dk1"/>
              </a:solidFill>
              <a:latin typeface="Arial" pitchFamily="34" charset="0"/>
              <a:ea typeface="+mn-ea"/>
              <a:cs typeface="Arial" pitchFamily="34" charset="0"/>
            </a:rPr>
            <a:t>D = _____________, is in the _______________ region and the friction factor, f, is approximately: f = ___________ and ___________ by the Darcy Weisbach formula. </a:t>
          </a:r>
        </a:p>
        <a:p>
          <a:endParaRPr lang="en-US" sz="1100"/>
        </a:p>
      </xdr:txBody>
    </xdr:sp>
    <xdr:clientData/>
  </xdr:twoCellAnchor>
  <xdr:twoCellAnchor>
    <xdr:from>
      <xdr:col>1</xdr:col>
      <xdr:colOff>1104900</xdr:colOff>
      <xdr:row>188</xdr:row>
      <xdr:rowOff>19050</xdr:rowOff>
    </xdr:from>
    <xdr:to>
      <xdr:col>3</xdr:col>
      <xdr:colOff>1009651</xdr:colOff>
      <xdr:row>195</xdr:row>
      <xdr:rowOff>19050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390650" y="31308675"/>
          <a:ext cx="423862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Equation is:   f = ((-2 * Log((e/D) / 3.7)) + (2.51 / (Re * f^0.5)))^-2                        Divide both sides of the friction equation by f.                                        Now  1 = Right side of the equation</a:t>
          </a:r>
          <a:r>
            <a:rPr lang="en-US" sz="1100" b="1" baseline="0"/>
            <a:t> / f                                                                Pick </a:t>
          </a:r>
          <a:r>
            <a:rPr lang="en-US" sz="1100" b="1" baseline="0">
              <a:solidFill>
                <a:schemeClr val="dk1"/>
              </a:solidFill>
              <a:latin typeface="+mn-lt"/>
              <a:ea typeface="+mn-ea"/>
              <a:cs typeface="+mn-cs"/>
            </a:rPr>
            <a:t>Cell containing formula result, C200 &gt; </a:t>
          </a:r>
          <a:r>
            <a:rPr lang="en-US" sz="1100" b="1" baseline="0"/>
            <a:t>Data &gt; What If &gt; Goal Seek &gt; &gt; by changing the value in the cell containing  the guessed value of  f  in C197.</a:t>
          </a:r>
          <a:endParaRPr lang="en-US" sz="1100" b="1"/>
        </a:p>
      </xdr:txBody>
    </xdr:sp>
    <xdr:clientData/>
  </xdr:twoCellAnchor>
  <xdr:twoCellAnchor>
    <xdr:from>
      <xdr:col>7</xdr:col>
      <xdr:colOff>590550</xdr:colOff>
      <xdr:row>151</xdr:row>
      <xdr:rowOff>142875</xdr:rowOff>
    </xdr:from>
    <xdr:to>
      <xdr:col>9</xdr:col>
      <xdr:colOff>552450</xdr:colOff>
      <xdr:row>157</xdr:row>
      <xdr:rowOff>152400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258175" y="24660225"/>
          <a:ext cx="363855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MOODY DIAGRAM for conditions above:</a:t>
          </a:r>
          <a:endParaRPr lang="en-US"/>
        </a:p>
        <a:p>
          <a:r>
            <a:rPr lang="en-US" sz="1100" b="1" baseline="0">
              <a:solidFill>
                <a:schemeClr val="dk1"/>
              </a:solidFill>
              <a:latin typeface="+mn-lt"/>
              <a:ea typeface="+mn-ea"/>
              <a:cs typeface="+mn-cs"/>
            </a:rPr>
            <a:t>From the Moody diagram, the point for Re = 1.10 x 10^5 and  Roughness </a:t>
          </a:r>
          <a:r>
            <a:rPr lang="el-GR" sz="1100" b="1" baseline="0">
              <a:solidFill>
                <a:schemeClr val="dk1"/>
              </a:solidFill>
              <a:latin typeface="+mn-lt"/>
              <a:ea typeface="+mn-ea"/>
              <a:cs typeface="+mn-cs"/>
            </a:rPr>
            <a:t>ε/</a:t>
          </a:r>
          <a:r>
            <a:rPr lang="en-US" sz="1100" b="1" baseline="0">
              <a:solidFill>
                <a:schemeClr val="dk1"/>
              </a:solidFill>
              <a:latin typeface="+mn-lt"/>
              <a:ea typeface="+mn-ea"/>
              <a:cs typeface="+mn-cs"/>
            </a:rPr>
            <a:t>D = 0.00030, is in the turbulent region and the friction factor, f, is approximately: f = 0.015 and 0.0149 by the Darcy Weisbach formula. </a:t>
          </a:r>
          <a:endParaRPr lang="en-US"/>
        </a:p>
        <a:p>
          <a:endParaRPr lang="en-US" sz="1000" b="1" baseline="0">
            <a:solidFill>
              <a:schemeClr val="dk1"/>
            </a:solidFill>
            <a:latin typeface="Arial" pitchFamily="34" charset="0"/>
            <a:ea typeface="+mn-ea"/>
            <a:cs typeface="Arial" pitchFamily="34" charset="0"/>
          </a:endParaRPr>
        </a:p>
        <a:p>
          <a:endParaRPr lang="en-US" sz="1100"/>
        </a:p>
      </xdr:txBody>
    </xdr:sp>
    <xdr:clientData/>
  </xdr:twoCellAnchor>
  <xdr:twoCellAnchor>
    <xdr:from>
      <xdr:col>7</xdr:col>
      <xdr:colOff>666750</xdr:colOff>
      <xdr:row>188</xdr:row>
      <xdr:rowOff>47625</xdr:rowOff>
    </xdr:from>
    <xdr:to>
      <xdr:col>9</xdr:col>
      <xdr:colOff>495300</xdr:colOff>
      <xdr:row>195</xdr:row>
      <xdr:rowOff>95250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8334375" y="30746700"/>
          <a:ext cx="399097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Equation is:   f = ((-2 * Log((e/D) / 3.7)) + (2.51 / (Re * f^0.5)))^-2                        Divide both sides of the friction equation by f.                                        Now  1 = Right side of the equation</a:t>
          </a:r>
          <a:r>
            <a:rPr lang="en-US" sz="1100" b="1" baseline="0">
              <a:solidFill>
                <a:schemeClr val="dk1"/>
              </a:solidFill>
              <a:latin typeface="+mn-lt"/>
              <a:ea typeface="+mn-ea"/>
              <a:cs typeface="+mn-cs"/>
            </a:rPr>
            <a:t> / f                                                                Pick Cell containing formula result, C200 &gt; Data &gt; What If &gt; Goal Seek &gt; &gt; by changing the value in the cell containing  the guessed value of  f  in C197.</a:t>
          </a:r>
          <a:endParaRPr lang="en-US" sz="1100" b="1">
            <a:solidFill>
              <a:schemeClr val="dk1"/>
            </a:solidFill>
            <a:latin typeface="+mn-lt"/>
            <a:ea typeface="+mn-ea"/>
            <a:cs typeface="+mn-cs"/>
          </a:endParaRPr>
        </a:p>
      </xdr:txBody>
    </xdr:sp>
    <xdr:clientData/>
  </xdr:twoCellAnchor>
  <xdr:twoCellAnchor editAs="oneCell">
    <xdr:from>
      <xdr:col>1</xdr:col>
      <xdr:colOff>714375</xdr:colOff>
      <xdr:row>4</xdr:row>
      <xdr:rowOff>57150</xdr:rowOff>
    </xdr:from>
    <xdr:to>
      <xdr:col>4</xdr:col>
      <xdr:colOff>5750</xdr:colOff>
      <xdr:row>26</xdr:row>
      <xdr:rowOff>123372</xdr:rowOff>
    </xdr:to>
    <xdr:pic>
      <xdr:nvPicPr>
        <xdr:cNvPr id="8" name="Picture 7" descr="PIPE RUNS-1.pn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stretch>
          <a:fillRect/>
        </a:stretch>
      </xdr:blipFill>
      <xdr:spPr>
        <a:xfrm>
          <a:off x="1000125" y="704850"/>
          <a:ext cx="4800000" cy="3628572"/>
        </a:xfrm>
        <a:prstGeom prst="rect">
          <a:avLst/>
        </a:prstGeom>
      </xdr:spPr>
    </xdr:pic>
    <xdr:clientData/>
  </xdr:twoCellAnchor>
  <xdr:twoCellAnchor editAs="oneCell">
    <xdr:from>
      <xdr:col>0</xdr:col>
      <xdr:colOff>142875</xdr:colOff>
      <xdr:row>345</xdr:row>
      <xdr:rowOff>28575</xdr:rowOff>
    </xdr:from>
    <xdr:to>
      <xdr:col>5</xdr:col>
      <xdr:colOff>675348</xdr:colOff>
      <xdr:row>362</xdr:row>
      <xdr:rowOff>132993</xdr:rowOff>
    </xdr:to>
    <xdr:pic>
      <xdr:nvPicPr>
        <xdr:cNvPr id="9" name="Picture 8" descr="PIPE FRICTION GRAPH-1.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stretch>
          <a:fillRect/>
        </a:stretch>
      </xdr:blipFill>
      <xdr:spPr>
        <a:xfrm>
          <a:off x="142875" y="57207150"/>
          <a:ext cx="7419048" cy="2857143"/>
        </a:xfrm>
        <a:prstGeom prst="rect">
          <a:avLst/>
        </a:prstGeom>
      </xdr:spPr>
    </xdr:pic>
    <xdr:clientData/>
  </xdr:twoCellAnchor>
  <xdr:twoCellAnchor editAs="oneCell">
    <xdr:from>
      <xdr:col>1</xdr:col>
      <xdr:colOff>285750</xdr:colOff>
      <xdr:row>252</xdr:row>
      <xdr:rowOff>38101</xdr:rowOff>
    </xdr:from>
    <xdr:to>
      <xdr:col>1</xdr:col>
      <xdr:colOff>2152650</xdr:colOff>
      <xdr:row>269</xdr:row>
      <xdr:rowOff>82234</xdr:rowOff>
    </xdr:to>
    <xdr:pic>
      <xdr:nvPicPr>
        <xdr:cNvPr id="10" name="Picture 9" descr="BUTTERFLY VALVE.pn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print"/>
        <a:stretch>
          <a:fillRect/>
        </a:stretch>
      </xdr:blipFill>
      <xdr:spPr>
        <a:xfrm>
          <a:off x="571500" y="42043351"/>
          <a:ext cx="1866900" cy="2815908"/>
        </a:xfrm>
        <a:prstGeom prst="rect">
          <a:avLst/>
        </a:prstGeom>
      </xdr:spPr>
    </xdr:pic>
    <xdr:clientData/>
  </xdr:twoCellAnchor>
  <xdr:twoCellAnchor editAs="oneCell">
    <xdr:from>
      <xdr:col>1</xdr:col>
      <xdr:colOff>190500</xdr:colOff>
      <xdr:row>271</xdr:row>
      <xdr:rowOff>19050</xdr:rowOff>
    </xdr:from>
    <xdr:to>
      <xdr:col>1</xdr:col>
      <xdr:colOff>2333625</xdr:colOff>
      <xdr:row>279</xdr:row>
      <xdr:rowOff>19050</xdr:rowOff>
    </xdr:to>
    <xdr:pic>
      <xdr:nvPicPr>
        <xdr:cNvPr id="11" name="Picture 10" descr="BUTTERFLY VALVE-1.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cstate="print"/>
        <a:stretch>
          <a:fillRect/>
        </a:stretch>
      </xdr:blipFill>
      <xdr:spPr>
        <a:xfrm>
          <a:off x="476250" y="45119925"/>
          <a:ext cx="2143125" cy="1314450"/>
        </a:xfrm>
        <a:prstGeom prst="rect">
          <a:avLst/>
        </a:prstGeom>
      </xdr:spPr>
    </xdr:pic>
    <xdr:clientData/>
  </xdr:twoCellAnchor>
  <xdr:twoCellAnchor>
    <xdr:from>
      <xdr:col>6</xdr:col>
      <xdr:colOff>314325</xdr:colOff>
      <xdr:row>7</xdr:row>
      <xdr:rowOff>123825</xdr:rowOff>
    </xdr:from>
    <xdr:to>
      <xdr:col>8</xdr:col>
      <xdr:colOff>1524000</xdr:colOff>
      <xdr:row>21</xdr:row>
      <xdr:rowOff>104775</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7610475" y="1333500"/>
          <a:ext cx="424815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a:solidFill>
                <a:schemeClr val="dk1"/>
              </a:solidFill>
              <a:latin typeface="+mn-lt"/>
              <a:ea typeface="+mn-ea"/>
              <a:cs typeface="+mn-cs"/>
            </a:rPr>
            <a:t>Spread Sheet Method: Excel</a:t>
          </a:r>
          <a:r>
            <a:rPr lang="en-US" sz="1100" b="1" i="0" baseline="0">
              <a:solidFill>
                <a:schemeClr val="dk1"/>
              </a:solidFill>
              <a:latin typeface="+mn-lt"/>
              <a:ea typeface="+mn-ea"/>
              <a:cs typeface="+mn-cs"/>
            </a:rPr>
            <a:t> Worksheet </a:t>
          </a:r>
          <a:endParaRPr lang="en-US" sz="1100" b="0" i="0">
            <a:solidFill>
              <a:schemeClr val="dk1"/>
            </a:solidFill>
            <a:latin typeface="+mn-lt"/>
            <a:ea typeface="+mn-ea"/>
            <a:cs typeface="+mn-cs"/>
          </a:endParaRPr>
        </a:p>
        <a:p>
          <a:pPr rtl="0"/>
          <a:r>
            <a:rPr lang="en-US" sz="1100" b="0" i="0">
              <a:solidFill>
                <a:schemeClr val="dk1"/>
              </a:solidFill>
              <a:latin typeface="+mn-lt"/>
              <a:ea typeface="+mn-ea"/>
              <a:cs typeface="+mn-cs"/>
            </a:rPr>
            <a:t>1. Type in values for the </a:t>
          </a:r>
          <a:r>
            <a:rPr lang="en-US" sz="1100" b="1" i="0">
              <a:solidFill>
                <a:schemeClr val="dk1"/>
              </a:solidFill>
              <a:latin typeface="+mn-lt"/>
              <a:ea typeface="+mn-ea"/>
              <a:cs typeface="+mn-cs"/>
            </a:rPr>
            <a:t>Input Data</a:t>
          </a:r>
          <a:r>
            <a:rPr lang="en-US" sz="1100" b="0" i="0">
              <a:solidFill>
                <a:schemeClr val="dk1"/>
              </a:solidFill>
              <a:latin typeface="+mn-lt"/>
              <a:ea typeface="+mn-ea"/>
              <a:cs typeface="+mn-cs"/>
            </a:rPr>
            <a:t>.</a:t>
          </a:r>
          <a:endParaRPr lang="en-US" sz="1100">
            <a:solidFill>
              <a:schemeClr val="dk1"/>
            </a:solidFill>
            <a:latin typeface="+mn-lt"/>
            <a:ea typeface="+mn-ea"/>
            <a:cs typeface="+mn-cs"/>
          </a:endParaRPr>
        </a:p>
        <a:p>
          <a:pPr rtl="0"/>
          <a:r>
            <a:rPr lang="en-US" sz="1100" b="0" i="0">
              <a:solidFill>
                <a:schemeClr val="dk1"/>
              </a:solidFill>
              <a:latin typeface="+mn-lt"/>
              <a:ea typeface="+mn-ea"/>
              <a:cs typeface="+mn-cs"/>
            </a:rPr>
            <a:t>2. Excel will make the </a:t>
          </a:r>
          <a:r>
            <a:rPr lang="en-US" sz="1100" b="1" i="0">
              <a:solidFill>
                <a:schemeClr val="dk1"/>
              </a:solidFill>
              <a:latin typeface="+mn-lt"/>
              <a:ea typeface="+mn-ea"/>
              <a:cs typeface="+mn-cs"/>
            </a:rPr>
            <a:t>Calculations</a:t>
          </a:r>
          <a:r>
            <a:rPr lang="en-US" sz="1100" b="0" i="0">
              <a:solidFill>
                <a:schemeClr val="dk1"/>
              </a:solidFill>
              <a:latin typeface="+mn-lt"/>
              <a:ea typeface="+mn-ea"/>
              <a:cs typeface="+mn-cs"/>
            </a:rPr>
            <a:t>.</a:t>
          </a:r>
          <a:endParaRPr lang="en-US" sz="1100">
            <a:solidFill>
              <a:schemeClr val="dk1"/>
            </a:solidFill>
            <a:latin typeface="+mn-lt"/>
            <a:ea typeface="+mn-ea"/>
            <a:cs typeface="+mn-cs"/>
          </a:endParaRPr>
        </a:p>
        <a:p>
          <a:pPr rtl="0"/>
          <a:endParaRPr lang="en-US" sz="1100" b="0"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sz="1100" b="0" i="0">
            <a:solidFill>
              <a:schemeClr val="dk1"/>
            </a:solidFill>
            <a:latin typeface="+mn-lt"/>
            <a:ea typeface="+mn-ea"/>
            <a:cs typeface="+mn-cs"/>
          </a:endParaRPr>
        </a:p>
        <a:p>
          <a:pPr rtl="0"/>
          <a:r>
            <a:rPr lang="en-US" sz="1100" b="0" i="0">
              <a:solidFill>
                <a:schemeClr val="dk1"/>
              </a:solidFill>
              <a:latin typeface="+mn-lt"/>
              <a:ea typeface="+mn-ea"/>
              <a:cs typeface="+mn-cs"/>
            </a:rPr>
            <a:t>Excel's, "Goal Seek" adjusts one Input value to cause a Calculated formula cell to equal a given value.</a:t>
          </a:r>
          <a:endParaRPr lang="en-US" sz="1100">
            <a:solidFill>
              <a:schemeClr val="dk1"/>
            </a:solidFill>
            <a:latin typeface="+mn-lt"/>
            <a:ea typeface="+mn-ea"/>
            <a:cs typeface="+mn-cs"/>
          </a:endParaRPr>
        </a:p>
        <a:p>
          <a:pPr rtl="0"/>
          <a:endParaRPr lang="en-US" sz="1100" b="0" i="0">
            <a:solidFill>
              <a:schemeClr val="dk1"/>
            </a:solidFill>
            <a:latin typeface="+mn-lt"/>
            <a:ea typeface="+mn-ea"/>
            <a:cs typeface="+mn-cs"/>
          </a:endParaRPr>
        </a:p>
        <a:p>
          <a:pPr rtl="0"/>
          <a:r>
            <a:rPr lang="en-US" sz="1100" b="0" i="0">
              <a:solidFill>
                <a:schemeClr val="dk1"/>
              </a:solidFill>
              <a:latin typeface="+mn-lt"/>
              <a:ea typeface="+mn-ea"/>
              <a:cs typeface="+mn-cs"/>
            </a:rPr>
            <a:t>When using Excel's Goal Seek, unprotect the spread sheet by selecting: Drop down menu:  Home &gt; Format &gt; Unprotect Sheet &gt; OK </a:t>
          </a:r>
          <a:endParaRPr lang="en-US" sz="1100">
            <a:solidFill>
              <a:schemeClr val="dk1"/>
            </a:solidFill>
            <a:latin typeface="+mn-lt"/>
            <a:ea typeface="+mn-ea"/>
            <a:cs typeface="+mn-cs"/>
          </a:endParaRPr>
        </a:p>
        <a:p>
          <a:pPr rtl="0"/>
          <a:endParaRPr lang="en-US" sz="1100" b="0" i="0">
            <a:solidFill>
              <a:schemeClr val="dk1"/>
            </a:solidFill>
            <a:latin typeface="+mn-lt"/>
            <a:ea typeface="+mn-ea"/>
            <a:cs typeface="+mn-cs"/>
          </a:endParaRPr>
        </a:p>
        <a:p>
          <a:pPr rtl="0"/>
          <a:r>
            <a:rPr lang="en-US" sz="1100" b="0" i="0">
              <a:solidFill>
                <a:schemeClr val="dk1"/>
              </a:solidFill>
              <a:latin typeface="+mn-lt"/>
              <a:ea typeface="+mn-ea"/>
              <a:cs typeface="+mn-cs"/>
            </a:rPr>
            <a:t>When Excel's Goal Seek is not needed, restore protection with:</a:t>
          </a:r>
          <a:endParaRPr lang="en-US" sz="1100">
            <a:solidFill>
              <a:schemeClr val="dk1"/>
            </a:solidFill>
            <a:latin typeface="+mn-lt"/>
            <a:ea typeface="+mn-ea"/>
            <a:cs typeface="+mn-cs"/>
          </a:endParaRPr>
        </a:p>
        <a:p>
          <a:pPr rtl="0"/>
          <a:r>
            <a:rPr lang="en-US" sz="1100" b="0" i="0">
              <a:solidFill>
                <a:schemeClr val="dk1"/>
              </a:solidFill>
              <a:latin typeface="+mn-lt"/>
              <a:ea typeface="+mn-ea"/>
              <a:cs typeface="+mn-cs"/>
            </a:rPr>
            <a:t>Drop down menu:  Home &gt; Format &gt; Protect Sheet &gt; OK </a:t>
          </a:r>
          <a:endParaRPr lang="en-US" sz="1100">
            <a:solidFill>
              <a:schemeClr val="dk1"/>
            </a:solidFill>
            <a:latin typeface="+mn-lt"/>
            <a:ea typeface="+mn-ea"/>
            <a:cs typeface="+mn-cs"/>
          </a:endParaRPr>
        </a:p>
        <a:p>
          <a:endParaRPr lang="en-US" sz="1100"/>
        </a:p>
      </xdr:txBody>
    </xdr:sp>
    <xdr:clientData/>
  </xdr:twoCellAnchor>
  <xdr:twoCellAnchor editAs="oneCell">
    <xdr:from>
      <xdr:col>1</xdr:col>
      <xdr:colOff>1276350</xdr:colOff>
      <xdr:row>454</xdr:row>
      <xdr:rowOff>47625</xdr:rowOff>
    </xdr:from>
    <xdr:to>
      <xdr:col>3</xdr:col>
      <xdr:colOff>409575</xdr:colOff>
      <xdr:row>470</xdr:row>
      <xdr:rowOff>95250</xdr:rowOff>
    </xdr:to>
    <xdr:pic>
      <xdr:nvPicPr>
        <xdr:cNvPr id="25" name="Picture 24" descr="PIPE EXPANSION LOOP-2.jpg">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6" cstate="print"/>
        <a:stretch>
          <a:fillRect/>
        </a:stretch>
      </xdr:blipFill>
      <xdr:spPr>
        <a:xfrm>
          <a:off x="1562100" y="72932925"/>
          <a:ext cx="3467100" cy="2638425"/>
        </a:xfrm>
        <a:prstGeom prst="rect">
          <a:avLst/>
        </a:prstGeom>
      </xdr:spPr>
    </xdr:pic>
    <xdr:clientData/>
  </xdr:twoCellAnchor>
  <xdr:twoCellAnchor editAs="oneCell">
    <xdr:from>
      <xdr:col>1</xdr:col>
      <xdr:colOff>1095375</xdr:colOff>
      <xdr:row>373</xdr:row>
      <xdr:rowOff>123825</xdr:rowOff>
    </xdr:from>
    <xdr:to>
      <xdr:col>4</xdr:col>
      <xdr:colOff>47625</xdr:colOff>
      <xdr:row>382</xdr:row>
      <xdr:rowOff>104775</xdr:rowOff>
    </xdr:to>
    <xdr:pic>
      <xdr:nvPicPr>
        <xdr:cNvPr id="15" name="Picture 14" descr="PIPE EXPANSION LOOP-1.jpg">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cstate="print"/>
        <a:stretch>
          <a:fillRect/>
        </a:stretch>
      </xdr:blipFill>
      <xdr:spPr>
        <a:xfrm>
          <a:off x="1381125" y="62322075"/>
          <a:ext cx="4457700" cy="1533525"/>
        </a:xfrm>
        <a:prstGeom prst="rect">
          <a:avLst/>
        </a:prstGeom>
      </xdr:spPr>
    </xdr:pic>
    <xdr:clientData/>
  </xdr:twoCellAnchor>
  <xdr:twoCellAnchor editAs="oneCell">
    <xdr:from>
      <xdr:col>3</xdr:col>
      <xdr:colOff>295275</xdr:colOff>
      <xdr:row>538</xdr:row>
      <xdr:rowOff>57150</xdr:rowOff>
    </xdr:from>
    <xdr:to>
      <xdr:col>5</xdr:col>
      <xdr:colOff>152400</xdr:colOff>
      <xdr:row>547</xdr:row>
      <xdr:rowOff>47625</xdr:rowOff>
    </xdr:to>
    <xdr:pic>
      <xdr:nvPicPr>
        <xdr:cNvPr id="20" name="Picture 19" descr="TRAVEL GOAL SEEK.jpg">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8" cstate="print"/>
        <a:stretch>
          <a:fillRect/>
        </a:stretch>
      </xdr:blipFill>
      <xdr:spPr>
        <a:xfrm>
          <a:off x="5153025" y="85077300"/>
          <a:ext cx="2124075" cy="1476375"/>
        </a:xfrm>
        <a:prstGeom prst="rect">
          <a:avLst/>
        </a:prstGeom>
      </xdr:spPr>
    </xdr:pic>
    <xdr:clientData/>
  </xdr:twoCellAnchor>
  <xdr:twoCellAnchor editAs="oneCell">
    <xdr:from>
      <xdr:col>1</xdr:col>
      <xdr:colOff>1323975</xdr:colOff>
      <xdr:row>475</xdr:row>
      <xdr:rowOff>38100</xdr:rowOff>
    </xdr:from>
    <xdr:to>
      <xdr:col>3</xdr:col>
      <xdr:colOff>1047750</xdr:colOff>
      <xdr:row>491</xdr:row>
      <xdr:rowOff>76200</xdr:rowOff>
    </xdr:to>
    <xdr:pic>
      <xdr:nvPicPr>
        <xdr:cNvPr id="19" name="Picture 18" descr="2D TRAVEL-1.jpg">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9" cstate="print"/>
        <a:stretch>
          <a:fillRect/>
        </a:stretch>
      </xdr:blipFill>
      <xdr:spPr>
        <a:xfrm>
          <a:off x="1609725" y="80676750"/>
          <a:ext cx="4057650" cy="2628900"/>
        </a:xfrm>
        <a:prstGeom prst="rect">
          <a:avLst/>
        </a:prstGeom>
      </xdr:spPr>
    </xdr:pic>
    <xdr:clientData/>
  </xdr:twoCellAnchor>
  <xdr:twoCellAnchor>
    <xdr:from>
      <xdr:col>6</xdr:col>
      <xdr:colOff>485775</xdr:colOff>
      <xdr:row>474</xdr:row>
      <xdr:rowOff>85725</xdr:rowOff>
    </xdr:from>
    <xdr:to>
      <xdr:col>7</xdr:col>
      <xdr:colOff>2219325</xdr:colOff>
      <xdr:row>491</xdr:row>
      <xdr:rowOff>66675</xdr:rowOff>
    </xdr:to>
    <xdr:pic>
      <xdr:nvPicPr>
        <xdr:cNvPr id="1025" name="Picture 1" descr="PIPE FITTING-ELBOW">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781925" y="78857475"/>
          <a:ext cx="2257425" cy="2771775"/>
        </a:xfrm>
        <a:prstGeom prst="rect">
          <a:avLst/>
        </a:prstGeom>
        <a:noFill/>
        <a:ln w="9525">
          <a:noFill/>
          <a:miter lim="800000"/>
          <a:headEnd/>
          <a:tailEnd/>
        </a:ln>
      </xdr:spPr>
    </xdr:pic>
    <xdr:clientData/>
  </xdr:twoCellAnchor>
  <xdr:twoCellAnchor editAs="oneCell">
    <xdr:from>
      <xdr:col>1</xdr:col>
      <xdr:colOff>790575</xdr:colOff>
      <xdr:row>511</xdr:row>
      <xdr:rowOff>47625</xdr:rowOff>
    </xdr:from>
    <xdr:to>
      <xdr:col>4</xdr:col>
      <xdr:colOff>85725</xdr:colOff>
      <xdr:row>536</xdr:row>
      <xdr:rowOff>133350</xdr:rowOff>
    </xdr:to>
    <xdr:pic>
      <xdr:nvPicPr>
        <xdr:cNvPr id="21" name="Picture 20" descr="PIPE-RUN-ROLL-SET-1.jpg">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1" cstate="print"/>
        <a:stretch>
          <a:fillRect/>
        </a:stretch>
      </xdr:blipFill>
      <xdr:spPr>
        <a:xfrm>
          <a:off x="1076325" y="85010625"/>
          <a:ext cx="4800600" cy="4133850"/>
        </a:xfrm>
        <a:prstGeom prst="rect">
          <a:avLst/>
        </a:prstGeom>
      </xdr:spPr>
    </xdr:pic>
    <xdr:clientData/>
  </xdr:twoCellAnchor>
  <xdr:twoCellAnchor editAs="oneCell">
    <xdr:from>
      <xdr:col>3</xdr:col>
      <xdr:colOff>152400</xdr:colOff>
      <xdr:row>200</xdr:row>
      <xdr:rowOff>0</xdr:rowOff>
    </xdr:from>
    <xdr:to>
      <xdr:col>4</xdr:col>
      <xdr:colOff>1066800</xdr:colOff>
      <xdr:row>208</xdr:row>
      <xdr:rowOff>76200</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772025" y="33270825"/>
          <a:ext cx="2085975" cy="1447800"/>
        </a:xfrm>
        <a:prstGeom prst="rect">
          <a:avLst/>
        </a:prstGeom>
      </xdr:spPr>
    </xdr:pic>
    <xdr:clientData/>
  </xdr:twoCellAnchor>
  <xdr:twoCellAnchor>
    <xdr:from>
      <xdr:col>4</xdr:col>
      <xdr:colOff>47625</xdr:colOff>
      <xdr:row>281</xdr:row>
      <xdr:rowOff>66675</xdr:rowOff>
    </xdr:from>
    <xdr:to>
      <xdr:col>7</xdr:col>
      <xdr:colOff>1028700</xdr:colOff>
      <xdr:row>290</xdr:row>
      <xdr:rowOff>57150</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5838825" y="46843950"/>
          <a:ext cx="3933825"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13. Calculate the sum of fitting head loss factors given: 5 Elbows 90 deg long radius, 5 Glob Valves, 1/2 open, and 5 Gate Valves 1/2 open, and 5 Butterfly valves angle, 40 deg. and a flow rate of 300 gpm in 4.00 internal diameter pipe? REV 28 DEC 2013</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406400</xdr:colOff>
      <xdr:row>98</xdr:row>
      <xdr:rowOff>19050</xdr:rowOff>
    </xdr:from>
    <xdr:to>
      <xdr:col>4</xdr:col>
      <xdr:colOff>503201</xdr:colOff>
      <xdr:row>118</xdr:row>
      <xdr:rowOff>85311</xdr:rowOff>
    </xdr:to>
    <xdr:pic>
      <xdr:nvPicPr>
        <xdr:cNvPr id="3" name="Picture 2" descr="Pump  Performance  Chart-1.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720725" y="16497300"/>
          <a:ext cx="5726076" cy="3304761"/>
        </a:xfrm>
        <a:prstGeom prst="rect">
          <a:avLst/>
        </a:prstGeom>
      </xdr:spPr>
    </xdr:pic>
    <xdr:clientData/>
  </xdr:twoCellAnchor>
  <xdr:twoCellAnchor editAs="oneCell">
    <xdr:from>
      <xdr:col>1</xdr:col>
      <xdr:colOff>485775</xdr:colOff>
      <xdr:row>5</xdr:row>
      <xdr:rowOff>123825</xdr:rowOff>
    </xdr:from>
    <xdr:to>
      <xdr:col>4</xdr:col>
      <xdr:colOff>246070</xdr:colOff>
      <xdr:row>27</xdr:row>
      <xdr:rowOff>104328</xdr:rowOff>
    </xdr:to>
    <xdr:pic>
      <xdr:nvPicPr>
        <xdr:cNvPr id="5" name="Picture 4" descr="PUMP &amp; TANK-21.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stretch>
          <a:fillRect/>
        </a:stretch>
      </xdr:blipFill>
      <xdr:spPr>
        <a:xfrm>
          <a:off x="800100" y="1047750"/>
          <a:ext cx="5390477" cy="3580953"/>
        </a:xfrm>
        <a:prstGeom prst="rect">
          <a:avLst/>
        </a:prstGeom>
      </xdr:spPr>
    </xdr:pic>
    <xdr:clientData/>
  </xdr:twoCellAnchor>
  <xdr:twoCellAnchor>
    <xdr:from>
      <xdr:col>1</xdr:col>
      <xdr:colOff>1085850</xdr:colOff>
      <xdr:row>154</xdr:row>
      <xdr:rowOff>95250</xdr:rowOff>
    </xdr:from>
    <xdr:to>
      <xdr:col>3</xdr:col>
      <xdr:colOff>457201</xdr:colOff>
      <xdr:row>171</xdr:row>
      <xdr:rowOff>57150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876300</xdr:colOff>
      <xdr:row>175</xdr:row>
      <xdr:rowOff>19050</xdr:rowOff>
    </xdr:from>
    <xdr:to>
      <xdr:col>5</xdr:col>
      <xdr:colOff>309523</xdr:colOff>
      <xdr:row>195</xdr:row>
      <xdr:rowOff>113883</xdr:rowOff>
    </xdr:to>
    <xdr:pic>
      <xdr:nvPicPr>
        <xdr:cNvPr id="7" name="Picture 6" descr="Pump  Performance  Chart-2.pn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stretch>
          <a:fillRect/>
        </a:stretch>
      </xdr:blipFill>
      <xdr:spPr>
        <a:xfrm>
          <a:off x="8067675" y="14258925"/>
          <a:ext cx="5761905" cy="3333334"/>
        </a:xfrm>
        <a:prstGeom prst="rect">
          <a:avLst/>
        </a:prstGeom>
      </xdr:spPr>
    </xdr:pic>
    <xdr:clientData/>
  </xdr:twoCellAnchor>
  <xdr:twoCellAnchor>
    <xdr:from>
      <xdr:col>7</xdr:col>
      <xdr:colOff>400050</xdr:colOff>
      <xdr:row>154</xdr:row>
      <xdr:rowOff>57150</xdr:rowOff>
    </xdr:from>
    <xdr:to>
      <xdr:col>8</xdr:col>
      <xdr:colOff>1117601</xdr:colOff>
      <xdr:row>171</xdr:row>
      <xdr:rowOff>19050</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876300</xdr:colOff>
      <xdr:row>175</xdr:row>
      <xdr:rowOff>19050</xdr:rowOff>
    </xdr:from>
    <xdr:to>
      <xdr:col>12</xdr:col>
      <xdr:colOff>56430</xdr:colOff>
      <xdr:row>195</xdr:row>
      <xdr:rowOff>113883</xdr:rowOff>
    </xdr:to>
    <xdr:pic>
      <xdr:nvPicPr>
        <xdr:cNvPr id="8" name="Picture 7" descr="Pump  Performance  Chart-2.pn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cstate="print"/>
        <a:stretch>
          <a:fillRect/>
        </a:stretch>
      </xdr:blipFill>
      <xdr:spPr>
        <a:xfrm>
          <a:off x="1190625" y="23545800"/>
          <a:ext cx="5761905" cy="3333334"/>
        </a:xfrm>
        <a:prstGeom prst="rect">
          <a:avLst/>
        </a:prstGeom>
      </xdr:spPr>
    </xdr:pic>
    <xdr:clientData/>
  </xdr:twoCellAnchor>
  <xdr:twoCellAnchor editAs="oneCell">
    <xdr:from>
      <xdr:col>3</xdr:col>
      <xdr:colOff>762000</xdr:colOff>
      <xdr:row>32</xdr:row>
      <xdr:rowOff>95251</xdr:rowOff>
    </xdr:from>
    <xdr:to>
      <xdr:col>8</xdr:col>
      <xdr:colOff>61232</xdr:colOff>
      <xdr:row>51</xdr:row>
      <xdr:rowOff>138794</xdr:rowOff>
    </xdr:to>
    <xdr:pic>
      <xdr:nvPicPr>
        <xdr:cNvPr id="9" name="Picture 8" descr="CALC-1 SUCTION LIFT-4.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cstate="print"/>
        <a:stretch>
          <a:fillRect/>
        </a:stretch>
      </xdr:blipFill>
      <xdr:spPr>
        <a:xfrm>
          <a:off x="5674179" y="5510894"/>
          <a:ext cx="5191125" cy="3248025"/>
        </a:xfrm>
        <a:prstGeom prst="rect">
          <a:avLst/>
        </a:prstGeom>
      </xdr:spPr>
    </xdr:pic>
    <xdr:clientData/>
  </xdr:twoCellAnchor>
  <xdr:twoCellAnchor>
    <xdr:from>
      <xdr:col>1</xdr:col>
      <xdr:colOff>600075</xdr:colOff>
      <xdr:row>199</xdr:row>
      <xdr:rowOff>1</xdr:rowOff>
    </xdr:from>
    <xdr:to>
      <xdr:col>2</xdr:col>
      <xdr:colOff>571500</xdr:colOff>
      <xdr:row>210</xdr:row>
      <xdr:rowOff>104776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914400" y="33127951"/>
          <a:ext cx="3609975" cy="188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dk1"/>
              </a:solidFill>
              <a:latin typeface="+mn-lt"/>
              <a:ea typeface="+mn-ea"/>
              <a:cs typeface="+mn-cs"/>
            </a:rPr>
            <a:t>The amount of fluid power that a system consumes is a product of head and flow, according to this equation:</a:t>
          </a:r>
        </a:p>
        <a:p>
          <a:r>
            <a:rPr lang="en-US" sz="1100" baseline="0">
              <a:solidFill>
                <a:schemeClr val="dk1"/>
              </a:solidFill>
              <a:latin typeface="+mn-lt"/>
              <a:ea typeface="+mn-ea"/>
              <a:cs typeface="+mn-cs"/>
            </a:rPr>
            <a:t>Fluid power = </a:t>
          </a:r>
          <a:r>
            <a:rPr lang="en-US" sz="1100" u="sng" baseline="0">
              <a:solidFill>
                <a:schemeClr val="dk1"/>
              </a:solidFill>
              <a:latin typeface="+mn-lt"/>
              <a:ea typeface="+mn-ea"/>
              <a:cs typeface="+mn-cs"/>
            </a:rPr>
            <a:t>QH (s.g.) </a:t>
          </a:r>
        </a:p>
        <a:p>
          <a:r>
            <a:rPr lang="en-US" sz="1100" baseline="0">
              <a:solidFill>
                <a:schemeClr val="dk1"/>
              </a:solidFill>
              <a:latin typeface="+mn-lt"/>
              <a:ea typeface="+mn-ea"/>
              <a:cs typeface="+mn-cs"/>
            </a:rPr>
            <a:t>                           3,960</a:t>
          </a:r>
        </a:p>
        <a:p>
          <a:r>
            <a:rPr lang="en-US" sz="1100" baseline="0">
              <a:solidFill>
                <a:schemeClr val="dk1"/>
              </a:solidFill>
              <a:latin typeface="+mn-lt"/>
              <a:ea typeface="+mn-ea"/>
              <a:cs typeface="+mn-cs"/>
            </a:rPr>
            <a:t>where</a:t>
          </a:r>
        </a:p>
        <a:p>
          <a:r>
            <a:rPr lang="en-US" sz="1100" b="1" baseline="0">
              <a:solidFill>
                <a:schemeClr val="dk1"/>
              </a:solidFill>
              <a:latin typeface="+mn-lt"/>
              <a:ea typeface="+mn-ea"/>
              <a:cs typeface="+mn-cs"/>
            </a:rPr>
            <a:t>H = head (ft)</a:t>
          </a:r>
        </a:p>
        <a:p>
          <a:r>
            <a:rPr lang="en-US" sz="1100" b="1" baseline="0">
              <a:solidFill>
                <a:schemeClr val="dk1"/>
              </a:solidFill>
              <a:latin typeface="+mn-lt"/>
              <a:ea typeface="+mn-ea"/>
              <a:cs typeface="+mn-cs"/>
            </a:rPr>
            <a:t>Q = flow rate (gallons per minute [gpm])</a:t>
          </a:r>
        </a:p>
        <a:p>
          <a:r>
            <a:rPr lang="en-US" sz="1100" b="1" baseline="0">
              <a:solidFill>
                <a:schemeClr val="dk1"/>
              </a:solidFill>
              <a:latin typeface="+mn-lt"/>
              <a:ea typeface="+mn-ea"/>
              <a:cs typeface="+mn-cs"/>
            </a:rPr>
            <a:t>sg = specific gravity of the fluid</a:t>
          </a:r>
        </a:p>
        <a:p>
          <a:r>
            <a:rPr lang="en-US" sz="1100" baseline="0">
              <a:solidFill>
                <a:schemeClr val="dk1"/>
              </a:solidFill>
              <a:latin typeface="+mn-lt"/>
              <a:ea typeface="+mn-ea"/>
              <a:cs typeface="+mn-cs"/>
            </a:rPr>
            <a:t>3,960 is a units conversion to state fluid power in terms of horsepower.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5</xdr:row>
      <xdr:rowOff>66675</xdr:rowOff>
    </xdr:from>
    <xdr:to>
      <xdr:col>7</xdr:col>
      <xdr:colOff>123825</xdr:colOff>
      <xdr:row>21</xdr:row>
      <xdr:rowOff>66675</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71475" y="1009650"/>
          <a:ext cx="4133850"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dk1"/>
              </a:solidFill>
              <a:latin typeface="Arial" pitchFamily="34" charset="0"/>
              <a:ea typeface="+mn-ea"/>
              <a:cs typeface="Arial" pitchFamily="34" charset="0"/>
            </a:rPr>
            <a:t>CRANE PUMPS AND SYSTEMS</a:t>
          </a: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 </a:t>
          </a: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PUMP CALCULATOR</a:t>
          </a: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 </a:t>
          </a:r>
          <a:endParaRPr lang="en-US" sz="1050">
            <a:solidFill>
              <a:schemeClr val="dk1"/>
            </a:solidFill>
            <a:latin typeface="Arial" pitchFamily="34" charset="0"/>
            <a:ea typeface="+mn-ea"/>
            <a:cs typeface="Arial" pitchFamily="34" charset="0"/>
          </a:endParaRPr>
        </a:p>
        <a:p>
          <a:r>
            <a:rPr lang="en-US" sz="1050" u="sng">
              <a:solidFill>
                <a:schemeClr val="dk1"/>
              </a:solidFill>
              <a:latin typeface="Arial" pitchFamily="34" charset="0"/>
              <a:ea typeface="+mn-ea"/>
              <a:cs typeface="Arial" pitchFamily="34" charset="0"/>
              <a:hlinkClick xmlns:r="http://schemas.openxmlformats.org/officeDocument/2006/relationships" r:id=""/>
            </a:rPr>
            <a:t>http://www.cranepumps.com/</a:t>
          </a:r>
          <a:r>
            <a:rPr lang="en-US" sz="1050">
              <a:solidFill>
                <a:schemeClr val="dk1"/>
              </a:solidFill>
              <a:latin typeface="Arial" pitchFamily="34" charset="0"/>
              <a:ea typeface="+mn-ea"/>
              <a:cs typeface="Arial" pitchFamily="34" charset="0"/>
            </a:rPr>
            <a:t>  &gt; PRODUCTS &gt; MENTOR PUMP SELECTION &gt; MENTOR ONLINE &gt; BARNS &gt; Start Pump Selection &gt; Enter; GPM, Head (feet of water), Pump Type, Speed, etc.</a:t>
          </a:r>
        </a:p>
        <a:p>
          <a:r>
            <a:rPr lang="en-US" sz="1050">
              <a:solidFill>
                <a:schemeClr val="dk1"/>
              </a:solidFill>
              <a:latin typeface="Arial" pitchFamily="34" charset="0"/>
              <a:ea typeface="+mn-ea"/>
              <a:cs typeface="Arial" pitchFamily="34" charset="0"/>
            </a:rPr>
            <a:t> </a:t>
          </a:r>
        </a:p>
        <a:p>
          <a:r>
            <a:rPr lang="en-US" sz="1050" b="1" u="sng">
              <a:solidFill>
                <a:schemeClr val="dk1"/>
              </a:solidFill>
              <a:latin typeface="Arial" pitchFamily="34" charset="0"/>
              <a:ea typeface="+mn-ea"/>
              <a:cs typeface="Arial" pitchFamily="34" charset="0"/>
              <a:hlinkClick xmlns:r="http://schemas.openxmlformats.org/officeDocument/2006/relationships" r:id=""/>
            </a:rPr>
            <a:t>http://www.pump-flo.com/select/centrifugal/headcalc.aspx</a:t>
          </a:r>
          <a:endParaRPr lang="en-US" sz="1050">
            <a:solidFill>
              <a:schemeClr val="dk1"/>
            </a:solidFill>
            <a:latin typeface="Arial" pitchFamily="34" charset="0"/>
            <a:ea typeface="+mn-ea"/>
            <a:cs typeface="Arial" pitchFamily="34" charset="0"/>
          </a:endParaRPr>
        </a:p>
        <a:p>
          <a:r>
            <a:rPr lang="en-US" sz="1050">
              <a:solidFill>
                <a:schemeClr val="dk1"/>
              </a:solidFill>
              <a:latin typeface="Arial" pitchFamily="34" charset="0"/>
              <a:ea typeface="+mn-ea"/>
              <a:cs typeface="Arial" pitchFamily="34" charset="0"/>
            </a:rPr>
            <a:t>Mentor, is an electronic guide for selecting and evaluating Crane's centrifugal pump product lines. Mentor is available for CP&amp;S centrifugal pump product lines including:                                     Barnes, Deming and Weinman and International products. </a:t>
          </a:r>
        </a:p>
        <a:p>
          <a:r>
            <a:rPr lang="en-US" sz="1050" b="1">
              <a:solidFill>
                <a:schemeClr val="dk1"/>
              </a:solidFill>
              <a:latin typeface="Arial" pitchFamily="34" charset="0"/>
              <a:ea typeface="+mn-ea"/>
              <a:cs typeface="Arial" pitchFamily="34" charset="0"/>
            </a:rPr>
            <a:t>Pump Calculator may be found under menu option: </a:t>
          </a: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 </a:t>
          </a:r>
          <a:endParaRPr lang="en-US" sz="1050">
            <a:solidFill>
              <a:schemeClr val="dk1"/>
            </a:solidFill>
            <a:latin typeface="Arial" pitchFamily="34" charset="0"/>
            <a:ea typeface="+mn-ea"/>
            <a:cs typeface="Arial" pitchFamily="34" charset="0"/>
          </a:endParaRPr>
        </a:p>
        <a:p>
          <a:r>
            <a:rPr lang="en-US" sz="1050" b="1">
              <a:solidFill>
                <a:schemeClr val="dk1"/>
              </a:solidFill>
              <a:latin typeface="Arial" pitchFamily="34" charset="0"/>
              <a:ea typeface="+mn-ea"/>
              <a:cs typeface="Arial" pitchFamily="34" charset="0"/>
            </a:rPr>
            <a:t>Products &gt; Mentor Pump Selection.</a:t>
          </a:r>
          <a:endParaRPr lang="en-US" sz="1050">
            <a:solidFill>
              <a:schemeClr val="dk1"/>
            </a:solidFill>
            <a:latin typeface="Arial" pitchFamily="34" charset="0"/>
            <a:ea typeface="+mn-ea"/>
            <a:cs typeface="Arial" pitchFamily="34" charset="0"/>
          </a:endParaRPr>
        </a:p>
        <a:p>
          <a:endParaRPr lang="en-US" sz="1050">
            <a:latin typeface="Arial" pitchFamily="34" charset="0"/>
            <a:cs typeface="Arial" pitchFamily="34" charset="0"/>
          </a:endParaRPr>
        </a:p>
      </xdr:txBody>
    </xdr:sp>
    <xdr:clientData/>
  </xdr:twoCellAnchor>
  <xdr:twoCellAnchor>
    <xdr:from>
      <xdr:col>1</xdr:col>
      <xdr:colOff>533400</xdr:colOff>
      <xdr:row>23</xdr:row>
      <xdr:rowOff>28575</xdr:rowOff>
    </xdr:from>
    <xdr:to>
      <xdr:col>7</xdr:col>
      <xdr:colOff>657225</xdr:colOff>
      <xdr:row>34</xdr:row>
      <xdr:rowOff>95250</xdr:rowOff>
    </xdr:to>
    <xdr:pic>
      <xdr:nvPicPr>
        <xdr:cNvPr id="1034" name="Picture 10" descr="CRANE PUMP-1">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29100"/>
          <a:ext cx="4238625" cy="2057400"/>
        </a:xfrm>
        <a:prstGeom prst="rect">
          <a:avLst/>
        </a:prstGeom>
        <a:noFill/>
        <a:ln w="9525">
          <a:noFill/>
          <a:miter lim="800000"/>
          <a:headEnd/>
          <a:tailEnd/>
        </a:ln>
      </xdr:spPr>
    </xdr:pic>
    <xdr:clientData/>
  </xdr:twoCellAnchor>
  <xdr:twoCellAnchor>
    <xdr:from>
      <xdr:col>1</xdr:col>
      <xdr:colOff>666750</xdr:colOff>
      <xdr:row>36</xdr:row>
      <xdr:rowOff>114300</xdr:rowOff>
    </xdr:from>
    <xdr:to>
      <xdr:col>8</xdr:col>
      <xdr:colOff>0</xdr:colOff>
      <xdr:row>52</xdr:row>
      <xdr:rowOff>38100</xdr:rowOff>
    </xdr:to>
    <xdr:pic>
      <xdr:nvPicPr>
        <xdr:cNvPr id="1035" name="Picture 11" descr="CRANE PUMP-2">
          <a:extLst>
            <a:ext uri="{FF2B5EF4-FFF2-40B4-BE49-F238E27FC236}">
              <a16:creationId xmlns:a16="http://schemas.microsoft.com/office/drawing/2014/main" id="{00000000-0008-0000-0300-00000B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3450" y="6686550"/>
          <a:ext cx="4133850" cy="2819400"/>
        </a:xfrm>
        <a:prstGeom prst="rect">
          <a:avLst/>
        </a:prstGeom>
        <a:noFill/>
        <a:ln w="9525">
          <a:noFill/>
          <a:miter lim="800000"/>
          <a:headEnd/>
          <a:tailEnd/>
        </a:ln>
      </xdr:spPr>
    </xdr:pic>
    <xdr:clientData/>
  </xdr:twoCellAnchor>
  <xdr:twoCellAnchor>
    <xdr:from>
      <xdr:col>2</xdr:col>
      <xdr:colOff>171450</xdr:colOff>
      <xdr:row>54</xdr:row>
      <xdr:rowOff>104775</xdr:rowOff>
    </xdr:from>
    <xdr:to>
      <xdr:col>7</xdr:col>
      <xdr:colOff>466725</xdr:colOff>
      <xdr:row>75</xdr:row>
      <xdr:rowOff>38100</xdr:rowOff>
    </xdr:to>
    <xdr:pic>
      <xdr:nvPicPr>
        <xdr:cNvPr id="1036" name="Picture 12" descr="CRANE PUMP-3">
          <a:extLst>
            <a:ext uri="{FF2B5EF4-FFF2-40B4-BE49-F238E27FC236}">
              <a16:creationId xmlns:a16="http://schemas.microsoft.com/office/drawing/2014/main" id="{00000000-0008-0000-0300-00000C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23950" y="9953625"/>
          <a:ext cx="3724275" cy="3733800"/>
        </a:xfrm>
        <a:prstGeom prst="rect">
          <a:avLst/>
        </a:prstGeom>
        <a:noFill/>
        <a:ln w="9525">
          <a:noFill/>
          <a:miter lim="800000"/>
          <a:headEnd/>
          <a:tailEnd/>
        </a:ln>
      </xdr:spPr>
    </xdr:pic>
    <xdr:clientData/>
  </xdr:twoCellAnchor>
  <xdr:twoCellAnchor>
    <xdr:from>
      <xdr:col>2</xdr:col>
      <xdr:colOff>114300</xdr:colOff>
      <xdr:row>77</xdr:row>
      <xdr:rowOff>95250</xdr:rowOff>
    </xdr:from>
    <xdr:to>
      <xdr:col>8</xdr:col>
      <xdr:colOff>38100</xdr:colOff>
      <xdr:row>83</xdr:row>
      <xdr:rowOff>76200</xdr:rowOff>
    </xdr:to>
    <xdr:pic>
      <xdr:nvPicPr>
        <xdr:cNvPr id="1037" name="Picture 13" descr="CRANE PUMP-4">
          <a:extLst>
            <a:ext uri="{FF2B5EF4-FFF2-40B4-BE49-F238E27FC236}">
              <a16:creationId xmlns:a16="http://schemas.microsoft.com/office/drawing/2014/main" id="{00000000-0008-0000-0300-00000D0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66800" y="14125575"/>
          <a:ext cx="4038600" cy="1066800"/>
        </a:xfrm>
        <a:prstGeom prst="rect">
          <a:avLst/>
        </a:prstGeom>
        <a:noFill/>
        <a:ln w="9525">
          <a:noFill/>
          <a:miter lim="800000"/>
          <a:headEnd/>
          <a:tailEnd/>
        </a:ln>
      </xdr:spPr>
    </xdr:pic>
    <xdr:clientData/>
  </xdr:twoCellAnchor>
  <xdr:twoCellAnchor>
    <xdr:from>
      <xdr:col>2</xdr:col>
      <xdr:colOff>161925</xdr:colOff>
      <xdr:row>85</xdr:row>
      <xdr:rowOff>85725</xdr:rowOff>
    </xdr:from>
    <xdr:to>
      <xdr:col>7</xdr:col>
      <xdr:colOff>361950</xdr:colOff>
      <xdr:row>96</xdr:row>
      <xdr:rowOff>57150</xdr:rowOff>
    </xdr:to>
    <xdr:pic>
      <xdr:nvPicPr>
        <xdr:cNvPr id="1038" name="Picture 14" descr="CRANE PUMP-5">
          <a:extLst>
            <a:ext uri="{FF2B5EF4-FFF2-40B4-BE49-F238E27FC236}">
              <a16:creationId xmlns:a16="http://schemas.microsoft.com/office/drawing/2014/main" id="{00000000-0008-0000-0300-00000E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114425" y="15582900"/>
          <a:ext cx="3629025" cy="1962150"/>
        </a:xfrm>
        <a:prstGeom prst="rect">
          <a:avLst/>
        </a:prstGeom>
        <a:noFill/>
        <a:ln w="9525">
          <a:noFill/>
          <a:miter lim="800000"/>
          <a:headEnd/>
          <a:tailEnd/>
        </a:ln>
      </xdr:spPr>
    </xdr:pic>
    <xdr:clientData/>
  </xdr:twoCellAnchor>
  <xdr:twoCellAnchor>
    <xdr:from>
      <xdr:col>2</xdr:col>
      <xdr:colOff>304800</xdr:colOff>
      <xdr:row>99</xdr:row>
      <xdr:rowOff>9525</xdr:rowOff>
    </xdr:from>
    <xdr:to>
      <xdr:col>7</xdr:col>
      <xdr:colOff>190500</xdr:colOff>
      <xdr:row>108</xdr:row>
      <xdr:rowOff>123825</xdr:rowOff>
    </xdr:to>
    <xdr:pic>
      <xdr:nvPicPr>
        <xdr:cNvPr id="1039" name="Picture 15" descr="CRANE PUMP-6">
          <a:extLst>
            <a:ext uri="{FF2B5EF4-FFF2-40B4-BE49-F238E27FC236}">
              <a16:creationId xmlns:a16="http://schemas.microsoft.com/office/drawing/2014/main" id="{00000000-0008-0000-0300-00000F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257300" y="18059400"/>
          <a:ext cx="3314700" cy="1743075"/>
        </a:xfrm>
        <a:prstGeom prst="rect">
          <a:avLst/>
        </a:prstGeom>
        <a:noFill/>
        <a:ln w="9525">
          <a:noFill/>
          <a:miter lim="800000"/>
          <a:headEnd/>
          <a:tailEnd/>
        </a:ln>
      </xdr:spPr>
    </xdr:pic>
    <xdr:clientData/>
  </xdr:twoCellAnchor>
  <xdr:twoCellAnchor>
    <xdr:from>
      <xdr:col>2</xdr:col>
      <xdr:colOff>28575</xdr:colOff>
      <xdr:row>111</xdr:row>
      <xdr:rowOff>161925</xdr:rowOff>
    </xdr:from>
    <xdr:to>
      <xdr:col>7</xdr:col>
      <xdr:colOff>409575</xdr:colOff>
      <xdr:row>124</xdr:row>
      <xdr:rowOff>19050</xdr:rowOff>
    </xdr:to>
    <xdr:pic>
      <xdr:nvPicPr>
        <xdr:cNvPr id="1040" name="Picture 16" descr="CRANE PUMP-7">
          <a:extLst>
            <a:ext uri="{FF2B5EF4-FFF2-40B4-BE49-F238E27FC236}">
              <a16:creationId xmlns:a16="http://schemas.microsoft.com/office/drawing/2014/main" id="{00000000-0008-0000-0300-00001004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81075" y="20402550"/>
          <a:ext cx="3810000" cy="2209800"/>
        </a:xfrm>
        <a:prstGeom prst="rect">
          <a:avLst/>
        </a:prstGeom>
        <a:noFill/>
        <a:ln w="9525">
          <a:noFill/>
          <a:miter lim="800000"/>
          <a:headEnd/>
          <a:tailEnd/>
        </a:ln>
      </xdr:spPr>
    </xdr:pic>
    <xdr:clientData/>
  </xdr:twoCellAnchor>
  <xdr:twoCellAnchor>
    <xdr:from>
      <xdr:col>0</xdr:col>
      <xdr:colOff>133350</xdr:colOff>
      <xdr:row>126</xdr:row>
      <xdr:rowOff>114300</xdr:rowOff>
    </xdr:from>
    <xdr:to>
      <xdr:col>8</xdr:col>
      <xdr:colOff>552450</xdr:colOff>
      <xdr:row>153</xdr:row>
      <xdr:rowOff>104775</xdr:rowOff>
    </xdr:to>
    <xdr:pic>
      <xdr:nvPicPr>
        <xdr:cNvPr id="1041" name="Picture 17" descr="CRANE PUMP-8">
          <a:extLst>
            <a:ext uri="{FF2B5EF4-FFF2-40B4-BE49-F238E27FC236}">
              <a16:creationId xmlns:a16="http://schemas.microsoft.com/office/drawing/2014/main" id="{00000000-0008-0000-0300-00001104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33350" y="23079075"/>
          <a:ext cx="5486400" cy="4876800"/>
        </a:xfrm>
        <a:prstGeom prst="rect">
          <a:avLst/>
        </a:prstGeom>
        <a:noFill/>
        <a:ln w="9525">
          <a:noFill/>
          <a:miter lim="800000"/>
          <a:headEnd/>
          <a:tailEnd/>
        </a:ln>
      </xdr:spPr>
    </xdr:pic>
    <xdr:clientData/>
  </xdr:twoCellAnchor>
  <xdr:twoCellAnchor>
    <xdr:from>
      <xdr:col>1</xdr:col>
      <xdr:colOff>228600</xdr:colOff>
      <xdr:row>156</xdr:row>
      <xdr:rowOff>0</xdr:rowOff>
    </xdr:from>
    <xdr:to>
      <xdr:col>7</xdr:col>
      <xdr:colOff>638175</xdr:colOff>
      <xdr:row>162</xdr:row>
      <xdr:rowOff>123825</xdr:rowOff>
    </xdr:to>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495300" y="28403550"/>
          <a:ext cx="45243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The red arrow above is the operating point 60 GPM (Gallons per Minute) and 40.8 feet head ( Effective distance water is lifted).</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Note: Pump efficiency in this example is less than 30% and maximum efficiency is 80%. See efficiency curves above.</a:t>
          </a:r>
          <a:endParaRPr lang="en-US" sz="1100">
            <a:solidFill>
              <a:schemeClr val="dk1"/>
            </a:solidFill>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8</xdr:row>
      <xdr:rowOff>28575</xdr:rowOff>
    </xdr:from>
    <xdr:to>
      <xdr:col>5</xdr:col>
      <xdr:colOff>534131</xdr:colOff>
      <xdr:row>41</xdr:row>
      <xdr:rowOff>77040</xdr:rowOff>
    </xdr:to>
    <xdr:pic>
      <xdr:nvPicPr>
        <xdr:cNvPr id="3" name="Picture 2">
          <a:extLst>
            <a:ext uri="{FF2B5EF4-FFF2-40B4-BE49-F238E27FC236}">
              <a16:creationId xmlns:a16="http://schemas.microsoft.com/office/drawing/2014/main" id="{5D39772F-9E0E-48D2-B329-9B2908BA9316}"/>
            </a:ext>
          </a:extLst>
        </xdr:cNvPr>
        <xdr:cNvPicPr>
          <a:picLocks noChangeAspect="1"/>
        </xdr:cNvPicPr>
      </xdr:nvPicPr>
      <xdr:blipFill>
        <a:blip xmlns:r="http://schemas.openxmlformats.org/officeDocument/2006/relationships" r:embed="rId1"/>
        <a:stretch>
          <a:fillRect/>
        </a:stretch>
      </xdr:blipFill>
      <xdr:spPr>
        <a:xfrm>
          <a:off x="390525" y="1533525"/>
          <a:ext cx="5239481" cy="60206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114300</xdr:colOff>
      <xdr:row>22</xdr:row>
      <xdr:rowOff>95250</xdr:rowOff>
    </xdr:from>
    <xdr:to>
      <xdr:col>8</xdr:col>
      <xdr:colOff>447675</xdr:colOff>
      <xdr:row>31</xdr:row>
      <xdr:rowOff>57150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95375" y="4152900"/>
          <a:ext cx="444817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baseline="0">
              <a:solidFill>
                <a:schemeClr val="dk1"/>
              </a:solidFill>
              <a:latin typeface="Arial" pitchFamily="34" charset="0"/>
              <a:ea typeface="+mn-ea"/>
              <a:cs typeface="Arial" pitchFamily="34" charset="0"/>
            </a:rPr>
            <a:t>A free spreadsheet </a:t>
          </a:r>
          <a:r>
            <a:rPr lang="en-US" sz="1050" baseline="0">
              <a:solidFill>
                <a:schemeClr val="dk1"/>
              </a:solidFill>
              <a:latin typeface="Arial" pitchFamily="34" charset="0"/>
              <a:ea typeface="+mn-ea"/>
              <a:cs typeface="Arial" pitchFamily="34" charset="0"/>
            </a:rPr>
            <a:t>has been developed as part of the CoolTools™ Chilled Water Plant Design Guide, funded by California utility customers through Energy Design Resources (www.energydesignresources. com).                                                  The spreadsheet provides these basic functions: </a:t>
          </a:r>
        </a:p>
        <a:p>
          <a:r>
            <a:rPr lang="en-US" sz="1050" baseline="0">
              <a:solidFill>
                <a:schemeClr val="dk1"/>
              </a:solidFill>
              <a:latin typeface="Arial" pitchFamily="34" charset="0"/>
              <a:ea typeface="+mn-ea"/>
              <a:cs typeface="Arial" pitchFamily="34" charset="0"/>
            </a:rPr>
            <a:t>Pipe sizing based on a balance between first costs and future energy costs, with optional velocity limits for erosion and noise generation; and </a:t>
          </a:r>
        </a:p>
        <a:p>
          <a:r>
            <a:rPr lang="en-US" sz="1050" baseline="0">
              <a:solidFill>
                <a:schemeClr val="dk1"/>
              </a:solidFill>
              <a:latin typeface="Arial" pitchFamily="34" charset="0"/>
              <a:ea typeface="+mn-ea"/>
              <a:cs typeface="Arial" pitchFamily="34" charset="0"/>
            </a:rPr>
            <a:t>Pump head calculations including all fittings, valves, and devices. </a:t>
          </a:r>
        </a:p>
        <a:p>
          <a:r>
            <a:rPr lang="en-US" sz="1050" baseline="0">
              <a:solidFill>
                <a:schemeClr val="dk1"/>
              </a:solidFill>
              <a:latin typeface="Arial" pitchFamily="34" charset="0"/>
              <a:ea typeface="+mn-ea"/>
              <a:cs typeface="Arial" pitchFamily="34" charset="0"/>
            </a:rPr>
            <a:t>The spreadsheet is fast and easy to use—calculations for most systems can be done in a few hours. </a:t>
          </a:r>
          <a:endParaRPr lang="en-US" sz="1050">
            <a:latin typeface="Arial" pitchFamily="34" charset="0"/>
            <a:cs typeface="Arial" pitchFamily="34" charset="0"/>
          </a:endParaRPr>
        </a:p>
      </xdr:txBody>
    </xdr:sp>
    <xdr:clientData/>
  </xdr:twoCellAnchor>
  <xdr:twoCellAnchor editAs="oneCell">
    <xdr:from>
      <xdr:col>1</xdr:col>
      <xdr:colOff>0</xdr:colOff>
      <xdr:row>8</xdr:row>
      <xdr:rowOff>0</xdr:rowOff>
    </xdr:from>
    <xdr:to>
      <xdr:col>11</xdr:col>
      <xdr:colOff>532477</xdr:colOff>
      <xdr:row>22</xdr:row>
      <xdr:rowOff>37779</xdr:rowOff>
    </xdr:to>
    <xdr:pic>
      <xdr:nvPicPr>
        <xdr:cNvPr id="4" name="Picture 3" descr="TAYLOR ENGINEERING-2.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stretch>
          <a:fillRect/>
        </a:stretch>
      </xdr:blipFill>
      <xdr:spPr>
        <a:xfrm>
          <a:off x="295275" y="1524000"/>
          <a:ext cx="7390477" cy="25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13</xdr:col>
      <xdr:colOff>581025</xdr:colOff>
      <xdr:row>55</xdr:row>
      <xdr:rowOff>127000</xdr:rowOff>
    </xdr:to>
    <xdr:pic>
      <xdr:nvPicPr>
        <xdr:cNvPr id="2" name="Picture 1" descr="Dimensions of Welding Fittings-0.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685800" y="17183100"/>
          <a:ext cx="8353425" cy="1482725"/>
        </a:xfrm>
        <a:prstGeom prst="rect">
          <a:avLst/>
        </a:prstGeom>
      </xdr:spPr>
    </xdr:pic>
    <xdr:clientData/>
  </xdr:twoCellAnchor>
  <xdr:twoCellAnchor editAs="oneCell">
    <xdr:from>
      <xdr:col>3</xdr:col>
      <xdr:colOff>323850</xdr:colOff>
      <xdr:row>58</xdr:row>
      <xdr:rowOff>47625</xdr:rowOff>
    </xdr:from>
    <xdr:to>
      <xdr:col>12</xdr:col>
      <xdr:colOff>219075</xdr:colOff>
      <xdr:row>88</xdr:row>
      <xdr:rowOff>60325</xdr:rowOff>
    </xdr:to>
    <xdr:pic>
      <xdr:nvPicPr>
        <xdr:cNvPr id="3" name="Picture 2" descr="Dimensions of Welding Fittings-1.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1695450" y="18907125"/>
          <a:ext cx="6296025" cy="5495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1.eere.energy.gov/industry/bestpractices/pdfs/10097517.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ngineeringtoolbox.com/moody-diagram-d_61..." TargetMode="External"/><Relationship Id="rId1" Type="http://schemas.openxmlformats.org/officeDocument/2006/relationships/hyperlink" Target="http://www.taylor-engineering.com/publications/design_guides.s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cranepumps.com/pumpselector.php" TargetMode="External"/><Relationship Id="rId1" Type="http://schemas.openxmlformats.org/officeDocument/2006/relationships/hyperlink" Target="http://www.cranepumps.com/pumpselector.php"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pressure-drop.com/Online-Calculator/" TargetMode="External"/><Relationship Id="rId1" Type="http://schemas.openxmlformats.org/officeDocument/2006/relationships/hyperlink" Target="http://www.pressure-drop.com/Online-Calculato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www.vikinggroupinc.com/techarticles/frictionloss.pdf" TargetMode="External"/><Relationship Id="rId2" Type="http://schemas.openxmlformats.org/officeDocument/2006/relationships/hyperlink" Target="http://dnrc.mt.gov/wrd/water_rts/wr_general_info/wrforms/615.pdf" TargetMode="External"/><Relationship Id="rId1" Type="http://schemas.openxmlformats.org/officeDocument/2006/relationships/hyperlink" Target="http://www.taylor-engineering.com/publications/design_guides.shtml"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pccenergygroup.com/PDFs/PCC-materials/Conversion%20Booklet.pdf" TargetMode="External"/><Relationship Id="rId1" Type="http://schemas.openxmlformats.org/officeDocument/2006/relationships/hyperlink" Target="http://www.hackneyladish.com/DimensionData-pr5.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4"/>
  <sheetViews>
    <sheetView tabSelected="1" zoomScaleNormal="100" workbookViewId="0">
      <selection activeCell="G1" sqref="G1"/>
    </sheetView>
  </sheetViews>
  <sheetFormatPr defaultRowHeight="12.75" x14ac:dyDescent="0.2"/>
  <cols>
    <col min="1" max="1" width="3.875" style="4" customWidth="1"/>
    <col min="2" max="2" width="39.625" style="2" customWidth="1"/>
    <col min="3" max="3" width="21.25" style="3" customWidth="1"/>
    <col min="4" max="4" width="12.5" style="3" customWidth="1"/>
    <col min="5" max="5" width="17" style="4" customWidth="1"/>
    <col min="6" max="6" width="4.25" style="4" customWidth="1"/>
    <col min="7" max="7" width="39.625" style="4" customWidth="1"/>
    <col min="8" max="8" width="13.875" style="4" customWidth="1"/>
    <col min="9" max="12" width="10.75" style="4" customWidth="1"/>
    <col min="13" max="16384" width="9" style="4"/>
  </cols>
  <sheetData>
    <row r="1" spans="1:11" ht="15.75" x14ac:dyDescent="0.25">
      <c r="A1" s="87"/>
      <c r="B1" s="46" t="s">
        <v>482</v>
      </c>
      <c r="C1" s="73"/>
      <c r="D1" s="88"/>
      <c r="E1" s="84"/>
      <c r="F1" s="142"/>
      <c r="G1" s="142"/>
      <c r="H1" s="142"/>
      <c r="I1" s="142"/>
      <c r="J1" s="142"/>
      <c r="K1" s="142"/>
    </row>
    <row r="2" spans="1:11" x14ac:dyDescent="0.2">
      <c r="A2" s="84"/>
      <c r="B2" s="5" t="s">
        <v>475</v>
      </c>
      <c r="C2" s="37" t="s">
        <v>481</v>
      </c>
      <c r="D2" s="6"/>
      <c r="E2" s="84"/>
      <c r="F2" s="142"/>
      <c r="G2" s="142"/>
      <c r="H2" s="142"/>
      <c r="I2" s="142"/>
      <c r="J2" s="142"/>
      <c r="K2" s="142"/>
    </row>
    <row r="3" spans="1:11" x14ac:dyDescent="0.2">
      <c r="A3" s="84"/>
      <c r="B3" s="73"/>
      <c r="C3" s="37"/>
      <c r="D3" s="6"/>
      <c r="E3" s="84"/>
      <c r="F3" s="142"/>
      <c r="G3" s="142"/>
      <c r="H3" s="142"/>
      <c r="I3" s="142"/>
      <c r="J3" s="142"/>
      <c r="K3" s="142"/>
    </row>
    <row r="4" spans="1:11" x14ac:dyDescent="0.2">
      <c r="A4" s="84"/>
      <c r="B4" s="1" t="s">
        <v>236</v>
      </c>
      <c r="F4" s="142"/>
      <c r="G4" s="142"/>
      <c r="H4" s="142"/>
      <c r="I4" s="142"/>
      <c r="J4" s="142"/>
      <c r="K4" s="142"/>
    </row>
    <row r="5" spans="1:11" x14ac:dyDescent="0.2">
      <c r="B5" s="5" t="s">
        <v>235</v>
      </c>
      <c r="F5" s="142"/>
      <c r="G5" s="142"/>
      <c r="H5" s="142"/>
      <c r="I5" s="142"/>
      <c r="J5" s="142"/>
      <c r="K5" s="142"/>
    </row>
    <row r="6" spans="1:11" x14ac:dyDescent="0.2">
      <c r="F6" s="142"/>
      <c r="G6" s="142"/>
      <c r="H6" s="142"/>
      <c r="I6" s="142"/>
      <c r="J6" s="142"/>
      <c r="K6" s="142"/>
    </row>
    <row r="7" spans="1:11" ht="15.75" x14ac:dyDescent="0.25">
      <c r="A7" s="84"/>
      <c r="B7" s="47" t="s">
        <v>493</v>
      </c>
      <c r="F7" s="142"/>
      <c r="G7" s="142"/>
      <c r="H7" s="142"/>
      <c r="I7" s="142"/>
      <c r="J7" s="142"/>
      <c r="K7" s="142"/>
    </row>
    <row r="8" spans="1:11" x14ac:dyDescent="0.2">
      <c r="A8" s="84"/>
      <c r="B8" s="104" t="s">
        <v>139</v>
      </c>
      <c r="F8" s="142"/>
      <c r="G8" s="142"/>
      <c r="H8" s="142"/>
      <c r="I8" s="142"/>
      <c r="J8" s="142"/>
      <c r="K8" s="142"/>
    </row>
    <row r="9" spans="1:11" x14ac:dyDescent="0.2">
      <c r="A9" s="84"/>
      <c r="B9" s="105" t="s">
        <v>135</v>
      </c>
      <c r="F9" s="142"/>
      <c r="G9" s="142"/>
      <c r="H9" s="142"/>
      <c r="I9" s="142"/>
      <c r="J9" s="142"/>
      <c r="K9" s="142"/>
    </row>
    <row r="10" spans="1:11" x14ac:dyDescent="0.2">
      <c r="A10" s="84"/>
      <c r="B10" s="1"/>
      <c r="F10" s="142"/>
      <c r="G10" s="142"/>
      <c r="H10" s="142"/>
      <c r="I10" s="142"/>
      <c r="J10" s="142"/>
      <c r="K10" s="142"/>
    </row>
    <row r="11" spans="1:11" x14ac:dyDescent="0.2">
      <c r="A11" s="84"/>
      <c r="B11" s="104" t="s">
        <v>136</v>
      </c>
      <c r="F11" s="142"/>
      <c r="G11" s="142"/>
      <c r="H11" s="142"/>
      <c r="I11" s="142"/>
      <c r="J11" s="142"/>
      <c r="K11" s="142"/>
    </row>
    <row r="12" spans="1:11" x14ac:dyDescent="0.2">
      <c r="A12" s="84"/>
      <c r="B12" s="104" t="s">
        <v>140</v>
      </c>
      <c r="F12" s="142"/>
      <c r="G12" s="142"/>
      <c r="H12" s="142"/>
      <c r="I12" s="142"/>
      <c r="J12" s="142"/>
      <c r="K12" s="142"/>
    </row>
    <row r="13" spans="1:11" x14ac:dyDescent="0.2">
      <c r="A13" s="84"/>
      <c r="B13" s="1"/>
      <c r="F13" s="142"/>
      <c r="G13" s="142"/>
      <c r="H13" s="142"/>
      <c r="I13" s="142"/>
      <c r="J13" s="142"/>
      <c r="K13" s="142"/>
    </row>
    <row r="14" spans="1:11" ht="15" x14ac:dyDescent="0.25">
      <c r="A14" s="84"/>
      <c r="B14" s="103" t="s">
        <v>142</v>
      </c>
      <c r="F14" s="142"/>
      <c r="G14" s="142"/>
      <c r="H14" s="142"/>
      <c r="I14" s="142"/>
      <c r="J14" s="142"/>
      <c r="K14" s="142"/>
    </row>
    <row r="15" spans="1:11" x14ac:dyDescent="0.2">
      <c r="A15" s="84"/>
      <c r="B15" s="1" t="s">
        <v>143</v>
      </c>
      <c r="F15" s="142"/>
      <c r="G15" s="142"/>
      <c r="H15" s="142"/>
      <c r="I15" s="142"/>
      <c r="J15" s="142"/>
      <c r="K15" s="142"/>
    </row>
    <row r="16" spans="1:11" x14ac:dyDescent="0.2">
      <c r="A16" s="84"/>
      <c r="B16" s="1" t="s">
        <v>141</v>
      </c>
      <c r="F16" s="142"/>
      <c r="G16" s="142"/>
      <c r="H16" s="142"/>
      <c r="I16" s="142"/>
      <c r="J16" s="142"/>
      <c r="K16" s="142"/>
    </row>
    <row r="17" spans="1:12" x14ac:dyDescent="0.2">
      <c r="A17" s="84"/>
      <c r="B17" s="4"/>
      <c r="F17" s="142"/>
      <c r="G17" s="142"/>
      <c r="H17" s="142"/>
      <c r="I17" s="142"/>
      <c r="J17" s="142"/>
      <c r="K17" s="142"/>
    </row>
    <row r="18" spans="1:12" x14ac:dyDescent="0.2">
      <c r="A18" s="84"/>
      <c r="B18" s="104" t="s">
        <v>137</v>
      </c>
      <c r="F18" s="142"/>
      <c r="G18" s="142"/>
      <c r="H18" s="142"/>
      <c r="I18" s="142"/>
      <c r="J18" s="142"/>
      <c r="K18" s="142"/>
    </row>
    <row r="19" spans="1:12" x14ac:dyDescent="0.2">
      <c r="A19" s="84"/>
      <c r="B19" s="104" t="s">
        <v>138</v>
      </c>
      <c r="F19" s="142"/>
      <c r="G19" s="142"/>
      <c r="H19" s="142"/>
      <c r="I19" s="142"/>
      <c r="J19" s="142"/>
      <c r="K19" s="142"/>
      <c r="L19" s="4" t="s">
        <v>5</v>
      </c>
    </row>
    <row r="20" spans="1:12" x14ac:dyDescent="0.2">
      <c r="A20" s="84"/>
      <c r="F20" s="142"/>
      <c r="G20" s="142"/>
      <c r="H20" s="142"/>
      <c r="I20" s="142"/>
      <c r="J20" s="142"/>
      <c r="K20" s="142"/>
    </row>
    <row r="21" spans="1:12" x14ac:dyDescent="0.2">
      <c r="A21" s="84"/>
      <c r="B21" s="73"/>
      <c r="C21" s="6"/>
      <c r="D21" s="6"/>
      <c r="E21" s="84"/>
      <c r="F21" s="142"/>
      <c r="G21" s="142"/>
      <c r="H21" s="142"/>
      <c r="I21" s="142"/>
      <c r="J21" s="142"/>
      <c r="K21" s="142"/>
    </row>
    <row r="22" spans="1:12" x14ac:dyDescent="0.2">
      <c r="A22" s="84"/>
      <c r="B22" s="74"/>
      <c r="C22" s="6"/>
      <c r="D22" s="76"/>
      <c r="E22" s="84"/>
      <c r="F22" s="142"/>
      <c r="G22" s="142"/>
      <c r="H22" s="142"/>
      <c r="I22" s="142"/>
      <c r="J22" s="142"/>
      <c r="K22" s="142"/>
    </row>
    <row r="23" spans="1:12" x14ac:dyDescent="0.2">
      <c r="A23" s="84"/>
      <c r="B23" s="73"/>
      <c r="C23" s="6"/>
      <c r="D23" s="89"/>
      <c r="E23" s="84"/>
      <c r="F23" s="142"/>
      <c r="G23" s="142"/>
      <c r="H23" s="142"/>
      <c r="I23" s="142"/>
      <c r="J23" s="142"/>
      <c r="K23" s="142"/>
    </row>
    <row r="24" spans="1:12" x14ac:dyDescent="0.2">
      <c r="A24" s="84"/>
      <c r="B24" s="73"/>
      <c r="C24" s="6"/>
      <c r="D24" s="90"/>
      <c r="E24" s="6"/>
      <c r="F24" s="142"/>
      <c r="G24" s="142"/>
      <c r="H24" s="142"/>
      <c r="I24" s="142"/>
      <c r="J24" s="142"/>
      <c r="K24" s="142"/>
    </row>
    <row r="25" spans="1:12" x14ac:dyDescent="0.2">
      <c r="A25" s="84"/>
      <c r="B25" s="73"/>
      <c r="C25" s="6"/>
      <c r="D25" s="91"/>
      <c r="E25" s="6"/>
      <c r="F25" s="142"/>
      <c r="G25" s="142"/>
      <c r="H25" s="142"/>
      <c r="I25" s="142"/>
      <c r="J25" s="142"/>
      <c r="K25" s="142"/>
    </row>
    <row r="26" spans="1:12" x14ac:dyDescent="0.2">
      <c r="A26" s="84"/>
      <c r="B26" s="73"/>
      <c r="C26" s="6"/>
      <c r="D26" s="91"/>
      <c r="E26" s="6"/>
      <c r="F26" s="142"/>
      <c r="G26" s="142"/>
      <c r="H26" s="142"/>
      <c r="I26" s="142"/>
      <c r="J26" s="142"/>
      <c r="K26" s="142"/>
    </row>
    <row r="27" spans="1:12" x14ac:dyDescent="0.2">
      <c r="A27" s="84"/>
      <c r="B27" s="73"/>
      <c r="C27" s="92"/>
      <c r="D27" s="91"/>
      <c r="E27" s="6"/>
      <c r="F27" s="142"/>
      <c r="G27" s="142"/>
      <c r="H27" s="142"/>
      <c r="I27" s="142"/>
      <c r="J27" s="142"/>
      <c r="K27" s="142"/>
    </row>
    <row r="28" spans="1:12" ht="14.25" x14ac:dyDescent="0.2">
      <c r="A28" s="84"/>
      <c r="B28" s="73"/>
      <c r="C28" s="6"/>
      <c r="D28" s="93"/>
      <c r="E28" s="6"/>
      <c r="F28" s="142"/>
      <c r="G28" s="142"/>
      <c r="H28" s="142"/>
      <c r="I28" s="142"/>
      <c r="J28" s="143"/>
      <c r="K28" s="143"/>
    </row>
    <row r="29" spans="1:12" ht="14.25" x14ac:dyDescent="0.2">
      <c r="A29" s="84"/>
      <c r="B29" s="73"/>
      <c r="C29" s="6"/>
      <c r="D29" s="88"/>
      <c r="E29" s="6"/>
      <c r="F29" s="142"/>
      <c r="G29" s="142"/>
      <c r="H29" s="142"/>
      <c r="I29" s="142"/>
      <c r="J29" s="143"/>
      <c r="K29" s="143"/>
    </row>
    <row r="30" spans="1:12" ht="14.25" x14ac:dyDescent="0.2">
      <c r="A30" s="84"/>
      <c r="B30" s="73"/>
      <c r="C30" s="94"/>
      <c r="D30" s="90"/>
      <c r="E30" s="6"/>
      <c r="F30" s="142"/>
      <c r="G30" s="142"/>
      <c r="H30" s="143"/>
      <c r="I30" s="143"/>
      <c r="J30" s="143"/>
      <c r="K30" s="143"/>
    </row>
    <row r="31" spans="1:12" ht="15.75" x14ac:dyDescent="0.25">
      <c r="A31" s="84"/>
      <c r="B31" s="75"/>
      <c r="C31" s="6"/>
      <c r="D31" s="6"/>
      <c r="E31" s="84"/>
      <c r="F31" s="142"/>
      <c r="G31" s="144"/>
      <c r="H31" s="143"/>
      <c r="I31" s="143"/>
      <c r="J31" s="143"/>
      <c r="K31" s="143"/>
    </row>
    <row r="32" spans="1:12" ht="14.25" x14ac:dyDescent="0.2">
      <c r="A32" s="84"/>
      <c r="B32" s="73"/>
      <c r="C32" s="76"/>
      <c r="D32" s="6"/>
      <c r="E32" s="84"/>
      <c r="F32" s="142"/>
      <c r="G32" s="144"/>
      <c r="H32" s="143"/>
      <c r="I32" s="143"/>
      <c r="J32" s="143"/>
      <c r="K32" s="143"/>
    </row>
    <row r="33" spans="1:11" ht="14.25" x14ac:dyDescent="0.2">
      <c r="A33" s="84"/>
      <c r="B33" s="73"/>
      <c r="C33" s="71"/>
      <c r="D33" s="6"/>
      <c r="E33" s="84"/>
      <c r="F33" s="142"/>
      <c r="G33" s="144"/>
      <c r="H33" s="143"/>
      <c r="I33" s="143"/>
      <c r="J33" s="143"/>
      <c r="K33" s="143"/>
    </row>
    <row r="34" spans="1:11" ht="14.25" x14ac:dyDescent="0.2">
      <c r="A34" s="84"/>
      <c r="B34" s="73"/>
      <c r="C34" s="72"/>
      <c r="D34" s="6"/>
      <c r="E34" s="84"/>
      <c r="F34" s="142"/>
      <c r="G34" s="144"/>
      <c r="H34" s="143"/>
      <c r="I34" s="143"/>
      <c r="J34" s="143"/>
      <c r="K34" s="143"/>
    </row>
    <row r="35" spans="1:11" ht="14.25" x14ac:dyDescent="0.2">
      <c r="A35" s="84"/>
      <c r="B35" s="73"/>
      <c r="C35" s="6"/>
      <c r="D35" s="6"/>
      <c r="E35" s="84"/>
      <c r="F35" s="142"/>
      <c r="G35" s="144"/>
      <c r="H35" s="143"/>
      <c r="I35" s="143"/>
      <c r="J35" s="143"/>
      <c r="K35" s="143"/>
    </row>
    <row r="36" spans="1:11" ht="14.25" x14ac:dyDescent="0.2">
      <c r="A36" s="84"/>
      <c r="B36" s="73"/>
      <c r="C36" s="95"/>
      <c r="D36" s="6"/>
      <c r="E36" s="84"/>
      <c r="F36" s="142"/>
      <c r="G36" s="144"/>
      <c r="H36" s="143"/>
      <c r="I36" s="143"/>
      <c r="J36" s="143"/>
      <c r="K36" s="143"/>
    </row>
    <row r="37" spans="1:11" ht="14.25" x14ac:dyDescent="0.2">
      <c r="A37" s="84"/>
      <c r="B37" s="73"/>
      <c r="C37" s="96"/>
      <c r="D37" s="6"/>
      <c r="E37" s="84"/>
      <c r="F37" s="142"/>
      <c r="G37" s="144"/>
      <c r="H37" s="143"/>
      <c r="I37" s="143"/>
      <c r="J37" s="143"/>
      <c r="K37" s="143"/>
    </row>
    <row r="38" spans="1:11" ht="14.25" x14ac:dyDescent="0.2">
      <c r="A38" s="84"/>
      <c r="B38" s="73"/>
      <c r="C38" s="6"/>
      <c r="D38" s="6"/>
      <c r="E38" s="84"/>
      <c r="F38" s="142"/>
      <c r="G38" s="144"/>
      <c r="H38" s="143"/>
      <c r="I38" s="143"/>
      <c r="J38" s="143"/>
      <c r="K38" s="143"/>
    </row>
    <row r="39" spans="1:11" ht="14.25" x14ac:dyDescent="0.2">
      <c r="A39" s="84"/>
      <c r="B39" s="73"/>
      <c r="C39" s="76"/>
      <c r="D39" s="6"/>
      <c r="E39" s="84"/>
      <c r="F39" s="142"/>
      <c r="G39" s="144"/>
      <c r="H39" s="143"/>
      <c r="I39" s="143"/>
      <c r="J39" s="143"/>
      <c r="K39" s="143"/>
    </row>
    <row r="40" spans="1:11" ht="14.25" x14ac:dyDescent="0.2">
      <c r="A40" s="84"/>
      <c r="B40" s="77"/>
      <c r="C40" s="78"/>
      <c r="D40" s="37"/>
      <c r="E40" s="84"/>
      <c r="F40" s="142"/>
      <c r="G40" s="144"/>
      <c r="H40" s="143"/>
      <c r="I40" s="143"/>
      <c r="J40" s="143"/>
      <c r="K40" s="143"/>
    </row>
    <row r="41" spans="1:11" ht="14.25" x14ac:dyDescent="0.2">
      <c r="A41" s="84"/>
      <c r="B41" s="77"/>
      <c r="C41" s="79"/>
      <c r="D41" s="37"/>
      <c r="E41" s="84"/>
      <c r="F41" s="142"/>
      <c r="G41" s="144"/>
      <c r="H41" s="143"/>
      <c r="I41" s="143"/>
      <c r="J41" s="143"/>
      <c r="K41" s="143"/>
    </row>
    <row r="42" spans="1:11" ht="14.25" x14ac:dyDescent="0.2">
      <c r="A42" s="84"/>
      <c r="B42" s="77"/>
      <c r="C42" s="78"/>
      <c r="D42" s="37"/>
      <c r="E42" s="84"/>
      <c r="F42" s="142"/>
      <c r="G42" s="144"/>
      <c r="H42" s="143"/>
      <c r="I42" s="143"/>
      <c r="J42" s="143"/>
      <c r="K42" s="143"/>
    </row>
    <row r="43" spans="1:11" ht="14.25" x14ac:dyDescent="0.2">
      <c r="A43" s="84"/>
      <c r="B43" s="77"/>
      <c r="C43" s="79"/>
      <c r="D43" s="37"/>
      <c r="E43" s="84"/>
      <c r="F43" s="142"/>
      <c r="G43" s="144"/>
      <c r="H43" s="143"/>
      <c r="I43" s="143"/>
      <c r="J43" s="143"/>
      <c r="K43" s="143"/>
    </row>
    <row r="44" spans="1:11" ht="14.25" x14ac:dyDescent="0.2">
      <c r="A44" s="84"/>
      <c r="B44" s="77"/>
      <c r="C44" s="37"/>
      <c r="D44" s="37"/>
      <c r="E44" s="84"/>
      <c r="F44" s="142"/>
      <c r="G44" s="144"/>
      <c r="H44" s="143"/>
      <c r="I44" s="143"/>
      <c r="J44" s="143"/>
      <c r="K44" s="143"/>
    </row>
    <row r="45" spans="1:11" ht="14.25" x14ac:dyDescent="0.2">
      <c r="A45" s="84"/>
      <c r="B45" s="77"/>
      <c r="C45" s="80"/>
      <c r="D45" s="37"/>
      <c r="E45" s="84"/>
      <c r="F45" s="142"/>
      <c r="G45" s="144"/>
      <c r="H45" s="143"/>
      <c r="I45" s="143"/>
      <c r="J45" s="143"/>
      <c r="K45" s="143"/>
    </row>
    <row r="46" spans="1:11" ht="14.25" x14ac:dyDescent="0.2">
      <c r="A46" s="84"/>
      <c r="B46" s="77"/>
      <c r="C46" s="37"/>
      <c r="D46" s="37"/>
      <c r="E46" s="84"/>
      <c r="F46" s="142"/>
      <c r="G46" s="144"/>
      <c r="H46" s="143"/>
      <c r="I46" s="143"/>
      <c r="J46" s="143"/>
      <c r="K46" s="143"/>
    </row>
    <row r="47" spans="1:11" ht="14.25" x14ac:dyDescent="0.2">
      <c r="A47" s="84"/>
      <c r="B47" s="77"/>
      <c r="C47" s="81"/>
      <c r="D47" s="37"/>
      <c r="E47" s="84"/>
      <c r="F47" s="142"/>
      <c r="G47" s="144"/>
      <c r="H47" s="143"/>
      <c r="I47" s="143"/>
      <c r="J47" s="143"/>
      <c r="K47" s="143"/>
    </row>
    <row r="48" spans="1:11" ht="14.25" x14ac:dyDescent="0.2">
      <c r="A48" s="84"/>
      <c r="B48" s="77"/>
      <c r="C48" s="37"/>
      <c r="D48" s="37"/>
      <c r="E48" s="84"/>
      <c r="F48" s="142"/>
      <c r="G48" s="144"/>
      <c r="H48" s="143"/>
      <c r="I48" s="143"/>
      <c r="J48" s="143"/>
      <c r="K48" s="143"/>
    </row>
    <row r="49" spans="1:11" ht="14.25" x14ac:dyDescent="0.2">
      <c r="A49" s="84"/>
      <c r="B49" s="77"/>
      <c r="C49" s="79"/>
      <c r="D49" s="37"/>
      <c r="E49" s="84"/>
      <c r="F49" s="142"/>
      <c r="G49" s="144"/>
      <c r="H49" s="143"/>
      <c r="I49" s="143"/>
      <c r="J49" s="143"/>
      <c r="K49" s="143"/>
    </row>
    <row r="50" spans="1:11" ht="14.25" x14ac:dyDescent="0.2">
      <c r="A50" s="84"/>
      <c r="B50" s="77"/>
      <c r="C50" s="37"/>
      <c r="D50" s="37"/>
      <c r="E50" s="84"/>
      <c r="F50" s="142"/>
      <c r="G50" s="144"/>
      <c r="H50" s="143"/>
      <c r="I50" s="143"/>
      <c r="J50" s="143"/>
      <c r="K50" s="143"/>
    </row>
    <row r="51" spans="1:11" ht="14.25" x14ac:dyDescent="0.2">
      <c r="A51" s="84"/>
      <c r="B51" s="77"/>
      <c r="C51" s="82"/>
      <c r="D51" s="37"/>
      <c r="E51" s="84"/>
      <c r="F51" s="142"/>
      <c r="G51" s="144"/>
      <c r="H51" s="143"/>
      <c r="I51" s="143"/>
      <c r="J51" s="143"/>
      <c r="K51" s="143"/>
    </row>
    <row r="52" spans="1:11" ht="14.25" x14ac:dyDescent="0.2">
      <c r="A52" s="84"/>
      <c r="B52" s="77"/>
      <c r="C52" s="83"/>
      <c r="D52" s="37"/>
      <c r="E52" s="84"/>
      <c r="F52" s="142"/>
      <c r="G52" s="144"/>
      <c r="H52" s="143"/>
      <c r="I52" s="143"/>
      <c r="J52" s="143"/>
      <c r="K52" s="143"/>
    </row>
    <row r="53" spans="1:11" ht="14.25" x14ac:dyDescent="0.2">
      <c r="A53" s="84"/>
      <c r="B53" s="73"/>
      <c r="C53" s="6"/>
      <c r="D53" s="6"/>
      <c r="E53" s="84"/>
      <c r="F53" s="142"/>
      <c r="G53" s="144"/>
      <c r="H53" s="143"/>
      <c r="I53" s="143"/>
      <c r="J53" s="143"/>
      <c r="K53" s="143"/>
    </row>
    <row r="54" spans="1:11" ht="14.25" x14ac:dyDescent="0.2">
      <c r="A54" s="84"/>
      <c r="B54" s="73"/>
      <c r="C54" s="6"/>
      <c r="D54" s="6"/>
      <c r="E54" s="84"/>
      <c r="F54" s="142"/>
      <c r="G54" s="144"/>
      <c r="H54" s="143"/>
      <c r="I54" s="143"/>
      <c r="J54" s="143"/>
      <c r="K54" s="143"/>
    </row>
    <row r="55" spans="1:11" ht="14.25" x14ac:dyDescent="0.2">
      <c r="A55" s="84"/>
      <c r="B55" s="73"/>
      <c r="C55" s="6"/>
      <c r="D55" s="6"/>
      <c r="E55" s="84"/>
      <c r="F55" s="142"/>
      <c r="G55" s="144"/>
      <c r="H55" s="143"/>
      <c r="I55" s="143"/>
      <c r="J55" s="142"/>
      <c r="K55" s="142"/>
    </row>
    <row r="56" spans="1:11" ht="14.25" x14ac:dyDescent="0.2">
      <c r="A56" s="84"/>
      <c r="B56" s="73"/>
      <c r="C56" s="6"/>
      <c r="D56" s="6"/>
      <c r="E56" s="84"/>
      <c r="F56" s="142"/>
      <c r="G56" s="144"/>
      <c r="H56" s="143"/>
      <c r="I56" s="143"/>
      <c r="J56" s="142"/>
      <c r="K56" s="142"/>
    </row>
    <row r="57" spans="1:11" x14ac:dyDescent="0.2">
      <c r="A57" s="84"/>
      <c r="B57" s="73"/>
      <c r="C57" s="6"/>
      <c r="D57" s="6"/>
      <c r="E57" s="84"/>
      <c r="F57" s="142"/>
      <c r="G57" s="142"/>
      <c r="H57" s="142"/>
      <c r="I57" s="142"/>
      <c r="J57" s="142"/>
      <c r="K57" s="142"/>
    </row>
    <row r="58" spans="1:11" x14ac:dyDescent="0.2">
      <c r="A58" s="84"/>
      <c r="B58" s="73"/>
      <c r="C58" s="6"/>
      <c r="D58" s="6"/>
      <c r="E58" s="84"/>
      <c r="F58" s="142"/>
      <c r="G58" s="142"/>
      <c r="H58" s="142"/>
      <c r="I58" s="142"/>
      <c r="J58" s="142"/>
      <c r="K58" s="142"/>
    </row>
    <row r="59" spans="1:11" x14ac:dyDescent="0.2">
      <c r="A59" s="84"/>
      <c r="C59" s="6"/>
      <c r="D59" s="6"/>
      <c r="E59" s="84"/>
      <c r="F59" s="142"/>
      <c r="G59" s="142"/>
      <c r="H59" s="142"/>
      <c r="I59" s="142"/>
      <c r="J59" s="142"/>
      <c r="K59" s="142"/>
    </row>
    <row r="60" spans="1:11" x14ac:dyDescent="0.2">
      <c r="A60" s="84"/>
      <c r="B60" s="73"/>
      <c r="C60" s="6"/>
      <c r="D60" s="6"/>
      <c r="E60" s="84"/>
      <c r="F60" s="142"/>
      <c r="G60" s="142"/>
      <c r="H60" s="142"/>
      <c r="I60" s="142"/>
      <c r="J60" s="142"/>
      <c r="K60" s="142"/>
    </row>
    <row r="61" spans="1:11" x14ac:dyDescent="0.2">
      <c r="A61" s="84"/>
      <c r="B61" s="73"/>
      <c r="C61" s="6"/>
      <c r="D61" s="6"/>
      <c r="E61" s="84"/>
      <c r="F61" s="142"/>
      <c r="G61" s="142"/>
      <c r="H61" s="142"/>
      <c r="I61" s="142"/>
      <c r="J61" s="169"/>
      <c r="K61" s="169"/>
    </row>
    <row r="62" spans="1:11" x14ac:dyDescent="0.2">
      <c r="A62" s="84"/>
      <c r="B62" s="73"/>
      <c r="C62" s="6"/>
      <c r="D62" s="6"/>
      <c r="E62" s="84"/>
      <c r="F62" s="142"/>
      <c r="G62" s="142"/>
      <c r="H62" s="142"/>
      <c r="I62" s="142"/>
      <c r="J62" s="142"/>
      <c r="K62" s="142"/>
    </row>
    <row r="63" spans="1:11" x14ac:dyDescent="0.2">
      <c r="A63" s="84"/>
      <c r="F63" s="142"/>
      <c r="G63" s="142"/>
      <c r="H63" s="142"/>
      <c r="I63" s="146"/>
      <c r="J63" s="142"/>
      <c r="K63" s="142"/>
    </row>
    <row r="64" spans="1:11" x14ac:dyDescent="0.2">
      <c r="A64" s="84"/>
      <c r="F64" s="142"/>
      <c r="G64" s="142"/>
      <c r="H64" s="142"/>
      <c r="I64" s="142"/>
      <c r="J64" s="142"/>
      <c r="K64" s="142"/>
    </row>
    <row r="65" spans="1:11" x14ac:dyDescent="0.2">
      <c r="A65" s="84"/>
      <c r="F65" s="142"/>
      <c r="G65" s="142"/>
      <c r="H65" s="142"/>
      <c r="I65" s="142"/>
      <c r="J65" s="142"/>
      <c r="K65" s="142"/>
    </row>
    <row r="66" spans="1:11" x14ac:dyDescent="0.2">
      <c r="A66" s="84"/>
      <c r="F66" s="142"/>
      <c r="G66" s="142"/>
      <c r="H66" s="142"/>
      <c r="I66" s="142"/>
      <c r="J66" s="142"/>
      <c r="K66" s="142"/>
    </row>
    <row r="67" spans="1:11" x14ac:dyDescent="0.2">
      <c r="A67" s="84"/>
      <c r="F67" s="142"/>
      <c r="G67" s="142"/>
      <c r="H67" s="142"/>
      <c r="I67" s="142"/>
      <c r="J67" s="142"/>
      <c r="K67" s="142"/>
    </row>
    <row r="68" spans="1:11" x14ac:dyDescent="0.2">
      <c r="A68" s="84"/>
      <c r="F68" s="142"/>
      <c r="G68" s="142"/>
      <c r="H68" s="142"/>
      <c r="I68" s="142"/>
      <c r="J68" s="142"/>
      <c r="K68" s="142"/>
    </row>
    <row r="69" spans="1:11" x14ac:dyDescent="0.2">
      <c r="A69" s="84"/>
    </row>
    <row r="70" spans="1:11" ht="15.75" x14ac:dyDescent="0.25">
      <c r="A70" s="84"/>
      <c r="B70" s="47" t="s">
        <v>84</v>
      </c>
      <c r="C70" s="6"/>
      <c r="D70" s="6"/>
      <c r="E70" s="84"/>
    </row>
    <row r="71" spans="1:11" x14ac:dyDescent="0.2">
      <c r="A71" s="84"/>
      <c r="B71" s="73"/>
      <c r="C71" s="6"/>
      <c r="D71" s="6"/>
      <c r="E71" s="84"/>
    </row>
    <row r="72" spans="1:11" x14ac:dyDescent="0.2">
      <c r="A72" s="84"/>
      <c r="B72" s="73"/>
      <c r="C72" s="6"/>
      <c r="D72" s="6"/>
      <c r="E72" s="84"/>
    </row>
    <row r="73" spans="1:11" x14ac:dyDescent="0.2">
      <c r="A73" s="84"/>
      <c r="B73" s="73"/>
      <c r="C73" s="6"/>
      <c r="D73" s="6"/>
      <c r="E73" s="84"/>
    </row>
    <row r="74" spans="1:11" x14ac:dyDescent="0.2">
      <c r="A74" s="84"/>
      <c r="B74" s="73"/>
      <c r="C74" s="6"/>
      <c r="D74" s="6"/>
      <c r="E74" s="84"/>
    </row>
    <row r="75" spans="1:11" x14ac:dyDescent="0.2">
      <c r="A75" s="84"/>
      <c r="B75" s="73"/>
      <c r="C75" s="6"/>
      <c r="D75" s="6"/>
      <c r="E75" s="84"/>
    </row>
    <row r="76" spans="1:11" x14ac:dyDescent="0.2">
      <c r="A76" s="84"/>
      <c r="B76" s="73"/>
      <c r="C76" s="6"/>
      <c r="D76" s="6"/>
      <c r="E76" s="84"/>
    </row>
    <row r="77" spans="1:11" x14ac:dyDescent="0.2">
      <c r="A77" s="84"/>
      <c r="B77" s="73"/>
      <c r="C77" s="6"/>
      <c r="D77" s="6"/>
      <c r="E77" s="84"/>
    </row>
    <row r="78" spans="1:11" x14ac:dyDescent="0.2">
      <c r="A78" s="84"/>
      <c r="B78" s="73"/>
      <c r="C78" s="6"/>
      <c r="D78" s="6"/>
      <c r="E78" s="84"/>
    </row>
    <row r="79" spans="1:11" x14ac:dyDescent="0.2">
      <c r="A79" s="84"/>
      <c r="B79" s="73"/>
      <c r="C79" s="6"/>
      <c r="D79" s="6"/>
      <c r="E79" s="84"/>
    </row>
    <row r="80" spans="1:11" x14ac:dyDescent="0.2">
      <c r="A80" s="84"/>
      <c r="B80" s="73"/>
      <c r="C80" s="6"/>
      <c r="D80" s="6"/>
      <c r="E80" s="84"/>
    </row>
    <row r="81" spans="1:11" x14ac:dyDescent="0.2">
      <c r="A81" s="84"/>
      <c r="B81" s="73"/>
      <c r="C81" s="6"/>
      <c r="D81" s="6"/>
      <c r="E81" s="84"/>
    </row>
    <row r="82" spans="1:11" x14ac:dyDescent="0.2">
      <c r="A82" s="84"/>
      <c r="B82" s="73"/>
      <c r="C82" s="6"/>
      <c r="D82" s="6"/>
      <c r="E82" s="84"/>
    </row>
    <row r="83" spans="1:11" x14ac:dyDescent="0.2">
      <c r="A83" s="84"/>
      <c r="B83" s="73"/>
      <c r="C83" s="6"/>
      <c r="D83" s="6"/>
      <c r="E83" s="84"/>
    </row>
    <row r="84" spans="1:11" x14ac:dyDescent="0.2">
      <c r="A84" s="84"/>
      <c r="B84" s="73"/>
      <c r="C84" s="6"/>
      <c r="D84" s="6"/>
      <c r="E84" s="84"/>
    </row>
    <row r="85" spans="1:11" x14ac:dyDescent="0.2">
      <c r="A85" s="84"/>
      <c r="B85" s="73"/>
      <c r="C85" s="6"/>
      <c r="D85" s="6"/>
      <c r="E85" s="84"/>
    </row>
    <row r="86" spans="1:11" x14ac:dyDescent="0.2">
      <c r="A86" s="84"/>
      <c r="B86" s="73"/>
      <c r="C86" s="6"/>
      <c r="D86" s="6"/>
      <c r="E86" s="84"/>
    </row>
    <row r="87" spans="1:11" x14ac:dyDescent="0.2">
      <c r="A87" s="84"/>
      <c r="B87" s="84"/>
      <c r="C87" s="84"/>
      <c r="D87" s="84"/>
      <c r="E87" s="84"/>
    </row>
    <row r="88" spans="1:11" x14ac:dyDescent="0.2">
      <c r="A88" s="84"/>
      <c r="B88" s="84"/>
      <c r="C88" s="84"/>
      <c r="D88" s="84"/>
      <c r="E88" s="84"/>
    </row>
    <row r="89" spans="1:11" x14ac:dyDescent="0.2">
      <c r="A89" s="84"/>
      <c r="B89" s="84"/>
      <c r="C89" s="84"/>
      <c r="D89" s="84"/>
      <c r="E89" s="84"/>
    </row>
    <row r="90" spans="1:11" x14ac:dyDescent="0.2">
      <c r="A90" s="84"/>
      <c r="B90" s="84"/>
      <c r="C90" s="84"/>
      <c r="D90" s="84"/>
      <c r="E90" s="84"/>
    </row>
    <row r="91" spans="1:11" ht="15.75" x14ac:dyDescent="0.25">
      <c r="A91" s="84"/>
      <c r="B91" s="75"/>
      <c r="C91" s="6"/>
      <c r="D91" s="6"/>
      <c r="E91" s="84"/>
    </row>
    <row r="92" spans="1:11" x14ac:dyDescent="0.2">
      <c r="A92" s="84"/>
      <c r="B92" s="73"/>
      <c r="C92" s="97"/>
      <c r="D92" s="97"/>
      <c r="E92" s="97"/>
    </row>
    <row r="93" spans="1:11" x14ac:dyDescent="0.2">
      <c r="A93" s="84"/>
      <c r="B93" s="73"/>
      <c r="C93" s="97"/>
      <c r="D93" s="97"/>
      <c r="E93" s="97"/>
    </row>
    <row r="94" spans="1:11" x14ac:dyDescent="0.2">
      <c r="A94" s="84"/>
      <c r="B94" s="73"/>
      <c r="C94" s="73"/>
      <c r="D94" s="88"/>
      <c r="E94" s="98"/>
    </row>
    <row r="95" spans="1:11" x14ac:dyDescent="0.2">
      <c r="A95" s="84"/>
      <c r="B95" s="73"/>
      <c r="C95" s="73"/>
      <c r="D95" s="88"/>
      <c r="E95" s="98"/>
      <c r="J95" s="84"/>
      <c r="K95" s="84"/>
    </row>
    <row r="96" spans="1:11" x14ac:dyDescent="0.2">
      <c r="A96" s="84"/>
      <c r="B96" s="73"/>
      <c r="C96" s="73"/>
      <c r="D96" s="88"/>
      <c r="E96" s="98"/>
      <c r="J96" s="84"/>
      <c r="K96" s="84"/>
    </row>
    <row r="97" spans="1:11" ht="15.75" x14ac:dyDescent="0.25">
      <c r="A97" s="84"/>
      <c r="B97" s="73"/>
      <c r="C97" s="73"/>
      <c r="D97" s="88"/>
      <c r="E97" s="98"/>
      <c r="G97" s="75"/>
      <c r="H97" s="6"/>
      <c r="I97" s="6"/>
      <c r="J97" s="84"/>
      <c r="K97" s="84"/>
    </row>
    <row r="98" spans="1:11" x14ac:dyDescent="0.2">
      <c r="A98" s="84"/>
      <c r="B98" s="73"/>
      <c r="C98" s="73"/>
      <c r="D98" s="88"/>
      <c r="E98" s="98"/>
      <c r="G98" s="73"/>
      <c r="H98" s="76"/>
      <c r="I98" s="6"/>
      <c r="J98" s="84"/>
      <c r="K98" s="84"/>
    </row>
    <row r="99" spans="1:11" x14ac:dyDescent="0.2">
      <c r="A99" s="84"/>
      <c r="B99" s="73"/>
      <c r="C99" s="73"/>
      <c r="D99" s="88"/>
      <c r="E99" s="98"/>
      <c r="G99" s="73"/>
      <c r="H99" s="71"/>
      <c r="I99" s="6"/>
      <c r="J99" s="84"/>
      <c r="K99" s="84"/>
    </row>
    <row r="100" spans="1:11" x14ac:dyDescent="0.2">
      <c r="A100" s="84"/>
      <c r="B100" s="73"/>
      <c r="C100" s="73"/>
      <c r="D100" s="88"/>
      <c r="E100" s="98"/>
      <c r="G100" s="73"/>
      <c r="H100" s="72"/>
      <c r="I100" s="6"/>
      <c r="J100" s="84"/>
      <c r="K100" s="84"/>
    </row>
    <row r="101" spans="1:11" ht="15.75" x14ac:dyDescent="0.25">
      <c r="A101" s="84"/>
      <c r="B101" s="75" t="s">
        <v>127</v>
      </c>
      <c r="C101" s="73"/>
      <c r="D101" s="88"/>
      <c r="E101" s="98"/>
      <c r="G101" s="73"/>
      <c r="H101" s="94"/>
      <c r="I101" s="6"/>
      <c r="J101" s="84"/>
      <c r="K101" s="84"/>
    </row>
    <row r="102" spans="1:11" x14ac:dyDescent="0.2">
      <c r="A102" s="84"/>
      <c r="B102" s="73"/>
      <c r="C102" s="73"/>
      <c r="D102" s="88"/>
      <c r="E102" s="98"/>
      <c r="G102" s="73"/>
      <c r="H102" s="6"/>
      <c r="I102" s="6"/>
      <c r="J102" s="84"/>
      <c r="K102" s="84"/>
    </row>
    <row r="103" spans="1:11" x14ac:dyDescent="0.2">
      <c r="A103" s="84"/>
      <c r="B103" s="73"/>
      <c r="C103" s="6"/>
      <c r="D103" s="6"/>
      <c r="E103" s="84"/>
      <c r="G103" s="73"/>
      <c r="H103" s="95"/>
      <c r="I103" s="6"/>
      <c r="J103" s="84"/>
      <c r="K103" s="84"/>
    </row>
    <row r="104" spans="1:11" x14ac:dyDescent="0.2">
      <c r="A104" s="84"/>
      <c r="B104" s="73"/>
      <c r="C104" s="6"/>
      <c r="D104" s="6"/>
      <c r="E104" s="84"/>
      <c r="G104" s="73"/>
      <c r="H104" s="96"/>
      <c r="I104" s="6"/>
      <c r="J104" s="84"/>
      <c r="K104" s="84"/>
    </row>
    <row r="105" spans="1:11" x14ac:dyDescent="0.2">
      <c r="A105" s="84"/>
      <c r="B105" s="73"/>
      <c r="C105" s="76"/>
      <c r="D105" s="6"/>
      <c r="E105" s="84"/>
      <c r="G105" s="73"/>
      <c r="H105" s="6"/>
      <c r="I105" s="6"/>
      <c r="J105" s="84"/>
      <c r="K105" s="84"/>
    </row>
    <row r="106" spans="1:11" x14ac:dyDescent="0.2">
      <c r="A106" s="84"/>
      <c r="B106" s="77"/>
      <c r="C106" s="37"/>
      <c r="D106" s="6"/>
      <c r="E106" s="84"/>
      <c r="G106" s="73"/>
      <c r="H106" s="76"/>
      <c r="I106" s="6"/>
      <c r="J106" s="84"/>
      <c r="K106" s="84"/>
    </row>
    <row r="107" spans="1:11" x14ac:dyDescent="0.2">
      <c r="A107" s="84"/>
      <c r="B107" s="77"/>
      <c r="C107" s="37"/>
      <c r="D107" s="6"/>
      <c r="E107" s="84"/>
      <c r="G107" s="77"/>
      <c r="H107" s="78"/>
      <c r="I107" s="37"/>
      <c r="J107" s="84"/>
      <c r="K107" s="84"/>
    </row>
    <row r="108" spans="1:11" x14ac:dyDescent="0.2">
      <c r="A108" s="84"/>
      <c r="B108" s="77"/>
      <c r="C108" s="79"/>
      <c r="D108" s="6"/>
      <c r="E108" s="84"/>
      <c r="G108" s="77"/>
      <c r="H108" s="79"/>
      <c r="I108" s="37"/>
      <c r="J108" s="84"/>
      <c r="K108" s="84"/>
    </row>
    <row r="109" spans="1:11" x14ac:dyDescent="0.2">
      <c r="A109" s="84"/>
      <c r="B109" s="73"/>
      <c r="C109" s="6"/>
      <c r="D109" s="6"/>
      <c r="E109" s="84"/>
      <c r="G109" s="77"/>
      <c r="H109" s="79"/>
      <c r="I109" s="6"/>
      <c r="J109" s="84"/>
      <c r="K109" s="84"/>
    </row>
    <row r="110" spans="1:11" x14ac:dyDescent="0.2">
      <c r="A110" s="84"/>
      <c r="B110" s="73"/>
      <c r="C110" s="6"/>
      <c r="D110" s="6"/>
      <c r="E110" s="84"/>
      <c r="G110" s="77"/>
      <c r="H110" s="78"/>
      <c r="I110" s="37"/>
      <c r="J110" s="84"/>
      <c r="K110" s="84"/>
    </row>
    <row r="111" spans="1:11" x14ac:dyDescent="0.2">
      <c r="A111" s="84"/>
      <c r="B111" s="73"/>
      <c r="C111" s="6"/>
      <c r="D111" s="6"/>
      <c r="E111" s="84"/>
      <c r="G111" s="77"/>
      <c r="H111" s="79"/>
      <c r="I111" s="37"/>
      <c r="J111" s="84"/>
      <c r="K111" s="84"/>
    </row>
    <row r="112" spans="1:11" ht="15.75" x14ac:dyDescent="0.25">
      <c r="A112" s="84"/>
      <c r="B112" s="75"/>
      <c r="C112" s="6"/>
      <c r="D112" s="6"/>
      <c r="E112" s="84"/>
      <c r="G112" s="77"/>
      <c r="H112" s="37"/>
      <c r="I112" s="37"/>
      <c r="J112" s="84"/>
      <c r="K112" s="84"/>
    </row>
    <row r="113" spans="1:12" x14ac:dyDescent="0.2">
      <c r="A113" s="84"/>
      <c r="B113" s="73"/>
      <c r="C113" s="76"/>
      <c r="D113" s="6"/>
      <c r="E113" s="84"/>
      <c r="G113" s="77"/>
      <c r="H113" s="80"/>
      <c r="I113" s="37"/>
      <c r="J113" s="84"/>
      <c r="K113" s="84"/>
    </row>
    <row r="114" spans="1:12" ht="15.75" x14ac:dyDescent="0.25">
      <c r="A114" s="84"/>
      <c r="B114" s="73"/>
      <c r="C114" s="71"/>
      <c r="D114" s="6"/>
      <c r="E114" s="84"/>
      <c r="G114" s="75" t="s">
        <v>218</v>
      </c>
      <c r="H114" s="37"/>
      <c r="I114" s="37"/>
      <c r="J114" s="84"/>
      <c r="K114" s="84"/>
    </row>
    <row r="115" spans="1:12" x14ac:dyDescent="0.2">
      <c r="A115" s="84"/>
      <c r="B115" s="73"/>
      <c r="C115" s="72"/>
      <c r="D115" s="6"/>
      <c r="E115" s="84"/>
      <c r="G115" s="37" t="s">
        <v>219</v>
      </c>
      <c r="H115" s="81"/>
      <c r="I115" s="37"/>
      <c r="J115" s="84"/>
      <c r="K115" s="84"/>
    </row>
    <row r="116" spans="1:12" ht="14.25" x14ac:dyDescent="0.2">
      <c r="A116" s="84"/>
      <c r="B116" s="73"/>
      <c r="C116" s="94"/>
      <c r="D116" s="6"/>
      <c r="E116" s="84"/>
      <c r="G116" s="134" t="s">
        <v>217</v>
      </c>
      <c r="H116" s="37"/>
      <c r="I116" s="37"/>
      <c r="J116" s="84"/>
      <c r="K116" s="84"/>
    </row>
    <row r="117" spans="1:12" x14ac:dyDescent="0.2">
      <c r="A117" s="84"/>
      <c r="B117" s="73"/>
      <c r="C117" s="6"/>
      <c r="D117" s="6"/>
      <c r="E117" s="84"/>
      <c r="G117" s="77"/>
      <c r="H117" s="79"/>
      <c r="I117" s="37"/>
      <c r="J117" s="84"/>
      <c r="K117" s="84"/>
    </row>
    <row r="118" spans="1:12" x14ac:dyDescent="0.2">
      <c r="A118" s="84"/>
      <c r="G118" s="77"/>
      <c r="H118" s="37"/>
      <c r="I118" s="37"/>
      <c r="J118" s="84"/>
      <c r="K118" s="84"/>
    </row>
    <row r="119" spans="1:12" ht="15.75" x14ac:dyDescent="0.25">
      <c r="A119" s="84"/>
      <c r="B119" s="47" t="s">
        <v>494</v>
      </c>
      <c r="F119" s="205"/>
      <c r="G119" s="221" t="s">
        <v>487</v>
      </c>
      <c r="H119" s="282"/>
      <c r="I119" s="282"/>
      <c r="J119" s="283"/>
      <c r="K119" s="283"/>
      <c r="L119" s="205"/>
    </row>
    <row r="120" spans="1:12" ht="13.5" thickBot="1" x14ac:dyDescent="0.25">
      <c r="A120" s="84"/>
      <c r="C120" s="8" t="s">
        <v>0</v>
      </c>
      <c r="F120" s="205"/>
      <c r="G120" s="203" t="s">
        <v>492</v>
      </c>
      <c r="H120" s="204" t="s">
        <v>0</v>
      </c>
      <c r="I120" s="282"/>
      <c r="J120" s="283"/>
      <c r="K120" s="283"/>
      <c r="L120" s="205"/>
    </row>
    <row r="121" spans="1:12" x14ac:dyDescent="0.2">
      <c r="A121" s="84"/>
      <c r="B121" s="2" t="s">
        <v>35</v>
      </c>
      <c r="C121" s="137">
        <v>100</v>
      </c>
      <c r="D121" s="3" t="s">
        <v>8</v>
      </c>
      <c r="F121" s="205"/>
      <c r="G121" s="206" t="s">
        <v>35</v>
      </c>
      <c r="H121" s="284">
        <v>88.814880000000016</v>
      </c>
      <c r="I121" s="282" t="s">
        <v>8</v>
      </c>
      <c r="J121" s="283"/>
      <c r="K121" s="283"/>
      <c r="L121" s="205"/>
    </row>
    <row r="122" spans="1:12" x14ac:dyDescent="0.2">
      <c r="A122" s="84"/>
      <c r="B122" s="2" t="s">
        <v>161</v>
      </c>
      <c r="C122" s="138">
        <v>1750</v>
      </c>
      <c r="D122" s="3" t="s">
        <v>124</v>
      </c>
      <c r="F122" s="205"/>
      <c r="G122" s="206" t="s">
        <v>161</v>
      </c>
      <c r="H122" s="285">
        <v>1750</v>
      </c>
      <c r="I122" s="282" t="s">
        <v>124</v>
      </c>
      <c r="J122" s="283"/>
      <c r="K122" s="283"/>
      <c r="L122" s="205"/>
    </row>
    <row r="123" spans="1:12" x14ac:dyDescent="0.2">
      <c r="A123" s="84"/>
      <c r="B123" s="2" t="s">
        <v>123</v>
      </c>
      <c r="C123" s="138">
        <v>250</v>
      </c>
      <c r="D123" s="3" t="s">
        <v>1</v>
      </c>
      <c r="F123" s="205"/>
      <c r="G123" s="206" t="s">
        <v>123</v>
      </c>
      <c r="H123" s="285">
        <v>250</v>
      </c>
      <c r="I123" s="282" t="s">
        <v>1</v>
      </c>
      <c r="J123" s="283"/>
      <c r="K123" s="283"/>
      <c r="L123" s="205"/>
    </row>
    <row r="124" spans="1:12" ht="15.75" x14ac:dyDescent="0.3">
      <c r="A124" s="84"/>
      <c r="B124" s="2" t="s">
        <v>129</v>
      </c>
      <c r="C124" s="139">
        <v>0.7</v>
      </c>
      <c r="F124" s="205"/>
      <c r="G124" s="206" t="s">
        <v>129</v>
      </c>
      <c r="H124" s="286">
        <v>0.7</v>
      </c>
      <c r="I124" s="282"/>
      <c r="J124" s="283"/>
      <c r="K124" s="283"/>
      <c r="L124" s="205"/>
    </row>
    <row r="125" spans="1:12" ht="15.75" x14ac:dyDescent="0.3">
      <c r="A125" s="84"/>
      <c r="B125" s="2" t="s">
        <v>130</v>
      </c>
      <c r="C125" s="139">
        <v>0.9</v>
      </c>
      <c r="F125" s="205"/>
      <c r="G125" s="206" t="s">
        <v>130</v>
      </c>
      <c r="H125" s="286">
        <v>0.9</v>
      </c>
      <c r="I125" s="282"/>
      <c r="J125" s="283"/>
      <c r="K125" s="283"/>
      <c r="L125" s="205"/>
    </row>
    <row r="126" spans="1:12" ht="16.5" thickBot="1" x14ac:dyDescent="0.35">
      <c r="A126" s="84"/>
      <c r="B126" s="2" t="s">
        <v>220</v>
      </c>
      <c r="C126" s="140">
        <v>0.89</v>
      </c>
      <c r="F126" s="205"/>
      <c r="G126" s="206" t="s">
        <v>220</v>
      </c>
      <c r="H126" s="287">
        <v>0.89</v>
      </c>
      <c r="I126" s="282"/>
      <c r="J126" s="283"/>
      <c r="K126" s="283"/>
      <c r="L126" s="205"/>
    </row>
    <row r="127" spans="1:12" x14ac:dyDescent="0.2">
      <c r="A127" s="84"/>
      <c r="C127" s="8" t="s">
        <v>3</v>
      </c>
      <c r="F127" s="205"/>
      <c r="G127" s="206"/>
      <c r="H127" s="204" t="s">
        <v>3</v>
      </c>
      <c r="I127" s="282"/>
      <c r="J127" s="283"/>
      <c r="K127" s="283"/>
      <c r="L127" s="205"/>
    </row>
    <row r="128" spans="1:12" x14ac:dyDescent="0.2">
      <c r="A128" s="84"/>
      <c r="B128" s="77" t="s">
        <v>121</v>
      </c>
      <c r="C128" s="79" t="s">
        <v>125</v>
      </c>
      <c r="E128" s="84"/>
      <c r="F128" s="205"/>
      <c r="G128" s="288" t="s">
        <v>121</v>
      </c>
      <c r="H128" s="289" t="s">
        <v>125</v>
      </c>
      <c r="I128" s="282"/>
      <c r="J128" s="283"/>
      <c r="K128" s="283"/>
      <c r="L128" s="205"/>
    </row>
    <row r="129" spans="1:12" ht="13.5" thickBot="1" x14ac:dyDescent="0.25">
      <c r="A129" s="84"/>
      <c r="B129" s="15" t="s">
        <v>4</v>
      </c>
      <c r="C129" s="100">
        <f>C122 * C121^0.5 / C123^0.75</f>
        <v>278.3447550684678</v>
      </c>
      <c r="D129" s="5" t="s">
        <v>126</v>
      </c>
      <c r="E129" s="84"/>
      <c r="F129" s="205"/>
      <c r="G129" s="210" t="s">
        <v>4</v>
      </c>
      <c r="H129" s="290">
        <f>H122 * H121^0.5 / H123^0.75</f>
        <v>262.31668108235363</v>
      </c>
      <c r="I129" s="203" t="s">
        <v>126</v>
      </c>
      <c r="J129" s="283"/>
      <c r="K129" s="283"/>
      <c r="L129" s="205"/>
    </row>
    <row r="130" spans="1:12" ht="13.5" thickBot="1" x14ac:dyDescent="0.25">
      <c r="A130" s="84"/>
      <c r="B130" s="15" t="s">
        <v>134</v>
      </c>
      <c r="C130" s="141" t="s">
        <v>215</v>
      </c>
      <c r="E130" s="84"/>
      <c r="F130" s="205"/>
      <c r="G130" s="210" t="s">
        <v>134</v>
      </c>
      <c r="H130" s="291" t="s">
        <v>215</v>
      </c>
      <c r="I130" s="282"/>
      <c r="J130" s="283"/>
      <c r="K130" s="283"/>
      <c r="L130" s="205"/>
    </row>
    <row r="131" spans="1:12" ht="15" thickBot="1" x14ac:dyDescent="0.3">
      <c r="A131" s="84"/>
      <c r="B131" s="77" t="s">
        <v>216</v>
      </c>
      <c r="C131" s="81" t="s">
        <v>132</v>
      </c>
      <c r="D131" s="37"/>
      <c r="E131" s="84"/>
      <c r="F131" s="205"/>
      <c r="G131" s="288" t="s">
        <v>216</v>
      </c>
      <c r="H131" s="292" t="s">
        <v>132</v>
      </c>
      <c r="I131" s="293"/>
      <c r="J131" s="283"/>
      <c r="K131" s="283"/>
      <c r="L131" s="205"/>
    </row>
    <row r="132" spans="1:12" ht="13.5" thickBot="1" x14ac:dyDescent="0.25">
      <c r="A132" s="84"/>
      <c r="B132" s="77" t="s">
        <v>4</v>
      </c>
      <c r="C132" s="223">
        <f>C121* C123 / (3960 * C124 * C125 * C126)</f>
        <v>11.259374555254704</v>
      </c>
      <c r="D132" s="37" t="s">
        <v>133</v>
      </c>
      <c r="E132" s="84"/>
      <c r="F132" s="205"/>
      <c r="G132" s="288" t="s">
        <v>4</v>
      </c>
      <c r="H132" s="294">
        <f>H121* H123 / (3960 * H124 * H125 * H126)</f>
        <v>10</v>
      </c>
      <c r="I132" s="293" t="s">
        <v>133</v>
      </c>
      <c r="J132" s="283"/>
      <c r="K132" s="283"/>
      <c r="L132" s="205"/>
    </row>
    <row r="133" spans="1:12" ht="14.25" x14ac:dyDescent="0.25">
      <c r="A133" s="84"/>
      <c r="B133" s="77" t="s">
        <v>144</v>
      </c>
      <c r="C133" s="37">
        <v>10</v>
      </c>
      <c r="D133" s="37" t="s">
        <v>133</v>
      </c>
      <c r="E133" s="84"/>
      <c r="F133" s="205"/>
      <c r="G133" s="288" t="s">
        <v>144</v>
      </c>
      <c r="H133" s="293">
        <v>10</v>
      </c>
      <c r="I133" s="293" t="s">
        <v>133</v>
      </c>
      <c r="J133" s="283"/>
      <c r="K133" s="283"/>
      <c r="L133" s="205"/>
    </row>
    <row r="134" spans="1:12" x14ac:dyDescent="0.2">
      <c r="A134" s="84"/>
      <c r="B134" s="77"/>
      <c r="C134" s="82"/>
      <c r="D134" s="37"/>
      <c r="E134" s="84"/>
      <c r="F134" s="205"/>
      <c r="G134" s="288"/>
      <c r="H134" s="295"/>
      <c r="I134" s="293"/>
      <c r="J134" s="283"/>
      <c r="K134" s="283"/>
      <c r="L134" s="205"/>
    </row>
    <row r="135" spans="1:12" ht="15" x14ac:dyDescent="0.25">
      <c r="A135" s="84"/>
      <c r="B135" s="77"/>
      <c r="C135" s="83"/>
      <c r="D135" s="37"/>
      <c r="E135" s="84"/>
      <c r="F135" s="205"/>
      <c r="G135" s="296" t="s">
        <v>495</v>
      </c>
      <c r="H135" s="297"/>
      <c r="I135" s="297"/>
      <c r="J135" s="283"/>
      <c r="K135" s="283"/>
      <c r="L135" s="205"/>
    </row>
    <row r="136" spans="1:12" ht="15" x14ac:dyDescent="0.25">
      <c r="A136" s="84"/>
      <c r="B136" s="77"/>
      <c r="C136" s="37"/>
      <c r="D136" s="6"/>
      <c r="E136" s="84"/>
      <c r="F136" s="298">
        <v>1</v>
      </c>
      <c r="G136" s="296" t="s">
        <v>496</v>
      </c>
      <c r="H136" s="297"/>
      <c r="I136" s="297"/>
      <c r="J136" s="283"/>
      <c r="K136" s="283"/>
      <c r="L136" s="205"/>
    </row>
    <row r="137" spans="1:12" ht="15" x14ac:dyDescent="0.25">
      <c r="A137" s="84"/>
      <c r="B137" s="77"/>
      <c r="C137" s="79"/>
      <c r="D137" s="6"/>
      <c r="E137" s="84"/>
      <c r="F137" s="298">
        <v>2</v>
      </c>
      <c r="G137" s="296" t="s">
        <v>488</v>
      </c>
      <c r="H137" s="297"/>
      <c r="I137" s="297"/>
      <c r="J137" s="283"/>
      <c r="K137" s="283"/>
      <c r="L137" s="205"/>
    </row>
    <row r="138" spans="1:12" ht="15" x14ac:dyDescent="0.25">
      <c r="A138" s="84"/>
      <c r="B138" s="77"/>
      <c r="C138" s="37"/>
      <c r="D138" s="6"/>
      <c r="E138" s="84"/>
      <c r="F138" s="298">
        <v>3</v>
      </c>
      <c r="G138" s="299" t="s">
        <v>489</v>
      </c>
      <c r="H138" s="204"/>
      <c r="I138" s="282"/>
      <c r="J138" s="283"/>
      <c r="K138" s="283"/>
      <c r="L138" s="205"/>
    </row>
    <row r="139" spans="1:12" ht="15" x14ac:dyDescent="0.25">
      <c r="A139" s="84"/>
      <c r="B139" s="77"/>
      <c r="C139" s="80"/>
      <c r="D139" s="37"/>
      <c r="E139" s="84"/>
      <c r="F139" s="298">
        <v>4</v>
      </c>
      <c r="G139" s="299" t="s">
        <v>497</v>
      </c>
      <c r="H139" s="300"/>
      <c r="I139" s="282"/>
      <c r="J139" s="283"/>
      <c r="K139" s="283"/>
      <c r="L139" s="205"/>
    </row>
    <row r="140" spans="1:12" ht="15" x14ac:dyDescent="0.25">
      <c r="A140" s="84"/>
      <c r="B140" s="77"/>
      <c r="C140" s="37"/>
      <c r="D140" s="37"/>
      <c r="E140" s="84"/>
      <c r="F140" s="301">
        <v>5</v>
      </c>
      <c r="G140" s="240" t="s">
        <v>490</v>
      </c>
      <c r="H140" s="300"/>
      <c r="I140" s="282"/>
      <c r="J140" s="283"/>
      <c r="K140" s="283"/>
      <c r="L140" s="205"/>
    </row>
    <row r="141" spans="1:12" ht="15" x14ac:dyDescent="0.25">
      <c r="A141" s="84"/>
      <c r="B141" s="77"/>
      <c r="C141" s="85"/>
      <c r="D141" s="37"/>
      <c r="E141" s="84"/>
      <c r="F141" s="301">
        <v>6</v>
      </c>
      <c r="G141" s="299" t="s">
        <v>491</v>
      </c>
      <c r="H141" s="300"/>
      <c r="I141" s="282"/>
      <c r="J141" s="283"/>
      <c r="K141" s="283"/>
      <c r="L141" s="205"/>
    </row>
    <row r="142" spans="1:12" x14ac:dyDescent="0.2">
      <c r="A142" s="84"/>
      <c r="B142" s="77"/>
      <c r="C142" s="37"/>
      <c r="D142" s="37"/>
      <c r="E142" s="84"/>
      <c r="F142" s="298"/>
      <c r="G142" s="282"/>
      <c r="H142" s="204"/>
      <c r="I142" s="282"/>
      <c r="J142" s="283"/>
      <c r="K142" s="283"/>
      <c r="L142" s="205"/>
    </row>
    <row r="143" spans="1:12" x14ac:dyDescent="0.2">
      <c r="A143" s="84"/>
      <c r="B143" s="77"/>
      <c r="C143" s="80"/>
      <c r="D143" s="37"/>
      <c r="E143" s="84"/>
      <c r="F143" s="298"/>
      <c r="G143" s="282"/>
      <c r="H143" s="302"/>
      <c r="I143" s="297"/>
      <c r="J143" s="283"/>
      <c r="K143" s="283"/>
      <c r="L143" s="205"/>
    </row>
    <row r="144" spans="1:12" x14ac:dyDescent="0.2">
      <c r="A144" s="84"/>
      <c r="B144" s="73"/>
      <c r="C144" s="6"/>
      <c r="D144" s="6"/>
      <c r="E144" s="84"/>
      <c r="G144" s="6"/>
      <c r="H144" s="6"/>
      <c r="I144" s="6"/>
      <c r="J144" s="84"/>
      <c r="K144" s="84"/>
    </row>
    <row r="145" spans="1:11" x14ac:dyDescent="0.2">
      <c r="A145" s="84"/>
      <c r="B145" s="73"/>
      <c r="C145" s="6"/>
      <c r="D145" s="6"/>
      <c r="E145" s="84"/>
      <c r="G145" s="6"/>
      <c r="H145" s="71"/>
      <c r="I145" s="6"/>
      <c r="J145" s="84"/>
      <c r="K145" s="84"/>
    </row>
    <row r="146" spans="1:11" x14ac:dyDescent="0.2">
      <c r="A146" s="84"/>
      <c r="B146" s="73"/>
      <c r="C146" s="6"/>
      <c r="D146" s="6"/>
      <c r="E146" s="84"/>
      <c r="G146" s="77"/>
      <c r="H146" s="37"/>
      <c r="I146" s="37"/>
      <c r="J146" s="84"/>
      <c r="K146" s="84"/>
    </row>
    <row r="147" spans="1:11" x14ac:dyDescent="0.2">
      <c r="A147" s="84"/>
      <c r="B147" s="73"/>
      <c r="C147" s="6"/>
      <c r="D147" s="6"/>
      <c r="E147" s="84"/>
      <c r="G147" s="77"/>
      <c r="H147" s="78"/>
      <c r="I147" s="37"/>
      <c r="J147" s="84"/>
      <c r="K147" s="84"/>
    </row>
    <row r="148" spans="1:11" x14ac:dyDescent="0.2">
      <c r="A148" s="84"/>
      <c r="B148" s="73"/>
      <c r="C148" s="6"/>
      <c r="D148" s="6"/>
      <c r="E148" s="84"/>
      <c r="G148" s="77"/>
      <c r="H148" s="79"/>
      <c r="I148" s="37"/>
      <c r="J148" s="84"/>
      <c r="K148" s="84"/>
    </row>
    <row r="149" spans="1:11" x14ac:dyDescent="0.2">
      <c r="A149" s="84"/>
      <c r="B149" s="73"/>
      <c r="C149" s="6"/>
      <c r="D149" s="6"/>
      <c r="E149" s="84"/>
      <c r="G149" s="77"/>
      <c r="H149" s="79"/>
      <c r="I149" s="6"/>
      <c r="J149" s="84"/>
      <c r="K149" s="84"/>
    </row>
    <row r="150" spans="1:11" x14ac:dyDescent="0.2">
      <c r="A150" s="84"/>
      <c r="B150" s="73"/>
      <c r="C150" s="6"/>
      <c r="D150" s="6"/>
      <c r="E150" s="84"/>
      <c r="G150" s="77"/>
      <c r="H150" s="78"/>
      <c r="I150" s="37"/>
      <c r="J150" s="84"/>
      <c r="K150" s="84"/>
    </row>
    <row r="151" spans="1:11" x14ac:dyDescent="0.2">
      <c r="A151" s="84"/>
      <c r="B151" s="73"/>
      <c r="C151" s="6"/>
      <c r="D151" s="6"/>
      <c r="E151" s="84"/>
      <c r="G151" s="77"/>
      <c r="H151" s="79"/>
      <c r="I151" s="37"/>
      <c r="J151" s="84"/>
      <c r="K151" s="84"/>
    </row>
    <row r="152" spans="1:11" ht="15.75" x14ac:dyDescent="0.25">
      <c r="A152" s="84"/>
      <c r="B152" s="75"/>
      <c r="C152" s="6"/>
      <c r="D152" s="6"/>
      <c r="E152" s="84"/>
      <c r="G152" s="77"/>
      <c r="H152" s="37"/>
      <c r="I152" s="37"/>
      <c r="J152" s="84"/>
      <c r="K152" s="84"/>
    </row>
    <row r="153" spans="1:11" x14ac:dyDescent="0.2">
      <c r="A153" s="84"/>
      <c r="B153" s="73"/>
      <c r="C153" s="76"/>
      <c r="D153" s="6"/>
      <c r="E153" s="84"/>
      <c r="G153" s="77"/>
      <c r="H153" s="80"/>
      <c r="I153" s="37"/>
      <c r="J153" s="84"/>
      <c r="K153" s="84"/>
    </row>
    <row r="154" spans="1:11" x14ac:dyDescent="0.2">
      <c r="A154" s="84"/>
      <c r="E154" s="84"/>
      <c r="G154" s="77"/>
      <c r="H154" s="37"/>
      <c r="I154" s="37"/>
      <c r="J154" s="84"/>
      <c r="K154" s="84"/>
    </row>
    <row r="155" spans="1:11" x14ac:dyDescent="0.2">
      <c r="A155" s="84"/>
      <c r="E155" s="84"/>
      <c r="G155" s="77"/>
      <c r="H155" s="80"/>
      <c r="I155" s="37"/>
      <c r="J155" s="84"/>
      <c r="K155" s="84"/>
    </row>
    <row r="156" spans="1:11" x14ac:dyDescent="0.2">
      <c r="A156" s="84"/>
      <c r="E156" s="84"/>
      <c r="G156" s="77"/>
      <c r="H156" s="37"/>
      <c r="I156" s="37"/>
      <c r="J156" s="84"/>
      <c r="K156" s="84"/>
    </row>
    <row r="157" spans="1:11" x14ac:dyDescent="0.2">
      <c r="A157" s="84"/>
      <c r="E157" s="84"/>
      <c r="G157" s="77"/>
      <c r="H157" s="79"/>
      <c r="I157" s="37"/>
      <c r="J157" s="84"/>
      <c r="K157" s="84"/>
    </row>
    <row r="158" spans="1:11" x14ac:dyDescent="0.2">
      <c r="A158" s="84"/>
      <c r="E158" s="84"/>
      <c r="G158" s="77"/>
      <c r="H158" s="37"/>
      <c r="I158" s="37"/>
      <c r="J158" s="84"/>
      <c r="K158" s="84"/>
    </row>
    <row r="159" spans="1:11" x14ac:dyDescent="0.2">
      <c r="A159" s="84"/>
      <c r="E159" s="84"/>
      <c r="G159" s="77"/>
      <c r="H159" s="82"/>
      <c r="I159" s="37"/>
      <c r="J159" s="84"/>
      <c r="K159" s="84"/>
    </row>
    <row r="160" spans="1:11" x14ac:dyDescent="0.2">
      <c r="A160" s="84"/>
      <c r="E160" s="84"/>
      <c r="G160" s="77"/>
      <c r="H160" s="83"/>
      <c r="I160" s="37"/>
      <c r="J160" s="84"/>
      <c r="K160" s="84"/>
    </row>
    <row r="161" spans="1:11" x14ac:dyDescent="0.2">
      <c r="A161" s="84"/>
      <c r="E161" s="84"/>
      <c r="G161" s="77"/>
      <c r="H161" s="37"/>
      <c r="I161" s="6"/>
      <c r="J161" s="84"/>
      <c r="K161" s="84"/>
    </row>
    <row r="162" spans="1:11" x14ac:dyDescent="0.2">
      <c r="A162" s="84"/>
      <c r="B162" s="77"/>
      <c r="C162" s="78"/>
      <c r="D162" s="37"/>
      <c r="E162" s="84"/>
      <c r="G162" s="77"/>
      <c r="H162" s="79"/>
      <c r="I162" s="6"/>
      <c r="J162" s="84"/>
      <c r="K162" s="84"/>
    </row>
    <row r="163" spans="1:11" x14ac:dyDescent="0.2">
      <c r="A163" s="84"/>
      <c r="B163" s="77"/>
      <c r="C163" s="79"/>
      <c r="D163" s="37"/>
      <c r="E163" s="84"/>
      <c r="G163" s="73"/>
      <c r="H163" s="6"/>
      <c r="I163" s="6"/>
      <c r="J163" s="84"/>
      <c r="K163" s="84"/>
    </row>
    <row r="164" spans="1:11" x14ac:dyDescent="0.2">
      <c r="A164" s="84"/>
      <c r="B164" s="77"/>
      <c r="C164" s="79"/>
      <c r="D164" s="6"/>
      <c r="E164" s="84"/>
      <c r="G164" s="84"/>
      <c r="H164" s="6"/>
      <c r="I164" s="6"/>
      <c r="J164" s="84"/>
      <c r="K164" s="84"/>
    </row>
    <row r="165" spans="1:11" ht="15.75" x14ac:dyDescent="0.25">
      <c r="A165" s="84"/>
      <c r="E165" s="84"/>
      <c r="G165" s="75"/>
      <c r="H165" s="84"/>
      <c r="I165" s="84"/>
      <c r="J165" s="84"/>
      <c r="K165" s="84"/>
    </row>
    <row r="166" spans="1:11" x14ac:dyDescent="0.2">
      <c r="A166" s="84"/>
      <c r="E166" s="84"/>
      <c r="G166" s="84"/>
      <c r="H166" s="84"/>
      <c r="I166" s="84"/>
      <c r="J166" s="84"/>
      <c r="K166" s="84"/>
    </row>
    <row r="167" spans="1:11" x14ac:dyDescent="0.2">
      <c r="A167" s="84"/>
      <c r="E167" s="84"/>
      <c r="G167" s="84"/>
      <c r="H167" s="84"/>
      <c r="I167" s="84"/>
      <c r="J167" s="84"/>
      <c r="K167" s="84"/>
    </row>
    <row r="168" spans="1:11" x14ac:dyDescent="0.2">
      <c r="A168" s="84"/>
      <c r="E168" s="84"/>
      <c r="G168" s="84"/>
      <c r="H168" s="84"/>
      <c r="I168" s="84"/>
      <c r="J168" s="84"/>
      <c r="K168" s="84"/>
    </row>
    <row r="169" spans="1:11" x14ac:dyDescent="0.2">
      <c r="A169" s="84"/>
      <c r="E169" s="84"/>
      <c r="G169" s="84"/>
      <c r="H169" s="84"/>
      <c r="I169" s="84"/>
      <c r="J169" s="84"/>
      <c r="K169" s="84"/>
    </row>
    <row r="170" spans="1:11" x14ac:dyDescent="0.2">
      <c r="A170" s="84"/>
      <c r="E170" s="84"/>
      <c r="G170" s="84"/>
      <c r="H170" s="84"/>
      <c r="I170" s="84"/>
      <c r="J170" s="84"/>
      <c r="K170" s="84"/>
    </row>
    <row r="171" spans="1:11" x14ac:dyDescent="0.2">
      <c r="A171" s="84"/>
      <c r="E171" s="84"/>
      <c r="G171" s="84"/>
      <c r="H171" s="84"/>
      <c r="I171" s="84"/>
      <c r="J171" s="84"/>
      <c r="K171" s="84"/>
    </row>
    <row r="172" spans="1:11" x14ac:dyDescent="0.2">
      <c r="A172" s="84"/>
      <c r="E172" s="84"/>
      <c r="G172" s="84"/>
      <c r="H172" s="84"/>
      <c r="I172" s="84"/>
      <c r="J172" s="84"/>
      <c r="K172" s="84"/>
    </row>
    <row r="173" spans="1:11" x14ac:dyDescent="0.2">
      <c r="A173" s="84"/>
      <c r="E173" s="84"/>
      <c r="G173" s="84"/>
      <c r="H173" s="84"/>
      <c r="I173" s="84"/>
      <c r="J173" s="84"/>
      <c r="K173" s="84"/>
    </row>
    <row r="174" spans="1:11" x14ac:dyDescent="0.2">
      <c r="A174" s="84"/>
      <c r="B174" s="77"/>
      <c r="C174" s="82"/>
      <c r="D174" s="37"/>
      <c r="E174" s="84"/>
      <c r="G174" s="77"/>
      <c r="H174" s="79"/>
      <c r="I174" s="6"/>
      <c r="J174" s="84"/>
      <c r="K174" s="84"/>
    </row>
    <row r="175" spans="1:11" x14ac:dyDescent="0.2">
      <c r="A175" s="84"/>
      <c r="B175" s="77"/>
      <c r="C175" s="83"/>
      <c r="D175" s="37"/>
      <c r="E175" s="84"/>
      <c r="G175" s="77"/>
      <c r="H175" s="37"/>
      <c r="I175" s="6"/>
      <c r="J175" s="84"/>
      <c r="K175" s="84"/>
    </row>
    <row r="176" spans="1:11" x14ac:dyDescent="0.2">
      <c r="A176" s="84"/>
      <c r="B176" s="77"/>
      <c r="C176" s="37"/>
      <c r="D176" s="6"/>
      <c r="E176" s="84"/>
      <c r="G176" s="77"/>
      <c r="H176" s="37"/>
      <c r="I176" s="6"/>
      <c r="J176" s="84"/>
      <c r="K176" s="84"/>
    </row>
    <row r="177" spans="1:11" x14ac:dyDescent="0.2">
      <c r="A177" s="84"/>
      <c r="B177" s="77"/>
      <c r="C177" s="79"/>
      <c r="D177" s="6"/>
      <c r="E177" s="84"/>
      <c r="G177" s="77"/>
      <c r="H177" s="80"/>
      <c r="I177" s="6"/>
      <c r="J177" s="84"/>
      <c r="K177" s="84"/>
    </row>
    <row r="178" spans="1:11" x14ac:dyDescent="0.2">
      <c r="A178" s="84"/>
      <c r="B178" s="77"/>
      <c r="C178" s="6"/>
      <c r="D178" s="6"/>
      <c r="E178" s="84"/>
      <c r="G178" s="77"/>
      <c r="H178" s="6"/>
      <c r="I178" s="6"/>
      <c r="J178" s="84"/>
      <c r="K178" s="84"/>
    </row>
    <row r="179" spans="1:11" x14ac:dyDescent="0.2">
      <c r="A179" s="84"/>
      <c r="B179" s="73"/>
      <c r="C179" s="6"/>
      <c r="D179" s="6"/>
      <c r="E179" s="84"/>
      <c r="G179" s="73"/>
      <c r="H179" s="6"/>
      <c r="I179" s="6"/>
      <c r="J179" s="84"/>
      <c r="K179" s="84"/>
    </row>
    <row r="180" spans="1:11" ht="15.75" x14ac:dyDescent="0.25">
      <c r="A180" s="84"/>
      <c r="B180" s="75"/>
      <c r="C180" s="76"/>
      <c r="D180" s="6"/>
      <c r="E180" s="84"/>
      <c r="G180" s="75"/>
      <c r="H180" s="76"/>
      <c r="I180" s="6"/>
      <c r="J180" s="84"/>
      <c r="K180" s="84"/>
    </row>
    <row r="181" spans="1:11" x14ac:dyDescent="0.2">
      <c r="A181" s="84"/>
      <c r="B181" s="77"/>
      <c r="C181" s="37"/>
      <c r="D181" s="6"/>
      <c r="E181" s="84"/>
      <c r="G181" s="77"/>
      <c r="H181" s="37"/>
      <c r="I181" s="6"/>
      <c r="J181" s="84"/>
      <c r="K181" s="84"/>
    </row>
    <row r="182" spans="1:11" x14ac:dyDescent="0.2">
      <c r="A182" s="84"/>
      <c r="B182" s="73"/>
      <c r="C182" s="76"/>
      <c r="D182" s="6"/>
      <c r="E182" s="84"/>
      <c r="G182" s="73"/>
      <c r="H182" s="76"/>
      <c r="I182" s="6"/>
      <c r="J182" s="84"/>
      <c r="K182" s="84"/>
    </row>
    <row r="183" spans="1:11" x14ac:dyDescent="0.2">
      <c r="A183" s="84"/>
      <c r="B183" s="77"/>
      <c r="C183" s="37"/>
      <c r="D183" s="6"/>
      <c r="E183" s="84"/>
      <c r="G183" s="77"/>
      <c r="H183" s="37"/>
      <c r="I183" s="6"/>
      <c r="J183" s="84"/>
      <c r="K183" s="84"/>
    </row>
    <row r="184" spans="1:11" x14ac:dyDescent="0.2">
      <c r="A184" s="84"/>
      <c r="B184" s="77"/>
      <c r="C184" s="80"/>
      <c r="D184" s="37"/>
      <c r="E184" s="84"/>
      <c r="G184" s="77"/>
      <c r="H184" s="80"/>
      <c r="I184" s="37"/>
      <c r="J184" s="84"/>
      <c r="K184" s="84"/>
    </row>
    <row r="185" spans="1:11" x14ac:dyDescent="0.2">
      <c r="A185" s="84"/>
      <c r="B185" s="77"/>
      <c r="C185" s="37"/>
      <c r="D185" s="37"/>
      <c r="E185" s="84"/>
      <c r="G185" s="77"/>
      <c r="H185" s="37"/>
      <c r="I185" s="37"/>
      <c r="J185" s="84"/>
      <c r="K185" s="84"/>
    </row>
    <row r="186" spans="1:11" x14ac:dyDescent="0.2">
      <c r="A186" s="84"/>
      <c r="B186" s="77"/>
      <c r="C186" s="85"/>
      <c r="D186" s="37"/>
      <c r="E186" s="84"/>
      <c r="G186" s="77"/>
      <c r="H186" s="85"/>
      <c r="I186" s="37"/>
      <c r="J186" s="84"/>
      <c r="K186" s="84"/>
    </row>
    <row r="187" spans="1:11" x14ac:dyDescent="0.2">
      <c r="A187" s="84"/>
      <c r="B187" s="77"/>
      <c r="C187" s="37"/>
      <c r="D187" s="37"/>
      <c r="E187" s="84"/>
      <c r="G187" s="77"/>
      <c r="H187" s="37"/>
      <c r="I187" s="37"/>
      <c r="J187" s="84"/>
      <c r="K187" s="84"/>
    </row>
    <row r="188" spans="1:11" x14ac:dyDescent="0.2">
      <c r="A188" s="84"/>
      <c r="B188" s="77"/>
      <c r="C188" s="80"/>
      <c r="D188" s="37"/>
      <c r="E188" s="84"/>
      <c r="G188" s="77"/>
      <c r="H188" s="80"/>
      <c r="I188" s="37"/>
      <c r="J188" s="84"/>
      <c r="K188" s="84"/>
    </row>
    <row r="189" spans="1:11" x14ac:dyDescent="0.2">
      <c r="A189" s="84"/>
      <c r="B189" s="73"/>
      <c r="C189" s="6"/>
      <c r="D189" s="6"/>
      <c r="E189" s="84"/>
      <c r="G189" s="84"/>
      <c r="H189" s="84"/>
      <c r="I189" s="84"/>
    </row>
    <row r="190" spans="1:11" x14ac:dyDescent="0.2">
      <c r="A190" s="84"/>
      <c r="B190" s="73"/>
      <c r="C190" s="6"/>
      <c r="D190" s="6"/>
      <c r="E190" s="84"/>
      <c r="G190" s="84"/>
      <c r="H190" s="84"/>
      <c r="I190" s="84"/>
    </row>
    <row r="191" spans="1:11" ht="15.75" x14ac:dyDescent="0.25">
      <c r="A191" s="84"/>
      <c r="B191" s="75"/>
      <c r="C191" s="6"/>
      <c r="D191" s="6"/>
      <c r="E191" s="84"/>
    </row>
    <row r="192" spans="1:11" x14ac:dyDescent="0.2">
      <c r="A192" s="84"/>
      <c r="B192" s="73"/>
      <c r="C192" s="76"/>
      <c r="D192" s="6"/>
      <c r="E192" s="84"/>
    </row>
    <row r="193" spans="1:5" x14ac:dyDescent="0.2">
      <c r="A193" s="84"/>
      <c r="B193" s="73"/>
      <c r="C193" s="71"/>
      <c r="D193" s="6"/>
      <c r="E193" s="84"/>
    </row>
    <row r="194" spans="1:5" x14ac:dyDescent="0.2">
      <c r="A194" s="84"/>
      <c r="B194" s="73"/>
      <c r="C194" s="72"/>
      <c r="D194" s="6"/>
      <c r="E194" s="84"/>
    </row>
    <row r="195" spans="1:5" x14ac:dyDescent="0.2">
      <c r="A195" s="84"/>
      <c r="B195" s="73"/>
      <c r="C195" s="94"/>
      <c r="D195" s="6"/>
      <c r="E195" s="84"/>
    </row>
    <row r="196" spans="1:5" x14ac:dyDescent="0.2">
      <c r="A196" s="84"/>
      <c r="B196" s="73"/>
      <c r="C196" s="6"/>
      <c r="D196" s="6"/>
      <c r="E196" s="84"/>
    </row>
    <row r="197" spans="1:5" x14ac:dyDescent="0.2">
      <c r="A197" s="84"/>
      <c r="B197" s="73"/>
      <c r="C197" s="95"/>
      <c r="D197" s="6"/>
      <c r="E197" s="84"/>
    </row>
    <row r="198" spans="1:5" x14ac:dyDescent="0.2">
      <c r="A198" s="84"/>
      <c r="B198" s="73"/>
      <c r="C198" s="96"/>
      <c r="D198" s="6"/>
      <c r="E198" s="84"/>
    </row>
    <row r="199" spans="1:5" x14ac:dyDescent="0.2">
      <c r="A199" s="84"/>
      <c r="B199" s="77"/>
      <c r="C199" s="78"/>
      <c r="D199" s="37"/>
      <c r="E199" s="84"/>
    </row>
    <row r="200" spans="1:5" x14ac:dyDescent="0.2">
      <c r="A200" s="84"/>
      <c r="B200" s="77"/>
      <c r="C200" s="79"/>
      <c r="D200" s="37"/>
      <c r="E200" s="84"/>
    </row>
    <row r="201" spans="1:5" x14ac:dyDescent="0.2">
      <c r="A201" s="84"/>
      <c r="B201" s="77"/>
      <c r="C201" s="79"/>
      <c r="D201" s="6"/>
      <c r="E201" s="84"/>
    </row>
    <row r="202" spans="1:5" x14ac:dyDescent="0.2">
      <c r="A202" s="84"/>
      <c r="B202" s="77"/>
      <c r="C202" s="78"/>
      <c r="D202" s="37"/>
      <c r="E202" s="84"/>
    </row>
    <row r="203" spans="1:5" x14ac:dyDescent="0.2">
      <c r="A203" s="84"/>
      <c r="B203" s="77"/>
      <c r="C203" s="79"/>
      <c r="D203" s="37"/>
      <c r="E203" s="84"/>
    </row>
    <row r="204" spans="1:5" x14ac:dyDescent="0.2">
      <c r="A204" s="84"/>
      <c r="B204" s="77"/>
      <c r="C204" s="37"/>
      <c r="D204" s="37"/>
      <c r="E204" s="84"/>
    </row>
    <row r="205" spans="1:5" x14ac:dyDescent="0.2">
      <c r="A205" s="84"/>
      <c r="B205" s="77"/>
      <c r="C205" s="80"/>
      <c r="D205" s="37"/>
      <c r="E205" s="84"/>
    </row>
    <row r="206" spans="1:5" x14ac:dyDescent="0.2">
      <c r="A206" s="84"/>
      <c r="B206" s="77"/>
      <c r="C206" s="37"/>
      <c r="D206" s="37"/>
      <c r="E206" s="84"/>
    </row>
    <row r="207" spans="1:5" x14ac:dyDescent="0.2">
      <c r="A207" s="84"/>
      <c r="B207" s="77"/>
      <c r="C207" s="80"/>
      <c r="D207" s="37"/>
      <c r="E207" s="84"/>
    </row>
    <row r="208" spans="1:5" x14ac:dyDescent="0.2">
      <c r="A208" s="84"/>
      <c r="B208" s="37" t="s">
        <v>241</v>
      </c>
      <c r="C208" s="37"/>
      <c r="D208" s="37"/>
      <c r="E208" s="84"/>
    </row>
    <row r="209" spans="1:5" x14ac:dyDescent="0.2">
      <c r="A209" s="84"/>
      <c r="B209" s="77"/>
      <c r="C209" s="79"/>
      <c r="D209" s="37"/>
      <c r="E209" s="84"/>
    </row>
    <row r="210" spans="1:5" x14ac:dyDescent="0.2">
      <c r="A210" s="84"/>
      <c r="B210" s="77"/>
      <c r="C210" s="37"/>
      <c r="D210" s="37"/>
      <c r="E210" s="84"/>
    </row>
    <row r="211" spans="1:5" x14ac:dyDescent="0.2">
      <c r="A211" s="84"/>
      <c r="B211" s="77"/>
      <c r="C211" s="82"/>
      <c r="D211" s="37"/>
      <c r="E211" s="84"/>
    </row>
    <row r="212" spans="1:5" x14ac:dyDescent="0.2">
      <c r="A212" s="84"/>
      <c r="B212" s="77"/>
      <c r="C212" s="83"/>
      <c r="D212" s="37"/>
      <c r="E212" s="84"/>
    </row>
    <row r="213" spans="1:5" x14ac:dyDescent="0.2">
      <c r="A213" s="84"/>
      <c r="B213" s="77"/>
      <c r="C213" s="37"/>
      <c r="D213" s="6"/>
      <c r="E213" s="84"/>
    </row>
    <row r="214" spans="1:5" x14ac:dyDescent="0.2">
      <c r="A214" s="84"/>
      <c r="B214" s="77"/>
      <c r="C214" s="79"/>
      <c r="D214" s="6"/>
      <c r="E214" s="84"/>
    </row>
    <row r="215" spans="1:5" x14ac:dyDescent="0.2">
      <c r="A215" s="84"/>
      <c r="B215" s="77"/>
      <c r="C215" s="37"/>
      <c r="D215" s="6"/>
      <c r="E215" s="84"/>
    </row>
    <row r="216" spans="1:5" x14ac:dyDescent="0.2">
      <c r="A216" s="84"/>
      <c r="B216" s="77"/>
      <c r="C216" s="80"/>
      <c r="D216" s="37"/>
      <c r="E216" s="84"/>
    </row>
    <row r="217" spans="1:5" x14ac:dyDescent="0.2">
      <c r="A217" s="84"/>
      <c r="B217" s="77"/>
      <c r="C217" s="37"/>
      <c r="D217" s="37"/>
      <c r="E217" s="84"/>
    </row>
    <row r="218" spans="1:5" x14ac:dyDescent="0.2">
      <c r="A218" s="84"/>
      <c r="B218" s="77"/>
      <c r="C218" s="81"/>
      <c r="D218" s="37"/>
      <c r="E218" s="84"/>
    </row>
    <row r="219" spans="1:5" x14ac:dyDescent="0.2">
      <c r="A219" s="84"/>
      <c r="B219" s="77"/>
      <c r="C219" s="37"/>
      <c r="D219" s="37"/>
      <c r="E219" s="84"/>
    </row>
    <row r="220" spans="1:5" x14ac:dyDescent="0.2">
      <c r="A220" s="84"/>
      <c r="B220" s="77"/>
      <c r="C220" s="80"/>
      <c r="D220" s="37"/>
      <c r="E220" s="84"/>
    </row>
    <row r="221" spans="1:5" x14ac:dyDescent="0.2">
      <c r="A221" s="84"/>
      <c r="B221" s="73"/>
      <c r="C221" s="6"/>
      <c r="D221" s="6"/>
      <c r="E221" s="84"/>
    </row>
    <row r="222" spans="1:5" x14ac:dyDescent="0.2">
      <c r="A222" s="84"/>
      <c r="B222" s="73"/>
      <c r="C222" s="6"/>
      <c r="D222" s="6"/>
      <c r="E222" s="84"/>
    </row>
    <row r="223" spans="1:5" ht="15.75" x14ac:dyDescent="0.25">
      <c r="A223" s="84"/>
      <c r="B223" s="75"/>
      <c r="C223" s="6"/>
      <c r="D223" s="6"/>
      <c r="E223" s="84"/>
    </row>
    <row r="224" spans="1:5" x14ac:dyDescent="0.2">
      <c r="A224" s="84"/>
      <c r="B224" s="37"/>
      <c r="C224" s="6"/>
      <c r="D224" s="6"/>
      <c r="E224" s="84"/>
    </row>
    <row r="225" spans="1:5" x14ac:dyDescent="0.2">
      <c r="A225" s="84"/>
      <c r="B225" s="73"/>
      <c r="C225" s="6"/>
      <c r="D225" s="6"/>
      <c r="E225" s="76"/>
    </row>
    <row r="226" spans="1:5" ht="15.75" x14ac:dyDescent="0.25">
      <c r="A226" s="84"/>
      <c r="B226" s="73"/>
      <c r="C226" s="75"/>
      <c r="D226" s="75"/>
      <c r="E226" s="69"/>
    </row>
    <row r="227" spans="1:5" x14ac:dyDescent="0.2">
      <c r="A227" s="84"/>
      <c r="B227" s="73"/>
      <c r="C227" s="6"/>
      <c r="D227" s="90"/>
      <c r="E227" s="88"/>
    </row>
    <row r="228" spans="1:5" x14ac:dyDescent="0.2">
      <c r="A228" s="84"/>
      <c r="B228" s="73"/>
      <c r="C228" s="6"/>
      <c r="D228" s="90"/>
      <c r="E228" s="88"/>
    </row>
    <row r="229" spans="1:5" x14ac:dyDescent="0.2">
      <c r="A229" s="84"/>
      <c r="B229" s="73"/>
      <c r="C229" s="6"/>
      <c r="D229" s="90"/>
      <c r="E229" s="88"/>
    </row>
    <row r="230" spans="1:5" x14ac:dyDescent="0.2">
      <c r="A230" s="84"/>
      <c r="B230" s="73"/>
      <c r="C230" s="6"/>
      <c r="D230" s="90"/>
      <c r="E230" s="88"/>
    </row>
    <row r="231" spans="1:5" x14ac:dyDescent="0.2">
      <c r="A231" s="84"/>
      <c r="B231" s="73"/>
      <c r="C231" s="6"/>
      <c r="D231" s="90"/>
      <c r="E231" s="88"/>
    </row>
    <row r="232" spans="1:5" x14ac:dyDescent="0.2">
      <c r="A232" s="84"/>
      <c r="B232" s="73"/>
      <c r="C232" s="6"/>
      <c r="D232" s="90"/>
      <c r="E232" s="88"/>
    </row>
    <row r="233" spans="1:5" x14ac:dyDescent="0.2">
      <c r="A233" s="84"/>
      <c r="B233" s="73"/>
      <c r="C233" s="6"/>
      <c r="D233" s="90"/>
      <c r="E233" s="88"/>
    </row>
    <row r="234" spans="1:5" x14ac:dyDescent="0.2">
      <c r="A234" s="84"/>
      <c r="B234" s="73"/>
      <c r="C234" s="6"/>
      <c r="D234" s="90"/>
      <c r="E234" s="88"/>
    </row>
    <row r="235" spans="1:5" x14ac:dyDescent="0.2">
      <c r="A235" s="84"/>
      <c r="B235" s="73"/>
      <c r="C235" s="6"/>
      <c r="D235" s="90"/>
      <c r="E235" s="88"/>
    </row>
    <row r="236" spans="1:5" x14ac:dyDescent="0.2">
      <c r="A236" s="84"/>
      <c r="B236" s="73"/>
      <c r="C236" s="6"/>
      <c r="D236" s="90"/>
      <c r="E236" s="88"/>
    </row>
    <row r="237" spans="1:5" x14ac:dyDescent="0.2">
      <c r="A237" s="84"/>
      <c r="B237" s="73"/>
      <c r="C237" s="6"/>
      <c r="D237" s="90"/>
      <c r="E237" s="88"/>
    </row>
    <row r="238" spans="1:5" x14ac:dyDescent="0.2">
      <c r="A238" s="84"/>
      <c r="B238" s="73"/>
      <c r="C238" s="6"/>
      <c r="D238" s="90"/>
      <c r="E238" s="88"/>
    </row>
    <row r="239" spans="1:5" x14ac:dyDescent="0.2">
      <c r="A239" s="84"/>
      <c r="B239" s="73"/>
      <c r="C239" s="6"/>
      <c r="D239" s="93"/>
      <c r="E239" s="88"/>
    </row>
    <row r="240" spans="1:5" x14ac:dyDescent="0.2">
      <c r="A240" s="84"/>
      <c r="B240" s="73"/>
      <c r="C240" s="6"/>
      <c r="D240" s="90"/>
      <c r="E240" s="88"/>
    </row>
    <row r="241" spans="1:5" x14ac:dyDescent="0.2">
      <c r="A241" s="84"/>
      <c r="B241" s="73"/>
      <c r="C241" s="6"/>
      <c r="D241" s="90"/>
      <c r="E241" s="88"/>
    </row>
    <row r="242" spans="1:5" x14ac:dyDescent="0.2">
      <c r="A242" s="84"/>
      <c r="B242" s="73"/>
      <c r="C242" s="6"/>
      <c r="D242" s="90"/>
      <c r="E242" s="88"/>
    </row>
    <row r="243" spans="1:5" x14ac:dyDescent="0.2">
      <c r="A243" s="84"/>
      <c r="B243" s="73"/>
      <c r="C243" s="6"/>
      <c r="D243" s="90"/>
      <c r="E243" s="88"/>
    </row>
    <row r="244" spans="1:5" x14ac:dyDescent="0.2">
      <c r="A244" s="84"/>
      <c r="B244" s="73"/>
      <c r="C244" s="6"/>
      <c r="D244" s="90"/>
      <c r="E244" s="88"/>
    </row>
    <row r="245" spans="1:5" x14ac:dyDescent="0.2">
      <c r="A245" s="84"/>
      <c r="B245" s="73"/>
      <c r="C245" s="6"/>
      <c r="D245" s="90"/>
      <c r="E245" s="88"/>
    </row>
    <row r="246" spans="1:5" x14ac:dyDescent="0.2">
      <c r="A246" s="84"/>
      <c r="B246" s="73"/>
      <c r="C246" s="6"/>
      <c r="D246" s="90"/>
      <c r="E246" s="88"/>
    </row>
    <row r="247" spans="1:5" x14ac:dyDescent="0.2">
      <c r="A247" s="84"/>
      <c r="B247" s="73"/>
      <c r="C247" s="6"/>
      <c r="D247" s="93"/>
      <c r="E247" s="88"/>
    </row>
    <row r="248" spans="1:5" x14ac:dyDescent="0.2">
      <c r="A248" s="84"/>
      <c r="B248" s="73"/>
      <c r="C248" s="6"/>
      <c r="D248" s="90"/>
      <c r="E248" s="88"/>
    </row>
    <row r="249" spans="1:5" x14ac:dyDescent="0.2">
      <c r="A249" s="84"/>
      <c r="B249" s="73"/>
      <c r="C249" s="6"/>
      <c r="D249" s="93"/>
      <c r="E249" s="88"/>
    </row>
    <row r="250" spans="1:5" x14ac:dyDescent="0.2">
      <c r="A250" s="84"/>
      <c r="B250" s="73"/>
      <c r="C250" s="6"/>
      <c r="D250" s="93"/>
      <c r="E250" s="88"/>
    </row>
    <row r="251" spans="1:5" ht="15.75" x14ac:dyDescent="0.25">
      <c r="A251" s="84"/>
      <c r="B251" s="73"/>
      <c r="C251" s="6"/>
      <c r="D251" s="86"/>
      <c r="E251" s="97"/>
    </row>
    <row r="252" spans="1:5" x14ac:dyDescent="0.2">
      <c r="A252" s="84"/>
      <c r="B252" s="73"/>
      <c r="C252" s="6"/>
      <c r="D252" s="6"/>
      <c r="E252" s="84"/>
    </row>
    <row r="253" spans="1:5" x14ac:dyDescent="0.2">
      <c r="A253" s="84"/>
      <c r="B253" s="73"/>
      <c r="C253" s="6"/>
      <c r="D253" s="6"/>
      <c r="E253" s="84"/>
    </row>
    <row r="254" spans="1:5" x14ac:dyDescent="0.2">
      <c r="A254" s="84"/>
      <c r="B254" s="73"/>
      <c r="C254" s="76"/>
      <c r="D254" s="6"/>
      <c r="E254" s="84"/>
    </row>
    <row r="255" spans="1:5" x14ac:dyDescent="0.2">
      <c r="A255" s="84"/>
      <c r="B255" s="73"/>
      <c r="C255" s="71"/>
      <c r="D255" s="6"/>
      <c r="E255" s="84"/>
    </row>
    <row r="256" spans="1:5" x14ac:dyDescent="0.2">
      <c r="A256" s="84"/>
      <c r="B256" s="73"/>
      <c r="C256" s="72"/>
      <c r="D256" s="6"/>
      <c r="E256" s="84"/>
    </row>
    <row r="257" spans="1:5" x14ac:dyDescent="0.2">
      <c r="A257" s="84"/>
      <c r="B257" s="73"/>
      <c r="C257" s="6"/>
      <c r="D257" s="6"/>
      <c r="E257" s="84"/>
    </row>
    <row r="258" spans="1:5" x14ac:dyDescent="0.2">
      <c r="A258" s="84"/>
      <c r="B258" s="73"/>
      <c r="C258" s="76"/>
      <c r="D258" s="6"/>
      <c r="E258" s="84"/>
    </row>
    <row r="259" spans="1:5" x14ac:dyDescent="0.2">
      <c r="A259" s="84"/>
      <c r="B259" s="77"/>
      <c r="C259" s="78"/>
      <c r="D259" s="37"/>
      <c r="E259" s="84"/>
    </row>
    <row r="260" spans="1:5" x14ac:dyDescent="0.2">
      <c r="A260" s="84"/>
      <c r="B260" s="77"/>
      <c r="C260" s="79"/>
      <c r="D260" s="37"/>
      <c r="E260" s="84"/>
    </row>
    <row r="261" spans="1:5" x14ac:dyDescent="0.2">
      <c r="A261" s="84"/>
      <c r="B261" s="77"/>
      <c r="C261" s="78"/>
      <c r="D261" s="37"/>
      <c r="E261" s="84"/>
    </row>
    <row r="262" spans="1:5" x14ac:dyDescent="0.2">
      <c r="A262" s="84"/>
      <c r="B262" s="77"/>
      <c r="C262" s="79"/>
      <c r="D262" s="37"/>
      <c r="E262" s="84"/>
    </row>
    <row r="263" spans="1:5" x14ac:dyDescent="0.2">
      <c r="A263" s="84"/>
      <c r="B263" s="77"/>
      <c r="C263" s="37"/>
      <c r="D263" s="37"/>
      <c r="E263" s="84"/>
    </row>
    <row r="264" spans="1:5" x14ac:dyDescent="0.2">
      <c r="A264" s="84"/>
      <c r="B264" s="77"/>
      <c r="C264" s="80"/>
      <c r="D264" s="37"/>
      <c r="E264" s="84"/>
    </row>
    <row r="265" spans="1:5" x14ac:dyDescent="0.2">
      <c r="A265" s="84"/>
      <c r="B265" s="77"/>
      <c r="C265" s="37"/>
      <c r="D265" s="37"/>
      <c r="E265" s="84"/>
    </row>
    <row r="266" spans="1:5" x14ac:dyDescent="0.2">
      <c r="A266" s="84"/>
      <c r="B266" s="77"/>
      <c r="C266" s="80"/>
      <c r="D266" s="37"/>
      <c r="E266" s="84"/>
    </row>
    <row r="267" spans="1:5" x14ac:dyDescent="0.2">
      <c r="A267" s="84"/>
      <c r="B267" s="77"/>
      <c r="C267" s="37"/>
      <c r="D267" s="6"/>
      <c r="E267" s="84"/>
    </row>
    <row r="268" spans="1:5" x14ac:dyDescent="0.2">
      <c r="A268" s="84"/>
      <c r="B268" s="77"/>
      <c r="C268" s="80"/>
      <c r="D268" s="6"/>
      <c r="E268" s="84"/>
    </row>
    <row r="269" spans="1:5" x14ac:dyDescent="0.2">
      <c r="A269" s="84"/>
      <c r="B269" s="77"/>
      <c r="C269" s="37"/>
      <c r="D269" s="37"/>
      <c r="E269" s="84"/>
    </row>
    <row r="270" spans="1:5" x14ac:dyDescent="0.2">
      <c r="A270" s="84"/>
      <c r="B270" s="77"/>
      <c r="C270" s="81"/>
      <c r="D270" s="37"/>
      <c r="E270" s="84"/>
    </row>
    <row r="271" spans="1:5" x14ac:dyDescent="0.2">
      <c r="A271" s="84"/>
      <c r="B271" s="77"/>
      <c r="C271" s="37"/>
      <c r="D271" s="37"/>
      <c r="E271" s="84"/>
    </row>
    <row r="272" spans="1:5" x14ac:dyDescent="0.2">
      <c r="A272" s="84"/>
      <c r="B272" s="77"/>
      <c r="C272" s="80"/>
      <c r="D272" s="37"/>
      <c r="E272" s="84"/>
    </row>
    <row r="273" spans="1:5" x14ac:dyDescent="0.2">
      <c r="A273" s="84"/>
      <c r="B273" s="73"/>
      <c r="C273" s="6"/>
      <c r="D273" s="6"/>
      <c r="E273" s="84"/>
    </row>
    <row r="274" spans="1:5" x14ac:dyDescent="0.2">
      <c r="A274" s="84"/>
      <c r="B274" s="73"/>
      <c r="C274" s="76"/>
      <c r="D274" s="6"/>
      <c r="E274" s="84"/>
    </row>
    <row r="275" spans="1:5" x14ac:dyDescent="0.2">
      <c r="A275" s="84"/>
      <c r="B275" s="77"/>
      <c r="C275" s="6"/>
      <c r="D275" s="6"/>
      <c r="E275" s="84"/>
    </row>
    <row r="276" spans="1:5" x14ac:dyDescent="0.2">
      <c r="A276" s="84"/>
      <c r="B276" s="77"/>
      <c r="C276" s="6"/>
      <c r="D276" s="6"/>
      <c r="E276" s="84"/>
    </row>
    <row r="277" spans="1:5" x14ac:dyDescent="0.2">
      <c r="A277" s="84"/>
      <c r="B277" s="73"/>
      <c r="C277" s="6"/>
      <c r="D277" s="6"/>
      <c r="E277" s="84"/>
    </row>
    <row r="278" spans="1:5" x14ac:dyDescent="0.2">
      <c r="A278" s="84"/>
      <c r="B278" s="73"/>
      <c r="C278" s="6"/>
      <c r="D278" s="6"/>
      <c r="E278" s="84"/>
    </row>
    <row r="279" spans="1:5" x14ac:dyDescent="0.2">
      <c r="A279" s="84"/>
      <c r="B279" s="73"/>
      <c r="C279" s="6"/>
      <c r="D279" s="6"/>
      <c r="E279" s="84"/>
    </row>
    <row r="280" spans="1:5" x14ac:dyDescent="0.2">
      <c r="A280" s="84"/>
      <c r="B280" s="73"/>
      <c r="C280" s="6"/>
      <c r="D280" s="6"/>
      <c r="E280" s="84"/>
    </row>
    <row r="281" spans="1:5" x14ac:dyDescent="0.2">
      <c r="A281" s="84"/>
      <c r="B281" s="73"/>
      <c r="C281" s="6"/>
      <c r="D281" s="6"/>
      <c r="E281" s="84"/>
    </row>
    <row r="298" spans="3:3" x14ac:dyDescent="0.2">
      <c r="C298" s="41"/>
    </row>
    <row r="300" spans="3:3" x14ac:dyDescent="0.2">
      <c r="C300" s="38"/>
    </row>
    <row r="304" spans="3:3" x14ac:dyDescent="0.2">
      <c r="C304" s="41"/>
    </row>
    <row r="305" spans="3:3" x14ac:dyDescent="0.2">
      <c r="C305" s="41"/>
    </row>
    <row r="309" spans="3:3" x14ac:dyDescent="0.2">
      <c r="C309" s="40"/>
    </row>
    <row r="310" spans="3:3" x14ac:dyDescent="0.2">
      <c r="C310" s="4"/>
    </row>
    <row r="311" spans="3:3" x14ac:dyDescent="0.2">
      <c r="C311" s="39"/>
    </row>
    <row r="312" spans="3:3" x14ac:dyDescent="0.2">
      <c r="C312" s="4"/>
    </row>
    <row r="313" spans="3:3" x14ac:dyDescent="0.2">
      <c r="C313" s="7"/>
    </row>
    <row r="314" spans="3:3" x14ac:dyDescent="0.2">
      <c r="C314" s="4"/>
    </row>
    <row r="316" spans="3:3" x14ac:dyDescent="0.2">
      <c r="C316" s="39"/>
    </row>
    <row r="317" spans="3:3" x14ac:dyDescent="0.2">
      <c r="C317" s="4"/>
    </row>
    <row r="319" spans="3:3" x14ac:dyDescent="0.2">
      <c r="C319" s="4"/>
    </row>
    <row r="321" spans="3:7" x14ac:dyDescent="0.2">
      <c r="C321" s="4"/>
    </row>
    <row r="322" spans="3:7" x14ac:dyDescent="0.2">
      <c r="C322" s="42"/>
    </row>
    <row r="325" spans="3:7" x14ac:dyDescent="0.2">
      <c r="E325" s="40"/>
      <c r="G325" s="5"/>
    </row>
    <row r="326" spans="3:7" x14ac:dyDescent="0.2">
      <c r="E326" s="43"/>
      <c r="G326" s="41"/>
    </row>
    <row r="327" spans="3:7" x14ac:dyDescent="0.2">
      <c r="E327" s="43"/>
      <c r="G327" s="41"/>
    </row>
    <row r="328" spans="3:7" x14ac:dyDescent="0.2">
      <c r="E328" s="43"/>
      <c r="G328" s="41"/>
    </row>
    <row r="329" spans="3:7" x14ac:dyDescent="0.2">
      <c r="E329" s="43"/>
      <c r="G329" s="41"/>
    </row>
    <row r="330" spans="3:7" x14ac:dyDescent="0.2">
      <c r="E330" s="43"/>
      <c r="G330" s="41"/>
    </row>
    <row r="331" spans="3:7" x14ac:dyDescent="0.2">
      <c r="E331" s="43"/>
      <c r="G331" s="41"/>
    </row>
    <row r="332" spans="3:7" x14ac:dyDescent="0.2">
      <c r="E332" s="43"/>
      <c r="G332" s="41"/>
    </row>
    <row r="333" spans="3:7" x14ac:dyDescent="0.2">
      <c r="E333" s="43"/>
      <c r="G333" s="41"/>
    </row>
    <row r="334" spans="3:7" x14ac:dyDescent="0.2">
      <c r="E334" s="43"/>
      <c r="G334" s="41"/>
    </row>
    <row r="335" spans="3:7" x14ac:dyDescent="0.2">
      <c r="E335" s="43"/>
      <c r="G335" s="41"/>
    </row>
    <row r="336" spans="3:7" x14ac:dyDescent="0.2">
      <c r="E336" s="43"/>
      <c r="G336" s="41"/>
    </row>
    <row r="337" spans="2:7" x14ac:dyDescent="0.2">
      <c r="E337" s="43"/>
      <c r="G337" s="41"/>
    </row>
    <row r="338" spans="2:7" x14ac:dyDescent="0.2">
      <c r="E338" s="43"/>
      <c r="G338" s="41"/>
    </row>
    <row r="341" spans="2:7" x14ac:dyDescent="0.2">
      <c r="B341" s="15"/>
      <c r="C341" s="40"/>
    </row>
    <row r="342" spans="2:7" x14ac:dyDescent="0.2">
      <c r="C342" s="44"/>
    </row>
    <row r="343" spans="2:7" x14ac:dyDescent="0.2">
      <c r="C343" s="44"/>
    </row>
    <row r="344" spans="2:7" x14ac:dyDescent="0.2">
      <c r="C344" s="44"/>
    </row>
    <row r="345" spans="2:7" x14ac:dyDescent="0.2">
      <c r="C345" s="44"/>
    </row>
    <row r="346" spans="2:7" x14ac:dyDescent="0.2">
      <c r="C346" s="4"/>
    </row>
    <row r="347" spans="2:7" x14ac:dyDescent="0.2">
      <c r="C347" s="4"/>
    </row>
    <row r="348" spans="2:7" x14ac:dyDescent="0.2">
      <c r="B348" s="15"/>
      <c r="C348" s="40"/>
    </row>
    <row r="349" spans="2:7" x14ac:dyDescent="0.2">
      <c r="C349" s="44"/>
    </row>
    <row r="350" spans="2:7" x14ac:dyDescent="0.2">
      <c r="C350" s="44"/>
    </row>
    <row r="351" spans="2:7" x14ac:dyDescent="0.2">
      <c r="C351" s="4"/>
    </row>
    <row r="353" spans="3:5" x14ac:dyDescent="0.2">
      <c r="C353" s="7"/>
    </row>
    <row r="354" spans="3:5" x14ac:dyDescent="0.2">
      <c r="C354" s="41"/>
      <c r="D354" s="41"/>
    </row>
    <row r="356" spans="3:5" x14ac:dyDescent="0.2">
      <c r="C356" s="7"/>
      <c r="E356" s="41"/>
    </row>
    <row r="357" spans="3:5" x14ac:dyDescent="0.2">
      <c r="C357" s="4"/>
    </row>
    <row r="358" spans="3:5" x14ac:dyDescent="0.2">
      <c r="C358" s="7"/>
    </row>
    <row r="359" spans="3:5" x14ac:dyDescent="0.2">
      <c r="C359" s="42"/>
    </row>
    <row r="360" spans="3:5" x14ac:dyDescent="0.2">
      <c r="C360" s="4"/>
    </row>
    <row r="361" spans="3:5" x14ac:dyDescent="0.2">
      <c r="C361" s="4"/>
    </row>
    <row r="364" spans="3:5" x14ac:dyDescent="0.2">
      <c r="C364" s="38"/>
    </row>
    <row r="366" spans="3:5" x14ac:dyDescent="0.2">
      <c r="E366" s="45"/>
    </row>
    <row r="367" spans="3:5" x14ac:dyDescent="0.2">
      <c r="C367" s="7"/>
    </row>
    <row r="368" spans="3:5" x14ac:dyDescent="0.2">
      <c r="C368" s="41"/>
      <c r="D368" s="41"/>
    </row>
    <row r="370" spans="3:3" x14ac:dyDescent="0.2">
      <c r="C370" s="7"/>
    </row>
    <row r="371" spans="3:3" x14ac:dyDescent="0.2">
      <c r="C371" s="4"/>
    </row>
    <row r="372" spans="3:3" x14ac:dyDescent="0.2">
      <c r="C372" s="7"/>
    </row>
    <row r="373" spans="3:3" x14ac:dyDescent="0.2">
      <c r="C373" s="7"/>
    </row>
    <row r="374" spans="3:3" x14ac:dyDescent="0.2">
      <c r="C374" s="4"/>
    </row>
  </sheetData>
  <sheetProtection sheet="1" objects="1" scenarios="1" formatCells="0" selectLockedCells="1"/>
  <hyperlinks>
    <hyperlink ref="G116" r:id="rId1" xr:uid="{00000000-0004-0000-0000-000000000000}"/>
  </hyperlinks>
  <printOptions gridLines="1"/>
  <pageMargins left="0" right="0" top="0.39410000000000001" bottom="0.39410000000000001" header="0" footer="0"/>
  <pageSetup orientation="portrait" r:id="rId2"/>
  <headerFooter>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81"/>
  <sheetViews>
    <sheetView zoomScaleNormal="100" workbookViewId="0">
      <selection activeCell="H1" sqref="H1"/>
    </sheetView>
  </sheetViews>
  <sheetFormatPr defaultRowHeight="12.75" x14ac:dyDescent="0.2"/>
  <cols>
    <col min="1" max="1" width="3.75" style="4" customWidth="1"/>
    <col min="2" max="2" width="39.125" style="4" customWidth="1"/>
    <col min="3" max="3" width="17.75" style="4" customWidth="1"/>
    <col min="4" max="4" width="15.375" style="4" customWidth="1"/>
    <col min="5" max="5" width="14.375" style="4" customWidth="1"/>
    <col min="6" max="6" width="17.5" style="4" customWidth="1"/>
    <col min="7" max="7" width="6.875" style="4" customWidth="1"/>
    <col min="8" max="8" width="41" style="4" customWidth="1"/>
    <col min="9" max="9" width="16.875" style="4" customWidth="1"/>
    <col min="10" max="10" width="11.375" style="51" customWidth="1"/>
    <col min="11" max="16384" width="9" style="4"/>
  </cols>
  <sheetData>
    <row r="1" spans="2:12" ht="15.75" x14ac:dyDescent="0.25">
      <c r="B1" s="46" t="s">
        <v>482</v>
      </c>
      <c r="C1" s="2"/>
      <c r="D1" s="51"/>
      <c r="F1" s="142"/>
      <c r="G1" s="142"/>
      <c r="H1" s="142"/>
      <c r="I1" s="142"/>
      <c r="J1" s="188"/>
      <c r="K1" s="142"/>
      <c r="L1" s="142"/>
    </row>
    <row r="2" spans="2:12" x14ac:dyDescent="0.2">
      <c r="B2" s="5" t="s">
        <v>475</v>
      </c>
      <c r="C2" s="5" t="s">
        <v>481</v>
      </c>
      <c r="D2" s="3"/>
      <c r="F2" s="142"/>
      <c r="G2" s="142"/>
      <c r="H2" s="142"/>
      <c r="I2" s="142"/>
      <c r="J2" s="188"/>
      <c r="K2" s="142"/>
      <c r="L2" s="142"/>
    </row>
    <row r="3" spans="2:12" x14ac:dyDescent="0.2">
      <c r="B3" s="2"/>
      <c r="C3" s="5"/>
      <c r="D3" s="3"/>
      <c r="F3" s="142"/>
      <c r="G3" s="142"/>
      <c r="H3" s="142"/>
      <c r="I3" s="142"/>
      <c r="J3" s="188"/>
      <c r="K3" s="142"/>
      <c r="L3" s="142"/>
    </row>
    <row r="4" spans="2:12" ht="15.75" x14ac:dyDescent="0.25">
      <c r="B4" s="46" t="s">
        <v>211</v>
      </c>
      <c r="F4" s="142"/>
      <c r="G4" s="142"/>
      <c r="H4" s="142"/>
      <c r="I4" s="142"/>
      <c r="J4" s="188"/>
      <c r="K4" s="142"/>
      <c r="L4" s="142"/>
    </row>
    <row r="5" spans="2:12" x14ac:dyDescent="0.2">
      <c r="F5" s="142"/>
      <c r="G5" s="142"/>
      <c r="H5" s="142"/>
      <c r="I5" s="142"/>
      <c r="J5" s="188"/>
      <c r="K5" s="142"/>
      <c r="L5" s="142"/>
    </row>
    <row r="6" spans="2:12" x14ac:dyDescent="0.2">
      <c r="F6" s="142"/>
      <c r="G6" s="142"/>
      <c r="H6" s="142"/>
      <c r="I6" s="142"/>
      <c r="J6" s="188"/>
      <c r="K6" s="142"/>
      <c r="L6" s="142"/>
    </row>
    <row r="7" spans="2:12" x14ac:dyDescent="0.2">
      <c r="F7" s="142"/>
      <c r="G7" s="142"/>
      <c r="H7" s="142"/>
      <c r="I7" s="142"/>
      <c r="J7" s="188"/>
      <c r="K7" s="142"/>
      <c r="L7" s="142"/>
    </row>
    <row r="8" spans="2:12" x14ac:dyDescent="0.2">
      <c r="F8" s="142"/>
      <c r="G8" s="142"/>
      <c r="H8" s="142"/>
      <c r="I8" s="142"/>
      <c r="J8" s="188"/>
      <c r="K8" s="142"/>
      <c r="L8" s="142"/>
    </row>
    <row r="9" spans="2:12" x14ac:dyDescent="0.2">
      <c r="F9" s="142"/>
      <c r="G9" s="142"/>
      <c r="H9" s="142"/>
      <c r="I9" s="142"/>
      <c r="J9" s="188"/>
      <c r="K9" s="142"/>
      <c r="L9" s="142"/>
    </row>
    <row r="10" spans="2:12" x14ac:dyDescent="0.2">
      <c r="F10" s="142"/>
      <c r="G10" s="142"/>
      <c r="H10" s="142"/>
      <c r="I10" s="142"/>
      <c r="J10" s="188"/>
      <c r="K10" s="142"/>
      <c r="L10" s="142"/>
    </row>
    <row r="11" spans="2:12" x14ac:dyDescent="0.2">
      <c r="F11" s="142"/>
      <c r="G11" s="142"/>
      <c r="H11" s="142"/>
      <c r="I11" s="142"/>
      <c r="J11" s="188"/>
      <c r="K11" s="142"/>
      <c r="L11" s="142"/>
    </row>
    <row r="12" spans="2:12" x14ac:dyDescent="0.2">
      <c r="F12" s="142"/>
      <c r="G12" s="142"/>
      <c r="H12" s="142"/>
      <c r="I12" s="142"/>
      <c r="J12" s="188"/>
      <c r="K12" s="142"/>
      <c r="L12" s="142"/>
    </row>
    <row r="13" spans="2:12" x14ac:dyDescent="0.2">
      <c r="F13" s="142"/>
      <c r="G13" s="142"/>
      <c r="H13" s="142"/>
      <c r="I13" s="142"/>
      <c r="J13" s="188"/>
      <c r="K13" s="142"/>
      <c r="L13" s="142"/>
    </row>
    <row r="14" spans="2:12" x14ac:dyDescent="0.2">
      <c r="F14" s="142"/>
      <c r="G14" s="142"/>
      <c r="H14" s="142"/>
      <c r="I14" s="142"/>
      <c r="J14" s="188"/>
      <c r="K14" s="142"/>
      <c r="L14" s="142"/>
    </row>
    <row r="15" spans="2:12" x14ac:dyDescent="0.2">
      <c r="F15" s="142"/>
      <c r="G15" s="142"/>
      <c r="H15" s="142"/>
      <c r="I15" s="142"/>
      <c r="J15" s="188"/>
      <c r="K15" s="142"/>
      <c r="L15" s="142"/>
    </row>
    <row r="16" spans="2:12" x14ac:dyDescent="0.2">
      <c r="F16" s="142"/>
      <c r="G16" s="142"/>
      <c r="H16" s="142"/>
      <c r="I16" s="142"/>
      <c r="J16" s="188"/>
      <c r="K16" s="142"/>
      <c r="L16" s="142"/>
    </row>
    <row r="17" spans="1:12" x14ac:dyDescent="0.2">
      <c r="F17" s="142"/>
      <c r="G17" s="142"/>
      <c r="H17" s="142"/>
      <c r="I17" s="142"/>
      <c r="J17" s="188"/>
      <c r="K17" s="142"/>
      <c r="L17" s="142"/>
    </row>
    <row r="18" spans="1:12" x14ac:dyDescent="0.2">
      <c r="F18" s="142"/>
      <c r="G18" s="142"/>
      <c r="H18" s="142"/>
      <c r="I18" s="142"/>
      <c r="J18" s="188"/>
      <c r="K18" s="142"/>
      <c r="L18" s="142"/>
    </row>
    <row r="19" spans="1:12" x14ac:dyDescent="0.2">
      <c r="F19" s="142"/>
      <c r="G19" s="142"/>
      <c r="H19" s="142"/>
      <c r="I19" s="142"/>
      <c r="J19" s="188"/>
      <c r="K19" s="142"/>
      <c r="L19" s="142"/>
    </row>
    <row r="20" spans="1:12" x14ac:dyDescent="0.2">
      <c r="F20" s="142"/>
      <c r="G20" s="142"/>
      <c r="H20" s="142"/>
      <c r="I20" s="142"/>
      <c r="J20" s="188"/>
      <c r="K20" s="142"/>
      <c r="L20" s="142"/>
    </row>
    <row r="21" spans="1:12" x14ac:dyDescent="0.2">
      <c r="F21" s="142"/>
      <c r="G21" s="142"/>
      <c r="H21" s="142"/>
      <c r="I21" s="142"/>
      <c r="J21" s="188"/>
      <c r="K21" s="142"/>
      <c r="L21" s="142"/>
    </row>
    <row r="22" spans="1:12" x14ac:dyDescent="0.2">
      <c r="F22" s="142"/>
      <c r="G22" s="142"/>
      <c r="H22" s="142"/>
      <c r="I22" s="142"/>
      <c r="J22" s="188"/>
      <c r="K22" s="142"/>
      <c r="L22" s="142"/>
    </row>
    <row r="23" spans="1:12" x14ac:dyDescent="0.2">
      <c r="F23" s="142"/>
      <c r="G23" s="142"/>
      <c r="H23" s="142"/>
      <c r="I23" s="142"/>
      <c r="J23" s="188"/>
      <c r="K23" s="142"/>
      <c r="L23" s="142"/>
    </row>
    <row r="24" spans="1:12" x14ac:dyDescent="0.2">
      <c r="F24" s="142"/>
      <c r="G24" s="142"/>
      <c r="H24" s="142"/>
      <c r="I24" s="142"/>
      <c r="J24" s="188"/>
      <c r="K24" s="142"/>
      <c r="L24" s="142"/>
    </row>
    <row r="25" spans="1:12" x14ac:dyDescent="0.2">
      <c r="F25" s="142"/>
      <c r="H25" s="185" t="s">
        <v>243</v>
      </c>
      <c r="I25" s="142"/>
      <c r="J25" s="188"/>
      <c r="K25" s="142"/>
      <c r="L25" s="142"/>
    </row>
    <row r="26" spans="1:12" x14ac:dyDescent="0.2">
      <c r="F26" s="142"/>
      <c r="H26" s="186" t="s">
        <v>244</v>
      </c>
      <c r="I26" s="142"/>
      <c r="J26" s="188"/>
      <c r="K26" s="142"/>
      <c r="L26" s="142"/>
    </row>
    <row r="27" spans="1:12" x14ac:dyDescent="0.2">
      <c r="F27" s="142"/>
      <c r="H27" s="185" t="s">
        <v>245</v>
      </c>
      <c r="I27" s="142"/>
      <c r="J27" s="188"/>
      <c r="K27" s="142"/>
      <c r="L27" s="142"/>
    </row>
    <row r="28" spans="1:12" x14ac:dyDescent="0.2">
      <c r="A28" s="2"/>
      <c r="B28" s="4" t="s">
        <v>119</v>
      </c>
      <c r="F28" s="142"/>
      <c r="H28" s="185" t="s">
        <v>246</v>
      </c>
      <c r="I28" s="142"/>
      <c r="J28" s="188"/>
      <c r="K28" s="142"/>
      <c r="L28" s="142"/>
    </row>
    <row r="29" spans="1:12" ht="16.5" thickBot="1" x14ac:dyDescent="0.3">
      <c r="C29" s="47" t="s">
        <v>118</v>
      </c>
      <c r="D29" s="3"/>
      <c r="F29" s="142"/>
      <c r="H29" s="185" t="s">
        <v>247</v>
      </c>
      <c r="I29" s="142"/>
      <c r="J29" s="188"/>
      <c r="K29" s="142"/>
      <c r="L29" s="142"/>
    </row>
    <row r="30" spans="1:12" ht="15.75" thickBot="1" x14ac:dyDescent="0.3">
      <c r="C30" s="64" t="s">
        <v>0</v>
      </c>
      <c r="D30" s="63" t="s">
        <v>120</v>
      </c>
      <c r="E30" s="64" t="s">
        <v>3</v>
      </c>
      <c r="F30" s="65" t="s">
        <v>120</v>
      </c>
      <c r="H30" s="187" t="s">
        <v>248</v>
      </c>
      <c r="I30" s="142"/>
      <c r="J30" s="188"/>
      <c r="K30" s="142"/>
      <c r="L30" s="142"/>
    </row>
    <row r="31" spans="1:12" x14ac:dyDescent="0.2">
      <c r="C31" s="180">
        <v>10</v>
      </c>
      <c r="D31" s="52" t="s">
        <v>79</v>
      </c>
      <c r="E31" s="61">
        <f>C31*231 / (12*144)</f>
        <v>1.3368055555555556</v>
      </c>
      <c r="F31" s="53" t="s">
        <v>75</v>
      </c>
      <c r="G31" s="142"/>
      <c r="H31" s="142"/>
      <c r="I31" s="142"/>
      <c r="J31" s="188"/>
      <c r="K31" s="142"/>
      <c r="L31" s="142"/>
    </row>
    <row r="32" spans="1:12" x14ac:dyDescent="0.2">
      <c r="C32" s="179">
        <v>10</v>
      </c>
      <c r="D32" s="52" t="s">
        <v>78</v>
      </c>
      <c r="E32" s="59">
        <f>C32*8.0208</f>
        <v>80.207999999999998</v>
      </c>
      <c r="F32" s="54" t="s">
        <v>76</v>
      </c>
      <c r="G32" s="142"/>
      <c r="H32" s="142"/>
      <c r="I32" s="142"/>
      <c r="J32" s="188"/>
      <c r="K32" s="142"/>
      <c r="L32" s="142"/>
    </row>
    <row r="33" spans="2:12" x14ac:dyDescent="0.2">
      <c r="C33" s="179">
        <v>10</v>
      </c>
      <c r="D33" s="52" t="s">
        <v>78</v>
      </c>
      <c r="E33" s="60">
        <f>C33/448.831</f>
        <v>2.2280100973417611E-2</v>
      </c>
      <c r="F33" s="54" t="s">
        <v>77</v>
      </c>
      <c r="G33" s="142"/>
      <c r="H33" s="142"/>
      <c r="I33" s="142"/>
      <c r="J33" s="188"/>
      <c r="K33" s="142"/>
      <c r="L33" s="142"/>
    </row>
    <row r="34" spans="2:12" x14ac:dyDescent="0.2">
      <c r="C34" s="179">
        <v>10</v>
      </c>
      <c r="D34" s="52" t="s">
        <v>70</v>
      </c>
      <c r="E34" s="60">
        <f>C34/12</f>
        <v>0.83333333333333337</v>
      </c>
      <c r="F34" s="54" t="s">
        <v>71</v>
      </c>
      <c r="G34" s="142"/>
      <c r="H34" s="142"/>
      <c r="I34" s="142"/>
      <c r="J34" s="188"/>
      <c r="K34" s="142"/>
      <c r="L34" s="142"/>
    </row>
    <row r="35" spans="2:12" x14ac:dyDescent="0.2">
      <c r="C35" s="179">
        <v>10</v>
      </c>
      <c r="D35" s="55" t="s">
        <v>72</v>
      </c>
      <c r="E35" s="60">
        <f>C35/32.2</f>
        <v>0.3105590062111801</v>
      </c>
      <c r="F35" s="54" t="s">
        <v>73</v>
      </c>
      <c r="G35" s="142"/>
      <c r="H35" s="142"/>
      <c r="I35" s="142"/>
      <c r="J35" s="188"/>
      <c r="K35" s="142"/>
      <c r="L35" s="142"/>
    </row>
    <row r="36" spans="2:12" x14ac:dyDescent="0.2">
      <c r="C36" s="179">
        <v>10</v>
      </c>
      <c r="D36" s="52" t="s">
        <v>80</v>
      </c>
      <c r="E36" s="58">
        <f>C36*42</f>
        <v>420</v>
      </c>
      <c r="F36" s="54" t="s">
        <v>74</v>
      </c>
      <c r="G36" s="142"/>
      <c r="H36" s="142"/>
      <c r="I36" s="142"/>
      <c r="J36" s="188"/>
      <c r="K36" s="142"/>
      <c r="L36" s="142"/>
    </row>
    <row r="37" spans="2:12" x14ac:dyDescent="0.2">
      <c r="C37" s="179">
        <v>10</v>
      </c>
      <c r="D37" s="52" t="s">
        <v>81</v>
      </c>
      <c r="E37" s="31">
        <f>C37*0.433</f>
        <v>4.33</v>
      </c>
      <c r="F37" s="54" t="s">
        <v>83</v>
      </c>
      <c r="G37" s="142"/>
      <c r="H37" s="142"/>
      <c r="I37" s="142"/>
      <c r="J37" s="188"/>
      <c r="K37" s="142"/>
      <c r="L37" s="142"/>
    </row>
    <row r="38" spans="2:12" ht="13.5" thickBot="1" x14ac:dyDescent="0.25">
      <c r="C38" s="182">
        <v>10</v>
      </c>
      <c r="D38" s="56" t="s">
        <v>82</v>
      </c>
      <c r="E38" s="62">
        <f>C38/2.04</f>
        <v>4.9019607843137258</v>
      </c>
      <c r="F38" s="57" t="s">
        <v>83</v>
      </c>
      <c r="G38" s="142"/>
      <c r="H38" s="142"/>
      <c r="I38" s="142"/>
      <c r="J38" s="188"/>
      <c r="K38" s="142"/>
      <c r="L38" s="142"/>
    </row>
    <row r="39" spans="2:12" x14ac:dyDescent="0.2">
      <c r="C39" s="3"/>
      <c r="D39" s="3"/>
      <c r="F39" s="142"/>
      <c r="G39" s="142"/>
      <c r="H39" s="142"/>
      <c r="I39" s="142"/>
      <c r="J39" s="188"/>
      <c r="K39" s="142"/>
      <c r="L39" s="142"/>
    </row>
    <row r="40" spans="2:12" ht="16.5" thickBot="1" x14ac:dyDescent="0.3">
      <c r="B40" s="47" t="s">
        <v>45</v>
      </c>
      <c r="C40" s="8" t="s">
        <v>0</v>
      </c>
      <c r="D40" s="3"/>
      <c r="F40" s="142"/>
      <c r="G40" s="142"/>
      <c r="H40" s="142"/>
      <c r="I40" s="142"/>
      <c r="J40" s="188"/>
      <c r="K40" s="142"/>
      <c r="L40" s="142"/>
    </row>
    <row r="41" spans="2:12" x14ac:dyDescent="0.2">
      <c r="B41" s="2" t="s">
        <v>35</v>
      </c>
      <c r="C41" s="147">
        <v>269</v>
      </c>
      <c r="D41" s="3" t="s">
        <v>8</v>
      </c>
      <c r="F41" s="159"/>
      <c r="G41" s="142"/>
      <c r="H41" s="142"/>
      <c r="I41" s="142"/>
      <c r="J41" s="188"/>
      <c r="K41" s="142"/>
      <c r="L41" s="142"/>
    </row>
    <row r="42" spans="2:12" x14ac:dyDescent="0.2">
      <c r="B42" s="2" t="s">
        <v>38</v>
      </c>
      <c r="C42" s="148">
        <v>6</v>
      </c>
      <c r="D42" s="3" t="s">
        <v>9</v>
      </c>
      <c r="F42" s="160"/>
      <c r="G42" s="142"/>
      <c r="H42" s="142"/>
      <c r="I42" s="142"/>
      <c r="J42" s="188"/>
      <c r="K42" s="142"/>
      <c r="L42" s="142"/>
    </row>
    <row r="43" spans="2:12" x14ac:dyDescent="0.2">
      <c r="B43" s="2" t="s">
        <v>36</v>
      </c>
      <c r="C43" s="149">
        <v>100</v>
      </c>
      <c r="D43" s="3" t="s">
        <v>1</v>
      </c>
      <c r="F43" s="161"/>
      <c r="G43" s="142"/>
      <c r="H43" s="142"/>
      <c r="I43" s="142"/>
      <c r="J43" s="188"/>
      <c r="K43" s="142"/>
      <c r="L43" s="142"/>
    </row>
    <row r="44" spans="2:12" x14ac:dyDescent="0.2">
      <c r="B44" s="2" t="s">
        <v>192</v>
      </c>
      <c r="C44" s="150">
        <v>2.73E-5</v>
      </c>
      <c r="D44" s="3" t="s">
        <v>173</v>
      </c>
      <c r="F44" s="162"/>
      <c r="G44" s="142"/>
      <c r="H44" s="142"/>
      <c r="I44" s="142"/>
      <c r="J44" s="188"/>
      <c r="K44" s="142"/>
      <c r="L44" s="142"/>
    </row>
    <row r="45" spans="2:12" ht="13.5" thickBot="1" x14ac:dyDescent="0.25">
      <c r="B45" s="131" t="s">
        <v>193</v>
      </c>
      <c r="C45" s="151">
        <v>62.468000000000004</v>
      </c>
      <c r="D45" s="3" t="s">
        <v>2</v>
      </c>
      <c r="F45" s="163"/>
      <c r="G45" s="142"/>
      <c r="H45" s="142"/>
      <c r="I45" s="142"/>
      <c r="J45" s="188"/>
      <c r="K45" s="142"/>
      <c r="L45" s="142"/>
    </row>
    <row r="46" spans="2:12" ht="13.5" thickBot="1" x14ac:dyDescent="0.25">
      <c r="B46" s="2" t="s">
        <v>37</v>
      </c>
      <c r="C46" s="234">
        <v>32.200000000000003</v>
      </c>
      <c r="D46" s="3" t="s">
        <v>6</v>
      </c>
      <c r="F46" s="161"/>
      <c r="G46" s="142"/>
      <c r="H46" s="142"/>
      <c r="I46" s="142"/>
      <c r="J46" s="188"/>
      <c r="K46" s="142"/>
      <c r="L46" s="142"/>
    </row>
    <row r="47" spans="2:12" x14ac:dyDescent="0.2">
      <c r="B47" s="2"/>
      <c r="C47" s="8" t="s">
        <v>3</v>
      </c>
      <c r="D47" s="3"/>
      <c r="F47" s="142"/>
      <c r="G47" s="142"/>
      <c r="H47" s="142"/>
      <c r="I47" s="142"/>
      <c r="J47" s="188"/>
      <c r="K47" s="142"/>
      <c r="L47" s="142"/>
    </row>
    <row r="48" spans="2:12" x14ac:dyDescent="0.2">
      <c r="B48" s="15" t="s">
        <v>10</v>
      </c>
      <c r="C48" s="1" t="s">
        <v>69</v>
      </c>
      <c r="D48" s="5"/>
      <c r="F48" s="142"/>
      <c r="G48" s="142"/>
      <c r="H48" s="142"/>
      <c r="I48" s="142"/>
      <c r="J48" s="188"/>
      <c r="K48" s="142"/>
      <c r="L48" s="142"/>
    </row>
    <row r="49" spans="2:12" x14ac:dyDescent="0.2">
      <c r="B49" s="15" t="s">
        <v>4</v>
      </c>
      <c r="C49" s="16">
        <f>C42/12</f>
        <v>0.5</v>
      </c>
      <c r="D49" s="5" t="s">
        <v>1</v>
      </c>
      <c r="F49" s="142"/>
      <c r="G49" s="142"/>
      <c r="H49" s="142"/>
      <c r="I49" s="142"/>
      <c r="J49" s="188"/>
      <c r="K49" s="142"/>
      <c r="L49" s="142"/>
    </row>
    <row r="50" spans="2:12" x14ac:dyDescent="0.2">
      <c r="B50" s="15" t="s">
        <v>39</v>
      </c>
      <c r="C50" s="1" t="s">
        <v>7</v>
      </c>
      <c r="D50" s="5"/>
      <c r="F50" s="142"/>
      <c r="G50" s="142"/>
      <c r="H50" s="142"/>
      <c r="I50" s="142"/>
      <c r="J50" s="188"/>
      <c r="K50" s="142"/>
      <c r="L50" s="142"/>
    </row>
    <row r="51" spans="2:12" x14ac:dyDescent="0.2">
      <c r="B51" s="15" t="s">
        <v>4</v>
      </c>
      <c r="C51" s="16">
        <f>3.1416*C49^2/4</f>
        <v>0.19635</v>
      </c>
      <c r="D51" s="5" t="s">
        <v>12</v>
      </c>
      <c r="F51" s="142"/>
      <c r="G51" s="142"/>
      <c r="H51" s="142"/>
      <c r="I51" s="142"/>
      <c r="J51" s="188"/>
      <c r="K51" s="142"/>
      <c r="L51" s="142"/>
    </row>
    <row r="52" spans="2:12" x14ac:dyDescent="0.2">
      <c r="B52" s="15" t="s">
        <v>40</v>
      </c>
      <c r="C52" s="5" t="s">
        <v>17</v>
      </c>
      <c r="D52" s="5"/>
      <c r="F52" s="142"/>
      <c r="G52" s="142"/>
      <c r="H52" s="142"/>
      <c r="I52" s="142"/>
      <c r="J52" s="188"/>
      <c r="K52" s="142"/>
      <c r="L52" s="142"/>
    </row>
    <row r="53" spans="2:12" x14ac:dyDescent="0.2">
      <c r="B53" s="15" t="s">
        <v>4</v>
      </c>
      <c r="C53" s="17">
        <f>C41/ 448.831</f>
        <v>0.59933471618493372</v>
      </c>
      <c r="D53" s="5" t="s">
        <v>13</v>
      </c>
      <c r="F53" s="142"/>
      <c r="G53" s="142"/>
      <c r="H53" s="142"/>
      <c r="I53" s="142"/>
      <c r="J53" s="188"/>
      <c r="K53" s="142"/>
      <c r="L53" s="142"/>
    </row>
    <row r="54" spans="2:12" x14ac:dyDescent="0.2">
      <c r="B54" s="15" t="s">
        <v>41</v>
      </c>
      <c r="C54" s="5" t="s">
        <v>11</v>
      </c>
      <c r="D54" s="5"/>
      <c r="F54" s="142"/>
      <c r="G54" s="142"/>
      <c r="H54" s="142"/>
      <c r="I54" s="142"/>
      <c r="J54" s="188"/>
      <c r="K54" s="142"/>
      <c r="L54" s="142"/>
    </row>
    <row r="55" spans="2:12" x14ac:dyDescent="0.2">
      <c r="B55" s="15" t="s">
        <v>4</v>
      </c>
      <c r="C55" s="18">
        <f>C53/C51</f>
        <v>3.0523795069260693</v>
      </c>
      <c r="D55" s="5" t="s">
        <v>14</v>
      </c>
      <c r="F55" s="142"/>
      <c r="G55" s="142"/>
      <c r="H55" s="142"/>
      <c r="I55" s="142"/>
      <c r="J55" s="188"/>
      <c r="K55" s="142"/>
      <c r="L55" s="142"/>
    </row>
    <row r="56" spans="2:12" ht="14.25" x14ac:dyDescent="0.25">
      <c r="B56" s="15" t="s">
        <v>194</v>
      </c>
      <c r="C56" s="5" t="s">
        <v>15</v>
      </c>
      <c r="D56" s="5"/>
      <c r="F56" s="142"/>
      <c r="G56" s="142"/>
      <c r="H56" s="142"/>
      <c r="I56" s="142"/>
      <c r="J56" s="188"/>
      <c r="K56" s="142"/>
      <c r="L56" s="142"/>
    </row>
    <row r="57" spans="2:12" x14ac:dyDescent="0.2">
      <c r="B57" s="15" t="s">
        <v>4</v>
      </c>
      <c r="C57" s="16">
        <f>C45/32.2</f>
        <v>1.94</v>
      </c>
      <c r="D57" s="5" t="s">
        <v>16</v>
      </c>
      <c r="F57" s="142"/>
      <c r="G57" s="142"/>
      <c r="H57" s="142"/>
      <c r="I57" s="142"/>
      <c r="J57" s="188"/>
      <c r="K57" s="142"/>
      <c r="L57" s="142"/>
    </row>
    <row r="58" spans="2:12" ht="14.25" x14ac:dyDescent="0.25">
      <c r="B58" s="15" t="s">
        <v>34</v>
      </c>
      <c r="C58" s="5" t="s">
        <v>67</v>
      </c>
      <c r="D58" s="5"/>
      <c r="F58" s="142"/>
      <c r="G58" s="142"/>
      <c r="H58" s="142"/>
      <c r="I58" s="142"/>
      <c r="J58" s="188"/>
      <c r="K58" s="142"/>
      <c r="L58" s="142"/>
    </row>
    <row r="59" spans="2:12" x14ac:dyDescent="0.2">
      <c r="B59" s="15" t="s">
        <v>4</v>
      </c>
      <c r="C59" s="19">
        <f>C49*C55*C57/C44</f>
        <v>108454.50995305082</v>
      </c>
      <c r="D59" s="5" t="s">
        <v>126</v>
      </c>
      <c r="F59" s="142"/>
      <c r="G59" s="142"/>
      <c r="H59" s="142"/>
      <c r="I59" s="142"/>
      <c r="J59" s="188"/>
      <c r="K59" s="142"/>
      <c r="L59" s="142"/>
    </row>
    <row r="60" spans="2:12" x14ac:dyDescent="0.2">
      <c r="B60" s="15" t="s">
        <v>4</v>
      </c>
      <c r="C60" s="20">
        <f>C59</f>
        <v>108454.50995305082</v>
      </c>
      <c r="D60" s="5"/>
      <c r="F60" s="142"/>
      <c r="G60" s="142"/>
      <c r="H60" s="142"/>
      <c r="I60" s="142"/>
      <c r="J60" s="188"/>
      <c r="K60" s="142"/>
      <c r="L60" s="142"/>
    </row>
    <row r="61" spans="2:12" x14ac:dyDescent="0.2">
      <c r="B61" s="2"/>
      <c r="C61" s="3"/>
      <c r="D61" s="3"/>
      <c r="F61" s="142"/>
      <c r="G61" s="142"/>
      <c r="H61" s="142"/>
      <c r="I61" s="142"/>
      <c r="J61" s="188"/>
      <c r="K61" s="142"/>
      <c r="L61" s="142"/>
    </row>
    <row r="62" spans="2:12" ht="15.75" x14ac:dyDescent="0.25">
      <c r="B62" s="47" t="s">
        <v>184</v>
      </c>
      <c r="C62" s="3"/>
      <c r="D62" s="3"/>
      <c r="F62" s="142"/>
      <c r="G62" s="142"/>
      <c r="H62" s="142"/>
      <c r="I62" s="142"/>
      <c r="J62" s="188"/>
      <c r="K62" s="142"/>
      <c r="L62" s="142"/>
    </row>
    <row r="63" spans="2:12" x14ac:dyDescent="0.2">
      <c r="B63" s="2"/>
      <c r="C63" s="3"/>
      <c r="D63" s="3"/>
      <c r="F63" s="142"/>
      <c r="G63" s="142"/>
      <c r="H63" s="142"/>
      <c r="I63" s="142"/>
      <c r="J63" s="188"/>
      <c r="K63" s="142"/>
      <c r="L63" s="142"/>
    </row>
    <row r="64" spans="2:12" x14ac:dyDescent="0.2">
      <c r="B64" s="2"/>
      <c r="C64" s="3"/>
      <c r="D64" s="3"/>
      <c r="F64" s="142"/>
      <c r="G64" s="142"/>
      <c r="H64" s="142"/>
      <c r="I64" s="142"/>
      <c r="J64" s="188"/>
      <c r="K64" s="142"/>
      <c r="L64" s="142"/>
    </row>
    <row r="65" spans="2:12" x14ac:dyDescent="0.2">
      <c r="B65" s="2"/>
      <c r="C65" s="3"/>
      <c r="D65" s="3"/>
      <c r="F65" s="142"/>
      <c r="G65" s="142"/>
      <c r="H65" s="142"/>
      <c r="I65" s="142"/>
      <c r="J65" s="188"/>
      <c r="K65" s="142"/>
      <c r="L65" s="142"/>
    </row>
    <row r="66" spans="2:12" x14ac:dyDescent="0.2">
      <c r="B66" s="2"/>
      <c r="C66" s="3"/>
      <c r="D66" s="3"/>
      <c r="F66" s="142"/>
      <c r="G66" s="142"/>
      <c r="H66" s="142"/>
      <c r="I66" s="142"/>
      <c r="J66" s="188"/>
      <c r="K66" s="142"/>
      <c r="L66" s="142"/>
    </row>
    <row r="67" spans="2:12" x14ac:dyDescent="0.2">
      <c r="B67" s="2"/>
      <c r="C67" s="3"/>
      <c r="D67" s="3"/>
      <c r="F67" s="142"/>
      <c r="G67" s="142"/>
      <c r="H67" s="142"/>
      <c r="I67" s="142"/>
      <c r="J67" s="188"/>
      <c r="K67" s="142"/>
      <c r="L67" s="142"/>
    </row>
    <row r="68" spans="2:12" x14ac:dyDescent="0.2">
      <c r="B68" s="2"/>
      <c r="C68" s="3"/>
      <c r="D68" s="3"/>
      <c r="F68" s="142"/>
      <c r="G68" s="142"/>
      <c r="H68" s="142"/>
      <c r="I68" s="142"/>
      <c r="J68" s="188"/>
      <c r="K68" s="142"/>
      <c r="L68" s="142"/>
    </row>
    <row r="69" spans="2:12" x14ac:dyDescent="0.2">
      <c r="B69" s="2"/>
      <c r="C69" s="3"/>
      <c r="D69" s="3"/>
      <c r="F69" s="142"/>
      <c r="G69" s="142"/>
      <c r="H69" s="142"/>
      <c r="I69" s="142"/>
      <c r="J69" s="188"/>
      <c r="K69" s="142"/>
      <c r="L69" s="142"/>
    </row>
    <row r="70" spans="2:12" x14ac:dyDescent="0.2">
      <c r="B70" s="2"/>
      <c r="C70" s="3"/>
      <c r="D70" s="3"/>
      <c r="F70" s="142"/>
      <c r="G70" s="142"/>
      <c r="H70" s="142"/>
      <c r="I70" s="142"/>
      <c r="J70" s="188"/>
      <c r="K70" s="142"/>
      <c r="L70" s="142"/>
    </row>
    <row r="71" spans="2:12" x14ac:dyDescent="0.2">
      <c r="B71" s="2"/>
      <c r="G71" s="142"/>
      <c r="H71" s="142"/>
      <c r="I71" s="142"/>
      <c r="J71" s="188"/>
      <c r="K71" s="142"/>
      <c r="L71" s="142"/>
    </row>
    <row r="72" spans="2:12" ht="13.5" thickBot="1" x14ac:dyDescent="0.25">
      <c r="B72" s="2"/>
      <c r="G72" s="142"/>
      <c r="H72" s="142"/>
      <c r="I72" s="142"/>
      <c r="J72" s="188"/>
      <c r="K72" s="142"/>
      <c r="L72" s="142"/>
    </row>
    <row r="73" spans="2:12" x14ac:dyDescent="0.2">
      <c r="B73" s="2"/>
      <c r="C73" s="3"/>
      <c r="D73" s="129" t="s">
        <v>425</v>
      </c>
      <c r="E73" s="121"/>
      <c r="F73" s="236" t="s">
        <v>181</v>
      </c>
      <c r="G73" s="142"/>
      <c r="H73" s="142"/>
      <c r="I73" s="142"/>
      <c r="J73" s="188"/>
      <c r="K73" s="142"/>
      <c r="L73" s="142"/>
    </row>
    <row r="74" spans="2:12" ht="13.5" thickBot="1" x14ac:dyDescent="0.25">
      <c r="B74" s="2"/>
      <c r="C74" s="3"/>
      <c r="D74" s="145" t="s">
        <v>426</v>
      </c>
      <c r="E74" s="88"/>
      <c r="F74" s="237" t="s">
        <v>182</v>
      </c>
      <c r="G74" s="142"/>
      <c r="H74" s="142"/>
      <c r="I74" s="142"/>
      <c r="J74" s="188"/>
      <c r="K74" s="142"/>
      <c r="L74" s="142"/>
    </row>
    <row r="75" spans="2:12" ht="13.5" thickBot="1" x14ac:dyDescent="0.25">
      <c r="B75" s="2"/>
      <c r="C75" s="3"/>
      <c r="D75" s="22" t="s">
        <v>180</v>
      </c>
      <c r="E75" s="68" t="s">
        <v>427</v>
      </c>
      <c r="F75" s="25" t="s">
        <v>183</v>
      </c>
      <c r="G75" s="142"/>
      <c r="H75" s="142"/>
      <c r="I75" s="142"/>
      <c r="J75" s="188"/>
      <c r="K75" s="142"/>
      <c r="L75" s="142"/>
    </row>
    <row r="76" spans="2:12" x14ac:dyDescent="0.2">
      <c r="B76" s="2"/>
      <c r="C76" s="3"/>
      <c r="D76" s="126">
        <v>32</v>
      </c>
      <c r="E76" s="280">
        <v>1.94</v>
      </c>
      <c r="F76" s="122">
        <v>3.7320000000000002E-5</v>
      </c>
      <c r="G76" s="142"/>
      <c r="H76" s="164"/>
      <c r="I76" s="142"/>
      <c r="J76" s="188"/>
      <c r="K76" s="142"/>
      <c r="L76" s="142"/>
    </row>
    <row r="77" spans="2:12" x14ac:dyDescent="0.2">
      <c r="B77" s="2"/>
      <c r="C77" s="3"/>
      <c r="D77" s="127">
        <v>40</v>
      </c>
      <c r="E77" s="61">
        <v>1.94</v>
      </c>
      <c r="F77" s="123">
        <v>3.2280000000000003E-5</v>
      </c>
      <c r="G77" s="142"/>
      <c r="H77" s="142"/>
      <c r="I77" s="142"/>
      <c r="J77" s="188"/>
      <c r="K77" s="142"/>
      <c r="L77" s="142"/>
    </row>
    <row r="78" spans="2:12" x14ac:dyDescent="0.2">
      <c r="B78" s="2"/>
      <c r="C78" s="3"/>
      <c r="D78" s="127">
        <v>50</v>
      </c>
      <c r="E78" s="61">
        <v>1.94</v>
      </c>
      <c r="F78" s="128">
        <v>2.73E-5</v>
      </c>
      <c r="G78" s="142"/>
      <c r="H78" s="142"/>
      <c r="I78" s="142"/>
      <c r="J78" s="188"/>
      <c r="K78" s="142"/>
      <c r="L78" s="142"/>
    </row>
    <row r="79" spans="2:12" x14ac:dyDescent="0.2">
      <c r="B79" s="2"/>
      <c r="C79" s="3"/>
      <c r="D79" s="127">
        <v>60</v>
      </c>
      <c r="E79" s="31">
        <v>1.9379999999999999</v>
      </c>
      <c r="F79" s="123">
        <v>2.334E-5</v>
      </c>
      <c r="G79" s="142"/>
      <c r="H79" s="142"/>
      <c r="I79" s="142"/>
      <c r="J79" s="188"/>
      <c r="K79" s="142"/>
      <c r="L79" s="142"/>
    </row>
    <row r="80" spans="2:12" ht="13.5" thickBot="1" x14ac:dyDescent="0.25">
      <c r="B80" s="2"/>
      <c r="C80" s="3"/>
      <c r="D80" s="124">
        <v>70</v>
      </c>
      <c r="E80" s="34">
        <v>1.9359999999999999</v>
      </c>
      <c r="F80" s="125">
        <v>2.037E-5</v>
      </c>
      <c r="G80" s="142"/>
      <c r="H80" s="142"/>
      <c r="I80" s="142"/>
      <c r="J80" s="188"/>
      <c r="K80" s="142"/>
      <c r="L80" s="142"/>
    </row>
    <row r="81" spans="1:12" x14ac:dyDescent="0.2">
      <c r="B81" s="2"/>
      <c r="C81" s="3"/>
      <c r="D81" s="3"/>
      <c r="G81" s="142"/>
      <c r="H81" s="142"/>
      <c r="I81" s="142"/>
      <c r="J81" s="188"/>
      <c r="K81" s="142"/>
      <c r="L81" s="142"/>
    </row>
    <row r="82" spans="1:12" x14ac:dyDescent="0.2">
      <c r="B82" s="2"/>
      <c r="C82" s="3"/>
      <c r="D82" s="3"/>
      <c r="F82" s="142"/>
      <c r="G82" s="142"/>
      <c r="H82" s="142"/>
      <c r="I82" s="142"/>
      <c r="J82" s="188"/>
      <c r="K82" s="142"/>
      <c r="L82" s="142"/>
    </row>
    <row r="83" spans="1:12" x14ac:dyDescent="0.2">
      <c r="B83" s="2"/>
      <c r="C83" s="3"/>
      <c r="D83" s="3"/>
      <c r="F83" s="142"/>
      <c r="G83" s="142"/>
      <c r="H83" s="142"/>
      <c r="I83" s="142"/>
      <c r="J83" s="188"/>
      <c r="K83" s="142"/>
      <c r="L83" s="142"/>
    </row>
    <row r="84" spans="1:12" x14ac:dyDescent="0.2">
      <c r="B84" s="2"/>
      <c r="C84" s="3"/>
      <c r="D84" s="3"/>
      <c r="F84" s="142"/>
      <c r="G84" s="142"/>
      <c r="H84" s="142"/>
      <c r="I84" s="142"/>
      <c r="J84" s="188"/>
      <c r="K84" s="142"/>
      <c r="L84" s="142"/>
    </row>
    <row r="85" spans="1:12" x14ac:dyDescent="0.2">
      <c r="B85" s="2"/>
      <c r="C85" s="3"/>
      <c r="D85" s="3"/>
      <c r="F85" s="142"/>
      <c r="G85" s="142"/>
      <c r="H85" s="142"/>
      <c r="I85" s="142"/>
      <c r="J85" s="188"/>
      <c r="K85" s="142"/>
      <c r="L85" s="142"/>
    </row>
    <row r="86" spans="1:12" x14ac:dyDescent="0.2">
      <c r="B86" s="2"/>
      <c r="C86" s="3"/>
      <c r="D86" s="3"/>
      <c r="F86" s="142"/>
      <c r="G86" s="142"/>
      <c r="H86" s="142"/>
      <c r="I86" s="142"/>
      <c r="J86" s="188"/>
      <c r="K86" s="142"/>
      <c r="L86" s="142"/>
    </row>
    <row r="87" spans="1:12" x14ac:dyDescent="0.2">
      <c r="B87" s="2"/>
      <c r="C87" s="3"/>
      <c r="D87" s="3"/>
      <c r="F87" s="142"/>
      <c r="G87" s="142"/>
      <c r="H87" s="142"/>
      <c r="I87" s="142"/>
      <c r="J87" s="188"/>
      <c r="K87" s="142"/>
      <c r="L87" s="142"/>
    </row>
    <row r="88" spans="1:12" x14ac:dyDescent="0.2">
      <c r="F88" s="142"/>
      <c r="G88" s="142"/>
      <c r="H88" s="142"/>
      <c r="I88" s="142"/>
      <c r="J88" s="188"/>
      <c r="K88" s="142"/>
      <c r="L88" s="142"/>
    </row>
    <row r="89" spans="1:12" ht="14.25" x14ac:dyDescent="0.2">
      <c r="A89" s="169"/>
      <c r="B89" s="184" t="s">
        <v>242</v>
      </c>
      <c r="C89" s="142"/>
      <c r="D89" s="142"/>
      <c r="E89" s="142"/>
      <c r="F89" s="142"/>
      <c r="G89" s="142"/>
      <c r="H89" s="142"/>
      <c r="I89" s="142"/>
      <c r="J89" s="188"/>
      <c r="K89" s="142"/>
      <c r="L89" s="142"/>
    </row>
    <row r="90" spans="1:12" ht="13.5" thickBot="1" x14ac:dyDescent="0.25">
      <c r="A90" s="3"/>
      <c r="B90" s="3"/>
      <c r="F90" s="142"/>
      <c r="G90" s="142"/>
      <c r="H90" s="142"/>
      <c r="I90" s="142"/>
      <c r="J90" s="188"/>
      <c r="K90" s="142"/>
      <c r="L90" s="142"/>
    </row>
    <row r="91" spans="1:12" ht="13.5" thickBot="1" x14ac:dyDescent="0.25">
      <c r="B91" s="5" t="s">
        <v>185</v>
      </c>
      <c r="C91" s="21" t="s">
        <v>19</v>
      </c>
      <c r="D91" s="22" t="s">
        <v>20</v>
      </c>
      <c r="E91" s="23"/>
      <c r="F91" s="142"/>
      <c r="G91" s="142"/>
      <c r="H91" s="142"/>
      <c r="I91" s="142"/>
      <c r="J91" s="188"/>
      <c r="K91" s="142"/>
      <c r="L91" s="142"/>
    </row>
    <row r="92" spans="1:12" ht="13.5" thickBot="1" x14ac:dyDescent="0.25">
      <c r="B92" s="5" t="s">
        <v>186</v>
      </c>
      <c r="C92" s="24"/>
      <c r="D92" s="25" t="s">
        <v>21</v>
      </c>
      <c r="E92" s="26" t="s">
        <v>22</v>
      </c>
      <c r="F92" s="142"/>
      <c r="G92" s="142"/>
      <c r="H92" s="142"/>
      <c r="I92" s="142"/>
      <c r="J92" s="188"/>
      <c r="K92" s="142"/>
      <c r="L92" s="142"/>
    </row>
    <row r="93" spans="1:12" x14ac:dyDescent="0.2">
      <c r="B93" s="5" t="s">
        <v>208</v>
      </c>
      <c r="C93" s="27" t="s">
        <v>23</v>
      </c>
      <c r="D93" s="28">
        <f>E93*12</f>
        <v>6.0000000000000008E-5</v>
      </c>
      <c r="E93" s="29">
        <v>5.0000000000000004E-6</v>
      </c>
      <c r="F93" s="142"/>
      <c r="G93" s="142"/>
      <c r="H93" s="142"/>
      <c r="I93" s="142"/>
      <c r="J93" s="188"/>
      <c r="K93" s="142"/>
      <c r="L93" s="142"/>
    </row>
    <row r="94" spans="1:12" x14ac:dyDescent="0.2">
      <c r="B94" s="5" t="s">
        <v>209</v>
      </c>
      <c r="C94" s="30" t="s">
        <v>24</v>
      </c>
      <c r="D94" s="31">
        <f t="shared" ref="D94:D100" si="0">E94*12</f>
        <v>6.0000000000000008E-5</v>
      </c>
      <c r="E94" s="32">
        <v>5.0000000000000004E-6</v>
      </c>
      <c r="F94" s="142"/>
      <c r="G94" s="142"/>
      <c r="H94" s="142"/>
      <c r="I94" s="142"/>
      <c r="J94" s="188"/>
      <c r="K94" s="142"/>
      <c r="L94" s="142"/>
    </row>
    <row r="95" spans="1:12" x14ac:dyDescent="0.2">
      <c r="B95" s="5"/>
      <c r="C95" s="30" t="s">
        <v>25</v>
      </c>
      <c r="D95" s="31">
        <f t="shared" si="0"/>
        <v>6.0000000000000008E-5</v>
      </c>
      <c r="E95" s="32">
        <v>5.0000000000000004E-6</v>
      </c>
      <c r="F95" s="142"/>
      <c r="G95" s="142"/>
      <c r="H95" s="142"/>
      <c r="I95" s="142"/>
      <c r="J95" s="188"/>
      <c r="K95" s="142"/>
      <c r="L95" s="142"/>
    </row>
    <row r="96" spans="1:12" x14ac:dyDescent="0.2">
      <c r="B96" s="2"/>
      <c r="C96" s="30" t="s">
        <v>26</v>
      </c>
      <c r="D96" s="31">
        <f t="shared" si="0"/>
        <v>1.8E-3</v>
      </c>
      <c r="E96" s="32">
        <v>1.4999999999999999E-4</v>
      </c>
      <c r="F96" s="142"/>
      <c r="G96" s="142"/>
      <c r="H96" s="142"/>
      <c r="I96" s="142"/>
      <c r="J96" s="188"/>
      <c r="K96" s="142"/>
      <c r="L96" s="142"/>
    </row>
    <row r="97" spans="2:12" x14ac:dyDescent="0.2">
      <c r="B97" s="2"/>
      <c r="C97" s="30" t="s">
        <v>27</v>
      </c>
      <c r="D97" s="31">
        <f t="shared" si="0"/>
        <v>1.8E-3</v>
      </c>
      <c r="E97" s="32">
        <v>1.4999999999999999E-4</v>
      </c>
      <c r="F97" s="142"/>
      <c r="G97" s="142"/>
      <c r="H97" s="142"/>
      <c r="I97" s="142"/>
      <c r="J97" s="188"/>
      <c r="K97" s="142"/>
      <c r="L97" s="142"/>
    </row>
    <row r="98" spans="2:12" x14ac:dyDescent="0.2">
      <c r="B98" s="2"/>
      <c r="C98" s="30" t="s">
        <v>28</v>
      </c>
      <c r="D98" s="31">
        <f t="shared" si="0"/>
        <v>4.8000000000000004E-3</v>
      </c>
      <c r="E98" s="32">
        <v>4.0000000000000002E-4</v>
      </c>
      <c r="F98" s="142"/>
      <c r="G98" s="142"/>
      <c r="H98" s="142"/>
      <c r="I98" s="142"/>
      <c r="J98" s="188"/>
      <c r="K98" s="142"/>
      <c r="L98" s="142"/>
    </row>
    <row r="99" spans="2:12" x14ac:dyDescent="0.2">
      <c r="B99" s="2"/>
      <c r="C99" s="30" t="s">
        <v>29</v>
      </c>
      <c r="D99" s="31">
        <f t="shared" si="0"/>
        <v>6.0000000000000001E-3</v>
      </c>
      <c r="E99" s="32">
        <v>5.0000000000000001E-4</v>
      </c>
      <c r="F99" s="142"/>
      <c r="G99" s="142"/>
      <c r="H99" s="142"/>
      <c r="I99" s="142"/>
      <c r="J99" s="188"/>
      <c r="K99" s="142"/>
      <c r="L99" s="142"/>
    </row>
    <row r="100" spans="2:12" x14ac:dyDescent="0.2">
      <c r="B100" s="2"/>
      <c r="C100" s="30" t="s">
        <v>30</v>
      </c>
      <c r="D100" s="31">
        <f t="shared" si="0"/>
        <v>1.0199999999999999E-2</v>
      </c>
      <c r="E100" s="32">
        <v>8.4999999999999995E-4</v>
      </c>
      <c r="F100" s="142"/>
      <c r="G100" s="142"/>
      <c r="H100" s="142"/>
      <c r="I100" s="142"/>
      <c r="J100" s="188"/>
      <c r="K100" s="142"/>
      <c r="L100" s="142"/>
    </row>
    <row r="101" spans="2:12" ht="13.5" thickBot="1" x14ac:dyDescent="0.25">
      <c r="B101" s="2"/>
      <c r="C101" s="33" t="s">
        <v>31</v>
      </c>
      <c r="D101" s="34" t="s">
        <v>33</v>
      </c>
      <c r="E101" s="35" t="s">
        <v>32</v>
      </c>
      <c r="F101" s="142"/>
      <c r="G101" s="142"/>
      <c r="H101" s="142"/>
      <c r="I101" s="142"/>
      <c r="J101" s="188"/>
      <c r="K101" s="142"/>
      <c r="L101" s="142"/>
    </row>
    <row r="102" spans="2:12" x14ac:dyDescent="0.2">
      <c r="B102" s="2"/>
      <c r="C102" s="3"/>
      <c r="D102" s="3"/>
      <c r="F102" s="142"/>
      <c r="G102" s="142"/>
      <c r="H102" s="142"/>
      <c r="I102" s="142"/>
      <c r="J102" s="188"/>
      <c r="K102" s="142"/>
      <c r="L102" s="142"/>
    </row>
    <row r="103" spans="2:12" ht="15.75" x14ac:dyDescent="0.25">
      <c r="B103" s="47" t="s">
        <v>46</v>
      </c>
      <c r="C103" s="3"/>
      <c r="D103" s="3"/>
      <c r="F103" s="142"/>
      <c r="G103" s="142"/>
      <c r="H103" s="142"/>
      <c r="I103" s="142"/>
      <c r="J103" s="188"/>
      <c r="K103" s="142"/>
      <c r="L103" s="142"/>
    </row>
    <row r="104" spans="2:12" ht="13.5" thickBot="1" x14ac:dyDescent="0.25">
      <c r="B104" s="2"/>
      <c r="C104" s="8" t="s">
        <v>0</v>
      </c>
      <c r="D104" s="3"/>
      <c r="F104" s="142"/>
      <c r="G104" s="142"/>
      <c r="H104" s="142"/>
      <c r="I104" s="142"/>
      <c r="J104" s="188"/>
      <c r="K104" s="142"/>
      <c r="L104" s="142"/>
    </row>
    <row r="105" spans="2:12" x14ac:dyDescent="0.2">
      <c r="B105" s="2" t="s">
        <v>34</v>
      </c>
      <c r="C105" s="152" t="s">
        <v>43</v>
      </c>
      <c r="D105" s="3"/>
      <c r="F105" s="142"/>
      <c r="G105" s="142"/>
      <c r="H105" s="142"/>
      <c r="I105" s="142"/>
      <c r="J105" s="188"/>
      <c r="K105" s="142"/>
      <c r="L105" s="142"/>
    </row>
    <row r="106" spans="2:12" x14ac:dyDescent="0.2">
      <c r="B106" s="2" t="s">
        <v>4</v>
      </c>
      <c r="C106" s="153">
        <v>10000000</v>
      </c>
      <c r="D106" s="3"/>
      <c r="F106" s="142"/>
      <c r="G106" s="142"/>
      <c r="H106" s="142"/>
      <c r="I106" s="142"/>
      <c r="J106" s="188"/>
      <c r="K106" s="142"/>
      <c r="L106" s="142"/>
    </row>
    <row r="107" spans="2:12" x14ac:dyDescent="0.2">
      <c r="B107" s="2" t="s">
        <v>42</v>
      </c>
      <c r="C107" s="149" t="s">
        <v>26</v>
      </c>
      <c r="D107" s="3"/>
      <c r="F107" s="142"/>
      <c r="G107" s="142"/>
      <c r="H107" s="142"/>
      <c r="I107" s="142"/>
      <c r="J107" s="188"/>
      <c r="K107" s="142"/>
      <c r="L107" s="142"/>
    </row>
    <row r="108" spans="2:12" x14ac:dyDescent="0.2">
      <c r="B108" s="2" t="s">
        <v>38</v>
      </c>
      <c r="C108" s="148">
        <v>4</v>
      </c>
      <c r="D108" s="3" t="s">
        <v>9</v>
      </c>
      <c r="F108" s="142"/>
      <c r="G108" s="142"/>
      <c r="H108" s="142"/>
      <c r="I108" s="142"/>
      <c r="J108" s="188"/>
      <c r="K108" s="142"/>
      <c r="L108" s="142"/>
    </row>
    <row r="109" spans="2:12" x14ac:dyDescent="0.2">
      <c r="B109" s="2" t="s">
        <v>47</v>
      </c>
      <c r="C109" s="154">
        <v>1.8E-3</v>
      </c>
      <c r="D109" s="3" t="s">
        <v>9</v>
      </c>
      <c r="F109" s="142"/>
      <c r="G109" s="142"/>
      <c r="H109" s="142"/>
      <c r="I109" s="142"/>
      <c r="J109" s="188"/>
      <c r="K109" s="142"/>
      <c r="L109" s="142"/>
    </row>
    <row r="110" spans="2:12" ht="13.5" thickBot="1" x14ac:dyDescent="0.25">
      <c r="B110" s="2" t="s">
        <v>44</v>
      </c>
      <c r="C110" s="155">
        <v>100</v>
      </c>
      <c r="D110" s="3" t="s">
        <v>1</v>
      </c>
      <c r="F110" s="142"/>
      <c r="G110" s="142"/>
      <c r="H110" s="142"/>
      <c r="I110" s="142"/>
      <c r="J110" s="188"/>
      <c r="K110" s="142"/>
      <c r="L110" s="142"/>
    </row>
    <row r="111" spans="2:12" x14ac:dyDescent="0.2">
      <c r="B111" s="2"/>
      <c r="C111" s="8" t="s">
        <v>3</v>
      </c>
      <c r="D111" s="3"/>
      <c r="F111" s="142"/>
      <c r="G111" s="142"/>
      <c r="H111" s="142"/>
      <c r="I111" s="142"/>
      <c r="J111" s="188"/>
      <c r="K111" s="142"/>
      <c r="L111" s="142"/>
    </row>
    <row r="112" spans="2:12" x14ac:dyDescent="0.2">
      <c r="B112" s="15" t="s">
        <v>49</v>
      </c>
      <c r="C112" s="5">
        <f>C109/C108</f>
        <v>4.4999999999999999E-4</v>
      </c>
      <c r="D112" s="3"/>
      <c r="F112" s="142"/>
      <c r="G112" s="142"/>
      <c r="H112" s="142"/>
      <c r="I112" s="142"/>
      <c r="J112" s="188"/>
      <c r="K112" s="142"/>
      <c r="L112" s="142"/>
    </row>
    <row r="113" spans="2:12" ht="14.25" x14ac:dyDescent="0.25">
      <c r="B113" s="15" t="s">
        <v>18</v>
      </c>
      <c r="C113" s="5" t="s">
        <v>51</v>
      </c>
      <c r="D113" s="3"/>
      <c r="F113" s="142"/>
      <c r="G113" s="142"/>
      <c r="H113" s="142"/>
      <c r="I113" s="142"/>
      <c r="J113" s="188"/>
      <c r="K113" s="142"/>
      <c r="L113" s="142"/>
    </row>
    <row r="114" spans="2:12" x14ac:dyDescent="0.2">
      <c r="B114" s="15" t="s">
        <v>4</v>
      </c>
      <c r="C114" s="16">
        <f>(1.14+(2*LOG(C108/C109)))^-2</f>
        <v>1.6295961556994819E-2</v>
      </c>
      <c r="D114" s="3"/>
      <c r="F114" s="142"/>
      <c r="G114" s="142"/>
      <c r="H114" s="142"/>
      <c r="I114" s="142"/>
      <c r="J114" s="188"/>
      <c r="K114" s="142"/>
      <c r="L114" s="142"/>
    </row>
    <row r="115" spans="2:12" x14ac:dyDescent="0.2">
      <c r="F115" s="142"/>
      <c r="G115" s="142"/>
      <c r="H115" s="142"/>
      <c r="I115" s="142"/>
      <c r="J115" s="188"/>
      <c r="K115" s="142"/>
      <c r="L115" s="142"/>
    </row>
    <row r="116" spans="2:12" x14ac:dyDescent="0.2">
      <c r="F116" s="142"/>
      <c r="G116" s="142"/>
      <c r="H116" s="142"/>
      <c r="I116" s="142"/>
      <c r="J116" s="188"/>
      <c r="K116" s="142"/>
      <c r="L116" s="142"/>
    </row>
    <row r="117" spans="2:12" x14ac:dyDescent="0.2">
      <c r="B117" s="2"/>
      <c r="C117" s="3"/>
      <c r="D117" s="3"/>
      <c r="F117" s="142"/>
      <c r="G117" s="142"/>
      <c r="H117" s="142"/>
      <c r="I117" s="142"/>
      <c r="J117" s="188"/>
      <c r="K117" s="142"/>
      <c r="L117" s="142"/>
    </row>
    <row r="118" spans="2:12" x14ac:dyDescent="0.2">
      <c r="B118" s="2"/>
      <c r="C118" s="3"/>
      <c r="D118" s="3"/>
    </row>
    <row r="119" spans="2:12" ht="15.75" x14ac:dyDescent="0.25">
      <c r="B119" s="47" t="s">
        <v>165</v>
      </c>
      <c r="C119" s="3"/>
      <c r="D119" s="3"/>
      <c r="H119" s="47" t="s">
        <v>166</v>
      </c>
      <c r="I119" s="3"/>
    </row>
    <row r="120" spans="2:12" x14ac:dyDescent="0.2">
      <c r="B120" s="5" t="s">
        <v>168</v>
      </c>
      <c r="H120" s="5" t="s">
        <v>168</v>
      </c>
    </row>
    <row r="121" spans="2:12" ht="13.5" thickBot="1" x14ac:dyDescent="0.25">
      <c r="B121" s="2"/>
      <c r="C121" s="8" t="s">
        <v>0</v>
      </c>
      <c r="D121" s="3"/>
      <c r="H121" s="2"/>
      <c r="I121" s="8" t="s">
        <v>0</v>
      </c>
    </row>
    <row r="122" spans="2:12" x14ac:dyDescent="0.2">
      <c r="B122" s="2" t="s">
        <v>35</v>
      </c>
      <c r="C122" s="147">
        <v>2000</v>
      </c>
      <c r="D122" s="3" t="s">
        <v>8</v>
      </c>
      <c r="H122" s="2" t="s">
        <v>35</v>
      </c>
      <c r="I122" s="9">
        <v>273.19669723499999</v>
      </c>
      <c r="J122" s="51" t="s">
        <v>8</v>
      </c>
    </row>
    <row r="123" spans="2:12" x14ac:dyDescent="0.2">
      <c r="B123" s="2" t="s">
        <v>38</v>
      </c>
      <c r="C123" s="148">
        <v>14</v>
      </c>
      <c r="D123" s="3" t="s">
        <v>9</v>
      </c>
      <c r="H123" s="2" t="s">
        <v>38</v>
      </c>
      <c r="I123" s="10">
        <v>6</v>
      </c>
      <c r="J123" s="51" t="s">
        <v>9</v>
      </c>
    </row>
    <row r="124" spans="2:12" x14ac:dyDescent="0.2">
      <c r="B124" s="2" t="s">
        <v>47</v>
      </c>
      <c r="C124" s="156">
        <v>1.8E-3</v>
      </c>
      <c r="D124" s="3" t="s">
        <v>9</v>
      </c>
      <c r="H124" s="2" t="s">
        <v>47</v>
      </c>
      <c r="I124" s="36">
        <v>1.8E-3</v>
      </c>
      <c r="J124" s="51" t="s">
        <v>9</v>
      </c>
    </row>
    <row r="125" spans="2:12" x14ac:dyDescent="0.2">
      <c r="B125" s="2" t="s">
        <v>36</v>
      </c>
      <c r="C125" s="149">
        <v>100</v>
      </c>
      <c r="D125" s="3" t="s">
        <v>1</v>
      </c>
      <c r="H125" s="2" t="s">
        <v>36</v>
      </c>
      <c r="I125" s="11">
        <v>100</v>
      </c>
      <c r="J125" s="51" t="s">
        <v>1</v>
      </c>
    </row>
    <row r="126" spans="2:12" x14ac:dyDescent="0.2">
      <c r="B126" s="2" t="s">
        <v>192</v>
      </c>
      <c r="C126" s="150">
        <v>2.73E-5</v>
      </c>
      <c r="D126" s="3" t="s">
        <v>173</v>
      </c>
      <c r="H126" s="2" t="s">
        <v>192</v>
      </c>
      <c r="I126" s="12">
        <v>2.73E-5</v>
      </c>
      <c r="J126" s="51" t="s">
        <v>173</v>
      </c>
    </row>
    <row r="127" spans="2:12" x14ac:dyDescent="0.2">
      <c r="B127" s="131" t="s">
        <v>193</v>
      </c>
      <c r="C127" s="151">
        <v>62.468000000000004</v>
      </c>
      <c r="D127" s="3" t="s">
        <v>2</v>
      </c>
      <c r="H127" s="131" t="s">
        <v>193</v>
      </c>
      <c r="I127" s="13">
        <v>62.468000000000004</v>
      </c>
      <c r="J127" s="51" t="s">
        <v>2</v>
      </c>
    </row>
    <row r="128" spans="2:12" ht="13.5" thickBot="1" x14ac:dyDescent="0.25">
      <c r="B128" s="2" t="s">
        <v>37</v>
      </c>
      <c r="C128" s="155">
        <v>32.200000000000003</v>
      </c>
      <c r="D128" s="3" t="s">
        <v>6</v>
      </c>
      <c r="H128" s="2" t="s">
        <v>37</v>
      </c>
      <c r="I128" s="14">
        <v>32.200000000000003</v>
      </c>
      <c r="J128" s="51" t="s">
        <v>6</v>
      </c>
    </row>
    <row r="129" spans="2:10" x14ac:dyDescent="0.2">
      <c r="B129" s="2"/>
      <c r="C129" s="8" t="s">
        <v>3</v>
      </c>
      <c r="D129" s="3"/>
      <c r="H129" s="2"/>
      <c r="I129" s="8" t="s">
        <v>3</v>
      </c>
    </row>
    <row r="130" spans="2:10" x14ac:dyDescent="0.2">
      <c r="B130" s="15" t="s">
        <v>10</v>
      </c>
      <c r="C130" s="1" t="s">
        <v>69</v>
      </c>
      <c r="D130" s="5"/>
      <c r="H130" s="15" t="s">
        <v>10</v>
      </c>
      <c r="I130" s="1" t="s">
        <v>69</v>
      </c>
      <c r="J130" s="40"/>
    </row>
    <row r="131" spans="2:10" x14ac:dyDescent="0.2">
      <c r="B131" s="15" t="s">
        <v>4</v>
      </c>
      <c r="C131" s="16">
        <f>C123/12</f>
        <v>1.1666666666666667</v>
      </c>
      <c r="D131" s="5" t="s">
        <v>1</v>
      </c>
      <c r="H131" s="15" t="s">
        <v>4</v>
      </c>
      <c r="I131" s="16">
        <f>I123/12</f>
        <v>0.5</v>
      </c>
      <c r="J131" s="40" t="s">
        <v>1</v>
      </c>
    </row>
    <row r="132" spans="2:10" x14ac:dyDescent="0.2">
      <c r="B132" s="15" t="s">
        <v>169</v>
      </c>
      <c r="C132" s="114">
        <f>C124/C123</f>
        <v>1.2857142857142858E-4</v>
      </c>
      <c r="D132" s="3"/>
      <c r="H132" s="15" t="s">
        <v>169</v>
      </c>
      <c r="I132" s="114">
        <f>I124/I123</f>
        <v>2.9999999999999997E-4</v>
      </c>
    </row>
    <row r="133" spans="2:10" x14ac:dyDescent="0.2">
      <c r="B133" s="15" t="s">
        <v>39</v>
      </c>
      <c r="C133" s="1" t="s">
        <v>7</v>
      </c>
      <c r="D133" s="5"/>
      <c r="H133" s="15" t="s">
        <v>39</v>
      </c>
      <c r="I133" s="1" t="s">
        <v>7</v>
      </c>
      <c r="J133" s="40"/>
    </row>
    <row r="134" spans="2:10" x14ac:dyDescent="0.2">
      <c r="B134" s="15" t="s">
        <v>4</v>
      </c>
      <c r="C134" s="16">
        <f>3.1416*C131^2/4</f>
        <v>1.0690166666666669</v>
      </c>
      <c r="D134" s="5" t="s">
        <v>12</v>
      </c>
      <c r="H134" s="15" t="s">
        <v>4</v>
      </c>
      <c r="I134" s="16">
        <f>3.1416*I131^2/4</f>
        <v>0.19635</v>
      </c>
      <c r="J134" s="40" t="s">
        <v>12</v>
      </c>
    </row>
    <row r="135" spans="2:10" x14ac:dyDescent="0.2">
      <c r="B135" s="15" t="s">
        <v>40</v>
      </c>
      <c r="C135" s="5" t="s">
        <v>17</v>
      </c>
      <c r="D135" s="5"/>
      <c r="H135" s="15" t="s">
        <v>40</v>
      </c>
      <c r="I135" s="5" t="s">
        <v>17</v>
      </c>
      <c r="J135" s="40"/>
    </row>
    <row r="136" spans="2:10" x14ac:dyDescent="0.2">
      <c r="B136" s="15" t="s">
        <v>4</v>
      </c>
      <c r="C136" s="17">
        <f>C122/ 448.831</f>
        <v>4.4560201946835223</v>
      </c>
      <c r="D136" s="5" t="s">
        <v>13</v>
      </c>
      <c r="H136" s="15" t="s">
        <v>4</v>
      </c>
      <c r="I136" s="17">
        <f>I122/ 448.831</f>
        <v>0.60868499999999992</v>
      </c>
      <c r="J136" s="40" t="s">
        <v>13</v>
      </c>
    </row>
    <row r="137" spans="2:10" x14ac:dyDescent="0.2">
      <c r="B137" s="15" t="s">
        <v>41</v>
      </c>
      <c r="C137" s="5" t="s">
        <v>11</v>
      </c>
      <c r="D137" s="5"/>
      <c r="H137" s="15" t="s">
        <v>41</v>
      </c>
      <c r="I137" s="5" t="s">
        <v>11</v>
      </c>
      <c r="J137" s="40"/>
    </row>
    <row r="138" spans="2:10" x14ac:dyDescent="0.2">
      <c r="B138" s="15" t="s">
        <v>4</v>
      </c>
      <c r="C138" s="18">
        <f>C136/C134</f>
        <v>4.1683355682170724</v>
      </c>
      <c r="D138" s="5" t="s">
        <v>14</v>
      </c>
      <c r="H138" s="15" t="s">
        <v>4</v>
      </c>
      <c r="I138" s="18">
        <f>I136/I134</f>
        <v>3.0999999999999996</v>
      </c>
      <c r="J138" s="40" t="s">
        <v>14</v>
      </c>
    </row>
    <row r="139" spans="2:10" ht="15.75" x14ac:dyDescent="0.3">
      <c r="B139" s="15" t="s">
        <v>195</v>
      </c>
      <c r="C139" s="5" t="s">
        <v>15</v>
      </c>
      <c r="D139" s="5"/>
      <c r="H139" s="15" t="s">
        <v>195</v>
      </c>
      <c r="I139" s="5" t="s">
        <v>15</v>
      </c>
      <c r="J139" s="40"/>
    </row>
    <row r="140" spans="2:10" x14ac:dyDescent="0.2">
      <c r="B140" s="15" t="s">
        <v>4</v>
      </c>
      <c r="C140" s="16">
        <f>C127/32.2</f>
        <v>1.94</v>
      </c>
      <c r="D140" s="5" t="s">
        <v>16</v>
      </c>
      <c r="H140" s="15" t="s">
        <v>4</v>
      </c>
      <c r="I140" s="16">
        <f>I127/32.2</f>
        <v>1.94</v>
      </c>
      <c r="J140" s="40" t="s">
        <v>16</v>
      </c>
    </row>
    <row r="141" spans="2:10" x14ac:dyDescent="0.2">
      <c r="B141" s="15" t="s">
        <v>34</v>
      </c>
      <c r="C141" s="5" t="s">
        <v>50</v>
      </c>
      <c r="D141" s="5"/>
      <c r="H141" s="15" t="s">
        <v>34</v>
      </c>
      <c r="I141" s="5" t="s">
        <v>50</v>
      </c>
      <c r="J141" s="40"/>
    </row>
    <row r="142" spans="2:10" x14ac:dyDescent="0.2">
      <c r="B142" s="15" t="s">
        <v>4</v>
      </c>
      <c r="C142" s="19">
        <f>C131*C138*C140/C126</f>
        <v>345579.95736500516</v>
      </c>
      <c r="D142" s="5"/>
      <c r="H142" s="15" t="s">
        <v>4</v>
      </c>
      <c r="I142" s="19">
        <f>I131*I138*I140/I126</f>
        <v>110146.52014652014</v>
      </c>
      <c r="J142" s="40"/>
    </row>
    <row r="143" spans="2:10" x14ac:dyDescent="0.2">
      <c r="B143" s="15" t="s">
        <v>4</v>
      </c>
      <c r="C143" s="20">
        <f>C142</f>
        <v>345579.95736500516</v>
      </c>
      <c r="D143" s="5"/>
      <c r="H143" s="15" t="s">
        <v>4</v>
      </c>
      <c r="I143" s="20">
        <f>I142</f>
        <v>110146.52014652014</v>
      </c>
      <c r="J143" s="40"/>
    </row>
    <row r="144" spans="2:10" ht="14.25" x14ac:dyDescent="0.25">
      <c r="B144" s="15" t="s">
        <v>18</v>
      </c>
      <c r="C144" s="5" t="s">
        <v>167</v>
      </c>
      <c r="D144" s="3"/>
      <c r="H144" s="15" t="s">
        <v>18</v>
      </c>
      <c r="I144" s="5" t="s">
        <v>51</v>
      </c>
    </row>
    <row r="145" spans="2:10" x14ac:dyDescent="0.2">
      <c r="B145" s="15" t="s">
        <v>58</v>
      </c>
      <c r="C145" s="16">
        <f>(1.14 + (2* LOG(C123/C124)))^-2</f>
        <v>1.2563298884481827E-2</v>
      </c>
      <c r="D145" s="3"/>
      <c r="H145" s="15" t="s">
        <v>58</v>
      </c>
      <c r="I145" s="16">
        <f>(1.14 + (2* LOG(I123/I124)))^-2</f>
        <v>1.4923897295808928E-2</v>
      </c>
    </row>
    <row r="146" spans="2:10" ht="15.75" x14ac:dyDescent="0.3">
      <c r="B146" s="15" t="s">
        <v>162</v>
      </c>
      <c r="C146" s="5" t="s">
        <v>48</v>
      </c>
      <c r="D146" s="3"/>
      <c r="H146" s="15" t="s">
        <v>162</v>
      </c>
      <c r="I146" s="5" t="s">
        <v>48</v>
      </c>
    </row>
    <row r="147" spans="2:10" x14ac:dyDescent="0.2">
      <c r="B147" s="15" t="s">
        <v>4</v>
      </c>
      <c r="C147" s="17">
        <f>C145*(C125/C131)*(C138^2/(2*C128))</f>
        <v>0.29053361191949667</v>
      </c>
      <c r="D147" s="5" t="s">
        <v>1</v>
      </c>
      <c r="H147" s="15" t="s">
        <v>4</v>
      </c>
      <c r="I147" s="17">
        <f>I145*(I125/I131)*(I138^2/(2*I128))</f>
        <v>0.44539954351777561</v>
      </c>
      <c r="J147" s="40" t="s">
        <v>1</v>
      </c>
    </row>
    <row r="148" spans="2:10" ht="14.25" x14ac:dyDescent="0.25">
      <c r="B148" s="15" t="s">
        <v>116</v>
      </c>
      <c r="C148" s="5" t="s">
        <v>68</v>
      </c>
      <c r="D148" s="5"/>
      <c r="H148" s="15" t="s">
        <v>52</v>
      </c>
      <c r="I148" s="5" t="s">
        <v>68</v>
      </c>
      <c r="J148" s="40"/>
    </row>
    <row r="149" spans="2:10" x14ac:dyDescent="0.2">
      <c r="B149" s="15" t="s">
        <v>4</v>
      </c>
      <c r="C149" s="48">
        <f>C140*C128*C147</f>
        <v>18.149053669387119</v>
      </c>
      <c r="D149" s="5" t="s">
        <v>53</v>
      </c>
      <c r="H149" s="15" t="s">
        <v>4</v>
      </c>
      <c r="I149" s="48">
        <f>I140*I128*I147</f>
        <v>27.823218684468408</v>
      </c>
      <c r="J149" s="40" t="s">
        <v>53</v>
      </c>
    </row>
    <row r="150" spans="2:10" x14ac:dyDescent="0.2">
      <c r="B150" s="15" t="s">
        <v>115</v>
      </c>
      <c r="C150" s="5" t="s">
        <v>55</v>
      </c>
      <c r="D150" s="5"/>
      <c r="H150" s="15" t="s">
        <v>56</v>
      </c>
      <c r="I150" s="5" t="s">
        <v>55</v>
      </c>
      <c r="J150" s="40"/>
    </row>
    <row r="151" spans="2:10" x14ac:dyDescent="0.2">
      <c r="B151" s="15" t="s">
        <v>4</v>
      </c>
      <c r="C151" s="17">
        <f>C149/144</f>
        <v>0.12603509492629944</v>
      </c>
      <c r="D151" s="5" t="s">
        <v>54</v>
      </c>
      <c r="H151" s="15" t="s">
        <v>4</v>
      </c>
      <c r="I151" s="17">
        <f>I149/144</f>
        <v>0.19321679641991951</v>
      </c>
      <c r="J151" s="40" t="s">
        <v>54</v>
      </c>
    </row>
    <row r="152" spans="2:10" x14ac:dyDescent="0.2">
      <c r="B152" s="2"/>
      <c r="C152" s="3"/>
      <c r="D152" s="3"/>
      <c r="H152" s="2"/>
      <c r="I152" s="3"/>
    </row>
    <row r="153" spans="2:10" x14ac:dyDescent="0.2">
      <c r="B153" s="2"/>
      <c r="C153" s="3"/>
      <c r="D153" s="3"/>
      <c r="H153" s="2"/>
      <c r="I153" s="3"/>
    </row>
    <row r="154" spans="2:10" x14ac:dyDescent="0.2">
      <c r="B154" s="2"/>
      <c r="C154" s="3"/>
      <c r="D154" s="3"/>
      <c r="H154" s="2"/>
      <c r="I154" s="3"/>
    </row>
    <row r="155" spans="2:10" x14ac:dyDescent="0.2">
      <c r="B155" s="2"/>
      <c r="C155" s="3"/>
      <c r="D155" s="3"/>
      <c r="H155" s="15"/>
      <c r="I155" s="37"/>
    </row>
    <row r="156" spans="2:10" x14ac:dyDescent="0.2">
      <c r="B156" s="2"/>
      <c r="C156" s="3"/>
      <c r="D156" s="3"/>
      <c r="H156" s="2"/>
      <c r="I156" s="3"/>
    </row>
    <row r="157" spans="2:10" x14ac:dyDescent="0.2">
      <c r="B157" s="2"/>
      <c r="C157" s="3"/>
      <c r="D157" s="3"/>
      <c r="H157" s="2"/>
      <c r="I157" s="3"/>
    </row>
    <row r="158" spans="2:10" x14ac:dyDescent="0.2">
      <c r="B158" s="2"/>
      <c r="C158" s="3"/>
      <c r="D158" s="3"/>
      <c r="H158" s="2"/>
      <c r="I158" s="3"/>
    </row>
    <row r="159" spans="2:10" x14ac:dyDescent="0.2">
      <c r="B159" s="2"/>
      <c r="C159" s="3"/>
      <c r="D159" s="3"/>
      <c r="H159" s="2"/>
      <c r="I159" s="3"/>
    </row>
    <row r="160" spans="2:10" ht="15.75" x14ac:dyDescent="0.25">
      <c r="B160" s="47" t="s">
        <v>196</v>
      </c>
      <c r="C160" s="3"/>
      <c r="D160" s="3"/>
      <c r="H160" s="47" t="s">
        <v>197</v>
      </c>
      <c r="I160" s="3"/>
    </row>
    <row r="161" spans="2:10" ht="13.5" thickBot="1" x14ac:dyDescent="0.25">
      <c r="B161" s="2"/>
      <c r="C161" s="8" t="s">
        <v>0</v>
      </c>
      <c r="D161" s="3"/>
      <c r="H161" s="2"/>
      <c r="I161" s="8" t="s">
        <v>0</v>
      </c>
    </row>
    <row r="162" spans="2:10" x14ac:dyDescent="0.2">
      <c r="B162" s="2" t="s">
        <v>35</v>
      </c>
      <c r="C162" s="147">
        <v>6</v>
      </c>
      <c r="D162" s="3" t="s">
        <v>8</v>
      </c>
      <c r="E162" s="71"/>
      <c r="H162" s="2" t="s">
        <v>35</v>
      </c>
      <c r="I162" s="272">
        <v>6</v>
      </c>
      <c r="J162" s="51" t="s">
        <v>8</v>
      </c>
    </row>
    <row r="163" spans="2:10" x14ac:dyDescent="0.2">
      <c r="B163" s="2" t="s">
        <v>38</v>
      </c>
      <c r="C163" s="148">
        <v>4</v>
      </c>
      <c r="D163" s="3" t="s">
        <v>9</v>
      </c>
      <c r="E163" s="72"/>
      <c r="H163" s="2" t="s">
        <v>38</v>
      </c>
      <c r="I163" s="208">
        <v>4</v>
      </c>
      <c r="J163" s="51" t="s">
        <v>9</v>
      </c>
    </row>
    <row r="164" spans="2:10" x14ac:dyDescent="0.2">
      <c r="B164" s="2" t="s">
        <v>47</v>
      </c>
      <c r="C164" s="156">
        <v>1.8E-3</v>
      </c>
      <c r="D164" s="3" t="s">
        <v>9</v>
      </c>
      <c r="E164" s="94"/>
      <c r="H164" s="2" t="s">
        <v>47</v>
      </c>
      <c r="I164" s="273">
        <v>1.8E-3</v>
      </c>
      <c r="J164" s="51" t="s">
        <v>9</v>
      </c>
    </row>
    <row r="165" spans="2:10" x14ac:dyDescent="0.2">
      <c r="B165" s="2" t="s">
        <v>36</v>
      </c>
      <c r="C165" s="149">
        <v>100</v>
      </c>
      <c r="D165" s="3" t="s">
        <v>1</v>
      </c>
      <c r="E165" s="6"/>
      <c r="H165" s="2" t="s">
        <v>36</v>
      </c>
      <c r="I165" s="274">
        <v>100</v>
      </c>
      <c r="J165" s="51" t="s">
        <v>1</v>
      </c>
    </row>
    <row r="166" spans="2:10" x14ac:dyDescent="0.2">
      <c r="B166" s="2" t="s">
        <v>192</v>
      </c>
      <c r="C166" s="150">
        <v>2.73E-5</v>
      </c>
      <c r="D166" s="3" t="s">
        <v>173</v>
      </c>
      <c r="E166" s="95"/>
      <c r="H166" s="2" t="s">
        <v>192</v>
      </c>
      <c r="I166" s="275">
        <v>2.73E-5</v>
      </c>
      <c r="J166" s="51" t="s">
        <v>173</v>
      </c>
    </row>
    <row r="167" spans="2:10" x14ac:dyDescent="0.2">
      <c r="B167" s="131" t="s">
        <v>193</v>
      </c>
      <c r="C167" s="151">
        <v>62.468000000000004</v>
      </c>
      <c r="D167" s="3" t="s">
        <v>2</v>
      </c>
      <c r="E167" s="96"/>
      <c r="H167" s="131" t="s">
        <v>193</v>
      </c>
      <c r="I167" s="276">
        <v>62.468000000000004</v>
      </c>
      <c r="J167" s="51" t="s">
        <v>2</v>
      </c>
    </row>
    <row r="168" spans="2:10" ht="13.5" thickBot="1" x14ac:dyDescent="0.25">
      <c r="B168" s="2" t="s">
        <v>37</v>
      </c>
      <c r="C168" s="155">
        <v>32.200000000000003</v>
      </c>
      <c r="D168" s="3" t="s">
        <v>6</v>
      </c>
      <c r="E168" s="6"/>
      <c r="H168" s="2" t="s">
        <v>37</v>
      </c>
      <c r="I168" s="277">
        <v>32.200000000000003</v>
      </c>
      <c r="J168" s="51" t="s">
        <v>6</v>
      </c>
    </row>
    <row r="169" spans="2:10" x14ac:dyDescent="0.2">
      <c r="B169" s="2"/>
      <c r="C169" s="8" t="s">
        <v>3</v>
      </c>
      <c r="D169" s="3"/>
      <c r="H169" s="2"/>
      <c r="I169" s="8" t="s">
        <v>3</v>
      </c>
    </row>
    <row r="170" spans="2:10" x14ac:dyDescent="0.2">
      <c r="B170" s="15" t="s">
        <v>10</v>
      </c>
      <c r="C170" s="1" t="s">
        <v>69</v>
      </c>
      <c r="D170" s="5"/>
      <c r="H170" s="15" t="s">
        <v>10</v>
      </c>
      <c r="I170" s="1" t="s">
        <v>69</v>
      </c>
      <c r="J170" s="40"/>
    </row>
    <row r="171" spans="2:10" x14ac:dyDescent="0.2">
      <c r="B171" s="15" t="s">
        <v>4</v>
      </c>
      <c r="C171" s="16">
        <f>C163/12</f>
        <v>0.33333333333333331</v>
      </c>
      <c r="D171" s="5" t="s">
        <v>1</v>
      </c>
      <c r="H171" s="15" t="s">
        <v>4</v>
      </c>
      <c r="I171" s="16">
        <f>I163/12</f>
        <v>0.33333333333333331</v>
      </c>
      <c r="J171" s="40" t="s">
        <v>1</v>
      </c>
    </row>
    <row r="172" spans="2:10" x14ac:dyDescent="0.2">
      <c r="B172" s="15" t="s">
        <v>49</v>
      </c>
      <c r="C172" s="16">
        <f>(C164*12)/C163</f>
        <v>5.4000000000000003E-3</v>
      </c>
      <c r="D172" s="3"/>
      <c r="H172" s="15" t="s">
        <v>49</v>
      </c>
      <c r="I172" s="16">
        <f>(I164*12)/I163</f>
        <v>5.4000000000000003E-3</v>
      </c>
    </row>
    <row r="173" spans="2:10" x14ac:dyDescent="0.2">
      <c r="B173" s="15" t="s">
        <v>39</v>
      </c>
      <c r="C173" s="1" t="s">
        <v>7</v>
      </c>
      <c r="D173" s="5"/>
      <c r="H173" s="15" t="s">
        <v>39</v>
      </c>
      <c r="I173" s="1" t="s">
        <v>7</v>
      </c>
      <c r="J173" s="40"/>
    </row>
    <row r="174" spans="2:10" x14ac:dyDescent="0.2">
      <c r="B174" s="15" t="s">
        <v>4</v>
      </c>
      <c r="C174" s="16">
        <f>3.1416*C171^2/4</f>
        <v>8.7266666666666659E-2</v>
      </c>
      <c r="D174" s="5" t="s">
        <v>12</v>
      </c>
      <c r="H174" s="15" t="s">
        <v>4</v>
      </c>
      <c r="I174" s="16">
        <f>3.1416*I171^2/4</f>
        <v>8.7266666666666659E-2</v>
      </c>
      <c r="J174" s="40" t="s">
        <v>12</v>
      </c>
    </row>
    <row r="175" spans="2:10" x14ac:dyDescent="0.2">
      <c r="B175" s="15" t="s">
        <v>40</v>
      </c>
      <c r="C175" s="5" t="s">
        <v>17</v>
      </c>
      <c r="D175" s="5"/>
      <c r="H175" s="15" t="s">
        <v>40</v>
      </c>
      <c r="I175" s="5" t="s">
        <v>17</v>
      </c>
      <c r="J175" s="40"/>
    </row>
    <row r="176" spans="2:10" x14ac:dyDescent="0.2">
      <c r="B176" s="15" t="s">
        <v>4</v>
      </c>
      <c r="C176" s="17">
        <f>C162/ 448.831</f>
        <v>1.3368060584050566E-2</v>
      </c>
      <c r="D176" s="5" t="s">
        <v>13</v>
      </c>
      <c r="H176" s="15" t="s">
        <v>4</v>
      </c>
      <c r="I176" s="17">
        <f>I162/ 448.831</f>
        <v>1.3368060584050566E-2</v>
      </c>
      <c r="J176" s="40" t="s">
        <v>13</v>
      </c>
    </row>
    <row r="177" spans="2:10" x14ac:dyDescent="0.2">
      <c r="B177" s="15" t="s">
        <v>41</v>
      </c>
      <c r="C177" s="5" t="s">
        <v>11</v>
      </c>
      <c r="D177" s="5"/>
      <c r="F177" s="84"/>
      <c r="H177" s="15" t="s">
        <v>41</v>
      </c>
      <c r="I177" s="5" t="s">
        <v>11</v>
      </c>
      <c r="J177" s="40"/>
    </row>
    <row r="178" spans="2:10" x14ac:dyDescent="0.2">
      <c r="B178" s="15" t="s">
        <v>4</v>
      </c>
      <c r="C178" s="17">
        <f>C176/C174</f>
        <v>0.15318633213197747</v>
      </c>
      <c r="D178" s="5" t="s">
        <v>14</v>
      </c>
      <c r="F178" s="84"/>
      <c r="H178" s="15" t="s">
        <v>4</v>
      </c>
      <c r="I178" s="17">
        <f>I176/I174</f>
        <v>0.15318633213197747</v>
      </c>
      <c r="J178" s="40" t="s">
        <v>14</v>
      </c>
    </row>
    <row r="179" spans="2:10" ht="15.75" x14ac:dyDescent="0.3">
      <c r="B179" s="15" t="s">
        <v>195</v>
      </c>
      <c r="C179" s="5" t="s">
        <v>15</v>
      </c>
      <c r="D179" s="5"/>
      <c r="F179" s="115"/>
      <c r="H179" s="15" t="s">
        <v>195</v>
      </c>
      <c r="I179" s="5" t="s">
        <v>15</v>
      </c>
      <c r="J179" s="40"/>
    </row>
    <row r="180" spans="2:10" x14ac:dyDescent="0.2">
      <c r="B180" s="15" t="s">
        <v>4</v>
      </c>
      <c r="C180" s="16">
        <f>C167/32.2</f>
        <v>1.94</v>
      </c>
      <c r="D180" s="5" t="s">
        <v>16</v>
      </c>
      <c r="F180" s="84"/>
      <c r="H180" s="15" t="s">
        <v>4</v>
      </c>
      <c r="I180" s="16">
        <f>I167/32.2</f>
        <v>1.94</v>
      </c>
      <c r="J180" s="40" t="s">
        <v>16</v>
      </c>
    </row>
    <row r="181" spans="2:10" ht="14.25" x14ac:dyDescent="0.25">
      <c r="B181" s="15" t="s">
        <v>34</v>
      </c>
      <c r="C181" s="5" t="s">
        <v>67</v>
      </c>
      <c r="D181" s="37"/>
      <c r="E181" s="115"/>
      <c r="H181" s="15" t="s">
        <v>34</v>
      </c>
      <c r="I181" s="5" t="s">
        <v>50</v>
      </c>
      <c r="J181" s="40"/>
    </row>
    <row r="182" spans="2:10" x14ac:dyDescent="0.2">
      <c r="B182" s="15" t="s">
        <v>4</v>
      </c>
      <c r="C182" s="19">
        <f>C171*C178*C180/C166</f>
        <v>3628.5895523325548</v>
      </c>
      <c r="D182" s="115" t="str">
        <f>IF(C182&gt;4000,"Re&gt;4,000 not OK", "Re&lt;4,000 OK")</f>
        <v>Re&lt;4,000 OK</v>
      </c>
      <c r="E182" s="115"/>
      <c r="H182" s="15" t="s">
        <v>4</v>
      </c>
      <c r="I182" s="19">
        <f>I171*I178*I180/I166</f>
        <v>3628.5895523325548</v>
      </c>
      <c r="J182" s="189" t="str">
        <f>IF(I182&gt;4000,"Re&gt;4,000 not OK", "Re&lt;4,000 OK")</f>
        <v>Re&lt;4,000 OK</v>
      </c>
    </row>
    <row r="183" spans="2:10" x14ac:dyDescent="0.2">
      <c r="B183" s="15" t="s">
        <v>4</v>
      </c>
      <c r="C183" s="20">
        <f>C182</f>
        <v>3628.5895523325548</v>
      </c>
      <c r="D183" s="5"/>
      <c r="H183" s="15" t="s">
        <v>4</v>
      </c>
      <c r="I183" s="20">
        <f>I182</f>
        <v>3628.5895523325548</v>
      </c>
      <c r="J183" s="40"/>
    </row>
    <row r="184" spans="2:10" ht="15" thickBot="1" x14ac:dyDescent="0.3">
      <c r="B184" s="15" t="s">
        <v>18</v>
      </c>
      <c r="C184" s="5" t="s">
        <v>51</v>
      </c>
      <c r="D184" s="3"/>
      <c r="H184" s="15" t="s">
        <v>18</v>
      </c>
      <c r="I184" s="5" t="s">
        <v>51</v>
      </c>
    </row>
    <row r="185" spans="2:10" ht="13.5" thickBot="1" x14ac:dyDescent="0.25">
      <c r="B185" s="15" t="s">
        <v>58</v>
      </c>
      <c r="C185" s="157">
        <f>(1.14 + (2* LOG(C163/C164)))^-2</f>
        <v>1.6295961556994819E-2</v>
      </c>
      <c r="D185" s="3"/>
      <c r="H185" s="15" t="s">
        <v>58</v>
      </c>
      <c r="I185" s="49">
        <f>(1.14 + (2* LOG(I163/I164)))^-2</f>
        <v>1.6295961556994819E-2</v>
      </c>
    </row>
    <row r="186" spans="2:10" x14ac:dyDescent="0.2">
      <c r="B186" s="5" t="s">
        <v>222</v>
      </c>
      <c r="C186" s="3"/>
      <c r="D186" s="3"/>
      <c r="H186" s="2"/>
      <c r="I186" s="3"/>
    </row>
    <row r="187" spans="2:10" x14ac:dyDescent="0.2">
      <c r="B187" s="2"/>
      <c r="C187" s="3"/>
      <c r="D187" s="3"/>
      <c r="I187" s="3"/>
    </row>
    <row r="188" spans="2:10" ht="15.75" x14ac:dyDescent="0.25">
      <c r="B188" s="47" t="s">
        <v>198</v>
      </c>
      <c r="C188" s="3"/>
      <c r="D188" s="3"/>
      <c r="H188" s="47" t="s">
        <v>199</v>
      </c>
    </row>
    <row r="189" spans="2:10" x14ac:dyDescent="0.2">
      <c r="B189" s="2"/>
      <c r="C189" s="3"/>
      <c r="D189" s="3"/>
    </row>
    <row r="190" spans="2:10" x14ac:dyDescent="0.2">
      <c r="B190" s="2"/>
      <c r="C190" s="3"/>
      <c r="D190" s="3"/>
    </row>
    <row r="191" spans="2:10" x14ac:dyDescent="0.2">
      <c r="B191" s="2"/>
      <c r="C191" s="3"/>
      <c r="D191" s="3"/>
    </row>
    <row r="192" spans="2:10" x14ac:dyDescent="0.2">
      <c r="B192" s="2"/>
      <c r="C192" s="3"/>
      <c r="D192" s="3"/>
    </row>
    <row r="193" spans="2:10" x14ac:dyDescent="0.2">
      <c r="B193" s="2"/>
      <c r="C193" s="3"/>
      <c r="D193" s="3"/>
    </row>
    <row r="194" spans="2:10" x14ac:dyDescent="0.2">
      <c r="B194" s="2"/>
      <c r="C194" s="3"/>
      <c r="D194" s="3"/>
    </row>
    <row r="195" spans="2:10" x14ac:dyDescent="0.2">
      <c r="B195" s="2"/>
      <c r="C195" s="3"/>
      <c r="D195" s="3"/>
    </row>
    <row r="196" spans="2:10" ht="13.5" thickBot="1" x14ac:dyDescent="0.25">
      <c r="B196" s="2"/>
      <c r="C196" s="3"/>
      <c r="D196" s="3"/>
    </row>
    <row r="197" spans="2:10" ht="13.5" thickBot="1" x14ac:dyDescent="0.25">
      <c r="B197" s="15" t="s">
        <v>200</v>
      </c>
      <c r="C197" s="157">
        <v>3.104714429705329E-2</v>
      </c>
      <c r="D197" s="3"/>
      <c r="H197" s="15" t="s">
        <v>200</v>
      </c>
      <c r="I197" s="49">
        <v>3.104492842806203E-2</v>
      </c>
    </row>
    <row r="198" spans="2:10" x14ac:dyDescent="0.2">
      <c r="B198" s="15" t="s">
        <v>201</v>
      </c>
      <c r="C198" s="5" t="s">
        <v>59</v>
      </c>
      <c r="D198" s="3"/>
      <c r="H198" s="15" t="s">
        <v>201</v>
      </c>
      <c r="I198" s="5" t="s">
        <v>59</v>
      </c>
    </row>
    <row r="199" spans="2:10" ht="13.5" thickBot="1" x14ac:dyDescent="0.25">
      <c r="B199" s="15" t="s">
        <v>61</v>
      </c>
      <c r="C199" s="5" t="s">
        <v>60</v>
      </c>
      <c r="D199" s="3"/>
      <c r="H199" s="15" t="s">
        <v>61</v>
      </c>
      <c r="I199" s="5" t="s">
        <v>60</v>
      </c>
    </row>
    <row r="200" spans="2:10" ht="13.5" thickBot="1" x14ac:dyDescent="0.25">
      <c r="B200" s="15" t="s">
        <v>479</v>
      </c>
      <c r="C200" s="278">
        <f>(((-2 * LOG((C172) / 3.7)) + (2.51 / (C182 * C197^0.5)))^-2) / C197</f>
        <v>0.9999164242368962</v>
      </c>
      <c r="D200" s="3"/>
      <c r="H200" s="15" t="s">
        <v>479</v>
      </c>
      <c r="I200" s="279">
        <f>(((-2 * LOG((I172) / 3.7)) + (2.51 / (I182 * I197^0.5)))^-2) / I197</f>
        <v>0.99998774510120902</v>
      </c>
    </row>
    <row r="201" spans="2:10" x14ac:dyDescent="0.2">
      <c r="B201" s="15" t="s">
        <v>480</v>
      </c>
      <c r="C201" s="3"/>
      <c r="D201" s="3"/>
      <c r="H201" s="15" t="s">
        <v>480</v>
      </c>
      <c r="I201" s="3"/>
    </row>
    <row r="202" spans="2:10" x14ac:dyDescent="0.2">
      <c r="B202" s="2"/>
      <c r="C202" s="3"/>
      <c r="D202" s="3"/>
      <c r="H202" s="2"/>
      <c r="I202" s="3"/>
    </row>
    <row r="203" spans="2:10" ht="15.75" x14ac:dyDescent="0.25">
      <c r="B203" s="47" t="s">
        <v>202</v>
      </c>
      <c r="H203" s="47" t="s">
        <v>63</v>
      </c>
    </row>
    <row r="204" spans="2:10" ht="13.5" thickBot="1" x14ac:dyDescent="0.25">
      <c r="C204" s="8" t="s">
        <v>62</v>
      </c>
      <c r="D204" s="3"/>
      <c r="I204" s="8" t="s">
        <v>62</v>
      </c>
    </row>
    <row r="205" spans="2:10" ht="13.5" thickBot="1" x14ac:dyDescent="0.25">
      <c r="B205" s="15" t="s">
        <v>203</v>
      </c>
      <c r="C205" s="157">
        <v>3.1E-2</v>
      </c>
      <c r="D205" s="3"/>
      <c r="H205" s="15" t="s">
        <v>203</v>
      </c>
      <c r="I205" s="49">
        <v>3.1E-2</v>
      </c>
    </row>
    <row r="206" spans="2:10" x14ac:dyDescent="0.2">
      <c r="C206" s="8" t="s">
        <v>3</v>
      </c>
      <c r="H206" s="2"/>
      <c r="I206" s="8" t="s">
        <v>3</v>
      </c>
    </row>
    <row r="207" spans="2:10" ht="14.25" x14ac:dyDescent="0.25">
      <c r="B207" s="15" t="s">
        <v>57</v>
      </c>
      <c r="C207" s="5" t="s">
        <v>48</v>
      </c>
      <c r="D207" s="3"/>
      <c r="H207" s="15" t="s">
        <v>57</v>
      </c>
      <c r="I207" s="5" t="s">
        <v>48</v>
      </c>
    </row>
    <row r="208" spans="2:10" x14ac:dyDescent="0.2">
      <c r="B208" s="15" t="s">
        <v>4</v>
      </c>
      <c r="C208" s="16">
        <f>C205*(C165/C171)*(C178^2/(2*C168))</f>
        <v>3.3887311626405463E-3</v>
      </c>
      <c r="D208" s="5" t="s">
        <v>1</v>
      </c>
      <c r="H208" s="15" t="s">
        <v>4</v>
      </c>
      <c r="I208" s="16">
        <f>I205*(I165/I171)*(I178^2/(2*I168))</f>
        <v>3.3887311626405463E-3</v>
      </c>
      <c r="J208" s="40" t="s">
        <v>1</v>
      </c>
    </row>
    <row r="209" spans="2:12" ht="14.25" x14ac:dyDescent="0.25">
      <c r="B209" s="15" t="s">
        <v>116</v>
      </c>
      <c r="C209" s="5" t="s">
        <v>68</v>
      </c>
      <c r="D209" s="5"/>
      <c r="H209" s="15" t="s">
        <v>52</v>
      </c>
      <c r="I209" s="5" t="s">
        <v>68</v>
      </c>
      <c r="J209" s="40"/>
    </row>
    <row r="210" spans="2:12" x14ac:dyDescent="0.2">
      <c r="B210" s="15" t="s">
        <v>4</v>
      </c>
      <c r="C210" s="17">
        <f>C180*C168*C208</f>
        <v>0.21168725826782966</v>
      </c>
      <c r="D210" s="5" t="s">
        <v>53</v>
      </c>
      <c r="H210" s="15" t="s">
        <v>4</v>
      </c>
      <c r="I210" s="17">
        <f>I180*I168*I208</f>
        <v>0.21168725826782966</v>
      </c>
      <c r="J210" s="40" t="s">
        <v>53</v>
      </c>
    </row>
    <row r="211" spans="2:12" x14ac:dyDescent="0.2">
      <c r="B211" s="15" t="s">
        <v>115</v>
      </c>
      <c r="C211" s="5" t="s">
        <v>55</v>
      </c>
      <c r="D211" s="5"/>
      <c r="H211" s="15" t="s">
        <v>56</v>
      </c>
      <c r="I211" s="5" t="s">
        <v>55</v>
      </c>
      <c r="J211" s="40"/>
    </row>
    <row r="212" spans="2:12" x14ac:dyDescent="0.2">
      <c r="B212" s="15" t="s">
        <v>4</v>
      </c>
      <c r="C212" s="17">
        <f>C210/144</f>
        <v>1.470050404637706E-3</v>
      </c>
      <c r="D212" s="5" t="s">
        <v>54</v>
      </c>
      <c r="H212" s="15" t="s">
        <v>4</v>
      </c>
      <c r="I212" s="17">
        <f>I210/144</f>
        <v>1.470050404637706E-3</v>
      </c>
      <c r="J212" s="40" t="s">
        <v>54</v>
      </c>
    </row>
    <row r="213" spans="2:12" x14ac:dyDescent="0.2">
      <c r="B213" s="2"/>
      <c r="C213" s="3"/>
      <c r="D213" s="3"/>
      <c r="G213" s="142"/>
      <c r="H213" s="142"/>
      <c r="I213" s="142"/>
      <c r="J213" s="188"/>
      <c r="K213" s="142"/>
      <c r="L213" s="142"/>
    </row>
    <row r="214" spans="2:12" x14ac:dyDescent="0.2">
      <c r="C214" s="3"/>
      <c r="D214" s="3"/>
      <c r="F214" s="142"/>
      <c r="G214" s="142"/>
      <c r="H214" s="142"/>
      <c r="I214" s="142"/>
      <c r="J214" s="188"/>
      <c r="K214" s="142"/>
      <c r="L214" s="142"/>
    </row>
    <row r="215" spans="2:12" x14ac:dyDescent="0.2">
      <c r="F215" s="142"/>
      <c r="G215" s="142"/>
      <c r="H215" s="142"/>
      <c r="I215" s="142"/>
      <c r="J215" s="188"/>
      <c r="K215" s="142"/>
      <c r="L215" s="142"/>
    </row>
    <row r="216" spans="2:12" x14ac:dyDescent="0.2">
      <c r="F216" s="142"/>
      <c r="G216" s="142"/>
      <c r="H216" s="142"/>
      <c r="I216" s="142"/>
      <c r="J216" s="188"/>
      <c r="K216" s="142"/>
      <c r="L216" s="142"/>
    </row>
    <row r="217" spans="2:12" ht="15.75" x14ac:dyDescent="0.25">
      <c r="B217" s="47" t="s">
        <v>64</v>
      </c>
      <c r="C217" s="3"/>
      <c r="D217" s="3"/>
      <c r="F217" s="142"/>
      <c r="G217" s="142"/>
      <c r="H217" s="142"/>
      <c r="I217" s="142"/>
      <c r="J217" s="188"/>
      <c r="K217" s="142"/>
      <c r="L217" s="142"/>
    </row>
    <row r="218" spans="2:12" ht="13.5" thickBot="1" x14ac:dyDescent="0.25">
      <c r="B218" s="2"/>
      <c r="C218" s="8" t="s">
        <v>0</v>
      </c>
      <c r="D218" s="3"/>
      <c r="F218" s="142"/>
      <c r="G218" s="142"/>
      <c r="H218" s="142"/>
      <c r="I218" s="142"/>
      <c r="J218" s="188"/>
      <c r="K218" s="142"/>
      <c r="L218" s="142"/>
    </row>
    <row r="219" spans="2:12" x14ac:dyDescent="0.2">
      <c r="B219" s="2" t="s">
        <v>35</v>
      </c>
      <c r="C219" s="147">
        <v>269.29860000000002</v>
      </c>
      <c r="D219" s="3" t="s">
        <v>8</v>
      </c>
      <c r="F219" s="142"/>
      <c r="G219" s="142"/>
      <c r="H219" s="142"/>
      <c r="I219" s="142"/>
      <c r="J219" s="188"/>
      <c r="K219" s="142"/>
      <c r="L219" s="142"/>
    </row>
    <row r="220" spans="2:12" x14ac:dyDescent="0.2">
      <c r="B220" s="2" t="s">
        <v>38</v>
      </c>
      <c r="C220" s="148">
        <v>3</v>
      </c>
      <c r="D220" s="3" t="s">
        <v>9</v>
      </c>
      <c r="F220" s="142"/>
      <c r="G220" s="142"/>
      <c r="H220" s="142"/>
      <c r="I220" s="142"/>
      <c r="J220" s="188"/>
      <c r="K220" s="142"/>
      <c r="L220" s="142"/>
    </row>
    <row r="221" spans="2:12" x14ac:dyDescent="0.2">
      <c r="B221" s="2" t="s">
        <v>47</v>
      </c>
      <c r="C221" s="156">
        <v>5.0000000000000001E-4</v>
      </c>
      <c r="D221" s="3" t="s">
        <v>1</v>
      </c>
      <c r="F221" s="142"/>
      <c r="G221" s="142"/>
      <c r="H221" s="142"/>
      <c r="I221" s="142"/>
      <c r="J221" s="188"/>
      <c r="K221" s="142"/>
      <c r="L221" s="142"/>
    </row>
    <row r="222" spans="2:12" x14ac:dyDescent="0.2">
      <c r="B222" s="2" t="s">
        <v>36</v>
      </c>
      <c r="C222" s="149">
        <v>100</v>
      </c>
      <c r="D222" s="3" t="s">
        <v>1</v>
      </c>
      <c r="F222" s="142"/>
      <c r="G222" s="142"/>
      <c r="H222" s="142"/>
      <c r="I222" s="142"/>
      <c r="J222" s="188"/>
      <c r="K222" s="142"/>
      <c r="L222" s="142"/>
    </row>
    <row r="223" spans="2:12" x14ac:dyDescent="0.2">
      <c r="B223" s="2" t="s">
        <v>192</v>
      </c>
      <c r="C223" s="150">
        <v>2.73E-5</v>
      </c>
      <c r="D223" s="3" t="s">
        <v>173</v>
      </c>
      <c r="F223" s="142"/>
      <c r="G223" s="142"/>
      <c r="H223" s="142"/>
      <c r="I223" s="142"/>
      <c r="J223" s="188"/>
      <c r="K223" s="142"/>
      <c r="L223" s="142"/>
    </row>
    <row r="224" spans="2:12" x14ac:dyDescent="0.2">
      <c r="B224" s="131" t="s">
        <v>193</v>
      </c>
      <c r="C224" s="151">
        <v>62.468000000000004</v>
      </c>
      <c r="D224" s="3" t="s">
        <v>2</v>
      </c>
      <c r="F224" s="142"/>
      <c r="G224" s="142"/>
      <c r="H224" s="142"/>
      <c r="I224" s="142"/>
      <c r="J224" s="188"/>
      <c r="K224" s="142"/>
      <c r="L224" s="142"/>
    </row>
    <row r="225" spans="2:12" ht="13.5" thickBot="1" x14ac:dyDescent="0.25">
      <c r="B225" s="2" t="s">
        <v>37</v>
      </c>
      <c r="C225" s="155">
        <v>32.200000000000003</v>
      </c>
      <c r="D225" s="3" t="s">
        <v>6</v>
      </c>
      <c r="F225" s="142"/>
      <c r="G225" s="142"/>
      <c r="H225" s="142"/>
      <c r="I225" s="142"/>
      <c r="J225" s="188"/>
      <c r="K225" s="142"/>
      <c r="L225" s="142"/>
    </row>
    <row r="226" spans="2:12" x14ac:dyDescent="0.2">
      <c r="B226" s="2"/>
      <c r="C226" s="8" t="s">
        <v>3</v>
      </c>
      <c r="D226" s="3"/>
      <c r="F226" s="142"/>
      <c r="G226" s="142"/>
      <c r="H226" s="142"/>
      <c r="I226" s="142"/>
      <c r="J226" s="188"/>
      <c r="K226" s="142"/>
      <c r="L226" s="142"/>
    </row>
    <row r="227" spans="2:12" x14ac:dyDescent="0.2">
      <c r="B227" s="15" t="s">
        <v>10</v>
      </c>
      <c r="C227" s="1" t="s">
        <v>69</v>
      </c>
      <c r="D227" s="5"/>
      <c r="F227" s="142"/>
      <c r="G227" s="142"/>
      <c r="H227" s="142"/>
      <c r="I227" s="142"/>
      <c r="J227" s="188"/>
      <c r="K227" s="142"/>
      <c r="L227" s="142"/>
    </row>
    <row r="228" spans="2:12" x14ac:dyDescent="0.2">
      <c r="B228" s="15" t="s">
        <v>4</v>
      </c>
      <c r="C228" s="16">
        <f>C220/12</f>
        <v>0.25</v>
      </c>
      <c r="D228" s="5" t="s">
        <v>1</v>
      </c>
      <c r="F228" s="142"/>
      <c r="G228" s="142"/>
      <c r="H228" s="142"/>
      <c r="I228" s="142"/>
      <c r="J228" s="188"/>
      <c r="K228" s="142"/>
      <c r="L228" s="142"/>
    </row>
    <row r="229" spans="2:12" x14ac:dyDescent="0.2">
      <c r="B229" s="15" t="s">
        <v>49</v>
      </c>
      <c r="C229" s="16">
        <f>(C221*12)/C220</f>
        <v>2E-3</v>
      </c>
      <c r="D229" s="3"/>
      <c r="F229" s="142"/>
      <c r="G229" s="142"/>
      <c r="H229" s="142"/>
      <c r="I229" s="142"/>
      <c r="J229" s="188"/>
      <c r="K229" s="142"/>
      <c r="L229" s="142"/>
    </row>
    <row r="230" spans="2:12" x14ac:dyDescent="0.2">
      <c r="B230" s="15" t="s">
        <v>39</v>
      </c>
      <c r="C230" s="1" t="s">
        <v>7</v>
      </c>
      <c r="D230" s="5"/>
      <c r="F230" s="142"/>
      <c r="G230" s="142"/>
      <c r="H230" s="142"/>
      <c r="I230" s="142"/>
      <c r="J230" s="188"/>
      <c r="K230" s="142"/>
      <c r="L230" s="142"/>
    </row>
    <row r="231" spans="2:12" x14ac:dyDescent="0.2">
      <c r="B231" s="15" t="s">
        <v>4</v>
      </c>
      <c r="C231" s="16">
        <f>3.1416*C228^2/4</f>
        <v>4.9087499999999999E-2</v>
      </c>
      <c r="D231" s="5" t="s">
        <v>12</v>
      </c>
      <c r="F231" s="142"/>
      <c r="G231" s="142"/>
      <c r="H231" s="142"/>
      <c r="I231" s="142"/>
      <c r="J231" s="188"/>
      <c r="K231" s="142"/>
      <c r="L231" s="142"/>
    </row>
    <row r="232" spans="2:12" x14ac:dyDescent="0.2">
      <c r="B232" s="15" t="s">
        <v>40</v>
      </c>
      <c r="C232" s="5" t="s">
        <v>17</v>
      </c>
      <c r="D232" s="5"/>
      <c r="F232" s="142"/>
      <c r="G232" s="142"/>
      <c r="H232" s="142"/>
      <c r="I232" s="142"/>
      <c r="J232" s="188"/>
      <c r="K232" s="142"/>
      <c r="L232" s="142"/>
    </row>
    <row r="233" spans="2:12" x14ac:dyDescent="0.2">
      <c r="B233" s="15" t="s">
        <v>4</v>
      </c>
      <c r="C233" s="17">
        <f>C219/ 448.831</f>
        <v>0.6</v>
      </c>
      <c r="D233" s="5" t="s">
        <v>13</v>
      </c>
      <c r="F233" s="142"/>
      <c r="G233" s="142"/>
      <c r="H233" s="142"/>
      <c r="I233" s="142"/>
      <c r="J233" s="188"/>
      <c r="K233" s="142"/>
      <c r="L233" s="142"/>
    </row>
    <row r="234" spans="2:12" x14ac:dyDescent="0.2">
      <c r="B234" s="15" t="s">
        <v>41</v>
      </c>
      <c r="C234" s="5" t="s">
        <v>11</v>
      </c>
      <c r="D234" s="5"/>
      <c r="F234" s="142"/>
      <c r="G234" s="142"/>
      <c r="H234" s="142"/>
      <c r="I234" s="142"/>
      <c r="J234" s="188"/>
      <c r="K234" s="142"/>
      <c r="L234" s="142"/>
    </row>
    <row r="235" spans="2:12" x14ac:dyDescent="0.2">
      <c r="B235" s="15" t="s">
        <v>4</v>
      </c>
      <c r="C235" s="17">
        <f>C233/C231</f>
        <v>12.223071046600458</v>
      </c>
      <c r="D235" s="5" t="s">
        <v>14</v>
      </c>
      <c r="F235" s="142"/>
      <c r="G235" s="142"/>
      <c r="H235" s="142"/>
      <c r="I235" s="142"/>
      <c r="J235" s="188"/>
      <c r="K235" s="142"/>
      <c r="L235" s="142"/>
    </row>
    <row r="236" spans="2:12" ht="15.75" x14ac:dyDescent="0.3">
      <c r="B236" s="15" t="s">
        <v>195</v>
      </c>
      <c r="C236" s="5" t="s">
        <v>15</v>
      </c>
      <c r="D236" s="5"/>
      <c r="F236" s="142"/>
      <c r="G236" s="142"/>
      <c r="H236" s="142"/>
      <c r="I236" s="142"/>
      <c r="J236" s="188"/>
      <c r="K236" s="142"/>
      <c r="L236" s="142"/>
    </row>
    <row r="237" spans="2:12" x14ac:dyDescent="0.2">
      <c r="B237" s="15" t="s">
        <v>4</v>
      </c>
      <c r="C237" s="16">
        <f>C224/32.2</f>
        <v>1.94</v>
      </c>
      <c r="D237" s="5" t="s">
        <v>16</v>
      </c>
      <c r="F237" s="142"/>
      <c r="G237" s="142"/>
      <c r="H237" s="142"/>
      <c r="I237" s="142"/>
      <c r="J237" s="188"/>
      <c r="K237" s="142"/>
      <c r="L237" s="142"/>
    </row>
    <row r="238" spans="2:12" ht="14.25" x14ac:dyDescent="0.25">
      <c r="B238" s="15" t="s">
        <v>34</v>
      </c>
      <c r="C238" s="5" t="s">
        <v>67</v>
      </c>
      <c r="D238" s="5"/>
      <c r="F238" s="142"/>
      <c r="G238" s="142"/>
      <c r="H238" s="142"/>
      <c r="I238" s="142"/>
      <c r="J238" s="188"/>
      <c r="K238" s="142"/>
      <c r="L238" s="142"/>
    </row>
    <row r="239" spans="2:12" x14ac:dyDescent="0.2">
      <c r="B239" s="15" t="s">
        <v>4</v>
      </c>
      <c r="C239" s="19">
        <f>C228*C235*C237/C223</f>
        <v>217149.79698172974</v>
      </c>
      <c r="D239" s="5"/>
      <c r="F239" s="142"/>
      <c r="G239" s="142"/>
      <c r="H239" s="142"/>
      <c r="I239" s="142"/>
      <c r="J239" s="188"/>
      <c r="K239" s="142"/>
      <c r="L239" s="142"/>
    </row>
    <row r="240" spans="2:12" x14ac:dyDescent="0.2">
      <c r="B240" s="15" t="s">
        <v>4</v>
      </c>
      <c r="C240" s="20">
        <f>C239</f>
        <v>217149.79698172974</v>
      </c>
      <c r="D240" s="5"/>
      <c r="F240" s="142"/>
      <c r="G240" s="142"/>
      <c r="H240" s="142"/>
      <c r="I240" s="142"/>
      <c r="J240" s="188"/>
      <c r="K240" s="142"/>
      <c r="L240" s="142"/>
    </row>
    <row r="241" spans="2:12" x14ac:dyDescent="0.2">
      <c r="B241" s="15" t="s">
        <v>66</v>
      </c>
      <c r="C241" s="5" t="s">
        <v>65</v>
      </c>
      <c r="D241" s="3"/>
      <c r="F241" s="142"/>
      <c r="G241" s="142"/>
      <c r="H241" s="142"/>
      <c r="I241" s="142"/>
      <c r="J241" s="188"/>
      <c r="K241" s="142"/>
      <c r="L241" s="142"/>
    </row>
    <row r="242" spans="2:12" x14ac:dyDescent="0.2">
      <c r="B242" s="15" t="s">
        <v>4</v>
      </c>
      <c r="C242" s="16">
        <f>0.316 / (C239^0.25)</f>
        <v>1.4638521863483299E-2</v>
      </c>
      <c r="D242" s="3"/>
      <c r="F242" s="142"/>
      <c r="G242" s="142"/>
      <c r="H242" s="142"/>
      <c r="I242" s="142"/>
      <c r="J242" s="188"/>
      <c r="K242" s="142"/>
      <c r="L242" s="142"/>
    </row>
    <row r="243" spans="2:12" ht="15.75" x14ac:dyDescent="0.3">
      <c r="B243" s="15" t="s">
        <v>162</v>
      </c>
      <c r="C243" s="5" t="s">
        <v>48</v>
      </c>
      <c r="D243" s="3"/>
      <c r="F243" s="142"/>
      <c r="G243" s="142"/>
      <c r="H243" s="142"/>
      <c r="I243" s="142"/>
      <c r="J243" s="188"/>
      <c r="K243" s="142"/>
      <c r="L243" s="142"/>
    </row>
    <row r="244" spans="2:12" x14ac:dyDescent="0.2">
      <c r="B244" s="15" t="s">
        <v>4</v>
      </c>
      <c r="C244" s="18">
        <f>C242*(C222/C228)*(C235^2/(2*C225))</f>
        <v>13.58413602946219</v>
      </c>
      <c r="D244" s="5" t="s">
        <v>1</v>
      </c>
      <c r="F244" s="142"/>
      <c r="G244" s="142"/>
      <c r="H244" s="142"/>
      <c r="I244" s="142"/>
      <c r="J244" s="188"/>
      <c r="K244" s="142"/>
      <c r="L244" s="142"/>
    </row>
    <row r="245" spans="2:12" ht="14.25" x14ac:dyDescent="0.25">
      <c r="B245" s="15" t="s">
        <v>116</v>
      </c>
      <c r="C245" s="5" t="s">
        <v>68</v>
      </c>
      <c r="D245" s="5"/>
      <c r="F245" s="142"/>
      <c r="G245" s="142"/>
      <c r="H245" s="142"/>
      <c r="I245" s="142"/>
      <c r="J245" s="188"/>
      <c r="K245" s="142"/>
      <c r="L245" s="142"/>
    </row>
    <row r="246" spans="2:12" x14ac:dyDescent="0.2">
      <c r="B246" s="15" t="s">
        <v>4</v>
      </c>
      <c r="C246" s="18">
        <f>C237 * C225 * C244</f>
        <v>848.57380948844411</v>
      </c>
      <c r="D246" s="5" t="s">
        <v>53</v>
      </c>
      <c r="F246" s="142"/>
      <c r="G246" s="142"/>
      <c r="H246" s="142"/>
      <c r="I246" s="142"/>
      <c r="J246" s="188"/>
      <c r="K246" s="142"/>
      <c r="L246" s="142"/>
    </row>
    <row r="247" spans="2:12" x14ac:dyDescent="0.2">
      <c r="B247" s="15" t="s">
        <v>115</v>
      </c>
      <c r="C247" s="5" t="s">
        <v>55</v>
      </c>
      <c r="D247" s="5"/>
      <c r="F247" s="142"/>
      <c r="G247" s="142"/>
      <c r="H247" s="142"/>
      <c r="I247" s="142"/>
      <c r="J247" s="188"/>
      <c r="K247" s="142"/>
      <c r="L247" s="142"/>
    </row>
    <row r="248" spans="2:12" x14ac:dyDescent="0.2">
      <c r="B248" s="15" t="s">
        <v>4</v>
      </c>
      <c r="C248" s="17">
        <f>C246/144</f>
        <v>5.8928736770030845</v>
      </c>
      <c r="D248" s="5" t="s">
        <v>54</v>
      </c>
      <c r="F248" s="142"/>
      <c r="G248" s="142"/>
      <c r="H248" s="142"/>
      <c r="I248" s="142"/>
      <c r="J248" s="188"/>
      <c r="K248" s="142"/>
      <c r="L248" s="142"/>
    </row>
    <row r="249" spans="2:12" x14ac:dyDescent="0.2">
      <c r="B249" s="2"/>
      <c r="C249" s="3"/>
      <c r="D249" s="3"/>
      <c r="F249" s="142"/>
      <c r="G249" s="142"/>
      <c r="H249" s="142"/>
      <c r="I249" s="142"/>
      <c r="J249" s="188"/>
      <c r="K249" s="142"/>
      <c r="L249" s="142"/>
    </row>
    <row r="250" spans="2:12" x14ac:dyDescent="0.2">
      <c r="B250" s="2"/>
      <c r="C250" s="3"/>
      <c r="D250" s="3"/>
      <c r="F250" s="142"/>
      <c r="G250" s="142"/>
      <c r="H250" s="142"/>
      <c r="I250" s="142"/>
      <c r="J250" s="188"/>
      <c r="K250" s="142"/>
      <c r="L250" s="142"/>
    </row>
    <row r="251" spans="2:12" ht="15.75" x14ac:dyDescent="0.25">
      <c r="B251" s="47" t="s">
        <v>85</v>
      </c>
      <c r="C251" s="3"/>
      <c r="D251" s="3"/>
      <c r="F251" s="142"/>
      <c r="G251" s="142"/>
      <c r="H251" s="142"/>
      <c r="I251" s="142"/>
      <c r="J251" s="188"/>
      <c r="K251" s="142"/>
      <c r="L251" s="142"/>
    </row>
    <row r="252" spans="2:12" ht="13.5" thickBot="1" x14ac:dyDescent="0.25">
      <c r="B252" s="5" t="s">
        <v>86</v>
      </c>
      <c r="C252" s="3"/>
      <c r="D252" s="3"/>
      <c r="F252" s="142"/>
      <c r="G252" s="142"/>
      <c r="H252" s="142"/>
      <c r="I252" s="142"/>
      <c r="J252" s="188"/>
      <c r="K252" s="142"/>
      <c r="L252" s="142"/>
    </row>
    <row r="253" spans="2:12" ht="13.5" thickBot="1" x14ac:dyDescent="0.25">
      <c r="B253" s="2"/>
      <c r="C253" s="3"/>
      <c r="D253" s="3"/>
      <c r="E253" s="70" t="s">
        <v>0</v>
      </c>
      <c r="F253" s="142"/>
      <c r="G253" s="142"/>
      <c r="H253" s="142"/>
      <c r="I253" s="178"/>
      <c r="J253" s="188"/>
      <c r="K253" s="142"/>
      <c r="L253" s="142"/>
    </row>
    <row r="254" spans="2:12" ht="13.5" thickBot="1" x14ac:dyDescent="0.25">
      <c r="B254" s="2"/>
      <c r="C254" s="50" t="s">
        <v>92</v>
      </c>
      <c r="D254" s="113" t="s">
        <v>112</v>
      </c>
      <c r="E254" s="25" t="s">
        <v>204</v>
      </c>
      <c r="F254" s="173" t="s">
        <v>237</v>
      </c>
      <c r="G254" s="142"/>
      <c r="H254" s="142"/>
      <c r="I254" s="178"/>
      <c r="J254" s="188"/>
      <c r="K254" s="142"/>
      <c r="L254" s="142"/>
    </row>
    <row r="255" spans="2:12" x14ac:dyDescent="0.2">
      <c r="B255" s="2"/>
      <c r="C255" s="11" t="s">
        <v>87</v>
      </c>
      <c r="D255" s="59">
        <v>0.45</v>
      </c>
      <c r="E255" s="166">
        <v>5</v>
      </c>
      <c r="F255" s="174">
        <f>E255*D255</f>
        <v>2.25</v>
      </c>
      <c r="G255" s="166"/>
      <c r="H255" s="142"/>
      <c r="I255" s="166"/>
      <c r="J255" s="166"/>
      <c r="K255" s="142"/>
      <c r="L255" s="142"/>
    </row>
    <row r="256" spans="2:12" x14ac:dyDescent="0.2">
      <c r="B256" s="2"/>
      <c r="C256" s="11" t="s">
        <v>88</v>
      </c>
      <c r="D256" s="59">
        <v>0.75</v>
      </c>
      <c r="E256" s="166">
        <v>0</v>
      </c>
      <c r="F256" s="175">
        <f t="shared" ref="F256:F278" si="1">E256*D256</f>
        <v>0</v>
      </c>
      <c r="G256" s="166"/>
      <c r="H256" s="142"/>
      <c r="I256" s="166"/>
      <c r="J256" s="166"/>
      <c r="K256" s="142"/>
      <c r="L256" s="142"/>
    </row>
    <row r="257" spans="2:12" x14ac:dyDescent="0.2">
      <c r="B257" s="2"/>
      <c r="C257" s="11" t="s">
        <v>89</v>
      </c>
      <c r="D257" s="59">
        <v>0.2</v>
      </c>
      <c r="E257" s="166">
        <v>0</v>
      </c>
      <c r="F257" s="175">
        <f t="shared" si="1"/>
        <v>0</v>
      </c>
      <c r="G257" s="166"/>
      <c r="H257" s="142"/>
      <c r="I257" s="166"/>
      <c r="J257" s="166"/>
      <c r="K257" s="142"/>
      <c r="L257" s="142"/>
    </row>
    <row r="258" spans="2:12" x14ac:dyDescent="0.2">
      <c r="B258" s="2"/>
      <c r="C258" s="11" t="s">
        <v>90</v>
      </c>
      <c r="D258" s="59">
        <v>0.35</v>
      </c>
      <c r="E258" s="166">
        <v>0</v>
      </c>
      <c r="F258" s="175">
        <f t="shared" si="1"/>
        <v>0</v>
      </c>
      <c r="G258" s="166"/>
      <c r="H258" s="142"/>
      <c r="I258" s="166"/>
      <c r="J258" s="166"/>
      <c r="K258" s="142"/>
      <c r="L258" s="142"/>
    </row>
    <row r="259" spans="2:12" x14ac:dyDescent="0.2">
      <c r="B259" s="2"/>
      <c r="C259" s="11" t="s">
        <v>91</v>
      </c>
      <c r="D259" s="59">
        <v>1.5</v>
      </c>
      <c r="E259" s="166">
        <v>0</v>
      </c>
      <c r="F259" s="175">
        <f t="shared" si="1"/>
        <v>0</v>
      </c>
      <c r="G259" s="166"/>
      <c r="H259" s="142"/>
      <c r="I259" s="166"/>
      <c r="J259" s="166"/>
      <c r="K259" s="142"/>
      <c r="L259" s="142"/>
    </row>
    <row r="260" spans="2:12" x14ac:dyDescent="0.2">
      <c r="B260" s="2"/>
      <c r="C260" s="11" t="s">
        <v>94</v>
      </c>
      <c r="D260" s="59">
        <v>1</v>
      </c>
      <c r="E260" s="166">
        <v>0</v>
      </c>
      <c r="F260" s="175">
        <f t="shared" si="1"/>
        <v>0</v>
      </c>
      <c r="G260" s="166"/>
      <c r="H260" s="142"/>
      <c r="I260" s="166"/>
      <c r="J260" s="166"/>
      <c r="K260" s="142"/>
      <c r="L260" s="142"/>
    </row>
    <row r="261" spans="2:12" x14ac:dyDescent="0.2">
      <c r="B261" s="2"/>
      <c r="C261" s="11" t="s">
        <v>93</v>
      </c>
      <c r="D261" s="59">
        <v>1</v>
      </c>
      <c r="E261" s="166">
        <v>0</v>
      </c>
      <c r="F261" s="175">
        <f t="shared" si="1"/>
        <v>0</v>
      </c>
      <c r="G261" s="166"/>
      <c r="H261" s="142"/>
      <c r="I261" s="166"/>
      <c r="J261" s="166"/>
      <c r="K261" s="142"/>
      <c r="L261" s="142"/>
    </row>
    <row r="262" spans="2:12" x14ac:dyDescent="0.2">
      <c r="B262" s="2"/>
      <c r="C262" s="11" t="s">
        <v>95</v>
      </c>
      <c r="D262" s="59">
        <v>0.04</v>
      </c>
      <c r="E262" s="166">
        <v>0</v>
      </c>
      <c r="F262" s="175">
        <f t="shared" si="1"/>
        <v>0</v>
      </c>
      <c r="G262" s="166"/>
      <c r="H262" s="142"/>
      <c r="I262" s="166"/>
      <c r="J262" s="166"/>
      <c r="K262" s="142"/>
      <c r="L262" s="142"/>
    </row>
    <row r="263" spans="2:12" x14ac:dyDescent="0.2">
      <c r="B263" s="2"/>
      <c r="C263" s="11" t="s">
        <v>96</v>
      </c>
      <c r="D263" s="59">
        <v>0.04</v>
      </c>
      <c r="E263" s="166">
        <v>0</v>
      </c>
      <c r="F263" s="175">
        <f t="shared" si="1"/>
        <v>0</v>
      </c>
      <c r="G263" s="166"/>
      <c r="H263" s="142"/>
      <c r="I263" s="166"/>
      <c r="J263" s="166"/>
      <c r="K263" s="142"/>
      <c r="L263" s="142"/>
    </row>
    <row r="264" spans="2:12" x14ac:dyDescent="0.2">
      <c r="B264" s="2"/>
      <c r="C264" s="11" t="s">
        <v>97</v>
      </c>
      <c r="D264" s="59">
        <v>0.17</v>
      </c>
      <c r="E264" s="166">
        <v>0</v>
      </c>
      <c r="F264" s="175">
        <f t="shared" si="1"/>
        <v>0</v>
      </c>
      <c r="G264" s="166"/>
      <c r="H264" s="142"/>
      <c r="I264" s="166"/>
      <c r="J264" s="166"/>
      <c r="K264" s="142"/>
      <c r="L264" s="142"/>
    </row>
    <row r="265" spans="2:12" x14ac:dyDescent="0.2">
      <c r="B265" s="2"/>
      <c r="C265" s="11" t="s">
        <v>100</v>
      </c>
      <c r="D265" s="59">
        <v>0.9</v>
      </c>
      <c r="E265" s="166">
        <v>0</v>
      </c>
      <c r="F265" s="175">
        <f t="shared" si="1"/>
        <v>0</v>
      </c>
      <c r="G265" s="166"/>
      <c r="H265" s="142"/>
      <c r="I265" s="166"/>
      <c r="J265" s="166"/>
      <c r="K265" s="142"/>
      <c r="L265" s="142"/>
    </row>
    <row r="266" spans="2:12" x14ac:dyDescent="0.2">
      <c r="B266" s="2"/>
      <c r="C266" s="11" t="s">
        <v>99</v>
      </c>
      <c r="D266" s="59">
        <v>4.5</v>
      </c>
      <c r="E266" s="166">
        <v>5</v>
      </c>
      <c r="F266" s="175">
        <f t="shared" si="1"/>
        <v>22.5</v>
      </c>
      <c r="G266" s="166"/>
      <c r="H266" s="142"/>
      <c r="I266" s="166"/>
      <c r="J266" s="166"/>
      <c r="K266" s="142"/>
      <c r="L266" s="142"/>
    </row>
    <row r="267" spans="2:12" x14ac:dyDescent="0.2">
      <c r="B267" s="2"/>
      <c r="C267" s="11" t="s">
        <v>98</v>
      </c>
      <c r="D267" s="58">
        <v>24</v>
      </c>
      <c r="E267" s="166">
        <v>0</v>
      </c>
      <c r="F267" s="175">
        <f t="shared" si="1"/>
        <v>0</v>
      </c>
      <c r="G267" s="166"/>
      <c r="H267" s="142"/>
      <c r="I267" s="166"/>
      <c r="J267" s="166"/>
      <c r="K267" s="142"/>
      <c r="L267" s="142"/>
    </row>
    <row r="268" spans="2:12" x14ac:dyDescent="0.2">
      <c r="B268" s="2"/>
      <c r="C268" s="11" t="s">
        <v>101</v>
      </c>
      <c r="D268" s="59">
        <v>6</v>
      </c>
      <c r="E268" s="166">
        <v>0</v>
      </c>
      <c r="F268" s="175">
        <f t="shared" si="1"/>
        <v>0</v>
      </c>
      <c r="G268" s="166"/>
      <c r="H268" s="142"/>
      <c r="I268" s="166"/>
      <c r="J268" s="166"/>
      <c r="K268" s="142"/>
      <c r="L268" s="142"/>
    </row>
    <row r="269" spans="2:12" x14ac:dyDescent="0.2">
      <c r="B269" s="2"/>
      <c r="C269" s="11" t="s">
        <v>102</v>
      </c>
      <c r="D269" s="59">
        <v>9.5</v>
      </c>
      <c r="E269" s="166">
        <v>5</v>
      </c>
      <c r="F269" s="175">
        <f t="shared" si="1"/>
        <v>47.5</v>
      </c>
      <c r="G269" s="166"/>
      <c r="H269" s="142"/>
      <c r="I269" s="166"/>
      <c r="J269" s="166"/>
      <c r="K269" s="142"/>
      <c r="L269" s="142"/>
    </row>
    <row r="270" spans="2:12" x14ac:dyDescent="0.2">
      <c r="B270" s="2"/>
      <c r="C270" s="11" t="s">
        <v>103</v>
      </c>
      <c r="D270" s="59">
        <v>3</v>
      </c>
      <c r="E270" s="166">
        <v>0</v>
      </c>
      <c r="F270" s="175">
        <f t="shared" si="1"/>
        <v>0</v>
      </c>
      <c r="G270" s="166"/>
      <c r="H270" s="142"/>
      <c r="I270" s="166"/>
      <c r="J270" s="166"/>
      <c r="K270" s="142"/>
      <c r="L270" s="142"/>
    </row>
    <row r="271" spans="2:12" x14ac:dyDescent="0.2">
      <c r="B271" s="2"/>
      <c r="C271" s="11" t="s">
        <v>104</v>
      </c>
      <c r="D271" s="59">
        <v>0.24</v>
      </c>
      <c r="E271" s="166">
        <v>0</v>
      </c>
      <c r="F271" s="175">
        <f t="shared" si="1"/>
        <v>0</v>
      </c>
      <c r="G271" s="166"/>
      <c r="H271" s="142"/>
      <c r="I271" s="166"/>
      <c r="J271" s="166"/>
      <c r="K271" s="142"/>
      <c r="L271" s="142"/>
    </row>
    <row r="272" spans="2:12" x14ac:dyDescent="0.2">
      <c r="B272" s="2"/>
      <c r="C272" s="11" t="s">
        <v>105</v>
      </c>
      <c r="D272" s="59">
        <v>0.52</v>
      </c>
      <c r="E272" s="166">
        <v>0</v>
      </c>
      <c r="F272" s="175">
        <f t="shared" si="1"/>
        <v>0</v>
      </c>
      <c r="G272" s="166"/>
      <c r="H272" s="142"/>
      <c r="I272" s="166"/>
      <c r="J272" s="166"/>
      <c r="K272" s="142"/>
      <c r="L272" s="142"/>
    </row>
    <row r="273" spans="2:12" x14ac:dyDescent="0.2">
      <c r="B273" s="2"/>
      <c r="C273" s="11" t="s">
        <v>106</v>
      </c>
      <c r="D273" s="59">
        <v>1.54</v>
      </c>
      <c r="E273" s="166">
        <v>0</v>
      </c>
      <c r="F273" s="175">
        <f t="shared" si="1"/>
        <v>0</v>
      </c>
      <c r="G273" s="166"/>
      <c r="H273" s="142"/>
      <c r="I273" s="166"/>
      <c r="J273" s="166"/>
      <c r="K273" s="142"/>
      <c r="L273" s="142"/>
    </row>
    <row r="274" spans="2:12" x14ac:dyDescent="0.2">
      <c r="B274" s="2"/>
      <c r="C274" s="11" t="s">
        <v>107</v>
      </c>
      <c r="D274" s="59">
        <v>10.5</v>
      </c>
      <c r="E274" s="166">
        <v>5</v>
      </c>
      <c r="F274" s="175">
        <f t="shared" si="1"/>
        <v>52.5</v>
      </c>
      <c r="G274" s="166"/>
      <c r="H274" s="142"/>
      <c r="I274" s="166"/>
      <c r="J274" s="166"/>
      <c r="K274" s="142"/>
      <c r="L274" s="142"/>
    </row>
    <row r="275" spans="2:12" x14ac:dyDescent="0.2">
      <c r="B275" s="2"/>
      <c r="C275" s="11" t="s">
        <v>108</v>
      </c>
      <c r="D275" s="58">
        <v>118</v>
      </c>
      <c r="E275" s="166">
        <v>0</v>
      </c>
      <c r="F275" s="175">
        <f t="shared" si="1"/>
        <v>0</v>
      </c>
      <c r="G275" s="166"/>
      <c r="H275" s="142"/>
      <c r="I275" s="166"/>
      <c r="J275" s="166"/>
      <c r="K275" s="142"/>
      <c r="L275" s="142"/>
    </row>
    <row r="276" spans="2:12" x14ac:dyDescent="0.2">
      <c r="B276" s="2"/>
      <c r="C276" s="11" t="s">
        <v>109</v>
      </c>
      <c r="D276" s="59">
        <v>2</v>
      </c>
      <c r="E276" s="166">
        <v>0</v>
      </c>
      <c r="F276" s="175">
        <f t="shared" si="1"/>
        <v>0</v>
      </c>
      <c r="G276" s="166"/>
      <c r="H276" s="142"/>
      <c r="I276" s="166"/>
      <c r="J276" s="166"/>
      <c r="K276" s="142"/>
      <c r="L276" s="142"/>
    </row>
    <row r="277" spans="2:12" x14ac:dyDescent="0.2">
      <c r="B277" s="2"/>
      <c r="C277" s="11" t="s">
        <v>110</v>
      </c>
      <c r="D277" s="58">
        <v>10</v>
      </c>
      <c r="E277" s="166">
        <v>0</v>
      </c>
      <c r="F277" s="175">
        <f t="shared" si="1"/>
        <v>0</v>
      </c>
      <c r="G277" s="166"/>
      <c r="H277" s="142"/>
      <c r="I277" s="166"/>
      <c r="J277" s="166"/>
      <c r="K277" s="142"/>
      <c r="L277" s="142"/>
    </row>
    <row r="278" spans="2:12" ht="13.5" thickBot="1" x14ac:dyDescent="0.25">
      <c r="B278" s="2"/>
      <c r="C278" s="14" t="s">
        <v>111</v>
      </c>
      <c r="D278" s="67">
        <v>70</v>
      </c>
      <c r="E278" s="166">
        <v>0</v>
      </c>
      <c r="F278" s="176">
        <f t="shared" si="1"/>
        <v>0</v>
      </c>
      <c r="G278" s="166"/>
      <c r="H278" s="142"/>
      <c r="I278" s="166"/>
      <c r="J278" s="166"/>
      <c r="K278" s="142"/>
      <c r="L278" s="142"/>
    </row>
    <row r="279" spans="2:12" ht="13.5" thickBot="1" x14ac:dyDescent="0.25">
      <c r="C279" s="15"/>
      <c r="D279" s="15" t="s">
        <v>239</v>
      </c>
      <c r="E279" s="68">
        <f>SUM(E255:E278)</f>
        <v>20</v>
      </c>
      <c r="F279" s="177">
        <f>SUM(F255:F278)</f>
        <v>124.75</v>
      </c>
      <c r="G279" s="201" t="s">
        <v>238</v>
      </c>
      <c r="H279" s="142"/>
      <c r="I279" s="178"/>
      <c r="J279" s="188"/>
      <c r="K279" s="142"/>
      <c r="L279" s="142"/>
    </row>
    <row r="280" spans="2:12" x14ac:dyDescent="0.2">
      <c r="B280" s="2"/>
      <c r="C280" s="3"/>
      <c r="D280" s="3"/>
      <c r="F280" s="142"/>
      <c r="G280" s="142"/>
      <c r="H280" s="142"/>
      <c r="I280" s="142"/>
      <c r="J280" s="188"/>
      <c r="K280" s="142"/>
      <c r="L280" s="142"/>
    </row>
    <row r="281" spans="2:12" ht="15.75" x14ac:dyDescent="0.25">
      <c r="B281" s="47" t="s">
        <v>170</v>
      </c>
      <c r="C281" s="3"/>
      <c r="D281" s="3"/>
      <c r="F281" s="142"/>
      <c r="G281" s="142"/>
      <c r="H281" s="142"/>
      <c r="I281" s="142"/>
      <c r="J281" s="188"/>
      <c r="K281" s="142"/>
      <c r="L281" s="142"/>
    </row>
    <row r="282" spans="2:12" ht="13.5" thickBot="1" x14ac:dyDescent="0.25">
      <c r="B282" s="2"/>
      <c r="C282" s="8" t="s">
        <v>0</v>
      </c>
      <c r="D282" s="3"/>
      <c r="F282" s="178"/>
      <c r="G282" s="166"/>
      <c r="H282" s="142"/>
      <c r="I282" s="142"/>
      <c r="J282" s="188"/>
      <c r="K282" s="142"/>
      <c r="L282" s="142"/>
    </row>
    <row r="283" spans="2:12" x14ac:dyDescent="0.2">
      <c r="B283" s="2" t="s">
        <v>35</v>
      </c>
      <c r="C283" s="147">
        <v>300</v>
      </c>
      <c r="D283" s="3" t="s">
        <v>8</v>
      </c>
      <c r="F283" s="159"/>
      <c r="G283" s="166"/>
      <c r="H283" s="159"/>
      <c r="I283" s="161"/>
      <c r="J283" s="188"/>
      <c r="K283" s="142"/>
      <c r="L283" s="142"/>
    </row>
    <row r="284" spans="2:12" x14ac:dyDescent="0.2">
      <c r="B284" s="2" t="s">
        <v>38</v>
      </c>
      <c r="C284" s="148">
        <v>4</v>
      </c>
      <c r="D284" s="3" t="s">
        <v>9</v>
      </c>
      <c r="F284" s="160"/>
      <c r="G284" s="166"/>
      <c r="H284" s="160"/>
      <c r="I284" s="161"/>
      <c r="J284" s="188"/>
      <c r="K284" s="142"/>
      <c r="L284" s="142"/>
    </row>
    <row r="285" spans="2:12" ht="13.5" thickBot="1" x14ac:dyDescent="0.25">
      <c r="B285" s="131" t="s">
        <v>193</v>
      </c>
      <c r="C285" s="155">
        <v>62.4</v>
      </c>
      <c r="D285" s="3" t="s">
        <v>2</v>
      </c>
      <c r="F285" s="161"/>
      <c r="G285" s="166"/>
      <c r="H285" s="161"/>
      <c r="I285" s="161"/>
      <c r="J285" s="188"/>
      <c r="K285" s="142"/>
      <c r="L285" s="142"/>
    </row>
    <row r="286" spans="2:12" x14ac:dyDescent="0.2">
      <c r="B286" s="2"/>
      <c r="C286" s="8" t="s">
        <v>3</v>
      </c>
      <c r="D286" s="3"/>
      <c r="F286" s="178"/>
      <c r="G286" s="178"/>
      <c r="H286" s="142"/>
      <c r="I286" s="142"/>
      <c r="J286" s="188"/>
      <c r="K286" s="142"/>
      <c r="L286" s="142"/>
    </row>
    <row r="287" spans="2:12" x14ac:dyDescent="0.2">
      <c r="B287" s="15" t="s">
        <v>10</v>
      </c>
      <c r="C287" s="1" t="s">
        <v>69</v>
      </c>
      <c r="D287" s="5"/>
      <c r="F287" s="142"/>
      <c r="G287" s="142"/>
      <c r="H287" s="142"/>
      <c r="I287" s="142"/>
      <c r="J287" s="188"/>
      <c r="K287" s="142"/>
      <c r="L287" s="142"/>
    </row>
    <row r="288" spans="2:12" x14ac:dyDescent="0.2">
      <c r="B288" s="15" t="s">
        <v>4</v>
      </c>
      <c r="C288" s="16">
        <f>C284/12</f>
        <v>0.33333333333333331</v>
      </c>
      <c r="D288" s="5" t="s">
        <v>1</v>
      </c>
      <c r="F288" s="142"/>
      <c r="G288" s="142"/>
      <c r="H288" s="142"/>
      <c r="I288" s="142"/>
      <c r="J288" s="188"/>
      <c r="K288" s="142"/>
      <c r="L288" s="142"/>
    </row>
    <row r="289" spans="2:12" x14ac:dyDescent="0.2">
      <c r="B289" s="15" t="s">
        <v>39</v>
      </c>
      <c r="C289" s="1" t="s">
        <v>7</v>
      </c>
      <c r="D289" s="5"/>
      <c r="F289" s="142"/>
      <c r="G289" s="142"/>
      <c r="H289" s="142"/>
      <c r="I289" s="142"/>
      <c r="J289" s="188"/>
      <c r="K289" s="142"/>
      <c r="L289" s="142"/>
    </row>
    <row r="290" spans="2:12" x14ac:dyDescent="0.2">
      <c r="B290" s="15" t="s">
        <v>4</v>
      </c>
      <c r="C290" s="16">
        <f>3.1416*C288^2/4</f>
        <v>8.7266666666666659E-2</v>
      </c>
      <c r="D290" s="5" t="s">
        <v>12</v>
      </c>
      <c r="F290" s="142"/>
      <c r="G290" s="142"/>
      <c r="H290" s="142"/>
      <c r="I290" s="142"/>
      <c r="J290" s="188"/>
      <c r="K290" s="142"/>
      <c r="L290" s="142"/>
    </row>
    <row r="291" spans="2:12" x14ac:dyDescent="0.2">
      <c r="B291" s="15" t="s">
        <v>40</v>
      </c>
      <c r="C291" s="5" t="s">
        <v>17</v>
      </c>
      <c r="D291" s="5"/>
      <c r="F291" s="142"/>
      <c r="G291" s="142"/>
      <c r="H291" s="142"/>
      <c r="I291" s="142"/>
      <c r="J291" s="188"/>
      <c r="K291" s="142"/>
      <c r="L291" s="142"/>
    </row>
    <row r="292" spans="2:12" x14ac:dyDescent="0.2">
      <c r="B292" s="15" t="s">
        <v>4</v>
      </c>
      <c r="C292" s="17">
        <f>C283/ 448.831</f>
        <v>0.66840302920252836</v>
      </c>
      <c r="D292" s="5" t="s">
        <v>13</v>
      </c>
      <c r="F292" s="142"/>
      <c r="G292" s="142"/>
      <c r="H292" s="142"/>
      <c r="I292" s="142"/>
      <c r="J292" s="188"/>
      <c r="K292" s="142"/>
      <c r="L292" s="142"/>
    </row>
    <row r="293" spans="2:12" x14ac:dyDescent="0.2">
      <c r="B293" s="15" t="s">
        <v>224</v>
      </c>
      <c r="C293" s="5" t="s">
        <v>11</v>
      </c>
      <c r="D293" s="5"/>
      <c r="F293" s="142"/>
      <c r="G293" s="142"/>
      <c r="H293" s="142"/>
      <c r="I293" s="142"/>
      <c r="J293" s="188"/>
      <c r="K293" s="142"/>
      <c r="L293" s="142"/>
    </row>
    <row r="294" spans="2:12" x14ac:dyDescent="0.2">
      <c r="B294" s="15" t="s">
        <v>4</v>
      </c>
      <c r="C294" s="17">
        <f>C292/C290</f>
        <v>7.6593166065988738</v>
      </c>
      <c r="D294" s="5" t="s">
        <v>14</v>
      </c>
      <c r="F294" s="142"/>
      <c r="G294" s="142"/>
      <c r="H294" s="142"/>
      <c r="I294" s="142"/>
      <c r="J294" s="188"/>
      <c r="K294" s="142"/>
      <c r="L294" s="142"/>
    </row>
    <row r="295" spans="2:12" ht="13.5" thickBot="1" x14ac:dyDescent="0.25">
      <c r="C295" s="8" t="s">
        <v>0</v>
      </c>
      <c r="G295" s="142"/>
      <c r="H295" s="142"/>
      <c r="I295" s="142"/>
      <c r="J295" s="188"/>
      <c r="K295" s="142"/>
      <c r="L295" s="142"/>
    </row>
    <row r="296" spans="2:12" ht="13.5" thickBot="1" x14ac:dyDescent="0.25">
      <c r="B296" s="15" t="s">
        <v>240</v>
      </c>
      <c r="C296" s="158">
        <v>124.3</v>
      </c>
      <c r="D296" s="1" t="s">
        <v>223</v>
      </c>
      <c r="F296" s="142"/>
      <c r="G296" s="142"/>
      <c r="H296" s="142"/>
      <c r="I296" s="142"/>
      <c r="J296" s="188"/>
      <c r="K296" s="142"/>
      <c r="L296" s="142"/>
    </row>
    <row r="297" spans="2:12" x14ac:dyDescent="0.2">
      <c r="C297" s="8" t="s">
        <v>3</v>
      </c>
      <c r="G297" s="142"/>
      <c r="H297" s="142"/>
      <c r="I297" s="142"/>
      <c r="J297" s="188"/>
      <c r="K297" s="142"/>
      <c r="L297" s="142"/>
    </row>
    <row r="298" spans="2:12" ht="15.75" x14ac:dyDescent="0.3">
      <c r="B298" s="15" t="s">
        <v>163</v>
      </c>
      <c r="C298" s="5" t="s">
        <v>113</v>
      </c>
      <c r="D298" s="3"/>
      <c r="F298" s="142"/>
      <c r="G298" s="142"/>
      <c r="H298" s="142"/>
      <c r="I298" s="142"/>
      <c r="J298" s="188"/>
      <c r="K298" s="142"/>
      <c r="L298" s="142"/>
    </row>
    <row r="299" spans="2:12" x14ac:dyDescent="0.2">
      <c r="B299" s="15" t="s">
        <v>4</v>
      </c>
      <c r="C299" s="18">
        <f>(C296*(C294^2/(2*32.2)))</f>
        <v>113.23099019253223</v>
      </c>
      <c r="D299" s="3" t="s">
        <v>1</v>
      </c>
      <c r="F299" s="142"/>
      <c r="G299" s="142"/>
      <c r="H299" s="142"/>
      <c r="I299" s="142"/>
      <c r="J299" s="188"/>
      <c r="K299" s="142"/>
      <c r="L299" s="142"/>
    </row>
    <row r="300" spans="2:12" ht="14.25" x14ac:dyDescent="0.25">
      <c r="B300" s="15" t="s">
        <v>145</v>
      </c>
      <c r="C300" s="5" t="s">
        <v>114</v>
      </c>
      <c r="D300" s="5"/>
      <c r="F300" s="142"/>
      <c r="G300" s="142"/>
      <c r="H300" s="142"/>
      <c r="I300" s="142"/>
      <c r="J300" s="188"/>
      <c r="K300" s="142"/>
      <c r="L300" s="142"/>
    </row>
    <row r="301" spans="2:12" x14ac:dyDescent="0.2">
      <c r="B301" s="15" t="s">
        <v>4</v>
      </c>
      <c r="C301" s="18">
        <f>C285*C299</f>
        <v>7065.6137880140113</v>
      </c>
      <c r="D301" s="5" t="s">
        <v>53</v>
      </c>
      <c r="F301" s="142"/>
      <c r="G301" s="142"/>
      <c r="H301" s="142"/>
      <c r="I301" s="142"/>
      <c r="J301" s="188"/>
      <c r="K301" s="142"/>
      <c r="L301" s="142"/>
    </row>
    <row r="302" spans="2:12" x14ac:dyDescent="0.2">
      <c r="B302" s="15" t="s">
        <v>146</v>
      </c>
      <c r="C302" s="5" t="s">
        <v>55</v>
      </c>
      <c r="D302" s="5"/>
      <c r="F302" s="142"/>
      <c r="G302" s="142"/>
      <c r="H302" s="142"/>
      <c r="I302" s="142"/>
      <c r="J302" s="188"/>
      <c r="K302" s="142"/>
      <c r="L302" s="142"/>
    </row>
    <row r="303" spans="2:12" x14ac:dyDescent="0.2">
      <c r="B303" s="15" t="s">
        <v>4</v>
      </c>
      <c r="C303" s="17">
        <f>C301/144</f>
        <v>49.066762416763964</v>
      </c>
      <c r="D303" s="5" t="s">
        <v>54</v>
      </c>
      <c r="F303" s="142"/>
      <c r="G303" s="142"/>
      <c r="H303" s="142"/>
      <c r="I303" s="142"/>
      <c r="J303" s="188"/>
      <c r="K303" s="142"/>
      <c r="L303" s="142"/>
    </row>
    <row r="304" spans="2:12" x14ac:dyDescent="0.2">
      <c r="B304" s="2"/>
      <c r="C304" s="3"/>
      <c r="D304" s="3"/>
      <c r="F304" s="142"/>
      <c r="G304" s="142"/>
      <c r="H304" s="142"/>
      <c r="I304" s="142"/>
      <c r="J304" s="188"/>
      <c r="K304" s="142"/>
      <c r="L304" s="142"/>
    </row>
    <row r="305" spans="2:12" x14ac:dyDescent="0.2">
      <c r="B305" s="5" t="s">
        <v>171</v>
      </c>
      <c r="F305" s="142"/>
      <c r="G305" s="142"/>
      <c r="H305" s="142"/>
      <c r="I305" s="142"/>
      <c r="J305" s="188"/>
      <c r="K305" s="142"/>
      <c r="L305" s="142"/>
    </row>
    <row r="306" spans="2:12" ht="13.5" thickBot="1" x14ac:dyDescent="0.25">
      <c r="B306" s="5" t="s">
        <v>117</v>
      </c>
      <c r="C306" s="8" t="s">
        <v>0</v>
      </c>
      <c r="D306" s="3"/>
      <c r="F306" s="142"/>
      <c r="G306" s="142"/>
      <c r="H306" s="142"/>
      <c r="I306" s="142"/>
      <c r="J306" s="188"/>
      <c r="K306" s="142"/>
      <c r="L306" s="142"/>
    </row>
    <row r="307" spans="2:12" x14ac:dyDescent="0.2">
      <c r="B307" s="15" t="s">
        <v>172</v>
      </c>
      <c r="C307" s="152">
        <v>13.58</v>
      </c>
      <c r="D307" s="3" t="s">
        <v>1</v>
      </c>
      <c r="F307" s="142"/>
      <c r="G307" s="142"/>
      <c r="H307" s="142"/>
      <c r="I307" s="142"/>
      <c r="J307" s="188"/>
      <c r="K307" s="142"/>
      <c r="L307" s="142"/>
    </row>
    <row r="308" spans="2:12" ht="16.5" thickBot="1" x14ac:dyDescent="0.35">
      <c r="B308" s="15" t="s">
        <v>163</v>
      </c>
      <c r="C308" s="155">
        <v>7.25</v>
      </c>
      <c r="D308" s="3" t="s">
        <v>1</v>
      </c>
      <c r="F308" s="142"/>
      <c r="G308" s="142"/>
      <c r="H308" s="142"/>
      <c r="I308" s="142"/>
      <c r="J308" s="188"/>
      <c r="K308" s="142"/>
      <c r="L308" s="142"/>
    </row>
    <row r="309" spans="2:12" x14ac:dyDescent="0.2">
      <c r="B309" s="2"/>
      <c r="C309" s="8" t="s">
        <v>3</v>
      </c>
      <c r="D309" s="3"/>
      <c r="F309" s="142"/>
      <c r="G309" s="142"/>
      <c r="H309" s="142"/>
      <c r="I309" s="142"/>
      <c r="J309" s="188"/>
      <c r="K309" s="142"/>
      <c r="L309" s="142"/>
    </row>
    <row r="310" spans="2:12" ht="15.75" x14ac:dyDescent="0.3">
      <c r="B310" s="15" t="s">
        <v>122</v>
      </c>
      <c r="C310" s="1" t="s">
        <v>164</v>
      </c>
      <c r="F310" s="142"/>
      <c r="G310" s="142"/>
      <c r="H310" s="142"/>
      <c r="I310" s="142"/>
      <c r="J310" s="188"/>
      <c r="K310" s="142"/>
      <c r="L310" s="142"/>
    </row>
    <row r="311" spans="2:12" x14ac:dyDescent="0.2">
      <c r="B311" s="15" t="s">
        <v>4</v>
      </c>
      <c r="C311" s="5">
        <f>C307+C308</f>
        <v>20.83</v>
      </c>
      <c r="D311" s="5" t="s">
        <v>1</v>
      </c>
      <c r="F311" s="142"/>
      <c r="G311" s="142"/>
      <c r="H311" s="142"/>
      <c r="I311" s="142"/>
      <c r="J311" s="188"/>
      <c r="K311" s="142"/>
      <c r="L311" s="142"/>
    </row>
    <row r="312" spans="2:12" x14ac:dyDescent="0.2">
      <c r="B312" s="2"/>
      <c r="C312" s="3"/>
      <c r="D312" s="3"/>
      <c r="F312" s="142"/>
      <c r="G312" s="142"/>
      <c r="H312" s="142"/>
      <c r="I312" s="142"/>
      <c r="J312" s="188"/>
      <c r="K312" s="142"/>
      <c r="L312" s="142"/>
    </row>
    <row r="313" spans="2:12" x14ac:dyDescent="0.2">
      <c r="F313" s="142"/>
      <c r="G313" s="142"/>
      <c r="H313" s="142"/>
      <c r="I313" s="142"/>
      <c r="J313" s="188"/>
      <c r="K313" s="142"/>
      <c r="L313" s="142"/>
    </row>
    <row r="314" spans="2:12" ht="15.75" x14ac:dyDescent="0.25">
      <c r="B314" s="47" t="s">
        <v>187</v>
      </c>
      <c r="C314" s="3"/>
      <c r="D314" s="3"/>
      <c r="F314" s="142"/>
      <c r="G314" s="142"/>
      <c r="H314" s="142"/>
      <c r="I314" s="168"/>
      <c r="J314" s="188"/>
      <c r="K314" s="142"/>
      <c r="L314" s="142"/>
    </row>
    <row r="315" spans="2:12" ht="16.5" thickBot="1" x14ac:dyDescent="0.3">
      <c r="B315" s="2"/>
      <c r="C315" s="8" t="s">
        <v>0</v>
      </c>
      <c r="D315" s="3"/>
      <c r="F315" s="142"/>
      <c r="G315" s="142"/>
      <c r="H315" s="167"/>
      <c r="I315" s="159"/>
      <c r="J315" s="188"/>
      <c r="K315" s="142"/>
      <c r="L315" s="142"/>
    </row>
    <row r="316" spans="2:12" x14ac:dyDescent="0.2">
      <c r="B316" s="2" t="s">
        <v>35</v>
      </c>
      <c r="C316" s="147">
        <v>5</v>
      </c>
      <c r="D316" s="3" t="s">
        <v>8</v>
      </c>
      <c r="F316" s="142"/>
      <c r="G316" s="142"/>
      <c r="H316" s="146"/>
      <c r="I316" s="160"/>
      <c r="J316" s="188"/>
      <c r="K316" s="142"/>
      <c r="L316" s="142"/>
    </row>
    <row r="317" spans="2:12" x14ac:dyDescent="0.2">
      <c r="B317" s="2" t="s">
        <v>38</v>
      </c>
      <c r="C317" s="148">
        <v>6</v>
      </c>
      <c r="D317" s="3" t="s">
        <v>9</v>
      </c>
      <c r="F317" s="142"/>
      <c r="G317" s="142"/>
      <c r="H317" s="146"/>
      <c r="I317" s="161"/>
      <c r="J317" s="188"/>
      <c r="K317" s="142"/>
      <c r="L317" s="142"/>
    </row>
    <row r="318" spans="2:12" x14ac:dyDescent="0.2">
      <c r="B318" s="2" t="s">
        <v>36</v>
      </c>
      <c r="C318" s="149">
        <v>100</v>
      </c>
      <c r="D318" s="3" t="s">
        <v>1</v>
      </c>
      <c r="F318" s="142"/>
      <c r="G318" s="142"/>
      <c r="H318" s="146"/>
      <c r="I318" s="162"/>
      <c r="J318" s="188"/>
      <c r="K318" s="142"/>
      <c r="L318" s="142"/>
    </row>
    <row r="319" spans="2:12" x14ac:dyDescent="0.2">
      <c r="B319" s="2" t="s">
        <v>192</v>
      </c>
      <c r="C319" s="150">
        <v>2.73E-5</v>
      </c>
      <c r="D319" s="3" t="s">
        <v>173</v>
      </c>
      <c r="F319" s="142"/>
      <c r="G319" s="142"/>
      <c r="H319" s="146"/>
      <c r="I319" s="163"/>
      <c r="J319" s="188"/>
      <c r="K319" s="142"/>
      <c r="L319" s="142"/>
    </row>
    <row r="320" spans="2:12" x14ac:dyDescent="0.2">
      <c r="B320" s="131" t="s">
        <v>193</v>
      </c>
      <c r="C320" s="151">
        <v>62.468000000000004</v>
      </c>
      <c r="D320" s="3" t="s">
        <v>2</v>
      </c>
      <c r="F320" s="142"/>
      <c r="G320" s="142"/>
      <c r="H320" s="146"/>
      <c r="I320" s="161"/>
      <c r="J320" s="188"/>
      <c r="K320" s="142"/>
      <c r="L320" s="142"/>
    </row>
    <row r="321" spans="2:12" ht="13.5" thickBot="1" x14ac:dyDescent="0.25">
      <c r="B321" s="2" t="s">
        <v>37</v>
      </c>
      <c r="C321" s="155">
        <v>32.200000000000003</v>
      </c>
      <c r="D321" s="3" t="s">
        <v>6</v>
      </c>
      <c r="F321" s="142"/>
      <c r="G321" s="142"/>
      <c r="H321" s="146"/>
      <c r="I321" s="168"/>
      <c r="J321" s="188"/>
      <c r="K321" s="142"/>
      <c r="L321" s="142"/>
    </row>
    <row r="322" spans="2:12" x14ac:dyDescent="0.2">
      <c r="B322" s="2"/>
      <c r="C322" s="8" t="s">
        <v>3</v>
      </c>
      <c r="D322" s="3"/>
      <c r="F322" s="142"/>
      <c r="G322" s="142"/>
      <c r="H322" s="146"/>
      <c r="I322" s="142"/>
      <c r="J322" s="188"/>
      <c r="K322" s="142"/>
      <c r="L322" s="142"/>
    </row>
    <row r="323" spans="2:12" x14ac:dyDescent="0.2">
      <c r="B323" s="15" t="s">
        <v>10</v>
      </c>
      <c r="C323" s="1" t="s">
        <v>69</v>
      </c>
      <c r="D323" s="5"/>
      <c r="F323" s="142"/>
      <c r="G323" s="142"/>
      <c r="H323" s="142"/>
      <c r="I323" s="142"/>
      <c r="J323" s="188"/>
      <c r="K323" s="142"/>
      <c r="L323" s="142"/>
    </row>
    <row r="324" spans="2:12" x14ac:dyDescent="0.2">
      <c r="B324" s="15" t="s">
        <v>4</v>
      </c>
      <c r="C324" s="16">
        <f>C317/12</f>
        <v>0.5</v>
      </c>
      <c r="D324" s="5" t="s">
        <v>1</v>
      </c>
      <c r="F324" s="142"/>
      <c r="G324" s="142"/>
      <c r="H324" s="142"/>
      <c r="I324" s="142"/>
      <c r="J324" s="188"/>
      <c r="K324" s="142"/>
      <c r="L324" s="142"/>
    </row>
    <row r="325" spans="2:12" x14ac:dyDescent="0.2">
      <c r="B325" s="15" t="s">
        <v>39</v>
      </c>
      <c r="C325" s="1" t="s">
        <v>7</v>
      </c>
      <c r="D325" s="5"/>
      <c r="F325" s="142"/>
      <c r="G325" s="142"/>
      <c r="H325" s="142"/>
      <c r="I325" s="171"/>
      <c r="J325" s="188"/>
      <c r="K325" s="142"/>
      <c r="L325" s="142"/>
    </row>
    <row r="326" spans="2:12" x14ac:dyDescent="0.2">
      <c r="B326" s="15" t="s">
        <v>4</v>
      </c>
      <c r="C326" s="16">
        <f>3.1416*C324^2/4</f>
        <v>0.19635</v>
      </c>
      <c r="D326" s="5" t="s">
        <v>12</v>
      </c>
      <c r="F326" s="142"/>
      <c r="G326" s="142"/>
      <c r="H326" s="170"/>
      <c r="I326" s="171"/>
      <c r="J326" s="190"/>
      <c r="K326" s="142"/>
      <c r="L326" s="142"/>
    </row>
    <row r="327" spans="2:12" x14ac:dyDescent="0.2">
      <c r="B327" s="15" t="s">
        <v>40</v>
      </c>
      <c r="C327" s="5" t="s">
        <v>17</v>
      </c>
      <c r="D327" s="5"/>
      <c r="F327" s="142"/>
      <c r="G327" s="142"/>
      <c r="H327" s="170"/>
      <c r="I327" s="172"/>
      <c r="J327" s="190"/>
      <c r="K327" s="142"/>
      <c r="L327" s="142"/>
    </row>
    <row r="328" spans="2:12" x14ac:dyDescent="0.2">
      <c r="B328" s="15" t="s">
        <v>4</v>
      </c>
      <c r="C328" s="17">
        <f>C316/ 448.831</f>
        <v>1.1140050486708806E-2</v>
      </c>
      <c r="D328" s="5" t="s">
        <v>13</v>
      </c>
      <c r="F328" s="142"/>
      <c r="G328" s="142"/>
      <c r="H328" s="170"/>
      <c r="I328" s="171"/>
      <c r="J328" s="190"/>
      <c r="K328" s="142"/>
      <c r="L328" s="142"/>
    </row>
    <row r="329" spans="2:12" x14ac:dyDescent="0.2">
      <c r="B329" s="15" t="s">
        <v>41</v>
      </c>
      <c r="C329" s="5" t="s">
        <v>11</v>
      </c>
      <c r="D329" s="5"/>
      <c r="F329" s="142"/>
      <c r="G329" s="142"/>
      <c r="H329" s="170"/>
      <c r="I329" s="172"/>
      <c r="J329" s="190"/>
      <c r="K329" s="142"/>
      <c r="L329" s="142"/>
    </row>
    <row r="330" spans="2:12" x14ac:dyDescent="0.2">
      <c r="B330" s="15" t="s">
        <v>4</v>
      </c>
      <c r="C330" s="18">
        <f>C328/C326</f>
        <v>5.6735678567399063E-2</v>
      </c>
      <c r="D330" s="5" t="s">
        <v>14</v>
      </c>
      <c r="F330" s="142"/>
      <c r="G330" s="142"/>
      <c r="H330" s="170"/>
      <c r="I330" s="142"/>
      <c r="J330" s="188"/>
      <c r="K330" s="142"/>
      <c r="L330" s="142"/>
    </row>
    <row r="331" spans="2:12" ht="15.75" x14ac:dyDescent="0.3">
      <c r="B331" s="15" t="s">
        <v>195</v>
      </c>
      <c r="C331" s="5" t="s">
        <v>15</v>
      </c>
      <c r="D331" s="5"/>
      <c r="F331" s="142"/>
      <c r="G331" s="142"/>
      <c r="H331" s="142"/>
      <c r="I331" s="142"/>
      <c r="J331" s="188"/>
      <c r="K331" s="142"/>
      <c r="L331" s="142"/>
    </row>
    <row r="332" spans="2:12" x14ac:dyDescent="0.2">
      <c r="B332" s="15" t="s">
        <v>4</v>
      </c>
      <c r="C332" s="16">
        <f>C320/32.2</f>
        <v>1.94</v>
      </c>
      <c r="D332" s="5" t="s">
        <v>16</v>
      </c>
      <c r="F332" s="142"/>
      <c r="G332" s="142"/>
      <c r="H332" s="142"/>
      <c r="I332" s="142"/>
      <c r="J332" s="188"/>
      <c r="K332" s="142"/>
      <c r="L332" s="142"/>
    </row>
    <row r="333" spans="2:12" x14ac:dyDescent="0.2">
      <c r="B333" s="15" t="s">
        <v>34</v>
      </c>
      <c r="C333" s="5" t="s">
        <v>50</v>
      </c>
      <c r="D333" s="5"/>
      <c r="F333" s="142"/>
      <c r="G333" s="142"/>
      <c r="H333" s="142"/>
      <c r="I333" s="142"/>
      <c r="J333" s="188"/>
      <c r="K333" s="142"/>
      <c r="L333" s="142"/>
    </row>
    <row r="334" spans="2:12" x14ac:dyDescent="0.2">
      <c r="B334" s="15" t="s">
        <v>4</v>
      </c>
      <c r="C334" s="19">
        <f>C324*C330*C332/C319</f>
        <v>2015.8830846291974</v>
      </c>
      <c r="D334" s="115" t="str">
        <f>IF(C334&lt;2100,"Re&lt;2,100 Laminar OK", "Re&gt;2,100 Not Laminar")</f>
        <v>Re&lt;2,100 Laminar OK</v>
      </c>
      <c r="F334" s="142"/>
      <c r="G334" s="142"/>
      <c r="H334" s="142"/>
      <c r="I334" s="142"/>
      <c r="J334" s="188"/>
      <c r="K334" s="142"/>
      <c r="L334" s="142"/>
    </row>
    <row r="335" spans="2:12" x14ac:dyDescent="0.2">
      <c r="F335" s="142"/>
      <c r="G335" s="142"/>
      <c r="H335" s="142"/>
      <c r="I335" s="142"/>
      <c r="J335" s="188"/>
      <c r="K335" s="142"/>
      <c r="L335" s="142"/>
    </row>
    <row r="336" spans="2:12" ht="15.75" x14ac:dyDescent="0.25">
      <c r="B336" s="47" t="s">
        <v>189</v>
      </c>
      <c r="C336" s="20"/>
      <c r="D336" s="5"/>
      <c r="F336" s="142"/>
      <c r="G336" s="142"/>
      <c r="H336" s="142"/>
      <c r="I336" s="142"/>
      <c r="J336" s="188"/>
      <c r="K336" s="142"/>
      <c r="L336" s="142"/>
    </row>
    <row r="337" spans="2:12" x14ac:dyDescent="0.2">
      <c r="B337" s="15" t="s">
        <v>190</v>
      </c>
      <c r="C337" s="1" t="s">
        <v>191</v>
      </c>
      <c r="F337" s="142"/>
      <c r="G337" s="142"/>
      <c r="H337" s="142"/>
      <c r="I337" s="142"/>
      <c r="J337" s="188"/>
      <c r="K337" s="142"/>
      <c r="L337" s="142"/>
    </row>
    <row r="338" spans="2:12" x14ac:dyDescent="0.2">
      <c r="B338" s="15" t="s">
        <v>4</v>
      </c>
      <c r="C338" s="114">
        <f>64/C334</f>
        <v>3.1747872923777322E-2</v>
      </c>
      <c r="F338" s="142"/>
      <c r="G338" s="142"/>
      <c r="H338" s="142"/>
      <c r="I338" s="142"/>
      <c r="J338" s="188"/>
      <c r="K338" s="142"/>
      <c r="L338" s="142"/>
    </row>
    <row r="339" spans="2:12" ht="15.75" x14ac:dyDescent="0.3">
      <c r="B339" s="15" t="s">
        <v>162</v>
      </c>
      <c r="C339" s="5" t="s">
        <v>48</v>
      </c>
      <c r="F339" s="142"/>
      <c r="G339" s="142"/>
      <c r="H339" s="142"/>
      <c r="I339" s="142"/>
      <c r="J339" s="188"/>
      <c r="K339" s="142"/>
      <c r="L339" s="142"/>
    </row>
    <row r="340" spans="2:12" x14ac:dyDescent="0.2">
      <c r="B340" s="15" t="s">
        <v>188</v>
      </c>
      <c r="C340" s="130">
        <f>C338*(C318/C324)*(C330^2)/(2*C321)</f>
        <v>3.1737394375667424E-4</v>
      </c>
      <c r="D340" s="3" t="s">
        <v>1</v>
      </c>
      <c r="F340" s="142"/>
      <c r="G340" s="142"/>
      <c r="H340" s="142"/>
      <c r="I340" s="142"/>
      <c r="J340" s="188"/>
      <c r="K340" s="142"/>
      <c r="L340" s="142"/>
    </row>
    <row r="341" spans="2:12" x14ac:dyDescent="0.2">
      <c r="B341" s="15"/>
      <c r="C341" s="5" t="s">
        <v>205</v>
      </c>
      <c r="D341" s="5"/>
      <c r="F341" s="142"/>
      <c r="G341" s="142"/>
      <c r="H341" s="142"/>
      <c r="I341" s="142"/>
      <c r="J341" s="188"/>
      <c r="K341" s="142"/>
      <c r="L341" s="142"/>
    </row>
    <row r="342" spans="2:12" x14ac:dyDescent="0.2">
      <c r="B342" s="15"/>
      <c r="C342" s="5"/>
      <c r="D342" s="5"/>
      <c r="F342" s="142"/>
      <c r="G342" s="142"/>
      <c r="H342" s="142"/>
      <c r="I342" s="142"/>
      <c r="J342" s="188"/>
      <c r="K342" s="142"/>
      <c r="L342" s="142"/>
    </row>
    <row r="343" spans="2:12" x14ac:dyDescent="0.2">
      <c r="B343" s="15"/>
      <c r="C343" s="17"/>
      <c r="D343" s="5"/>
      <c r="F343" s="142"/>
      <c r="G343" s="142"/>
      <c r="H343" s="142"/>
      <c r="I343" s="142"/>
      <c r="J343" s="188"/>
      <c r="K343" s="142"/>
      <c r="L343" s="142"/>
    </row>
    <row r="344" spans="2:12" ht="15.75" x14ac:dyDescent="0.25">
      <c r="B344" s="47" t="s">
        <v>213</v>
      </c>
      <c r="F344" s="142"/>
      <c r="G344" s="142"/>
      <c r="H344" s="142"/>
      <c r="I344" s="142"/>
      <c r="J344" s="188"/>
      <c r="K344" s="142"/>
      <c r="L344" s="142"/>
    </row>
    <row r="345" spans="2:12" ht="14.25" x14ac:dyDescent="0.2">
      <c r="B345" s="134" t="s">
        <v>212</v>
      </c>
      <c r="F345" s="142"/>
      <c r="G345" s="142"/>
      <c r="H345" s="142"/>
      <c r="I345" s="142"/>
      <c r="J345" s="188"/>
      <c r="K345" s="142"/>
      <c r="L345" s="142"/>
    </row>
    <row r="346" spans="2:12" x14ac:dyDescent="0.2">
      <c r="F346" s="142"/>
      <c r="G346" s="142"/>
      <c r="H346" s="142"/>
      <c r="I346" s="142"/>
      <c r="J346" s="188"/>
      <c r="K346" s="142"/>
      <c r="L346" s="142"/>
    </row>
    <row r="347" spans="2:12" x14ac:dyDescent="0.2">
      <c r="F347" s="142"/>
      <c r="G347" s="142"/>
      <c r="H347" s="142"/>
      <c r="I347" s="142"/>
      <c r="J347" s="188"/>
      <c r="K347" s="142"/>
      <c r="L347" s="142"/>
    </row>
    <row r="348" spans="2:12" x14ac:dyDescent="0.2">
      <c r="F348" s="142"/>
      <c r="G348" s="142"/>
      <c r="H348" s="142"/>
      <c r="I348" s="142"/>
      <c r="J348" s="188"/>
      <c r="K348" s="142"/>
      <c r="L348" s="142"/>
    </row>
    <row r="349" spans="2:12" x14ac:dyDescent="0.2">
      <c r="F349" s="142"/>
      <c r="G349" s="142"/>
      <c r="H349" s="142"/>
      <c r="I349" s="142"/>
      <c r="J349" s="188"/>
      <c r="K349" s="142"/>
      <c r="L349" s="142"/>
    </row>
    <row r="350" spans="2:12" x14ac:dyDescent="0.2">
      <c r="F350" s="142"/>
      <c r="G350" s="142"/>
      <c r="H350" s="142"/>
      <c r="I350" s="142"/>
      <c r="J350" s="188"/>
      <c r="K350" s="142"/>
      <c r="L350" s="142"/>
    </row>
    <row r="351" spans="2:12" x14ac:dyDescent="0.2">
      <c r="F351" s="142"/>
      <c r="G351" s="142"/>
      <c r="H351" s="142"/>
      <c r="I351" s="142"/>
      <c r="J351" s="188"/>
      <c r="K351" s="142"/>
      <c r="L351" s="142"/>
    </row>
    <row r="352" spans="2:12" x14ac:dyDescent="0.2">
      <c r="F352" s="142"/>
      <c r="G352" s="142"/>
      <c r="H352" s="142"/>
      <c r="I352" s="142"/>
      <c r="J352" s="188"/>
      <c r="K352" s="142"/>
      <c r="L352" s="142"/>
    </row>
    <row r="353" spans="2:12" x14ac:dyDescent="0.2">
      <c r="F353" s="142"/>
      <c r="G353" s="142"/>
      <c r="H353" s="142"/>
      <c r="I353" s="142"/>
      <c r="J353" s="188"/>
      <c r="K353" s="142"/>
      <c r="L353" s="142"/>
    </row>
    <row r="354" spans="2:12" x14ac:dyDescent="0.2">
      <c r="F354" s="142"/>
      <c r="G354" s="142"/>
      <c r="H354" s="142"/>
      <c r="I354" s="142"/>
      <c r="J354" s="188"/>
      <c r="K354" s="142"/>
      <c r="L354" s="142"/>
    </row>
    <row r="355" spans="2:12" x14ac:dyDescent="0.2">
      <c r="F355" s="142"/>
      <c r="G355" s="142"/>
      <c r="H355" s="142"/>
      <c r="I355" s="142"/>
      <c r="J355" s="188"/>
      <c r="K355" s="142"/>
      <c r="L355" s="142"/>
    </row>
    <row r="356" spans="2:12" x14ac:dyDescent="0.2">
      <c r="F356" s="142"/>
      <c r="G356" s="142"/>
      <c r="H356" s="142"/>
      <c r="I356" s="142"/>
      <c r="J356" s="188"/>
      <c r="K356" s="142"/>
      <c r="L356" s="142"/>
    </row>
    <row r="357" spans="2:12" x14ac:dyDescent="0.2">
      <c r="F357" s="142"/>
      <c r="G357" s="142"/>
      <c r="H357" s="142"/>
      <c r="I357" s="142"/>
      <c r="J357" s="188"/>
      <c r="K357" s="142"/>
      <c r="L357" s="142"/>
    </row>
    <row r="358" spans="2:12" x14ac:dyDescent="0.2">
      <c r="F358" s="142"/>
      <c r="G358" s="142"/>
      <c r="H358" s="142"/>
      <c r="I358" s="142"/>
      <c r="J358" s="188"/>
      <c r="K358" s="142"/>
      <c r="L358" s="142"/>
    </row>
    <row r="359" spans="2:12" x14ac:dyDescent="0.2">
      <c r="F359" s="142"/>
      <c r="G359" s="142"/>
      <c r="H359" s="142"/>
      <c r="I359" s="142"/>
      <c r="J359" s="188"/>
      <c r="K359" s="142"/>
      <c r="L359" s="142"/>
    </row>
    <row r="360" spans="2:12" x14ac:dyDescent="0.2">
      <c r="F360" s="142"/>
      <c r="G360" s="142"/>
      <c r="H360" s="142"/>
      <c r="I360" s="142"/>
      <c r="J360" s="188"/>
      <c r="K360" s="142"/>
      <c r="L360" s="142"/>
    </row>
    <row r="361" spans="2:12" x14ac:dyDescent="0.2">
      <c r="F361" s="142"/>
      <c r="G361" s="142"/>
      <c r="H361" s="142"/>
      <c r="I361" s="142"/>
      <c r="J361" s="188"/>
      <c r="K361" s="142"/>
      <c r="L361" s="142"/>
    </row>
    <row r="362" spans="2:12" x14ac:dyDescent="0.2">
      <c r="F362" s="142"/>
      <c r="G362" s="142"/>
      <c r="H362" s="142"/>
      <c r="I362" s="142"/>
      <c r="J362" s="188"/>
      <c r="K362" s="142"/>
      <c r="L362" s="142"/>
    </row>
    <row r="363" spans="2:12" x14ac:dyDescent="0.2">
      <c r="F363" s="142"/>
      <c r="G363" s="142"/>
      <c r="H363" s="142"/>
      <c r="I363" s="142"/>
      <c r="J363" s="188"/>
      <c r="K363" s="142"/>
      <c r="L363" s="142"/>
    </row>
    <row r="364" spans="2:12" x14ac:dyDescent="0.2">
      <c r="B364" s="1" t="s">
        <v>225</v>
      </c>
      <c r="F364" s="142"/>
      <c r="G364" s="142"/>
      <c r="H364" s="142"/>
      <c r="I364" s="142"/>
      <c r="J364" s="188"/>
      <c r="K364" s="142"/>
      <c r="L364" s="142"/>
    </row>
    <row r="365" spans="2:12" x14ac:dyDescent="0.2">
      <c r="F365" s="142"/>
      <c r="G365" s="142"/>
      <c r="H365" s="142"/>
      <c r="I365" s="142"/>
      <c r="J365" s="188"/>
      <c r="K365" s="142"/>
      <c r="L365" s="142"/>
    </row>
    <row r="366" spans="2:12" ht="15.75" x14ac:dyDescent="0.25">
      <c r="B366" s="46" t="s">
        <v>221</v>
      </c>
      <c r="F366" s="142"/>
      <c r="G366" s="142"/>
      <c r="H366" s="142"/>
      <c r="I366" s="142"/>
      <c r="J366" s="188"/>
      <c r="K366" s="142"/>
      <c r="L366" s="142"/>
    </row>
    <row r="367" spans="2:12" x14ac:dyDescent="0.2">
      <c r="B367" s="5" t="s">
        <v>185</v>
      </c>
      <c r="F367" s="142"/>
      <c r="G367" s="142"/>
      <c r="H367" s="142"/>
      <c r="I367" s="142"/>
      <c r="J367" s="188"/>
      <c r="K367" s="142"/>
      <c r="L367" s="142"/>
    </row>
    <row r="368" spans="2:12" x14ac:dyDescent="0.2">
      <c r="B368" s="5" t="s">
        <v>186</v>
      </c>
      <c r="F368" s="142"/>
      <c r="G368" s="142"/>
      <c r="H368" s="142"/>
      <c r="I368" s="142"/>
      <c r="J368" s="188"/>
      <c r="K368" s="142"/>
      <c r="L368" s="142"/>
    </row>
    <row r="369" spans="2:12" x14ac:dyDescent="0.2">
      <c r="B369" s="5" t="s">
        <v>208</v>
      </c>
      <c r="F369" s="142"/>
      <c r="G369" s="142"/>
      <c r="H369" s="142"/>
      <c r="I369" s="142"/>
      <c r="J369" s="188"/>
      <c r="K369" s="142"/>
      <c r="L369" s="142"/>
    </row>
    <row r="370" spans="2:12" x14ac:dyDescent="0.2">
      <c r="B370" s="5" t="s">
        <v>209</v>
      </c>
      <c r="F370" s="142"/>
      <c r="G370" s="142"/>
      <c r="H370" s="142"/>
      <c r="I370" s="142"/>
      <c r="J370" s="188"/>
      <c r="K370" s="142"/>
      <c r="L370" s="142"/>
    </row>
    <row r="371" spans="2:12" x14ac:dyDescent="0.2">
      <c r="F371" s="142"/>
      <c r="G371" s="142"/>
      <c r="H371" s="142"/>
      <c r="I371" s="142"/>
      <c r="J371" s="188"/>
      <c r="K371" s="142"/>
      <c r="L371" s="142"/>
    </row>
    <row r="372" spans="2:12" ht="15.75" x14ac:dyDescent="0.25">
      <c r="B372" s="46" t="s">
        <v>249</v>
      </c>
      <c r="G372" s="142"/>
      <c r="H372" s="142"/>
      <c r="I372" s="142"/>
      <c r="J372" s="188"/>
      <c r="K372" s="142"/>
      <c r="L372" s="142"/>
    </row>
    <row r="373" spans="2:12" x14ac:dyDescent="0.2">
      <c r="B373" s="84"/>
      <c r="C373" s="84"/>
      <c r="G373" s="142"/>
      <c r="H373" s="142"/>
      <c r="I373" s="142"/>
      <c r="J373" s="188"/>
      <c r="K373" s="142"/>
      <c r="L373" s="142"/>
    </row>
    <row r="374" spans="2:12" ht="15.75" x14ac:dyDescent="0.25">
      <c r="B374" s="87"/>
      <c r="C374" s="219"/>
      <c r="G374" s="142"/>
      <c r="H374" s="142"/>
      <c r="I374" s="142"/>
      <c r="J374" s="188"/>
      <c r="K374" s="142"/>
      <c r="L374" s="142"/>
    </row>
    <row r="375" spans="2:12" x14ac:dyDescent="0.2">
      <c r="B375" s="77"/>
      <c r="C375" s="191"/>
      <c r="G375" s="142"/>
      <c r="H375" s="142"/>
      <c r="I375" s="142"/>
      <c r="J375" s="188"/>
      <c r="K375" s="142"/>
      <c r="L375" s="142"/>
    </row>
    <row r="376" spans="2:12" ht="15" x14ac:dyDescent="0.25">
      <c r="B376" s="220"/>
      <c r="C376" s="191"/>
      <c r="G376" s="142"/>
      <c r="H376" s="142"/>
      <c r="I376" s="142"/>
      <c r="J376" s="188"/>
      <c r="K376" s="142"/>
      <c r="L376" s="142"/>
    </row>
    <row r="377" spans="2:12" ht="15" x14ac:dyDescent="0.25">
      <c r="B377" s="220"/>
      <c r="C377" s="191"/>
      <c r="G377" s="142"/>
      <c r="H377" s="142"/>
      <c r="I377" s="142"/>
      <c r="J377" s="188"/>
      <c r="K377" s="142"/>
      <c r="L377" s="142"/>
    </row>
    <row r="378" spans="2:12" x14ac:dyDescent="0.2">
      <c r="B378" s="77"/>
      <c r="C378" s="191"/>
      <c r="G378" s="142"/>
      <c r="H378" s="142"/>
      <c r="I378" s="142"/>
      <c r="J378" s="188"/>
      <c r="K378" s="142"/>
      <c r="L378" s="142"/>
    </row>
    <row r="379" spans="2:12" x14ac:dyDescent="0.2">
      <c r="B379" s="77"/>
      <c r="C379" s="191"/>
      <c r="G379" s="142"/>
      <c r="H379" s="142"/>
      <c r="I379" s="142"/>
      <c r="J379" s="188"/>
      <c r="K379" s="142"/>
      <c r="L379" s="142"/>
    </row>
    <row r="380" spans="2:12" x14ac:dyDescent="0.2">
      <c r="B380" s="77"/>
      <c r="C380" s="191"/>
      <c r="G380" s="142"/>
      <c r="H380" s="142"/>
      <c r="I380" s="142"/>
      <c r="J380" s="188"/>
      <c r="K380" s="142"/>
      <c r="L380" s="142"/>
    </row>
    <row r="381" spans="2:12" x14ac:dyDescent="0.2">
      <c r="B381" s="77"/>
      <c r="C381" s="191"/>
      <c r="G381" s="142"/>
      <c r="H381" s="142"/>
      <c r="I381" s="142"/>
      <c r="J381" s="188"/>
      <c r="K381" s="142"/>
      <c r="L381" s="142"/>
    </row>
    <row r="382" spans="2:12" x14ac:dyDescent="0.2">
      <c r="B382" s="77"/>
      <c r="C382" s="97"/>
      <c r="G382" s="142"/>
      <c r="H382" s="142"/>
      <c r="I382" s="142"/>
      <c r="J382" s="188"/>
      <c r="K382" s="142"/>
      <c r="L382" s="142"/>
    </row>
    <row r="383" spans="2:12" x14ac:dyDescent="0.2">
      <c r="G383" s="142"/>
      <c r="H383" s="142"/>
      <c r="I383" s="142"/>
      <c r="J383" s="188"/>
      <c r="K383" s="142"/>
      <c r="L383" s="142"/>
    </row>
    <row r="384" spans="2:12" ht="16.5" thickBot="1" x14ac:dyDescent="0.3">
      <c r="B384" s="46" t="s">
        <v>290</v>
      </c>
      <c r="G384" s="142"/>
      <c r="H384" s="142"/>
      <c r="I384" s="142"/>
      <c r="J384" s="188"/>
      <c r="K384" s="142"/>
      <c r="L384" s="142"/>
    </row>
    <row r="385" spans="2:12" ht="13.5" thickBot="1" x14ac:dyDescent="0.25">
      <c r="B385" s="2"/>
      <c r="C385" s="8" t="s">
        <v>264</v>
      </c>
      <c r="D385" s="84"/>
      <c r="E385" s="63" t="s">
        <v>440</v>
      </c>
      <c r="F385" s="65"/>
      <c r="G385" s="142"/>
      <c r="H385" s="142"/>
      <c r="I385" s="142"/>
      <c r="J385" s="188"/>
      <c r="K385" s="142"/>
      <c r="L385" s="142"/>
    </row>
    <row r="386" spans="2:12" ht="13.5" thickBot="1" x14ac:dyDescent="0.25">
      <c r="B386" s="15" t="s">
        <v>285</v>
      </c>
      <c r="C386" s="195">
        <v>10</v>
      </c>
      <c r="D386" s="1" t="s">
        <v>286</v>
      </c>
      <c r="E386" s="34" t="s">
        <v>372</v>
      </c>
      <c r="F386" s="34" t="s">
        <v>373</v>
      </c>
      <c r="G386" s="142"/>
      <c r="H386" s="142"/>
      <c r="I386" s="142"/>
      <c r="J386" s="188"/>
      <c r="K386" s="142"/>
      <c r="L386" s="142"/>
    </row>
    <row r="387" spans="2:12" x14ac:dyDescent="0.2">
      <c r="B387" s="15" t="s">
        <v>319</v>
      </c>
      <c r="C387" s="196">
        <v>50</v>
      </c>
      <c r="D387" s="1" t="s">
        <v>179</v>
      </c>
      <c r="E387" s="31">
        <v>4</v>
      </c>
      <c r="F387" s="61">
        <v>0.23699999999999999</v>
      </c>
      <c r="G387" s="142"/>
      <c r="H387" s="142"/>
      <c r="I387" s="142"/>
      <c r="J387" s="188"/>
      <c r="K387" s="142"/>
      <c r="L387" s="142"/>
    </row>
    <row r="388" spans="2:12" ht="13.5" thickBot="1" x14ac:dyDescent="0.25">
      <c r="B388" s="15" t="s">
        <v>320</v>
      </c>
      <c r="C388" s="197">
        <v>100</v>
      </c>
      <c r="D388" s="1" t="s">
        <v>287</v>
      </c>
      <c r="E388" s="31">
        <v>6</v>
      </c>
      <c r="F388" s="61">
        <v>0.28000000000000003</v>
      </c>
      <c r="G388" s="142"/>
      <c r="H388" s="142" t="s">
        <v>223</v>
      </c>
      <c r="I388" s="142"/>
      <c r="J388" s="188"/>
      <c r="K388" s="142"/>
      <c r="L388" s="142"/>
    </row>
    <row r="389" spans="2:12" x14ac:dyDescent="0.2">
      <c r="C389" s="8" t="s">
        <v>265</v>
      </c>
      <c r="E389" s="31">
        <v>8</v>
      </c>
      <c r="F389" s="61">
        <v>0.32200000000000001</v>
      </c>
      <c r="G389" s="142"/>
      <c r="H389" s="142"/>
      <c r="I389" s="142"/>
      <c r="J389" s="188"/>
      <c r="K389" s="142"/>
      <c r="L389" s="142"/>
    </row>
    <row r="390" spans="2:12" x14ac:dyDescent="0.2">
      <c r="B390" s="15" t="s">
        <v>266</v>
      </c>
      <c r="C390" s="18">
        <f>C386/0.3048</f>
        <v>32.808398950131235</v>
      </c>
      <c r="D390" s="1" t="s">
        <v>1</v>
      </c>
      <c r="E390" s="31">
        <v>10</v>
      </c>
      <c r="F390" s="61">
        <v>0.36499999999999999</v>
      </c>
      <c r="G390" s="142"/>
      <c r="H390" s="142"/>
      <c r="I390" s="142"/>
      <c r="J390" s="188"/>
      <c r="K390" s="142"/>
      <c r="L390" s="142"/>
    </row>
    <row r="391" spans="2:12" x14ac:dyDescent="0.2">
      <c r="B391" s="15" t="s">
        <v>288</v>
      </c>
      <c r="C391" s="17">
        <f>C387/25.4</f>
        <v>1.9685039370078741</v>
      </c>
      <c r="D391" s="85" t="s">
        <v>9</v>
      </c>
      <c r="E391" s="31">
        <v>12</v>
      </c>
      <c r="F391" s="61">
        <v>0.40600000000000003</v>
      </c>
      <c r="G391" s="142"/>
      <c r="H391" s="142"/>
      <c r="I391" s="142"/>
      <c r="J391" s="188"/>
      <c r="K391" s="142"/>
      <c r="L391" s="142"/>
    </row>
    <row r="392" spans="2:12" x14ac:dyDescent="0.2">
      <c r="B392" s="15" t="s">
        <v>321</v>
      </c>
      <c r="C392" s="5">
        <f>(9/5)*C388 + 32</f>
        <v>212</v>
      </c>
      <c r="D392" s="85" t="s">
        <v>289</v>
      </c>
      <c r="E392" s="31">
        <v>14</v>
      </c>
      <c r="F392" s="61">
        <v>0.437</v>
      </c>
      <c r="G392" s="142"/>
      <c r="H392" s="142"/>
      <c r="I392" s="142"/>
      <c r="J392" s="188"/>
      <c r="K392" s="142"/>
      <c r="L392" s="142"/>
    </row>
    <row r="393" spans="2:12" x14ac:dyDescent="0.2">
      <c r="D393" s="191"/>
      <c r="E393" s="31">
        <v>16</v>
      </c>
      <c r="F393" s="61">
        <v>0.5</v>
      </c>
      <c r="G393" s="142"/>
      <c r="H393" s="142"/>
      <c r="I393" s="142"/>
      <c r="J393" s="188"/>
      <c r="K393" s="142"/>
      <c r="L393" s="142"/>
    </row>
    <row r="394" spans="2:12" ht="15.75" x14ac:dyDescent="0.25">
      <c r="B394" s="46" t="s">
        <v>315</v>
      </c>
      <c r="E394" s="31">
        <v>18</v>
      </c>
      <c r="F394" s="61">
        <v>0.56200000000000006</v>
      </c>
      <c r="G394" s="142"/>
      <c r="H394" s="142"/>
      <c r="I394" s="142"/>
      <c r="J394" s="188"/>
      <c r="K394" s="142"/>
      <c r="L394" s="142"/>
    </row>
    <row r="395" spans="2:12" ht="13.5" thickBot="1" x14ac:dyDescent="0.25">
      <c r="B395" s="1" t="s">
        <v>358</v>
      </c>
      <c r="C395" s="8" t="s">
        <v>0</v>
      </c>
      <c r="E395" s="31">
        <v>20</v>
      </c>
      <c r="F395" s="61">
        <v>0.59299999999999997</v>
      </c>
      <c r="G395" s="142"/>
      <c r="H395" s="142"/>
      <c r="I395" s="142"/>
      <c r="J395" s="188"/>
      <c r="K395" s="142"/>
      <c r="L395" s="142"/>
    </row>
    <row r="396" spans="2:12" ht="13.5" thickBot="1" x14ac:dyDescent="0.25">
      <c r="B396" s="2" t="s">
        <v>357</v>
      </c>
      <c r="C396" s="199" t="s">
        <v>359</v>
      </c>
      <c r="E396" s="34">
        <v>24</v>
      </c>
      <c r="F396" s="222">
        <v>0.68700000000000006</v>
      </c>
      <c r="G396" s="142"/>
      <c r="H396" s="142"/>
      <c r="I396" s="142"/>
      <c r="J396" s="188"/>
      <c r="K396" s="142"/>
      <c r="L396" s="142"/>
    </row>
    <row r="397" spans="2:12" x14ac:dyDescent="0.2">
      <c r="B397" s="2" t="s">
        <v>371</v>
      </c>
      <c r="C397" s="149">
        <v>8</v>
      </c>
      <c r="D397" s="4" t="s">
        <v>9</v>
      </c>
      <c r="E397" s="51"/>
      <c r="F397" s="51"/>
      <c r="G397" s="142"/>
      <c r="H397" s="142"/>
      <c r="I397" s="142"/>
      <c r="J397" s="188"/>
      <c r="K397" s="142"/>
      <c r="L397" s="142"/>
    </row>
    <row r="398" spans="2:12" x14ac:dyDescent="0.2">
      <c r="B398" s="2" t="s">
        <v>305</v>
      </c>
      <c r="C398" s="148">
        <v>8</v>
      </c>
      <c r="D398" s="4" t="s">
        <v>9</v>
      </c>
      <c r="E398" s="51"/>
      <c r="F398" s="51"/>
      <c r="G398" s="142"/>
      <c r="H398" s="142"/>
      <c r="I398" s="142"/>
      <c r="J398" s="188"/>
      <c r="K398" s="142"/>
      <c r="L398" s="142"/>
    </row>
    <row r="399" spans="2:12" ht="13.5" thickBot="1" x14ac:dyDescent="0.25">
      <c r="B399" s="2" t="s">
        <v>255</v>
      </c>
      <c r="C399" s="212">
        <v>0.32</v>
      </c>
      <c r="D399" s="4" t="s">
        <v>9</v>
      </c>
      <c r="G399" s="142"/>
      <c r="H399" s="142"/>
      <c r="I399" s="142"/>
      <c r="J399" s="188"/>
      <c r="K399" s="142"/>
      <c r="L399" s="142"/>
    </row>
    <row r="400" spans="2:12" ht="15.75" thickBot="1" x14ac:dyDescent="0.3">
      <c r="B400" s="99" t="s">
        <v>308</v>
      </c>
      <c r="C400" s="8" t="s">
        <v>3</v>
      </c>
      <c r="G400" s="142"/>
      <c r="H400" s="142"/>
      <c r="I400" s="142"/>
      <c r="J400" s="188"/>
      <c r="K400" s="142"/>
      <c r="L400" s="142"/>
    </row>
    <row r="401" spans="2:12" ht="13.5" thickBot="1" x14ac:dyDescent="0.25">
      <c r="B401" s="15" t="s">
        <v>306</v>
      </c>
      <c r="C401" s="193">
        <f>C398</f>
        <v>8</v>
      </c>
      <c r="D401" s="1" t="s">
        <v>9</v>
      </c>
      <c r="E401" s="238" t="str">
        <f>IF(C401&lt;=12,"D&lt;=12, OK","D&gt;12, Not OK")</f>
        <v>D&lt;=12, OK</v>
      </c>
      <c r="F401" s="84"/>
      <c r="G401" s="142"/>
      <c r="H401" s="142"/>
      <c r="I401" s="142"/>
      <c r="J401" s="188"/>
      <c r="K401" s="142"/>
      <c r="L401" s="142"/>
    </row>
    <row r="402" spans="2:12" x14ac:dyDescent="0.2">
      <c r="B402" s="15" t="s">
        <v>307</v>
      </c>
      <c r="C402" s="17">
        <f>C401+(2*C399)</f>
        <v>8.64</v>
      </c>
      <c r="D402" s="1" t="s">
        <v>9</v>
      </c>
      <c r="E402" s="115"/>
      <c r="F402" s="84"/>
      <c r="G402" s="142"/>
      <c r="H402" s="142"/>
      <c r="I402" s="142"/>
      <c r="J402" s="188"/>
      <c r="K402" s="142"/>
      <c r="L402" s="142"/>
    </row>
    <row r="403" spans="2:12" x14ac:dyDescent="0.2">
      <c r="B403" s="15" t="s">
        <v>362</v>
      </c>
      <c r="C403" s="5" t="s">
        <v>292</v>
      </c>
      <c r="D403" s="1"/>
      <c r="E403" s="51"/>
      <c r="F403" s="84"/>
      <c r="G403" s="142"/>
      <c r="H403" s="142"/>
      <c r="I403" s="142"/>
      <c r="J403" s="188"/>
      <c r="K403" s="142"/>
      <c r="L403" s="142"/>
    </row>
    <row r="404" spans="2:12" x14ac:dyDescent="0.2">
      <c r="B404" s="15" t="s">
        <v>4</v>
      </c>
      <c r="C404" s="17">
        <f>3.1416*(C402^2 -C401^ 2)/4</f>
        <v>8.3641958400000043</v>
      </c>
      <c r="D404" s="1" t="s">
        <v>269</v>
      </c>
      <c r="E404" s="115"/>
      <c r="F404" s="84"/>
      <c r="G404" s="142"/>
      <c r="H404" s="142"/>
      <c r="I404" s="142"/>
      <c r="J404" s="188"/>
      <c r="K404" s="142"/>
      <c r="L404" s="142"/>
    </row>
    <row r="405" spans="2:12" x14ac:dyDescent="0.2">
      <c r="B405" s="15" t="s">
        <v>279</v>
      </c>
      <c r="C405" s="1" t="s">
        <v>310</v>
      </c>
      <c r="E405" s="88"/>
      <c r="F405" s="84"/>
      <c r="G405" s="142"/>
      <c r="H405" s="142"/>
      <c r="I405" s="142"/>
      <c r="J405" s="188"/>
      <c r="K405" s="142"/>
      <c r="L405" s="142"/>
    </row>
    <row r="406" spans="2:12" x14ac:dyDescent="0.2">
      <c r="B406" s="2" t="s">
        <v>4</v>
      </c>
      <c r="C406" s="17">
        <f>3.1416*(C402^4 - C401^4)/ 64</f>
        <v>72.480775471104053</v>
      </c>
      <c r="D406" s="1" t="s">
        <v>280</v>
      </c>
      <c r="E406" s="115"/>
      <c r="F406" s="84"/>
      <c r="G406" s="142"/>
      <c r="H406" s="142"/>
      <c r="I406" s="142"/>
      <c r="J406" s="188"/>
      <c r="K406" s="142"/>
      <c r="L406" s="142"/>
    </row>
    <row r="407" spans="2:12" ht="15" x14ac:dyDescent="0.25">
      <c r="B407" s="99" t="s">
        <v>309</v>
      </c>
      <c r="E407" s="88"/>
      <c r="F407" s="84"/>
      <c r="G407" s="142"/>
      <c r="H407" s="142"/>
      <c r="I407" s="142"/>
      <c r="J407" s="188"/>
      <c r="K407" s="142"/>
      <c r="L407" s="142"/>
    </row>
    <row r="408" spans="2:12" ht="13.5" thickBot="1" x14ac:dyDescent="0.25">
      <c r="B408" s="15" t="s">
        <v>306</v>
      </c>
      <c r="C408" s="193">
        <f>C409-2*C399</f>
        <v>7.36</v>
      </c>
      <c r="D408" s="1" t="s">
        <v>9</v>
      </c>
      <c r="E408" s="115"/>
      <c r="F408" s="84"/>
      <c r="G408" s="142"/>
      <c r="H408" s="142"/>
      <c r="I408" s="142"/>
      <c r="J408" s="188"/>
      <c r="K408" s="142"/>
      <c r="L408" s="142"/>
    </row>
    <row r="409" spans="2:12" ht="13.5" thickBot="1" x14ac:dyDescent="0.25">
      <c r="B409" s="15" t="s">
        <v>307</v>
      </c>
      <c r="C409" s="17">
        <f>C398</f>
        <v>8</v>
      </c>
      <c r="D409" s="1" t="s">
        <v>9</v>
      </c>
      <c r="E409" s="238" t="str">
        <f>IF(C409&gt;12,"D&gt;12, OK","D=&lt;12, Not OK")</f>
        <v>D=&lt;12, Not OK</v>
      </c>
      <c r="F409" s="84"/>
      <c r="G409" s="142"/>
      <c r="H409" s="142"/>
      <c r="I409" s="142"/>
      <c r="J409" s="188"/>
      <c r="K409" s="142"/>
      <c r="L409" s="142"/>
    </row>
    <row r="410" spans="2:12" x14ac:dyDescent="0.2">
      <c r="B410" s="15" t="s">
        <v>362</v>
      </c>
      <c r="C410" s="5" t="s">
        <v>292</v>
      </c>
      <c r="D410" s="1"/>
      <c r="E410" s="51"/>
      <c r="G410" s="142"/>
      <c r="H410" s="142"/>
      <c r="I410" s="142"/>
      <c r="J410" s="188"/>
      <c r="K410" s="142"/>
      <c r="L410" s="142"/>
    </row>
    <row r="411" spans="2:12" x14ac:dyDescent="0.2">
      <c r="B411" s="15" t="s">
        <v>4</v>
      </c>
      <c r="C411" s="17">
        <f>3.1416*(C409^2 -C408^ 2)/4</f>
        <v>7.7207961599999981</v>
      </c>
      <c r="D411" s="1" t="s">
        <v>269</v>
      </c>
      <c r="E411" s="115"/>
      <c r="F411" s="84"/>
      <c r="G411" s="142"/>
      <c r="H411" s="142"/>
      <c r="I411" s="142"/>
      <c r="J411" s="188"/>
      <c r="K411" s="142"/>
      <c r="L411" s="142"/>
    </row>
    <row r="412" spans="2:12" x14ac:dyDescent="0.2">
      <c r="B412" s="15" t="s">
        <v>279</v>
      </c>
      <c r="C412" s="1" t="s">
        <v>310</v>
      </c>
      <c r="E412" s="88"/>
      <c r="F412" s="84"/>
      <c r="G412" s="142"/>
      <c r="H412" s="142"/>
      <c r="I412" s="142"/>
      <c r="J412" s="188"/>
      <c r="K412" s="142"/>
      <c r="L412" s="142"/>
    </row>
    <row r="413" spans="2:12" x14ac:dyDescent="0.2">
      <c r="B413" s="2" t="s">
        <v>4</v>
      </c>
      <c r="C413" s="17">
        <f>3.1416*(C409^4 - C408^4)/ 64</f>
        <v>57.022712119295981</v>
      </c>
      <c r="D413" s="1" t="s">
        <v>280</v>
      </c>
      <c r="E413" s="115"/>
      <c r="F413" s="84"/>
      <c r="G413" s="142"/>
      <c r="H413" s="142"/>
      <c r="I413" s="142"/>
      <c r="J413" s="188"/>
      <c r="K413" s="142"/>
      <c r="L413" s="142"/>
    </row>
    <row r="414" spans="2:12" x14ac:dyDescent="0.2">
      <c r="G414" s="142"/>
      <c r="H414" s="142"/>
      <c r="I414" s="142"/>
      <c r="J414" s="188"/>
      <c r="K414" s="142"/>
      <c r="L414" s="142"/>
    </row>
    <row r="415" spans="2:12" ht="15.75" x14ac:dyDescent="0.25">
      <c r="B415" s="46" t="s">
        <v>271</v>
      </c>
      <c r="G415" s="142"/>
      <c r="H415" s="142"/>
      <c r="I415" s="142"/>
      <c r="J415" s="188"/>
      <c r="K415" s="142"/>
      <c r="L415" s="142"/>
    </row>
    <row r="416" spans="2:12" ht="13.5" thickBot="1" x14ac:dyDescent="0.25">
      <c r="C416" s="8" t="s">
        <v>0</v>
      </c>
      <c r="G416" s="142"/>
      <c r="J416" s="188"/>
      <c r="K416" s="142"/>
      <c r="L416" s="142"/>
    </row>
    <row r="417" spans="2:12" ht="48" thickBot="1" x14ac:dyDescent="0.3">
      <c r="B417" s="2" t="s">
        <v>267</v>
      </c>
      <c r="C417" s="199" t="s">
        <v>361</v>
      </c>
      <c r="F417" s="252" t="s">
        <v>441</v>
      </c>
      <c r="G417" s="250" t="s">
        <v>428</v>
      </c>
      <c r="J417" s="188"/>
      <c r="K417" s="142"/>
      <c r="L417" s="142"/>
    </row>
    <row r="418" spans="2:12" ht="14.25" x14ac:dyDescent="0.2">
      <c r="B418" s="2" t="s">
        <v>283</v>
      </c>
      <c r="C418" s="149">
        <v>6.5</v>
      </c>
      <c r="D418" s="4" t="s">
        <v>268</v>
      </c>
      <c r="E418" s="243"/>
      <c r="F418" s="251" t="s">
        <v>282</v>
      </c>
      <c r="G418" s="242">
        <v>13.1</v>
      </c>
      <c r="J418" s="188"/>
      <c r="K418" s="142"/>
      <c r="L418" s="142"/>
    </row>
    <row r="419" spans="2:12" ht="15" x14ac:dyDescent="0.25">
      <c r="B419" s="2" t="s">
        <v>250</v>
      </c>
      <c r="C419" s="149">
        <v>30</v>
      </c>
      <c r="D419" s="4" t="s">
        <v>1</v>
      </c>
      <c r="E419" s="244"/>
      <c r="F419" s="246" t="s">
        <v>261</v>
      </c>
      <c r="G419" s="242">
        <v>73.8</v>
      </c>
      <c r="J419" s="188"/>
      <c r="K419" s="142"/>
      <c r="L419" s="142"/>
    </row>
    <row r="420" spans="2:12" ht="15" x14ac:dyDescent="0.25">
      <c r="B420" s="2" t="s">
        <v>251</v>
      </c>
      <c r="C420" s="149">
        <v>30</v>
      </c>
      <c r="D420" s="4" t="s">
        <v>1</v>
      </c>
      <c r="E420" s="247"/>
      <c r="F420" s="246" t="s">
        <v>262</v>
      </c>
      <c r="G420" s="242">
        <v>30.4</v>
      </c>
      <c r="J420" s="188"/>
      <c r="K420" s="142"/>
      <c r="L420" s="142"/>
    </row>
    <row r="421" spans="2:12" x14ac:dyDescent="0.2">
      <c r="B421" s="2" t="s">
        <v>252</v>
      </c>
      <c r="C421" s="149">
        <v>4</v>
      </c>
      <c r="D421" s="4" t="s">
        <v>1</v>
      </c>
      <c r="E421" s="247"/>
      <c r="F421" s="245" t="s">
        <v>257</v>
      </c>
      <c r="G421" s="242">
        <v>9.6</v>
      </c>
      <c r="J421" s="188"/>
      <c r="K421" s="142"/>
      <c r="L421" s="142"/>
    </row>
    <row r="422" spans="2:12" x14ac:dyDescent="0.2">
      <c r="B422" s="2" t="s">
        <v>303</v>
      </c>
      <c r="C422" s="151">
        <v>7.3915695237295509</v>
      </c>
      <c r="D422" s="4" t="s">
        <v>1</v>
      </c>
      <c r="E422" s="244"/>
      <c r="F422" s="245" t="s">
        <v>258</v>
      </c>
      <c r="G422" s="242">
        <v>8</v>
      </c>
      <c r="J422" s="188"/>
      <c r="K422" s="142"/>
      <c r="L422" s="142"/>
    </row>
    <row r="423" spans="2:12" x14ac:dyDescent="0.2">
      <c r="B423" s="2" t="s">
        <v>254</v>
      </c>
      <c r="C423" s="149">
        <v>70</v>
      </c>
      <c r="D423" s="4" t="s">
        <v>263</v>
      </c>
      <c r="E423" s="244"/>
      <c r="F423" s="245" t="s">
        <v>259</v>
      </c>
      <c r="G423" s="242">
        <v>8.9</v>
      </c>
      <c r="J423" s="188"/>
      <c r="K423" s="142"/>
      <c r="L423" s="142"/>
    </row>
    <row r="424" spans="2:12" x14ac:dyDescent="0.2">
      <c r="B424" s="2" t="s">
        <v>253</v>
      </c>
      <c r="C424" s="149">
        <v>200</v>
      </c>
      <c r="D424" s="4" t="s">
        <v>263</v>
      </c>
      <c r="E424" s="244"/>
      <c r="F424" s="245" t="s">
        <v>260</v>
      </c>
      <c r="G424" s="242">
        <v>5.5</v>
      </c>
      <c r="J424" s="188"/>
      <c r="K424" s="142"/>
      <c r="L424" s="142"/>
    </row>
    <row r="425" spans="2:12" ht="13.5" thickBot="1" x14ac:dyDescent="0.25">
      <c r="B425" s="2" t="s">
        <v>322</v>
      </c>
      <c r="C425" s="153">
        <v>29000000</v>
      </c>
      <c r="D425" s="4" t="s">
        <v>256</v>
      </c>
      <c r="E425" s="248"/>
      <c r="F425" s="249" t="s">
        <v>360</v>
      </c>
      <c r="G425" s="26">
        <v>6.5</v>
      </c>
      <c r="J425" s="188"/>
      <c r="K425" s="142"/>
      <c r="L425" s="142"/>
    </row>
    <row r="426" spans="2:12" x14ac:dyDescent="0.2">
      <c r="B426" s="2" t="s">
        <v>311</v>
      </c>
      <c r="C426" s="149">
        <v>8.75</v>
      </c>
      <c r="D426" s="4" t="s">
        <v>9</v>
      </c>
    </row>
    <row r="427" spans="2:12" x14ac:dyDescent="0.2">
      <c r="B427" s="2" t="s">
        <v>312</v>
      </c>
      <c r="C427" s="149">
        <v>9.8670000000000009</v>
      </c>
      <c r="D427" s="4" t="s">
        <v>269</v>
      </c>
      <c r="G427" s="142"/>
      <c r="H427" s="142"/>
      <c r="I427" s="142"/>
      <c r="J427" s="188"/>
      <c r="K427" s="142"/>
      <c r="L427" s="142"/>
    </row>
    <row r="428" spans="2:12" x14ac:dyDescent="0.2">
      <c r="B428" s="2" t="s">
        <v>313</v>
      </c>
      <c r="C428" s="148">
        <v>71.959999999999994</v>
      </c>
      <c r="D428" s="4" t="s">
        <v>280</v>
      </c>
      <c r="G428" s="142"/>
      <c r="H428" s="142"/>
      <c r="I428" s="142"/>
      <c r="J428" s="188"/>
      <c r="K428" s="142"/>
      <c r="L428" s="142"/>
    </row>
    <row r="429" spans="2:12" ht="13.5" thickBot="1" x14ac:dyDescent="0.25">
      <c r="B429" s="2" t="s">
        <v>317</v>
      </c>
      <c r="C429" s="200">
        <v>62000</v>
      </c>
      <c r="D429" s="4" t="s">
        <v>281</v>
      </c>
      <c r="G429" s="142"/>
      <c r="H429" s="142"/>
      <c r="I429" s="142"/>
      <c r="J429" s="188"/>
      <c r="K429" s="142"/>
      <c r="L429" s="142"/>
    </row>
    <row r="430" spans="2:12" x14ac:dyDescent="0.2">
      <c r="C430" s="8" t="s">
        <v>3</v>
      </c>
      <c r="G430" s="142"/>
      <c r="H430" s="142"/>
      <c r="I430" s="142"/>
      <c r="J430" s="188"/>
      <c r="K430" s="142"/>
      <c r="L430" s="142"/>
    </row>
    <row r="431" spans="2:12" x14ac:dyDescent="0.2">
      <c r="B431" s="15" t="s">
        <v>291</v>
      </c>
      <c r="C431" s="5" t="s">
        <v>270</v>
      </c>
      <c r="D431" s="1"/>
      <c r="G431" s="142"/>
      <c r="H431" s="142"/>
      <c r="I431" s="142"/>
      <c r="J431" s="188"/>
      <c r="K431" s="142"/>
      <c r="L431" s="142"/>
    </row>
    <row r="432" spans="2:12" x14ac:dyDescent="0.2">
      <c r="B432" s="15" t="s">
        <v>4</v>
      </c>
      <c r="C432" s="5">
        <f>C419+C420+C421</f>
        <v>64</v>
      </c>
      <c r="D432" s="1" t="s">
        <v>1</v>
      </c>
      <c r="G432" s="142"/>
      <c r="H432" s="142"/>
      <c r="I432" s="142"/>
      <c r="J432" s="188"/>
      <c r="K432" s="142"/>
      <c r="L432" s="142"/>
    </row>
    <row r="433" spans="2:12" x14ac:dyDescent="0.2">
      <c r="B433" s="15" t="s">
        <v>293</v>
      </c>
      <c r="C433" s="5">
        <f>C432*12</f>
        <v>768</v>
      </c>
      <c r="D433" s="1" t="s">
        <v>9</v>
      </c>
      <c r="G433" s="142"/>
      <c r="H433" s="142"/>
      <c r="I433" s="142"/>
      <c r="J433" s="188"/>
      <c r="K433" s="142"/>
      <c r="L433" s="142"/>
    </row>
    <row r="434" spans="2:12" x14ac:dyDescent="0.2">
      <c r="B434" s="15" t="s">
        <v>272</v>
      </c>
      <c r="C434" s="1" t="s">
        <v>273</v>
      </c>
      <c r="D434" s="1"/>
      <c r="G434" s="142"/>
      <c r="H434" s="142"/>
      <c r="I434" s="142"/>
      <c r="J434" s="188"/>
      <c r="K434" s="142"/>
      <c r="L434" s="142"/>
    </row>
    <row r="435" spans="2:12" x14ac:dyDescent="0.2">
      <c r="B435" s="15" t="s">
        <v>4</v>
      </c>
      <c r="C435" s="5">
        <f>C424-C423</f>
        <v>130</v>
      </c>
      <c r="D435" s="1" t="s">
        <v>263</v>
      </c>
      <c r="G435" s="142"/>
      <c r="H435" s="142"/>
      <c r="I435" s="142"/>
      <c r="J435" s="188"/>
      <c r="K435" s="142"/>
      <c r="L435" s="142"/>
    </row>
    <row r="436" spans="2:12" ht="14.25" x14ac:dyDescent="0.2">
      <c r="B436" s="15" t="s">
        <v>295</v>
      </c>
      <c r="C436" s="1" t="s">
        <v>429</v>
      </c>
      <c r="D436" s="1"/>
      <c r="G436" s="142"/>
      <c r="H436" s="142"/>
      <c r="I436" s="142"/>
      <c r="J436" s="188"/>
      <c r="K436" s="142"/>
      <c r="L436" s="142"/>
    </row>
    <row r="437" spans="2:12" x14ac:dyDescent="0.2">
      <c r="B437" s="15" t="s">
        <v>4</v>
      </c>
      <c r="C437" s="17">
        <f>C418*10^-6*C433*C435</f>
        <v>0.64895999999999998</v>
      </c>
      <c r="D437" s="1" t="s">
        <v>9</v>
      </c>
      <c r="G437" s="142"/>
      <c r="H437" s="142"/>
      <c r="I437" s="142"/>
      <c r="J437" s="188"/>
      <c r="K437" s="142"/>
      <c r="L437" s="142"/>
    </row>
    <row r="438" spans="2:12" x14ac:dyDescent="0.2">
      <c r="B438" s="15" t="s">
        <v>297</v>
      </c>
      <c r="C438" s="1" t="s">
        <v>284</v>
      </c>
      <c r="D438" s="1"/>
      <c r="G438" s="142"/>
      <c r="H438" s="142"/>
      <c r="I438" s="142"/>
      <c r="J438" s="188"/>
      <c r="K438" s="142"/>
      <c r="L438" s="142"/>
    </row>
    <row r="439" spans="2:12" x14ac:dyDescent="0.2">
      <c r="B439" s="15" t="s">
        <v>4</v>
      </c>
      <c r="C439" s="19">
        <f>C425*C418*10^-6*C435</f>
        <v>24505</v>
      </c>
      <c r="D439" s="1" t="s">
        <v>256</v>
      </c>
      <c r="G439" s="142"/>
      <c r="H439" s="142"/>
      <c r="I439" s="142"/>
      <c r="J439" s="188"/>
      <c r="K439" s="142"/>
      <c r="L439" s="142"/>
    </row>
    <row r="440" spans="2:12" x14ac:dyDescent="0.2">
      <c r="B440" s="15" t="s">
        <v>302</v>
      </c>
      <c r="C440" s="5" t="s">
        <v>274</v>
      </c>
      <c r="D440" s="1"/>
      <c r="G440" s="142"/>
      <c r="H440" s="142"/>
      <c r="I440" s="142"/>
      <c r="J440" s="188"/>
      <c r="K440" s="142"/>
      <c r="L440" s="142"/>
    </row>
    <row r="441" spans="2:12" x14ac:dyDescent="0.2">
      <c r="B441" s="15" t="s">
        <v>4</v>
      </c>
      <c r="C441" s="19">
        <f>C404*C439</f>
        <v>204964.61905920011</v>
      </c>
      <c r="D441" s="1" t="s">
        <v>275</v>
      </c>
      <c r="G441" s="142"/>
      <c r="H441" s="142"/>
      <c r="I441" s="142"/>
      <c r="J441" s="188"/>
      <c r="K441" s="142"/>
      <c r="L441" s="142"/>
    </row>
    <row r="442" spans="2:12" x14ac:dyDescent="0.2">
      <c r="B442" s="15" t="s">
        <v>316</v>
      </c>
      <c r="C442" s="78" t="s">
        <v>294</v>
      </c>
      <c r="E442" s="115"/>
      <c r="G442" s="142"/>
      <c r="H442" s="142"/>
      <c r="I442" s="142"/>
      <c r="J442" s="188"/>
      <c r="K442" s="142"/>
      <c r="L442" s="142"/>
    </row>
    <row r="443" spans="2:12" x14ac:dyDescent="0.2">
      <c r="B443" s="15" t="s">
        <v>300</v>
      </c>
      <c r="C443" s="1" t="s">
        <v>299</v>
      </c>
      <c r="D443" s="1"/>
      <c r="G443" s="142"/>
      <c r="H443" s="142"/>
      <c r="I443" s="142"/>
      <c r="J443" s="188"/>
      <c r="K443" s="142"/>
      <c r="L443" s="142"/>
    </row>
    <row r="444" spans="2:12" x14ac:dyDescent="0.2">
      <c r="B444" s="15" t="s">
        <v>4</v>
      </c>
      <c r="C444" s="17">
        <f>C437/2</f>
        <v>0.32447999999999999</v>
      </c>
      <c r="D444" s="1" t="s">
        <v>9</v>
      </c>
      <c r="G444" s="142"/>
      <c r="H444" s="142"/>
      <c r="I444" s="142"/>
      <c r="J444" s="188"/>
      <c r="K444" s="142"/>
      <c r="L444" s="142"/>
    </row>
    <row r="445" spans="2:12" x14ac:dyDescent="0.2">
      <c r="B445" s="15" t="s">
        <v>301</v>
      </c>
      <c r="C445" s="1" t="s">
        <v>304</v>
      </c>
      <c r="D445" s="1"/>
      <c r="G445" s="142"/>
      <c r="H445" s="142"/>
      <c r="I445" s="142"/>
      <c r="J445" s="188"/>
      <c r="K445" s="142"/>
      <c r="L445" s="142"/>
    </row>
    <row r="446" spans="2:12" x14ac:dyDescent="0.2">
      <c r="B446" s="15" t="s">
        <v>4</v>
      </c>
      <c r="C446" s="192">
        <f>12*C425*C428*(C444 ) / (12*C422)^3</f>
        <v>11644.064309056663</v>
      </c>
      <c r="D446" s="1" t="s">
        <v>275</v>
      </c>
      <c r="G446" s="142"/>
      <c r="H446" s="142"/>
      <c r="I446" s="142"/>
      <c r="J446" s="188"/>
      <c r="K446" s="142"/>
      <c r="L446" s="142"/>
    </row>
    <row r="447" spans="2:12" x14ac:dyDescent="0.2">
      <c r="B447" s="15" t="s">
        <v>277</v>
      </c>
      <c r="C447" s="1" t="s">
        <v>296</v>
      </c>
      <c r="D447" s="1"/>
      <c r="G447" s="142"/>
      <c r="H447" s="142"/>
      <c r="I447" s="142"/>
      <c r="J447" s="188"/>
      <c r="K447" s="142"/>
      <c r="L447" s="142"/>
    </row>
    <row r="448" spans="2:12" x14ac:dyDescent="0.2">
      <c r="B448" s="15" t="s">
        <v>4</v>
      </c>
      <c r="C448" s="19">
        <f>C446*C422*12 / 2</f>
        <v>516407.46527502127</v>
      </c>
      <c r="D448" s="1" t="s">
        <v>278</v>
      </c>
      <c r="G448" s="142"/>
      <c r="H448" s="142"/>
      <c r="I448" s="142"/>
      <c r="J448" s="188"/>
      <c r="K448" s="142"/>
      <c r="L448" s="142"/>
    </row>
    <row r="449" spans="2:12" x14ac:dyDescent="0.2">
      <c r="B449" s="15" t="s">
        <v>276</v>
      </c>
      <c r="C449" s="1" t="s">
        <v>314</v>
      </c>
      <c r="D449" s="1"/>
      <c r="G449" s="142"/>
      <c r="H449" s="142"/>
      <c r="I449" s="142"/>
      <c r="J449" s="188"/>
      <c r="K449" s="142"/>
      <c r="L449" s="142"/>
    </row>
    <row r="450" spans="2:12" x14ac:dyDescent="0.2">
      <c r="B450" s="15" t="s">
        <v>4</v>
      </c>
      <c r="C450" s="19">
        <f>C448*(C402/2) /C428</f>
        <v>31001.671067094114</v>
      </c>
      <c r="D450" s="1" t="s">
        <v>281</v>
      </c>
      <c r="G450" s="142"/>
      <c r="H450" s="142"/>
      <c r="I450" s="142"/>
      <c r="J450" s="188"/>
      <c r="K450" s="142"/>
      <c r="L450" s="142"/>
    </row>
    <row r="451" spans="2:12" ht="13.5" thickBot="1" x14ac:dyDescent="0.25">
      <c r="B451" s="194" t="s">
        <v>375</v>
      </c>
      <c r="C451" s="1" t="s">
        <v>374</v>
      </c>
      <c r="G451" s="142"/>
      <c r="H451" s="142"/>
      <c r="I451" s="142"/>
      <c r="J451" s="188"/>
      <c r="K451" s="142"/>
      <c r="L451" s="142"/>
    </row>
    <row r="452" spans="2:12" ht="13.5" thickBot="1" x14ac:dyDescent="0.25">
      <c r="B452" s="15" t="s">
        <v>4</v>
      </c>
      <c r="C452" s="223">
        <f>C429/C450</f>
        <v>1.9998921950310036</v>
      </c>
      <c r="D452" s="1" t="s">
        <v>376</v>
      </c>
      <c r="G452" s="142"/>
      <c r="H452" s="142"/>
      <c r="I452" s="142"/>
      <c r="J452" s="188"/>
      <c r="K452" s="142"/>
      <c r="L452" s="142"/>
    </row>
    <row r="453" spans="2:12" x14ac:dyDescent="0.2">
      <c r="D453" s="1" t="s">
        <v>377</v>
      </c>
      <c r="G453" s="142"/>
      <c r="H453" s="142"/>
      <c r="I453" s="142"/>
      <c r="J453" s="188"/>
      <c r="K453" s="142"/>
      <c r="L453" s="142"/>
    </row>
    <row r="454" spans="2:12" ht="15.75" x14ac:dyDescent="0.25">
      <c r="B454" s="46" t="s">
        <v>298</v>
      </c>
      <c r="G454" s="142"/>
      <c r="H454" s="142"/>
      <c r="I454" s="142"/>
      <c r="J454" s="188"/>
      <c r="K454" s="142"/>
      <c r="L454" s="142"/>
    </row>
    <row r="455" spans="2:12" x14ac:dyDescent="0.2">
      <c r="G455" s="142"/>
      <c r="H455" s="142"/>
      <c r="I455" s="142"/>
      <c r="J455" s="188"/>
      <c r="K455" s="142"/>
      <c r="L455" s="142"/>
    </row>
    <row r="456" spans="2:12" x14ac:dyDescent="0.2">
      <c r="G456" s="142"/>
      <c r="H456" s="142"/>
      <c r="I456" s="142"/>
      <c r="J456" s="188"/>
      <c r="K456" s="142"/>
      <c r="L456" s="142"/>
    </row>
    <row r="457" spans="2:12" x14ac:dyDescent="0.2">
      <c r="G457" s="142"/>
      <c r="H457" s="142"/>
      <c r="I457" s="142"/>
      <c r="J457" s="188"/>
      <c r="K457" s="142"/>
      <c r="L457" s="142"/>
    </row>
    <row r="458" spans="2:12" x14ac:dyDescent="0.2">
      <c r="G458" s="142"/>
      <c r="H458" s="142"/>
      <c r="I458" s="142"/>
      <c r="J458" s="188"/>
      <c r="K458" s="142"/>
      <c r="L458" s="142"/>
    </row>
    <row r="459" spans="2:12" x14ac:dyDescent="0.2">
      <c r="G459" s="142"/>
      <c r="H459" s="142"/>
      <c r="I459" s="142"/>
      <c r="J459" s="188"/>
      <c r="K459" s="142"/>
      <c r="L459" s="142"/>
    </row>
    <row r="460" spans="2:12" x14ac:dyDescent="0.2">
      <c r="G460" s="142"/>
      <c r="H460" s="142"/>
      <c r="I460" s="142"/>
      <c r="J460" s="188"/>
      <c r="K460" s="142"/>
      <c r="L460" s="142"/>
    </row>
    <row r="461" spans="2:12" x14ac:dyDescent="0.2">
      <c r="G461" s="142"/>
      <c r="H461" s="142"/>
      <c r="I461" s="142"/>
      <c r="J461" s="188"/>
      <c r="K461" s="142"/>
      <c r="L461" s="142"/>
    </row>
    <row r="462" spans="2:12" x14ac:dyDescent="0.2">
      <c r="G462" s="142"/>
      <c r="H462" s="142"/>
      <c r="I462" s="142"/>
      <c r="J462" s="188"/>
      <c r="K462" s="142"/>
      <c r="L462" s="142"/>
    </row>
    <row r="463" spans="2:12" x14ac:dyDescent="0.2">
      <c r="G463" s="142"/>
      <c r="H463" s="142"/>
      <c r="I463" s="142"/>
      <c r="J463" s="188"/>
      <c r="K463" s="142"/>
      <c r="L463" s="142"/>
    </row>
    <row r="464" spans="2:12" x14ac:dyDescent="0.2">
      <c r="G464" s="142"/>
      <c r="H464" s="142"/>
      <c r="I464" s="142"/>
      <c r="J464" s="188"/>
      <c r="K464" s="142"/>
      <c r="L464" s="142"/>
    </row>
    <row r="465" spans="2:12" x14ac:dyDescent="0.2">
      <c r="G465" s="142"/>
      <c r="H465" s="142"/>
      <c r="I465" s="142"/>
      <c r="J465" s="188"/>
      <c r="K465" s="142"/>
      <c r="L465" s="142"/>
    </row>
    <row r="466" spans="2:12" x14ac:dyDescent="0.2">
      <c r="G466" s="142"/>
      <c r="H466" s="142"/>
      <c r="I466" s="142"/>
      <c r="J466" s="188"/>
      <c r="K466" s="142"/>
      <c r="L466" s="142"/>
    </row>
    <row r="467" spans="2:12" x14ac:dyDescent="0.2">
      <c r="G467" s="142"/>
      <c r="H467" s="142"/>
      <c r="I467" s="142"/>
      <c r="J467" s="188"/>
      <c r="K467" s="142"/>
      <c r="L467" s="142"/>
    </row>
    <row r="468" spans="2:12" x14ac:dyDescent="0.2">
      <c r="G468" s="142"/>
      <c r="H468" s="142"/>
      <c r="I468" s="142"/>
      <c r="J468" s="188"/>
      <c r="K468" s="142"/>
      <c r="L468" s="142"/>
    </row>
    <row r="469" spans="2:12" x14ac:dyDescent="0.2">
      <c r="G469" s="142"/>
      <c r="H469" s="142"/>
      <c r="I469" s="142"/>
      <c r="J469" s="188"/>
      <c r="K469" s="142"/>
      <c r="L469" s="142"/>
    </row>
    <row r="470" spans="2:12" x14ac:dyDescent="0.2">
      <c r="G470" s="142"/>
      <c r="H470" s="142"/>
      <c r="I470" s="142"/>
      <c r="J470" s="188"/>
      <c r="K470" s="142"/>
      <c r="L470" s="142"/>
    </row>
    <row r="471" spans="2:12" x14ac:dyDescent="0.2">
      <c r="G471" s="142"/>
      <c r="H471" s="142"/>
      <c r="I471" s="142"/>
      <c r="J471" s="188"/>
      <c r="K471" s="142"/>
      <c r="L471" s="142"/>
    </row>
    <row r="472" spans="2:12" ht="15" x14ac:dyDescent="0.25">
      <c r="B472" s="99" t="s">
        <v>318</v>
      </c>
      <c r="C472" s="8"/>
      <c r="G472" s="142"/>
      <c r="H472" s="142"/>
      <c r="I472" s="142"/>
      <c r="J472" s="188"/>
      <c r="K472" s="142"/>
      <c r="L472" s="142"/>
    </row>
    <row r="473" spans="2:12" x14ac:dyDescent="0.2">
      <c r="G473" s="142"/>
      <c r="H473" s="142"/>
      <c r="I473" s="142"/>
      <c r="J473" s="188"/>
      <c r="K473" s="142"/>
      <c r="L473" s="142"/>
    </row>
    <row r="474" spans="2:12" x14ac:dyDescent="0.2">
      <c r="G474" s="142"/>
      <c r="H474" s="142"/>
      <c r="I474" s="142"/>
      <c r="J474" s="188"/>
      <c r="K474" s="142"/>
      <c r="L474" s="142"/>
    </row>
    <row r="475" spans="2:12" ht="15.75" x14ac:dyDescent="0.25">
      <c r="B475" s="46" t="s">
        <v>341</v>
      </c>
      <c r="G475" s="142"/>
      <c r="H475" s="142"/>
      <c r="I475" s="142"/>
      <c r="J475" s="188"/>
      <c r="K475" s="142"/>
      <c r="L475" s="142"/>
    </row>
    <row r="476" spans="2:12" x14ac:dyDescent="0.2">
      <c r="G476" s="142"/>
      <c r="H476" s="142"/>
      <c r="I476" s="142"/>
      <c r="J476" s="188"/>
      <c r="K476" s="142"/>
      <c r="L476" s="142"/>
    </row>
    <row r="477" spans="2:12" x14ac:dyDescent="0.2">
      <c r="G477" s="142"/>
      <c r="H477" s="142"/>
      <c r="I477" s="142"/>
      <c r="J477" s="188"/>
      <c r="K477" s="142"/>
      <c r="L477" s="142"/>
    </row>
    <row r="478" spans="2:12" x14ac:dyDescent="0.2">
      <c r="G478" s="142"/>
      <c r="H478" s="142"/>
      <c r="I478" s="142"/>
      <c r="J478" s="188"/>
      <c r="K478" s="142"/>
      <c r="L478" s="142"/>
    </row>
    <row r="479" spans="2:12" x14ac:dyDescent="0.2">
      <c r="G479" s="142"/>
      <c r="H479" s="142"/>
      <c r="I479" s="142"/>
      <c r="J479" s="188"/>
      <c r="K479" s="142"/>
      <c r="L479" s="142"/>
    </row>
    <row r="480" spans="2:12" x14ac:dyDescent="0.2">
      <c r="G480" s="142"/>
      <c r="H480" s="142"/>
      <c r="I480" s="142"/>
      <c r="J480" s="188"/>
      <c r="K480" s="142"/>
      <c r="L480" s="142"/>
    </row>
    <row r="481" spans="2:12" x14ac:dyDescent="0.2">
      <c r="G481" s="142"/>
      <c r="H481" s="142"/>
      <c r="I481" s="142"/>
      <c r="J481" s="188"/>
      <c r="K481" s="142"/>
      <c r="L481" s="142"/>
    </row>
    <row r="482" spans="2:12" x14ac:dyDescent="0.2">
      <c r="G482" s="142"/>
      <c r="H482" s="142"/>
      <c r="I482" s="142"/>
      <c r="J482" s="188"/>
      <c r="K482" s="142"/>
      <c r="L482" s="142"/>
    </row>
    <row r="483" spans="2:12" x14ac:dyDescent="0.2">
      <c r="G483" s="142"/>
      <c r="H483" s="142"/>
      <c r="I483" s="142"/>
      <c r="J483" s="188"/>
      <c r="K483" s="142"/>
      <c r="L483" s="142"/>
    </row>
    <row r="484" spans="2:12" x14ac:dyDescent="0.2">
      <c r="G484" s="142"/>
      <c r="H484" s="142"/>
      <c r="I484" s="142"/>
      <c r="J484" s="188"/>
      <c r="K484" s="142"/>
      <c r="L484" s="142"/>
    </row>
    <row r="485" spans="2:12" x14ac:dyDescent="0.2">
      <c r="G485" s="142"/>
      <c r="H485" s="142"/>
      <c r="I485" s="142"/>
      <c r="J485" s="188"/>
      <c r="K485" s="142"/>
      <c r="L485" s="142"/>
    </row>
    <row r="486" spans="2:12" x14ac:dyDescent="0.2">
      <c r="G486" s="142"/>
      <c r="H486" s="142"/>
      <c r="I486" s="142"/>
      <c r="J486" s="188"/>
      <c r="K486" s="142"/>
      <c r="L486" s="142"/>
    </row>
    <row r="487" spans="2:12" x14ac:dyDescent="0.2">
      <c r="G487" s="142"/>
      <c r="H487" s="142"/>
      <c r="I487" s="142"/>
      <c r="J487" s="188"/>
      <c r="K487" s="142"/>
      <c r="L487" s="142"/>
    </row>
    <row r="488" spans="2:12" x14ac:dyDescent="0.2">
      <c r="G488" s="142"/>
      <c r="H488" s="142"/>
      <c r="I488" s="142"/>
      <c r="J488" s="188"/>
      <c r="K488" s="142"/>
      <c r="L488" s="142"/>
    </row>
    <row r="489" spans="2:12" x14ac:dyDescent="0.2">
      <c r="G489" s="142"/>
      <c r="H489" s="142"/>
      <c r="I489" s="142"/>
      <c r="J489" s="188"/>
      <c r="K489" s="142"/>
      <c r="L489" s="142"/>
    </row>
    <row r="490" spans="2:12" x14ac:dyDescent="0.2">
      <c r="G490" s="142"/>
      <c r="H490" s="142"/>
      <c r="I490" s="142"/>
      <c r="J490" s="188"/>
      <c r="K490" s="142"/>
      <c r="L490" s="142"/>
    </row>
    <row r="491" spans="2:12" x14ac:dyDescent="0.2">
      <c r="G491" s="142"/>
      <c r="H491" s="142"/>
      <c r="I491" s="142"/>
      <c r="J491" s="188"/>
      <c r="K491" s="142"/>
      <c r="L491" s="142"/>
    </row>
    <row r="492" spans="2:12" x14ac:dyDescent="0.2">
      <c r="G492" s="142"/>
      <c r="H492" s="142"/>
      <c r="I492" s="142"/>
      <c r="J492" s="188"/>
      <c r="K492" s="142"/>
      <c r="L492" s="142"/>
    </row>
    <row r="493" spans="2:12" ht="15.75" thickBot="1" x14ac:dyDescent="0.3">
      <c r="B493" s="217" t="s">
        <v>346</v>
      </c>
      <c r="C493" s="8" t="s">
        <v>323</v>
      </c>
      <c r="G493" s="142"/>
      <c r="H493" s="142"/>
      <c r="I493" s="142"/>
      <c r="J493" s="188"/>
      <c r="K493" s="142"/>
      <c r="L493" s="142"/>
    </row>
    <row r="494" spans="2:12" x14ac:dyDescent="0.2">
      <c r="B494" s="2" t="s">
        <v>344</v>
      </c>
      <c r="C494" s="152">
        <v>10</v>
      </c>
      <c r="D494" s="4" t="s">
        <v>9</v>
      </c>
      <c r="G494" s="142"/>
      <c r="H494" s="142"/>
      <c r="I494" s="142"/>
      <c r="J494" s="188"/>
      <c r="K494" s="142"/>
      <c r="L494" s="142"/>
    </row>
    <row r="495" spans="2:12" ht="13.5" thickBot="1" x14ac:dyDescent="0.25">
      <c r="B495" s="2" t="s">
        <v>333</v>
      </c>
      <c r="C495" s="212">
        <v>36</v>
      </c>
      <c r="D495" s="4" t="s">
        <v>9</v>
      </c>
      <c r="G495" s="142"/>
      <c r="H495" s="142"/>
      <c r="I495" s="142"/>
      <c r="J495" s="188"/>
      <c r="K495" s="142"/>
      <c r="L495" s="142"/>
    </row>
    <row r="496" spans="2:12" x14ac:dyDescent="0.2">
      <c r="C496" s="8" t="s">
        <v>325</v>
      </c>
      <c r="G496" s="142"/>
      <c r="H496" s="142"/>
      <c r="I496" s="142"/>
      <c r="J496" s="188"/>
      <c r="K496" s="142"/>
      <c r="L496" s="142"/>
    </row>
    <row r="497" spans="2:12" ht="14.25" x14ac:dyDescent="0.25">
      <c r="B497" s="15" t="s">
        <v>351</v>
      </c>
      <c r="C497" s="1" t="s">
        <v>343</v>
      </c>
      <c r="D497" s="1"/>
      <c r="G497" s="142"/>
      <c r="H497" s="142"/>
      <c r="I497" s="142"/>
      <c r="J497" s="188"/>
      <c r="K497" s="142"/>
      <c r="L497" s="142"/>
    </row>
    <row r="498" spans="2:12" x14ac:dyDescent="0.2">
      <c r="B498" s="15" t="s">
        <v>4</v>
      </c>
      <c r="C498" s="5">
        <f>1.5*C494</f>
        <v>15</v>
      </c>
      <c r="D498" s="1" t="s">
        <v>9</v>
      </c>
      <c r="G498" s="142"/>
      <c r="H498" s="142"/>
      <c r="I498" s="142"/>
      <c r="J498" s="188"/>
      <c r="K498" s="142"/>
      <c r="L498" s="142"/>
    </row>
    <row r="499" spans="2:12" ht="14.25" x14ac:dyDescent="0.25">
      <c r="B499" s="15" t="s">
        <v>352</v>
      </c>
      <c r="C499" s="5" t="s">
        <v>345</v>
      </c>
      <c r="D499" s="1"/>
      <c r="G499" s="142"/>
      <c r="H499" s="142"/>
      <c r="I499" s="142"/>
      <c r="J499" s="188"/>
      <c r="K499" s="142"/>
      <c r="L499" s="142"/>
    </row>
    <row r="500" spans="2:12" x14ac:dyDescent="0.2">
      <c r="B500" s="15" t="s">
        <v>4</v>
      </c>
      <c r="C500" s="5">
        <f>C494</f>
        <v>10</v>
      </c>
      <c r="D500" s="1" t="s">
        <v>9</v>
      </c>
      <c r="G500" s="142"/>
      <c r="H500" s="142"/>
      <c r="I500" s="142"/>
      <c r="J500" s="188"/>
      <c r="K500" s="142"/>
      <c r="L500" s="142"/>
    </row>
    <row r="501" spans="2:12" x14ac:dyDescent="0.2">
      <c r="B501" s="15" t="s">
        <v>334</v>
      </c>
      <c r="C501" s="216" t="s">
        <v>347</v>
      </c>
      <c r="D501" s="1"/>
      <c r="G501" s="142"/>
      <c r="H501" s="142"/>
      <c r="I501" s="142"/>
      <c r="J501" s="188"/>
      <c r="K501" s="142"/>
      <c r="L501" s="142"/>
    </row>
    <row r="502" spans="2:12" x14ac:dyDescent="0.2">
      <c r="B502" s="15" t="s">
        <v>4</v>
      </c>
      <c r="C502" s="17">
        <f>C495</f>
        <v>36</v>
      </c>
      <c r="D502" s="1" t="s">
        <v>9</v>
      </c>
      <c r="G502" s="142"/>
      <c r="H502" s="142"/>
      <c r="I502" s="142"/>
      <c r="J502" s="188"/>
      <c r="K502" s="142"/>
      <c r="L502" s="142"/>
    </row>
    <row r="503" spans="2:12" x14ac:dyDescent="0.2">
      <c r="B503" s="15" t="s">
        <v>327</v>
      </c>
      <c r="C503" s="5" t="s">
        <v>348</v>
      </c>
      <c r="D503" s="1"/>
      <c r="G503" s="142"/>
      <c r="H503" s="142"/>
      <c r="I503" s="142"/>
      <c r="J503" s="188"/>
      <c r="K503" s="142"/>
      <c r="L503" s="142"/>
    </row>
    <row r="504" spans="2:12" x14ac:dyDescent="0.2">
      <c r="B504" s="15" t="s">
        <v>4</v>
      </c>
      <c r="C504" s="17">
        <f>(C502^2 + C495^2)^(1/2)</f>
        <v>50.911688245431421</v>
      </c>
      <c r="D504" s="1" t="s">
        <v>9</v>
      </c>
      <c r="G504" s="142"/>
      <c r="H504" s="142"/>
      <c r="I504" s="142"/>
      <c r="J504" s="188"/>
      <c r="K504" s="142"/>
      <c r="L504" s="142"/>
    </row>
    <row r="505" spans="2:12" ht="14.25" x14ac:dyDescent="0.25">
      <c r="B505" s="15" t="s">
        <v>349</v>
      </c>
      <c r="C505" s="5" t="s">
        <v>353</v>
      </c>
      <c r="D505" s="1"/>
      <c r="G505" s="142"/>
      <c r="H505" s="142"/>
      <c r="I505" s="142"/>
      <c r="J505" s="188"/>
      <c r="K505" s="142"/>
      <c r="L505" s="142"/>
    </row>
    <row r="506" spans="2:12" x14ac:dyDescent="0.2">
      <c r="B506" s="15" t="s">
        <v>4</v>
      </c>
      <c r="C506" s="17">
        <f>C504 - 2*(C498*SIN(22.5 / 57.3))</f>
        <v>39.431986965508713</v>
      </c>
      <c r="D506" s="1" t="s">
        <v>9</v>
      </c>
      <c r="G506" s="142"/>
      <c r="H506" s="142"/>
      <c r="I506" s="142"/>
      <c r="J506" s="188"/>
      <c r="K506" s="142"/>
      <c r="L506" s="142"/>
    </row>
    <row r="507" spans="2:12" ht="14.25" x14ac:dyDescent="0.25">
      <c r="B507" s="15" t="s">
        <v>350</v>
      </c>
      <c r="C507" s="5" t="s">
        <v>354</v>
      </c>
      <c r="D507" s="1"/>
      <c r="G507" s="142"/>
      <c r="H507" s="142"/>
      <c r="I507" s="142"/>
      <c r="J507" s="188"/>
      <c r="K507" s="142"/>
      <c r="L507" s="142"/>
    </row>
    <row r="508" spans="2:12" x14ac:dyDescent="0.2">
      <c r="B508" s="15" t="s">
        <v>4</v>
      </c>
      <c r="C508" s="17">
        <f>C504 - 2*(C500*SIN(22.5 / 57.3))</f>
        <v>43.25855405881628</v>
      </c>
      <c r="D508" s="1" t="s">
        <v>9</v>
      </c>
      <c r="G508" s="142"/>
      <c r="H508" s="142"/>
      <c r="I508" s="142"/>
      <c r="J508" s="188"/>
      <c r="K508" s="142"/>
      <c r="L508" s="142"/>
    </row>
    <row r="509" spans="2:12" x14ac:dyDescent="0.2">
      <c r="B509" s="15"/>
      <c r="C509" s="215"/>
      <c r="D509" s="1"/>
      <c r="G509" s="142"/>
      <c r="H509" s="142"/>
      <c r="I509" s="142"/>
      <c r="J509" s="188"/>
      <c r="K509" s="142"/>
      <c r="L509" s="142"/>
    </row>
    <row r="510" spans="2:12" x14ac:dyDescent="0.2">
      <c r="G510" s="142"/>
      <c r="H510" s="142"/>
      <c r="I510" s="142"/>
      <c r="J510" s="188"/>
      <c r="K510" s="142"/>
      <c r="L510" s="142"/>
    </row>
    <row r="511" spans="2:12" ht="15.75" x14ac:dyDescent="0.25">
      <c r="B511" s="46" t="s">
        <v>342</v>
      </c>
      <c r="G511" s="142"/>
      <c r="H511" s="142"/>
      <c r="I511" s="142"/>
      <c r="J511" s="188"/>
      <c r="K511" s="142"/>
      <c r="L511" s="142"/>
    </row>
    <row r="512" spans="2:12" x14ac:dyDescent="0.2">
      <c r="G512" s="142"/>
      <c r="H512" s="142"/>
      <c r="I512" s="142"/>
      <c r="J512" s="188"/>
      <c r="K512" s="142"/>
      <c r="L512" s="142"/>
    </row>
    <row r="513" spans="7:12" x14ac:dyDescent="0.2">
      <c r="G513" s="142"/>
      <c r="H513" s="142"/>
      <c r="I513" s="142"/>
      <c r="J513" s="188"/>
      <c r="K513" s="142"/>
      <c r="L513" s="142"/>
    </row>
    <row r="514" spans="7:12" x14ac:dyDescent="0.2">
      <c r="G514" s="142"/>
      <c r="H514" s="142"/>
      <c r="I514" s="142"/>
      <c r="J514" s="188"/>
      <c r="K514" s="142"/>
      <c r="L514" s="142"/>
    </row>
    <row r="515" spans="7:12" x14ac:dyDescent="0.2">
      <c r="G515" s="142"/>
      <c r="H515" s="142"/>
      <c r="I515" s="142"/>
      <c r="J515" s="188"/>
      <c r="K515" s="142"/>
      <c r="L515" s="142"/>
    </row>
    <row r="516" spans="7:12" x14ac:dyDescent="0.2">
      <c r="G516" s="142"/>
      <c r="H516" s="142"/>
      <c r="I516" s="142"/>
      <c r="J516" s="188"/>
      <c r="K516" s="142"/>
      <c r="L516" s="142"/>
    </row>
    <row r="517" spans="7:12" x14ac:dyDescent="0.2">
      <c r="G517" s="142"/>
      <c r="H517" s="142"/>
      <c r="I517" s="142"/>
      <c r="J517" s="188"/>
      <c r="K517" s="142"/>
      <c r="L517" s="142"/>
    </row>
    <row r="518" spans="7:12" x14ac:dyDescent="0.2">
      <c r="G518" s="142"/>
      <c r="H518" s="142"/>
      <c r="I518" s="142"/>
      <c r="J518" s="188"/>
      <c r="K518" s="142"/>
      <c r="L518" s="142"/>
    </row>
    <row r="519" spans="7:12" x14ac:dyDescent="0.2">
      <c r="G519" s="142"/>
      <c r="H519" s="142"/>
      <c r="I519" s="142"/>
      <c r="J519" s="188"/>
      <c r="K519" s="142"/>
      <c r="L519" s="142"/>
    </row>
    <row r="520" spans="7:12" x14ac:dyDescent="0.2">
      <c r="G520" s="142"/>
      <c r="H520" s="142"/>
      <c r="I520" s="142"/>
      <c r="J520" s="188"/>
      <c r="K520" s="142"/>
      <c r="L520" s="142"/>
    </row>
    <row r="521" spans="7:12" x14ac:dyDescent="0.2">
      <c r="G521" s="142"/>
      <c r="H521" s="142"/>
      <c r="I521" s="142"/>
      <c r="J521" s="188"/>
      <c r="K521" s="142"/>
      <c r="L521" s="142"/>
    </row>
    <row r="522" spans="7:12" x14ac:dyDescent="0.2">
      <c r="G522" s="142"/>
      <c r="H522" s="142"/>
      <c r="I522" s="142"/>
      <c r="J522" s="188"/>
      <c r="K522" s="142"/>
      <c r="L522" s="142"/>
    </row>
    <row r="523" spans="7:12" x14ac:dyDescent="0.2">
      <c r="G523" s="142"/>
      <c r="H523" s="142"/>
      <c r="I523" s="142"/>
      <c r="J523" s="188"/>
      <c r="K523" s="142"/>
      <c r="L523" s="142"/>
    </row>
    <row r="524" spans="7:12" x14ac:dyDescent="0.2">
      <c r="G524" s="142"/>
      <c r="H524" s="142"/>
      <c r="I524" s="142"/>
      <c r="J524" s="188"/>
      <c r="K524" s="142"/>
      <c r="L524" s="142"/>
    </row>
    <row r="525" spans="7:12" x14ac:dyDescent="0.2">
      <c r="G525" s="142"/>
      <c r="H525" s="142"/>
      <c r="I525" s="142"/>
      <c r="J525" s="188"/>
      <c r="K525" s="142"/>
      <c r="L525" s="142"/>
    </row>
    <row r="526" spans="7:12" x14ac:dyDescent="0.2">
      <c r="G526" s="142"/>
      <c r="H526" s="142"/>
      <c r="I526" s="142"/>
      <c r="J526" s="188"/>
      <c r="K526" s="142"/>
      <c r="L526" s="142"/>
    </row>
    <row r="527" spans="7:12" x14ac:dyDescent="0.2">
      <c r="G527" s="142"/>
      <c r="H527" s="142"/>
      <c r="I527" s="142"/>
      <c r="J527" s="188"/>
      <c r="K527" s="142"/>
      <c r="L527" s="142"/>
    </row>
    <row r="528" spans="7:12" x14ac:dyDescent="0.2">
      <c r="G528" s="142"/>
      <c r="H528" s="142"/>
      <c r="I528" s="142"/>
      <c r="J528" s="188"/>
      <c r="K528" s="142"/>
      <c r="L528" s="142"/>
    </row>
    <row r="529" spans="2:12" x14ac:dyDescent="0.2">
      <c r="G529" s="142"/>
      <c r="H529" s="142"/>
      <c r="I529" s="142"/>
      <c r="J529" s="188"/>
      <c r="K529" s="142"/>
      <c r="L529" s="142"/>
    </row>
    <row r="530" spans="2:12" x14ac:dyDescent="0.2">
      <c r="G530" s="142"/>
      <c r="H530" s="142"/>
      <c r="I530" s="142"/>
      <c r="J530" s="188"/>
      <c r="K530" s="142"/>
      <c r="L530" s="142"/>
    </row>
    <row r="531" spans="2:12" x14ac:dyDescent="0.2">
      <c r="G531" s="142"/>
      <c r="H531" s="142"/>
      <c r="I531" s="142"/>
      <c r="J531" s="188"/>
      <c r="K531" s="142"/>
      <c r="L531" s="142"/>
    </row>
    <row r="532" spans="2:12" x14ac:dyDescent="0.2">
      <c r="G532" s="142"/>
      <c r="H532" s="142"/>
      <c r="I532" s="142"/>
      <c r="J532" s="188"/>
      <c r="K532" s="142"/>
      <c r="L532" s="142"/>
    </row>
    <row r="533" spans="2:12" x14ac:dyDescent="0.2">
      <c r="G533" s="142"/>
      <c r="H533" s="142"/>
      <c r="I533" s="142"/>
      <c r="J533" s="188"/>
      <c r="K533" s="142"/>
      <c r="L533" s="142"/>
    </row>
    <row r="534" spans="2:12" x14ac:dyDescent="0.2">
      <c r="G534" s="142"/>
      <c r="H534" s="142"/>
      <c r="I534" s="142"/>
      <c r="J534" s="188"/>
      <c r="K534" s="142"/>
      <c r="L534" s="142"/>
    </row>
    <row r="535" spans="2:12" x14ac:dyDescent="0.2">
      <c r="G535" s="142"/>
      <c r="H535" s="142"/>
      <c r="I535" s="142"/>
      <c r="J535" s="188"/>
      <c r="K535" s="142"/>
      <c r="L535" s="142"/>
    </row>
    <row r="536" spans="2:12" x14ac:dyDescent="0.2">
      <c r="G536" s="142"/>
      <c r="H536" s="142"/>
      <c r="I536" s="142"/>
      <c r="J536" s="188"/>
      <c r="K536" s="142"/>
      <c r="L536" s="142"/>
    </row>
    <row r="537" spans="2:12" x14ac:dyDescent="0.2">
      <c r="G537" s="142"/>
      <c r="H537" s="142"/>
      <c r="I537" s="142"/>
      <c r="J537" s="188"/>
      <c r="K537" s="142"/>
      <c r="L537" s="142"/>
    </row>
    <row r="538" spans="2:12" ht="16.5" thickBot="1" x14ac:dyDescent="0.3">
      <c r="B538" s="47" t="s">
        <v>339</v>
      </c>
      <c r="C538" s="8" t="s">
        <v>323</v>
      </c>
      <c r="H538" s="221" t="s">
        <v>340</v>
      </c>
      <c r="I538" s="204" t="s">
        <v>323</v>
      </c>
      <c r="J538" s="205"/>
    </row>
    <row r="539" spans="2:12" x14ac:dyDescent="0.2">
      <c r="B539" s="2" t="s">
        <v>334</v>
      </c>
      <c r="C539" s="198">
        <v>60</v>
      </c>
      <c r="D539" s="4" t="s">
        <v>9</v>
      </c>
      <c r="H539" s="206" t="s">
        <v>334</v>
      </c>
      <c r="I539" s="207">
        <v>60</v>
      </c>
      <c r="J539" s="205" t="s">
        <v>9</v>
      </c>
    </row>
    <row r="540" spans="2:12" x14ac:dyDescent="0.2">
      <c r="B540" s="2" t="s">
        <v>324</v>
      </c>
      <c r="C540" s="148">
        <v>48</v>
      </c>
      <c r="D540" s="4" t="s">
        <v>9</v>
      </c>
      <c r="H540" s="206" t="s">
        <v>324</v>
      </c>
      <c r="I540" s="208">
        <v>48</v>
      </c>
      <c r="J540" s="205" t="s">
        <v>9</v>
      </c>
    </row>
    <row r="541" spans="2:12" ht="13.5" thickBot="1" x14ac:dyDescent="0.25">
      <c r="B541" s="2" t="s">
        <v>333</v>
      </c>
      <c r="C541" s="212">
        <v>24</v>
      </c>
      <c r="D541" s="4" t="s">
        <v>9</v>
      </c>
      <c r="H541" s="206" t="s">
        <v>333</v>
      </c>
      <c r="I541" s="209">
        <v>35.991</v>
      </c>
      <c r="J541" s="205" t="s">
        <v>9</v>
      </c>
    </row>
    <row r="542" spans="2:12" x14ac:dyDescent="0.2">
      <c r="B542" s="2"/>
      <c r="C542" s="8" t="s">
        <v>325</v>
      </c>
      <c r="H542" s="206"/>
      <c r="I542" s="204" t="s">
        <v>325</v>
      </c>
      <c r="J542" s="205"/>
    </row>
    <row r="543" spans="2:12" x14ac:dyDescent="0.2">
      <c r="B543" s="15" t="s">
        <v>329</v>
      </c>
      <c r="C543" s="5" t="s">
        <v>328</v>
      </c>
      <c r="D543" s="1"/>
      <c r="H543" s="210" t="s">
        <v>329</v>
      </c>
      <c r="I543" s="203" t="s">
        <v>328</v>
      </c>
      <c r="J543" s="185"/>
    </row>
    <row r="544" spans="2:12" x14ac:dyDescent="0.2">
      <c r="B544" s="15" t="s">
        <v>4</v>
      </c>
      <c r="C544" s="17">
        <f>(C540^2 + C541^2)^(1/2)</f>
        <v>53.665631459994955</v>
      </c>
      <c r="D544" s="1" t="s">
        <v>9</v>
      </c>
      <c r="H544" s="210" t="s">
        <v>4</v>
      </c>
      <c r="I544" s="211">
        <f>(I540^2 + I541^2)^(1/2)</f>
        <v>59.994600432038879</v>
      </c>
      <c r="J544" s="185" t="s">
        <v>9</v>
      </c>
    </row>
    <row r="545" spans="2:12" ht="13.5" thickBot="1" x14ac:dyDescent="0.25">
      <c r="B545" s="15" t="s">
        <v>332</v>
      </c>
      <c r="C545" s="5" t="s">
        <v>330</v>
      </c>
      <c r="D545" s="1"/>
      <c r="H545" s="210" t="s">
        <v>332</v>
      </c>
      <c r="I545" s="203" t="s">
        <v>330</v>
      </c>
      <c r="J545" s="185"/>
    </row>
    <row r="546" spans="2:12" ht="13.5" thickBot="1" x14ac:dyDescent="0.25">
      <c r="B546" s="15" t="s">
        <v>4</v>
      </c>
      <c r="C546" s="213">
        <f>57.3*ATAN(C544 / C539)</f>
        <v>41.813394701805173</v>
      </c>
      <c r="D546" s="1" t="s">
        <v>326</v>
      </c>
      <c r="H546" s="210" t="s">
        <v>4</v>
      </c>
      <c r="I546" s="214">
        <f>57.3*ATAN(I544 / I539)</f>
        <v>45.000736352954938</v>
      </c>
      <c r="J546" s="185" t="s">
        <v>326</v>
      </c>
    </row>
    <row r="547" spans="2:12" x14ac:dyDescent="0.2">
      <c r="B547" s="15" t="s">
        <v>327</v>
      </c>
      <c r="C547" s="5" t="s">
        <v>331</v>
      </c>
      <c r="D547" s="1"/>
      <c r="H547" s="210" t="s">
        <v>327</v>
      </c>
      <c r="I547" s="203" t="s">
        <v>331</v>
      </c>
      <c r="J547" s="185"/>
    </row>
    <row r="548" spans="2:12" x14ac:dyDescent="0.2">
      <c r="B548" s="15" t="s">
        <v>4</v>
      </c>
      <c r="C548" s="17">
        <f>(C539^2 + C544^2)^(1/2)</f>
        <v>80.498447189992433</v>
      </c>
      <c r="D548" s="1" t="s">
        <v>9</v>
      </c>
      <c r="H548" s="210"/>
      <c r="I548" s="211">
        <f>(I539^2 + I544^2)^(1/2)</f>
        <v>84.84899575716851</v>
      </c>
      <c r="J548" s="185" t="s">
        <v>9</v>
      </c>
    </row>
    <row r="549" spans="2:12" x14ac:dyDescent="0.2">
      <c r="B549" s="15" t="s">
        <v>363</v>
      </c>
      <c r="C549" s="5" t="s">
        <v>364</v>
      </c>
      <c r="H549" s="15" t="s">
        <v>363</v>
      </c>
      <c r="I549" s="5" t="s">
        <v>364</v>
      </c>
    </row>
    <row r="550" spans="2:12" x14ac:dyDescent="0.2">
      <c r="C550" s="18">
        <f>57.3*ATAN(C541 / C540)</f>
        <v>26.567007995746188</v>
      </c>
      <c r="D550" s="1" t="s">
        <v>326</v>
      </c>
      <c r="I550" s="18">
        <f>57.3*ATAN(I541 / I540)</f>
        <v>36.865736914992503</v>
      </c>
      <c r="J550" s="185" t="s">
        <v>326</v>
      </c>
    </row>
    <row r="551" spans="2:12" x14ac:dyDescent="0.2">
      <c r="B551" s="202" t="s">
        <v>335</v>
      </c>
      <c r="G551" s="142"/>
      <c r="H551" s="142"/>
      <c r="I551" s="142"/>
      <c r="J551" s="188"/>
      <c r="K551" s="142"/>
      <c r="L551" s="142"/>
    </row>
    <row r="552" spans="2:12" x14ac:dyDescent="0.2">
      <c r="B552" s="1" t="s">
        <v>367</v>
      </c>
      <c r="G552" s="142"/>
      <c r="H552" s="142"/>
      <c r="I552" s="142"/>
      <c r="J552" s="188"/>
      <c r="K552" s="142"/>
      <c r="L552" s="142"/>
    </row>
    <row r="553" spans="2:12" x14ac:dyDescent="0.2">
      <c r="B553" s="5" t="s">
        <v>368</v>
      </c>
      <c r="G553" s="142"/>
      <c r="H553" s="142"/>
      <c r="I553" s="142"/>
      <c r="J553" s="188"/>
      <c r="K553" s="142"/>
      <c r="L553" s="142"/>
    </row>
    <row r="554" spans="2:12" x14ac:dyDescent="0.2">
      <c r="B554" s="5" t="s">
        <v>369</v>
      </c>
      <c r="G554" s="142"/>
      <c r="H554" s="142"/>
      <c r="I554" s="142"/>
      <c r="J554" s="188"/>
      <c r="K554" s="142"/>
      <c r="L554" s="142"/>
    </row>
    <row r="555" spans="2:12" x14ac:dyDescent="0.2">
      <c r="B555" s="5" t="s">
        <v>370</v>
      </c>
      <c r="C555" s="3"/>
      <c r="G555" s="142"/>
      <c r="H555" s="142"/>
      <c r="I555" s="142"/>
      <c r="J555" s="188"/>
      <c r="K555" s="142"/>
      <c r="L555" s="142"/>
    </row>
    <row r="556" spans="2:12" x14ac:dyDescent="0.2">
      <c r="B556" s="1" t="s">
        <v>365</v>
      </c>
      <c r="G556" s="142"/>
      <c r="H556" s="142"/>
      <c r="I556" s="142"/>
      <c r="J556" s="188"/>
      <c r="K556" s="142"/>
      <c r="L556" s="142"/>
    </row>
    <row r="557" spans="2:12" x14ac:dyDescent="0.2">
      <c r="B557" s="5" t="s">
        <v>336</v>
      </c>
      <c r="G557" s="142"/>
      <c r="H557" s="142"/>
      <c r="I557" s="142"/>
      <c r="J557" s="188"/>
      <c r="K557" s="142"/>
      <c r="L557" s="142"/>
    </row>
    <row r="558" spans="2:12" x14ac:dyDescent="0.2">
      <c r="B558" s="1" t="s">
        <v>337</v>
      </c>
      <c r="G558" s="142"/>
      <c r="H558" s="142"/>
      <c r="I558" s="142"/>
      <c r="J558" s="188"/>
      <c r="K558" s="142"/>
      <c r="L558" s="142"/>
    </row>
    <row r="559" spans="2:12" x14ac:dyDescent="0.2">
      <c r="B559" s="1" t="s">
        <v>366</v>
      </c>
      <c r="G559" s="142"/>
      <c r="H559" s="142"/>
      <c r="I559" s="142"/>
      <c r="J559" s="188"/>
      <c r="K559" s="142"/>
      <c r="L559" s="142"/>
    </row>
    <row r="560" spans="2:12" x14ac:dyDescent="0.2">
      <c r="B560" s="1" t="s">
        <v>338</v>
      </c>
      <c r="G560" s="142"/>
      <c r="H560" s="142"/>
      <c r="I560" s="142"/>
      <c r="J560" s="188"/>
      <c r="K560" s="142"/>
      <c r="L560" s="142"/>
    </row>
    <row r="561" spans="7:12" x14ac:dyDescent="0.2">
      <c r="G561" s="142"/>
      <c r="H561" s="142"/>
      <c r="I561" s="142"/>
      <c r="J561" s="188"/>
      <c r="K561" s="142"/>
      <c r="L561" s="142"/>
    </row>
    <row r="562" spans="7:12" x14ac:dyDescent="0.2">
      <c r="G562" s="142"/>
      <c r="H562" s="142"/>
      <c r="I562" s="142"/>
      <c r="J562" s="188"/>
      <c r="K562" s="142"/>
      <c r="L562" s="142"/>
    </row>
    <row r="563" spans="7:12" x14ac:dyDescent="0.2">
      <c r="G563" s="142"/>
      <c r="H563" s="142"/>
      <c r="I563" s="142"/>
      <c r="J563" s="188"/>
      <c r="K563" s="142"/>
      <c r="L563" s="142"/>
    </row>
    <row r="564" spans="7:12" x14ac:dyDescent="0.2">
      <c r="G564" s="142"/>
      <c r="H564" s="142"/>
      <c r="I564" s="142"/>
      <c r="J564" s="188"/>
      <c r="K564" s="142"/>
      <c r="L564" s="142"/>
    </row>
    <row r="565" spans="7:12" x14ac:dyDescent="0.2">
      <c r="G565" s="142"/>
      <c r="H565" s="142"/>
      <c r="I565" s="142"/>
      <c r="J565" s="188"/>
      <c r="K565" s="142"/>
      <c r="L565" s="142"/>
    </row>
    <row r="566" spans="7:12" x14ac:dyDescent="0.2">
      <c r="G566" s="142"/>
      <c r="H566" s="142"/>
      <c r="I566" s="142"/>
      <c r="J566" s="188"/>
      <c r="K566" s="142"/>
      <c r="L566" s="142"/>
    </row>
    <row r="567" spans="7:12" x14ac:dyDescent="0.2">
      <c r="G567" s="142"/>
      <c r="H567" s="142"/>
      <c r="I567" s="142"/>
      <c r="J567" s="188"/>
      <c r="K567" s="142"/>
      <c r="L567" s="142"/>
    </row>
    <row r="568" spans="7:12" x14ac:dyDescent="0.2">
      <c r="G568" s="142"/>
      <c r="H568" s="142"/>
      <c r="I568" s="142"/>
      <c r="J568" s="188"/>
      <c r="K568" s="142"/>
      <c r="L568" s="142"/>
    </row>
    <row r="569" spans="7:12" x14ac:dyDescent="0.2">
      <c r="G569" s="142"/>
      <c r="H569" s="142"/>
      <c r="I569" s="142"/>
      <c r="J569" s="188"/>
      <c r="K569" s="142"/>
      <c r="L569" s="142"/>
    </row>
    <row r="570" spans="7:12" x14ac:dyDescent="0.2">
      <c r="G570" s="142"/>
      <c r="H570" s="142"/>
      <c r="I570" s="142"/>
      <c r="J570" s="188"/>
      <c r="K570" s="142"/>
      <c r="L570" s="142"/>
    </row>
    <row r="571" spans="7:12" x14ac:dyDescent="0.2">
      <c r="G571" s="142"/>
      <c r="H571" s="142"/>
      <c r="I571" s="142"/>
      <c r="J571" s="188"/>
      <c r="K571" s="142"/>
      <c r="L571" s="142"/>
    </row>
    <row r="572" spans="7:12" x14ac:dyDescent="0.2">
      <c r="G572" s="142"/>
      <c r="H572" s="142"/>
      <c r="I572" s="142"/>
      <c r="J572" s="188"/>
      <c r="K572" s="142"/>
      <c r="L572" s="142"/>
    </row>
    <row r="573" spans="7:12" x14ac:dyDescent="0.2">
      <c r="G573" s="142"/>
      <c r="H573" s="142"/>
      <c r="I573" s="142"/>
      <c r="J573" s="188"/>
      <c r="K573" s="142"/>
      <c r="L573" s="142"/>
    </row>
    <row r="574" spans="7:12" x14ac:dyDescent="0.2">
      <c r="G574" s="142"/>
      <c r="H574" s="142"/>
      <c r="I574" s="142"/>
      <c r="J574" s="188"/>
      <c r="K574" s="142"/>
      <c r="L574" s="142"/>
    </row>
    <row r="575" spans="7:12" x14ac:dyDescent="0.2">
      <c r="G575" s="142"/>
      <c r="H575" s="142"/>
      <c r="I575" s="142"/>
      <c r="J575" s="188"/>
      <c r="K575" s="142"/>
      <c r="L575" s="142"/>
    </row>
    <row r="576" spans="7:12" x14ac:dyDescent="0.2">
      <c r="G576" s="142"/>
      <c r="H576" s="142"/>
      <c r="I576" s="142"/>
      <c r="J576" s="188"/>
      <c r="K576" s="142"/>
      <c r="L576" s="142"/>
    </row>
    <row r="577" spans="7:12" x14ac:dyDescent="0.2">
      <c r="G577" s="142"/>
      <c r="H577" s="142"/>
      <c r="I577" s="142"/>
      <c r="J577" s="188"/>
      <c r="K577" s="142"/>
      <c r="L577" s="142"/>
    </row>
    <row r="578" spans="7:12" x14ac:dyDescent="0.2">
      <c r="G578" s="142"/>
      <c r="H578" s="142"/>
      <c r="I578" s="142"/>
      <c r="J578" s="188"/>
      <c r="K578" s="142"/>
      <c r="L578" s="142"/>
    </row>
    <row r="579" spans="7:12" x14ac:dyDescent="0.2">
      <c r="G579" s="142"/>
      <c r="H579" s="142"/>
      <c r="I579" s="142"/>
      <c r="J579" s="188"/>
      <c r="K579" s="142"/>
      <c r="L579" s="142"/>
    </row>
    <row r="580" spans="7:12" x14ac:dyDescent="0.2">
      <c r="G580" s="142"/>
      <c r="H580" s="142"/>
      <c r="I580" s="142"/>
      <c r="J580" s="188"/>
      <c r="K580" s="142"/>
      <c r="L580" s="142"/>
    </row>
    <row r="581" spans="7:12" x14ac:dyDescent="0.2">
      <c r="G581" s="142"/>
      <c r="H581" s="142"/>
      <c r="I581" s="142"/>
      <c r="J581" s="188"/>
      <c r="K581" s="142"/>
      <c r="L581" s="142"/>
    </row>
  </sheetData>
  <sheetProtection sheet="1" objects="1" scenarios="1" formatCells="0" selectLockedCells="1"/>
  <hyperlinks>
    <hyperlink ref="B345" r:id="rId1" xr:uid="{00000000-0004-0000-0100-000000000000}"/>
    <hyperlink ref="B89" r:id="rId2" xr:uid="{00000000-0004-0000-0100-000001000000}"/>
  </hyperlinks>
  <pageMargins left="0" right="0" top="0.39410000000000001" bottom="0.39410000000000001" header="0" footer="0"/>
  <pageSetup orientation="portrait" r:id="rId3"/>
  <headerFooter>
    <oddHeader>&amp;C&amp;A</oddHeader>
    <oddFooter>&amp;CPage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32"/>
  <sheetViews>
    <sheetView zoomScaleNormal="100" workbookViewId="0">
      <selection activeCell="H2" sqref="H2"/>
    </sheetView>
  </sheetViews>
  <sheetFormatPr defaultRowHeight="12.75" x14ac:dyDescent="0.2"/>
  <cols>
    <col min="1" max="1" width="4.125" style="4" customWidth="1"/>
    <col min="2" max="2" width="47.75" style="4" customWidth="1"/>
    <col min="3" max="3" width="15.875" style="3" customWidth="1"/>
    <col min="4" max="4" width="10.25" style="3" customWidth="1"/>
    <col min="5" max="5" width="9.125" style="4" customWidth="1"/>
    <col min="6" max="6" width="11.125" style="4" customWidth="1"/>
    <col min="7" max="7" width="5" style="2" customWidth="1"/>
    <col min="8" max="8" width="41.75" style="4" customWidth="1"/>
    <col min="9" max="9" width="12.125" style="4" customWidth="1"/>
    <col min="10" max="10" width="15.875" style="4" customWidth="1"/>
    <col min="11" max="11" width="11.875" style="4" customWidth="1"/>
    <col min="12" max="12" width="8.625" style="4" customWidth="1"/>
    <col min="13" max="14" width="9" style="4"/>
    <col min="15" max="15" width="9" style="51"/>
    <col min="16" max="16384" width="9" style="4"/>
  </cols>
  <sheetData>
    <row r="1" spans="2:11" ht="15.75" x14ac:dyDescent="0.25">
      <c r="B1" s="46" t="s">
        <v>483</v>
      </c>
      <c r="E1" s="142"/>
      <c r="F1" s="142"/>
      <c r="G1" s="146"/>
      <c r="H1" s="142"/>
      <c r="I1" s="142"/>
      <c r="J1" s="142"/>
      <c r="K1" s="142"/>
    </row>
    <row r="2" spans="2:11" ht="15.75" x14ac:dyDescent="0.25">
      <c r="B2" s="47" t="s">
        <v>475</v>
      </c>
      <c r="C2" s="5" t="s">
        <v>481</v>
      </c>
      <c r="E2" s="142"/>
      <c r="F2" s="142"/>
      <c r="G2" s="146"/>
      <c r="H2" s="142"/>
      <c r="I2" s="142"/>
      <c r="J2" s="142"/>
      <c r="K2" s="142"/>
    </row>
    <row r="3" spans="2:11" x14ac:dyDescent="0.2">
      <c r="E3" s="142"/>
      <c r="F3" s="142"/>
      <c r="G3" s="146"/>
      <c r="H3" s="142"/>
      <c r="I3" s="142"/>
      <c r="J3" s="142"/>
      <c r="K3" s="142"/>
    </row>
    <row r="4" spans="2:11" x14ac:dyDescent="0.2">
      <c r="E4" s="142"/>
      <c r="F4" s="142"/>
      <c r="G4" s="146"/>
      <c r="H4" s="142"/>
      <c r="I4" s="142"/>
      <c r="J4" s="142"/>
      <c r="K4" s="142"/>
    </row>
    <row r="5" spans="2:11" ht="15.75" x14ac:dyDescent="0.25">
      <c r="B5" s="46" t="s">
        <v>430</v>
      </c>
      <c r="E5" s="142"/>
      <c r="F5" s="142"/>
      <c r="G5" s="146"/>
      <c r="H5" s="142"/>
      <c r="I5" s="142"/>
      <c r="J5" s="142"/>
      <c r="K5" s="142"/>
    </row>
    <row r="6" spans="2:11" x14ac:dyDescent="0.2">
      <c r="E6" s="142"/>
      <c r="F6" s="142"/>
      <c r="G6" s="146"/>
      <c r="H6" s="142"/>
      <c r="I6" s="142"/>
      <c r="J6" s="142"/>
      <c r="K6" s="142"/>
    </row>
    <row r="7" spans="2:11" x14ac:dyDescent="0.2">
      <c r="E7" s="142"/>
      <c r="F7" s="142"/>
      <c r="G7" s="146"/>
      <c r="H7" s="142"/>
      <c r="I7" s="142"/>
      <c r="J7" s="142"/>
      <c r="K7" s="142"/>
    </row>
    <row r="8" spans="2:11" x14ac:dyDescent="0.2">
      <c r="E8" s="142"/>
      <c r="F8" s="142"/>
      <c r="G8" s="146"/>
      <c r="H8" s="142"/>
      <c r="I8" s="142"/>
      <c r="J8" s="142"/>
      <c r="K8" s="142"/>
    </row>
    <row r="9" spans="2:11" x14ac:dyDescent="0.2">
      <c r="E9" s="142"/>
      <c r="F9" s="142"/>
      <c r="G9" s="146"/>
      <c r="H9" s="142"/>
      <c r="I9" s="142"/>
      <c r="J9" s="142"/>
      <c r="K9" s="142"/>
    </row>
    <row r="10" spans="2:11" x14ac:dyDescent="0.2">
      <c r="E10" s="142"/>
      <c r="F10" s="142"/>
      <c r="G10" s="146"/>
      <c r="H10" s="142"/>
      <c r="I10" s="142"/>
      <c r="J10" s="142"/>
      <c r="K10" s="142"/>
    </row>
    <row r="11" spans="2:11" x14ac:dyDescent="0.2">
      <c r="E11" s="142"/>
      <c r="F11" s="142"/>
      <c r="G11" s="146"/>
      <c r="H11" s="142"/>
      <c r="I11" s="142"/>
      <c r="J11" s="142"/>
      <c r="K11" s="142"/>
    </row>
    <row r="12" spans="2:11" x14ac:dyDescent="0.2">
      <c r="E12" s="142"/>
      <c r="F12" s="142"/>
      <c r="G12" s="146"/>
      <c r="H12" s="142"/>
      <c r="I12" s="142"/>
      <c r="J12" s="142"/>
      <c r="K12" s="142"/>
    </row>
    <row r="13" spans="2:11" x14ac:dyDescent="0.2">
      <c r="E13" s="142"/>
      <c r="F13" s="142"/>
      <c r="G13" s="146"/>
      <c r="H13" s="142"/>
      <c r="I13" s="142"/>
      <c r="J13" s="142"/>
      <c r="K13" s="142"/>
    </row>
    <row r="14" spans="2:11" x14ac:dyDescent="0.2">
      <c r="E14" s="142"/>
      <c r="F14" s="142"/>
      <c r="G14" s="146"/>
      <c r="H14" s="142"/>
      <c r="I14" s="142"/>
      <c r="J14" s="142"/>
      <c r="K14" s="142"/>
    </row>
    <row r="15" spans="2:11" x14ac:dyDescent="0.2">
      <c r="E15" s="142"/>
      <c r="F15" s="142"/>
      <c r="G15" s="146"/>
      <c r="H15" s="142"/>
      <c r="I15" s="142"/>
      <c r="K15" s="142"/>
    </row>
    <row r="16" spans="2:11" ht="15.75" x14ac:dyDescent="0.25">
      <c r="E16" s="142"/>
      <c r="F16" s="142"/>
      <c r="G16" s="146"/>
      <c r="H16" s="235"/>
      <c r="I16" s="142"/>
      <c r="J16" s="142"/>
      <c r="K16" s="142"/>
    </row>
    <row r="17" spans="2:11" x14ac:dyDescent="0.2">
      <c r="E17" s="142"/>
      <c r="F17" s="142"/>
      <c r="G17" s="146"/>
      <c r="H17" s="171"/>
      <c r="I17" s="142"/>
      <c r="J17" s="142"/>
      <c r="K17" s="142"/>
    </row>
    <row r="18" spans="2:11" x14ac:dyDescent="0.2">
      <c r="E18" s="142"/>
      <c r="F18" s="142"/>
      <c r="G18" s="146"/>
      <c r="H18" s="142"/>
      <c r="I18" s="142"/>
      <c r="J18" s="142"/>
      <c r="K18" s="142"/>
    </row>
    <row r="19" spans="2:11" x14ac:dyDescent="0.2">
      <c r="E19" s="142"/>
      <c r="F19" s="142"/>
      <c r="G19" s="146"/>
      <c r="H19" s="142"/>
      <c r="I19" s="142"/>
      <c r="K19" s="142"/>
    </row>
    <row r="20" spans="2:11" x14ac:dyDescent="0.2">
      <c r="E20" s="142"/>
      <c r="F20" s="142"/>
      <c r="G20" s="146"/>
      <c r="H20" s="142"/>
      <c r="I20" s="142"/>
      <c r="K20" s="142"/>
    </row>
    <row r="21" spans="2:11" x14ac:dyDescent="0.2">
      <c r="E21" s="142"/>
      <c r="F21" s="142"/>
      <c r="G21" s="146"/>
      <c r="H21" s="142"/>
      <c r="I21" s="142"/>
      <c r="K21" s="142"/>
    </row>
    <row r="22" spans="2:11" x14ac:dyDescent="0.2">
      <c r="E22" s="142"/>
      <c r="F22" s="142"/>
      <c r="G22" s="146"/>
      <c r="H22" s="142"/>
      <c r="I22" s="142"/>
      <c r="K22" s="142"/>
    </row>
    <row r="23" spans="2:11" x14ac:dyDescent="0.2">
      <c r="E23" s="142"/>
      <c r="F23" s="142"/>
      <c r="G23" s="146"/>
      <c r="H23" s="142"/>
      <c r="I23" s="142"/>
      <c r="K23" s="142"/>
    </row>
    <row r="24" spans="2:11" x14ac:dyDescent="0.2">
      <c r="E24" s="142"/>
      <c r="F24" s="142"/>
      <c r="G24" s="146"/>
      <c r="H24" s="142"/>
      <c r="I24" s="142"/>
      <c r="K24" s="142"/>
    </row>
    <row r="25" spans="2:11" x14ac:dyDescent="0.2">
      <c r="E25" s="142"/>
      <c r="F25" s="142"/>
      <c r="G25" s="146"/>
      <c r="H25" s="142"/>
      <c r="I25" s="142"/>
      <c r="K25" s="142"/>
    </row>
    <row r="26" spans="2:11" x14ac:dyDescent="0.2">
      <c r="E26" s="142"/>
      <c r="F26" s="142"/>
      <c r="G26" s="146"/>
      <c r="H26" s="142"/>
      <c r="I26" s="142"/>
      <c r="K26" s="142"/>
    </row>
    <row r="27" spans="2:11" x14ac:dyDescent="0.2">
      <c r="E27" s="142"/>
      <c r="F27" s="142"/>
      <c r="G27" s="146"/>
      <c r="H27" s="142"/>
      <c r="I27" s="142"/>
      <c r="K27" s="142"/>
    </row>
    <row r="28" spans="2:11" x14ac:dyDescent="0.2">
      <c r="E28" s="142"/>
      <c r="F28" s="142"/>
      <c r="G28" s="146"/>
      <c r="H28" s="142"/>
      <c r="I28" s="142"/>
      <c r="K28" s="142"/>
    </row>
    <row r="29" spans="2:11" x14ac:dyDescent="0.2">
      <c r="E29" s="142"/>
      <c r="F29" s="142"/>
      <c r="G29" s="146"/>
      <c r="H29" s="142"/>
      <c r="I29" s="142"/>
      <c r="K29" s="142"/>
    </row>
    <row r="30" spans="2:11" ht="15.75" x14ac:dyDescent="0.25">
      <c r="B30" s="46" t="s">
        <v>147</v>
      </c>
      <c r="E30" s="142"/>
      <c r="F30" s="142"/>
      <c r="G30" s="146"/>
      <c r="H30" s="142"/>
      <c r="I30" s="142"/>
      <c r="K30" s="142"/>
    </row>
    <row r="31" spans="2:11" x14ac:dyDescent="0.2">
      <c r="B31" s="5" t="s">
        <v>398</v>
      </c>
      <c r="E31" s="142"/>
      <c r="F31" s="142"/>
      <c r="G31" s="146"/>
      <c r="H31" s="142"/>
      <c r="I31" s="142"/>
      <c r="K31" s="142"/>
    </row>
    <row r="32" spans="2:11" x14ac:dyDescent="0.2">
      <c r="E32" s="142"/>
      <c r="F32" s="142"/>
      <c r="G32" s="146"/>
      <c r="H32" s="142"/>
      <c r="I32" s="142"/>
      <c r="K32" s="142"/>
    </row>
    <row r="33" spans="2:15" x14ac:dyDescent="0.2">
      <c r="B33" s="1" t="s">
        <v>386</v>
      </c>
      <c r="G33" s="146"/>
      <c r="K33" s="142"/>
    </row>
    <row r="34" spans="2:15" x14ac:dyDescent="0.2">
      <c r="B34" s="1" t="s">
        <v>404</v>
      </c>
      <c r="K34" s="142"/>
    </row>
    <row r="35" spans="2:15" x14ac:dyDescent="0.2">
      <c r="B35" s="1" t="s">
        <v>403</v>
      </c>
    </row>
    <row r="36" spans="2:15" x14ac:dyDescent="0.2">
      <c r="B36" s="1" t="s">
        <v>402</v>
      </c>
    </row>
    <row r="37" spans="2:15" x14ac:dyDescent="0.2">
      <c r="B37" s="1"/>
      <c r="K37" s="142"/>
    </row>
    <row r="38" spans="2:15" x14ac:dyDescent="0.2">
      <c r="K38" s="142"/>
      <c r="M38" s="228"/>
      <c r="N38" s="228"/>
      <c r="O38" s="228"/>
    </row>
    <row r="39" spans="2:15" ht="13.5" thickBot="1" x14ac:dyDescent="0.25">
      <c r="B39" s="233" t="s">
        <v>389</v>
      </c>
      <c r="C39" s="8" t="s">
        <v>0</v>
      </c>
      <c r="D39" s="142"/>
      <c r="M39" s="228"/>
      <c r="N39" s="228"/>
      <c r="O39" s="228"/>
    </row>
    <row r="40" spans="2:15" x14ac:dyDescent="0.2">
      <c r="B40" s="15" t="s">
        <v>381</v>
      </c>
      <c r="C40" s="199" t="s">
        <v>378</v>
      </c>
      <c r="D40" s="142"/>
      <c r="K40" s="142"/>
      <c r="L40" s="228"/>
      <c r="M40" s="228"/>
      <c r="N40" s="228"/>
      <c r="O40" s="228"/>
    </row>
    <row r="41" spans="2:15" x14ac:dyDescent="0.2">
      <c r="B41" s="106" t="s">
        <v>379</v>
      </c>
      <c r="C41" s="151">
        <v>1</v>
      </c>
      <c r="K41" s="51"/>
      <c r="L41" s="228"/>
      <c r="M41" s="229"/>
      <c r="N41" s="230"/>
      <c r="O41" s="231"/>
    </row>
    <row r="42" spans="2:15" ht="13.5" thickBot="1" x14ac:dyDescent="0.25">
      <c r="B42" s="15" t="s">
        <v>384</v>
      </c>
      <c r="C42" s="149">
        <v>68</v>
      </c>
      <c r="D42" s="142" t="s">
        <v>289</v>
      </c>
      <c r="K42" s="51"/>
      <c r="L42" s="228"/>
      <c r="M42" s="229"/>
      <c r="N42" s="230"/>
      <c r="O42" s="231"/>
    </row>
    <row r="43" spans="2:15" ht="13.5" thickBot="1" x14ac:dyDescent="0.25">
      <c r="B43" s="5" t="s">
        <v>388</v>
      </c>
      <c r="C43" s="234"/>
      <c r="G43" s="146"/>
      <c r="K43" s="51"/>
      <c r="L43" s="229"/>
      <c r="M43" s="229"/>
      <c r="N43" s="230"/>
      <c r="O43" s="231"/>
    </row>
    <row r="44" spans="2:15" x14ac:dyDescent="0.2">
      <c r="B44" s="15" t="s">
        <v>393</v>
      </c>
      <c r="C44" s="149">
        <v>40</v>
      </c>
      <c r="D44" s="3" t="s">
        <v>1</v>
      </c>
      <c r="K44" s="51"/>
      <c r="L44" s="229"/>
      <c r="M44" s="229"/>
      <c r="N44" s="230"/>
      <c r="O44" s="231"/>
    </row>
    <row r="45" spans="2:15" x14ac:dyDescent="0.2">
      <c r="B45" s="15" t="s">
        <v>392</v>
      </c>
      <c r="C45" s="151">
        <v>3</v>
      </c>
      <c r="D45" s="3" t="s">
        <v>395</v>
      </c>
      <c r="K45" s="51"/>
      <c r="L45" s="229"/>
      <c r="M45" s="229"/>
      <c r="N45" s="230"/>
      <c r="O45" s="231"/>
    </row>
    <row r="46" spans="2:15" ht="13.5" thickBot="1" x14ac:dyDescent="0.25">
      <c r="B46" s="15" t="s">
        <v>394</v>
      </c>
      <c r="C46" s="151">
        <v>26</v>
      </c>
      <c r="D46" s="3" t="s">
        <v>1</v>
      </c>
      <c r="G46" s="146"/>
      <c r="L46" s="229"/>
    </row>
    <row r="47" spans="2:15" ht="13.5" thickBot="1" x14ac:dyDescent="0.25">
      <c r="B47" s="5" t="s">
        <v>387</v>
      </c>
      <c r="C47" s="234"/>
      <c r="G47" s="146"/>
      <c r="L47" s="229"/>
    </row>
    <row r="48" spans="2:15" ht="14.25" x14ac:dyDescent="0.2">
      <c r="B48" s="170" t="s">
        <v>416</v>
      </c>
      <c r="C48" s="149">
        <v>14.7</v>
      </c>
      <c r="D48" s="4" t="s">
        <v>397</v>
      </c>
      <c r="G48" s="146"/>
      <c r="K48" s="227"/>
      <c r="M48" s="226"/>
      <c r="N48" s="226"/>
    </row>
    <row r="49" spans="2:14" ht="14.25" x14ac:dyDescent="0.2">
      <c r="B49" s="15" t="s">
        <v>390</v>
      </c>
      <c r="C49" s="149">
        <v>-10</v>
      </c>
      <c r="D49" s="3" t="s">
        <v>1</v>
      </c>
      <c r="K49" s="227"/>
      <c r="M49" s="226"/>
      <c r="N49" s="226"/>
    </row>
    <row r="50" spans="2:14" ht="14.25" x14ac:dyDescent="0.2">
      <c r="B50" s="15" t="s">
        <v>391</v>
      </c>
      <c r="C50" s="151">
        <v>2</v>
      </c>
      <c r="D50" s="3" t="s">
        <v>395</v>
      </c>
      <c r="N50" s="226"/>
    </row>
    <row r="51" spans="2:14" ht="13.5" thickBot="1" x14ac:dyDescent="0.25">
      <c r="B51" s="15" t="s">
        <v>396</v>
      </c>
      <c r="C51" s="155">
        <v>3</v>
      </c>
      <c r="D51" s="3" t="s">
        <v>1</v>
      </c>
    </row>
    <row r="52" spans="2:14" ht="14.25" x14ac:dyDescent="0.2">
      <c r="B52" s="1"/>
      <c r="C52" s="8" t="s">
        <v>3</v>
      </c>
      <c r="N52" s="226"/>
    </row>
    <row r="53" spans="2:14" ht="15" x14ac:dyDescent="0.25">
      <c r="B53" s="15" t="s">
        <v>405</v>
      </c>
      <c r="C53" s="3" t="s">
        <v>406</v>
      </c>
      <c r="E53" s="240" t="s">
        <v>432</v>
      </c>
      <c r="F53" s="205"/>
      <c r="G53" s="206"/>
      <c r="H53" s="241" t="s">
        <v>433</v>
      </c>
      <c r="I53" s="142"/>
      <c r="J53" s="142"/>
      <c r="N53" s="226"/>
    </row>
    <row r="54" spans="2:14" ht="14.25" x14ac:dyDescent="0.2">
      <c r="B54" s="15" t="s">
        <v>4</v>
      </c>
      <c r="C54" s="38">
        <f>C44 + C45 + C46</f>
        <v>69</v>
      </c>
      <c r="D54" s="3" t="s">
        <v>1</v>
      </c>
      <c r="E54" s="142"/>
      <c r="F54" s="142"/>
      <c r="G54" s="146"/>
      <c r="H54" s="142"/>
      <c r="I54" s="142"/>
      <c r="J54" s="142"/>
      <c r="N54" s="226"/>
    </row>
    <row r="55" spans="2:14" ht="14.25" x14ac:dyDescent="0.2">
      <c r="B55" s="15" t="s">
        <v>407</v>
      </c>
      <c r="C55" s="3" t="s">
        <v>408</v>
      </c>
      <c r="E55" s="142"/>
      <c r="G55" s="4"/>
      <c r="H55" s="228" t="s">
        <v>382</v>
      </c>
      <c r="J55" s="142"/>
      <c r="N55" s="226"/>
    </row>
    <row r="56" spans="2:14" x14ac:dyDescent="0.2">
      <c r="B56" s="15" t="s">
        <v>4</v>
      </c>
      <c r="C56" s="38">
        <f>C49 + C50 + C51</f>
        <v>-5</v>
      </c>
      <c r="D56" s="3" t="s">
        <v>1</v>
      </c>
      <c r="E56" s="142"/>
      <c r="F56" s="142"/>
      <c r="G56" s="146"/>
      <c r="H56" s="142"/>
      <c r="I56" s="142"/>
      <c r="J56" s="142"/>
    </row>
    <row r="57" spans="2:14" x14ac:dyDescent="0.2">
      <c r="B57" s="15" t="s">
        <v>413</v>
      </c>
      <c r="C57" s="3" t="s">
        <v>414</v>
      </c>
      <c r="E57" s="142"/>
      <c r="F57" s="142"/>
      <c r="G57" s="146"/>
      <c r="H57" s="142"/>
      <c r="I57" s="142"/>
      <c r="J57" s="142"/>
    </row>
    <row r="58" spans="2:14" x14ac:dyDescent="0.2">
      <c r="B58" s="15" t="s">
        <v>4</v>
      </c>
      <c r="C58" s="38">
        <f>C54 + C56</f>
        <v>64</v>
      </c>
      <c r="D58" s="3" t="s">
        <v>1</v>
      </c>
      <c r="E58" s="142"/>
      <c r="F58" s="142"/>
      <c r="G58" s="146"/>
      <c r="H58" s="142"/>
      <c r="I58" s="142"/>
      <c r="J58" s="142"/>
    </row>
    <row r="59" spans="2:14" ht="12" customHeight="1" x14ac:dyDescent="0.2">
      <c r="B59" s="1"/>
      <c r="E59" s="142"/>
      <c r="F59" s="142"/>
      <c r="G59" s="146"/>
      <c r="H59" s="142"/>
      <c r="I59" s="142"/>
      <c r="J59" s="142"/>
    </row>
    <row r="60" spans="2:14" x14ac:dyDescent="0.2">
      <c r="B60" s="136" t="s">
        <v>409</v>
      </c>
      <c r="E60" s="142"/>
      <c r="F60" s="142"/>
      <c r="G60" s="146"/>
      <c r="H60" s="142"/>
      <c r="I60" s="142"/>
      <c r="J60" s="142"/>
    </row>
    <row r="61" spans="2:14" x14ac:dyDescent="0.2">
      <c r="B61" s="4" t="s">
        <v>410</v>
      </c>
      <c r="E61" s="142"/>
      <c r="F61" s="142"/>
      <c r="G61" s="146"/>
      <c r="H61" s="142"/>
      <c r="I61" s="142"/>
      <c r="J61" s="142"/>
    </row>
    <row r="62" spans="2:14" x14ac:dyDescent="0.2">
      <c r="E62" s="142"/>
      <c r="F62" s="142"/>
      <c r="G62" s="146"/>
      <c r="H62" s="142"/>
      <c r="I62" s="142"/>
      <c r="J62" s="142"/>
    </row>
    <row r="63" spans="2:14" x14ac:dyDescent="0.2">
      <c r="B63" s="4" t="s">
        <v>420</v>
      </c>
      <c r="E63" s="142"/>
      <c r="F63" s="142"/>
      <c r="G63" s="146"/>
      <c r="H63" s="142"/>
      <c r="I63" s="142"/>
      <c r="J63" s="142"/>
    </row>
    <row r="64" spans="2:14" x14ac:dyDescent="0.2">
      <c r="B64" s="4" t="s">
        <v>421</v>
      </c>
      <c r="E64" s="142"/>
      <c r="F64" s="142"/>
      <c r="G64" s="146"/>
      <c r="H64" s="142"/>
      <c r="I64" s="142"/>
      <c r="J64" s="142"/>
    </row>
    <row r="65" spans="2:10" x14ac:dyDescent="0.2">
      <c r="E65" s="142"/>
      <c r="F65" s="142"/>
      <c r="G65" s="146"/>
      <c r="H65" s="142"/>
      <c r="I65" s="142"/>
      <c r="J65" s="142"/>
    </row>
    <row r="66" spans="2:10" x14ac:dyDescent="0.2">
      <c r="B66" s="4" t="s">
        <v>422</v>
      </c>
      <c r="E66" s="142"/>
      <c r="F66" s="142"/>
      <c r="G66" s="146"/>
      <c r="H66" s="142"/>
      <c r="I66" s="142"/>
      <c r="J66" s="142"/>
    </row>
    <row r="67" spans="2:10" x14ac:dyDescent="0.2">
      <c r="C67" s="8" t="s">
        <v>3</v>
      </c>
      <c r="E67" s="142"/>
      <c r="F67" s="142"/>
      <c r="G67" s="146"/>
      <c r="H67" s="142"/>
      <c r="I67" s="142"/>
      <c r="J67" s="142"/>
    </row>
    <row r="68" spans="2:10" x14ac:dyDescent="0.2">
      <c r="B68" s="2" t="s">
        <v>418</v>
      </c>
      <c r="C68" s="4" t="s">
        <v>417</v>
      </c>
      <c r="D68" s="4"/>
      <c r="E68" s="142"/>
      <c r="F68" s="142"/>
      <c r="G68" s="146"/>
      <c r="H68" s="142"/>
      <c r="I68" s="142"/>
      <c r="J68" s="142"/>
    </row>
    <row r="69" spans="2:10" x14ac:dyDescent="0.2">
      <c r="B69" s="2" t="s">
        <v>4</v>
      </c>
      <c r="C69" s="38">
        <f>C48 - 14.7</f>
        <v>0</v>
      </c>
      <c r="D69" s="4" t="s">
        <v>395</v>
      </c>
      <c r="H69" s="15"/>
      <c r="I69" s="224"/>
      <c r="J69" s="3"/>
    </row>
    <row r="70" spans="2:10" x14ac:dyDescent="0.2">
      <c r="B70" s="2" t="s">
        <v>411</v>
      </c>
      <c r="C70" s="4" t="s">
        <v>380</v>
      </c>
      <c r="D70" s="4"/>
      <c r="H70" s="15"/>
      <c r="I70" s="163"/>
      <c r="J70" s="3"/>
    </row>
    <row r="71" spans="2:10" x14ac:dyDescent="0.2">
      <c r="B71" s="2" t="s">
        <v>4</v>
      </c>
      <c r="C71" s="225">
        <f>C48*2.31 /C41</f>
        <v>33.957000000000001</v>
      </c>
      <c r="D71" s="142" t="s">
        <v>1</v>
      </c>
      <c r="H71" s="170"/>
      <c r="I71" s="169"/>
    </row>
    <row r="72" spans="2:10" x14ac:dyDescent="0.2">
      <c r="B72" s="2" t="s">
        <v>412</v>
      </c>
      <c r="C72" s="3" t="s">
        <v>431</v>
      </c>
      <c r="H72" s="170"/>
      <c r="I72" s="163"/>
      <c r="J72" s="3"/>
    </row>
    <row r="73" spans="2:10" x14ac:dyDescent="0.2">
      <c r="B73" s="2" t="s">
        <v>4</v>
      </c>
      <c r="C73" s="41">
        <f>0.000002*C42^3 - 0.0002*C42^2 + 0.0112*C42 - 0.1436</f>
        <v>0.32206399999999985</v>
      </c>
      <c r="D73" s="4" t="s">
        <v>54</v>
      </c>
      <c r="I73" s="163"/>
      <c r="J73" s="3"/>
    </row>
    <row r="74" spans="2:10" x14ac:dyDescent="0.2">
      <c r="B74" s="2" t="s">
        <v>4</v>
      </c>
      <c r="C74" s="38">
        <f>C73*2.31 / C41</f>
        <v>0.74396783999999971</v>
      </c>
      <c r="D74" s="4" t="s">
        <v>1</v>
      </c>
      <c r="I74" s="232"/>
      <c r="J74" s="142"/>
    </row>
    <row r="75" spans="2:10" x14ac:dyDescent="0.2">
      <c r="B75" s="2" t="s">
        <v>419</v>
      </c>
      <c r="C75" s="3" t="s">
        <v>415</v>
      </c>
      <c r="F75" s="142"/>
      <c r="G75" s="146"/>
      <c r="H75" s="142"/>
      <c r="I75" s="232"/>
      <c r="J75" s="142"/>
    </row>
    <row r="76" spans="2:10" x14ac:dyDescent="0.2">
      <c r="B76" s="2" t="s">
        <v>4</v>
      </c>
      <c r="C76" s="38">
        <f>C71 - C74</f>
        <v>33.213032160000004</v>
      </c>
      <c r="D76" s="3" t="s">
        <v>1</v>
      </c>
      <c r="F76" s="142"/>
      <c r="G76" s="146"/>
      <c r="H76" s="142"/>
      <c r="I76" s="163"/>
      <c r="J76" s="3"/>
    </row>
    <row r="78" spans="2:10" x14ac:dyDescent="0.2">
      <c r="I78" s="142"/>
      <c r="J78" s="142"/>
    </row>
    <row r="79" spans="2:10" x14ac:dyDescent="0.2">
      <c r="I79" s="142"/>
      <c r="J79" s="142"/>
    </row>
    <row r="80" spans="2:10" x14ac:dyDescent="0.2">
      <c r="F80" s="142"/>
      <c r="G80" s="146"/>
      <c r="H80" s="142"/>
      <c r="I80" s="142"/>
      <c r="J80" s="142"/>
    </row>
    <row r="81" spans="2:13" x14ac:dyDescent="0.2">
      <c r="B81" s="1" t="s">
        <v>385</v>
      </c>
      <c r="F81" s="142"/>
      <c r="G81" s="146"/>
      <c r="H81" s="142"/>
      <c r="I81" s="142"/>
      <c r="J81" s="142"/>
    </row>
    <row r="82" spans="2:13" ht="14.25" x14ac:dyDescent="0.2">
      <c r="B82" s="116" t="s">
        <v>383</v>
      </c>
      <c r="D82" s="239">
        <v>1.9999999999999999E-6</v>
      </c>
      <c r="F82" s="142"/>
      <c r="G82" s="146"/>
      <c r="H82" s="142"/>
      <c r="I82" s="142"/>
      <c r="J82" s="142"/>
    </row>
    <row r="83" spans="2:13" x14ac:dyDescent="0.2">
      <c r="F83" s="142"/>
      <c r="G83" s="146"/>
      <c r="H83" s="142"/>
      <c r="I83" s="142"/>
      <c r="J83" s="142"/>
    </row>
    <row r="84" spans="2:13" ht="16.5" thickBot="1" x14ac:dyDescent="0.3">
      <c r="C84" s="47" t="s">
        <v>148</v>
      </c>
      <c r="F84" s="142"/>
      <c r="G84" s="146"/>
      <c r="H84" s="142"/>
      <c r="I84" s="142"/>
      <c r="J84" s="142"/>
      <c r="K84" s="227"/>
      <c r="L84" s="226"/>
      <c r="M84" s="226"/>
    </row>
    <row r="85" spans="2:13" ht="15" thickBot="1" x14ac:dyDescent="0.25">
      <c r="C85" s="21" t="s">
        <v>19</v>
      </c>
      <c r="D85" s="109" t="s">
        <v>20</v>
      </c>
      <c r="E85" s="23"/>
      <c r="F85" s="142"/>
      <c r="G85" s="146"/>
      <c r="H85" s="142"/>
      <c r="I85" s="142"/>
      <c r="J85" s="142"/>
      <c r="L85" s="226"/>
    </row>
    <row r="86" spans="2:13" ht="15" thickBot="1" x14ac:dyDescent="0.25">
      <c r="C86" s="108"/>
      <c r="D86" s="25" t="s">
        <v>21</v>
      </c>
      <c r="E86" s="26" t="s">
        <v>22</v>
      </c>
      <c r="F86" s="142"/>
      <c r="G86" s="146"/>
      <c r="H86" s="142"/>
      <c r="I86" s="142"/>
      <c r="J86" s="142"/>
      <c r="K86" s="227"/>
      <c r="L86" s="226"/>
      <c r="M86" s="226"/>
    </row>
    <row r="87" spans="2:13" ht="14.25" x14ac:dyDescent="0.2">
      <c r="C87" s="27" t="s">
        <v>23</v>
      </c>
      <c r="D87" s="28">
        <f>E87*12</f>
        <v>6.0000000000000008E-5</v>
      </c>
      <c r="E87" s="29">
        <v>5.0000000000000004E-6</v>
      </c>
      <c r="F87" s="142"/>
      <c r="G87" s="146"/>
      <c r="H87" s="142"/>
      <c r="I87" s="142"/>
      <c r="J87" s="142"/>
      <c r="K87" s="227"/>
      <c r="M87" s="226"/>
    </row>
    <row r="88" spans="2:13" ht="14.25" x14ac:dyDescent="0.2">
      <c r="C88" s="30" t="s">
        <v>24</v>
      </c>
      <c r="D88" s="31">
        <f t="shared" ref="D88:D94" si="0">E88*12</f>
        <v>6.0000000000000008E-5</v>
      </c>
      <c r="E88" s="32">
        <v>5.0000000000000004E-6</v>
      </c>
      <c r="F88" s="142"/>
      <c r="G88" s="146"/>
      <c r="H88" s="142"/>
      <c r="I88" s="142"/>
      <c r="J88" s="142"/>
      <c r="K88" s="227"/>
      <c r="L88" s="226"/>
      <c r="M88" s="226"/>
    </row>
    <row r="89" spans="2:13" ht="14.25" x14ac:dyDescent="0.2">
      <c r="C89" s="30" t="s">
        <v>25</v>
      </c>
      <c r="D89" s="31">
        <f t="shared" si="0"/>
        <v>6.0000000000000008E-5</v>
      </c>
      <c r="E89" s="32">
        <v>5.0000000000000004E-6</v>
      </c>
      <c r="F89" s="142"/>
      <c r="G89" s="146"/>
      <c r="H89" s="142"/>
      <c r="I89" s="142"/>
      <c r="J89" s="142"/>
      <c r="K89" s="227"/>
      <c r="L89" s="226"/>
      <c r="M89" s="226"/>
    </row>
    <row r="90" spans="2:13" ht="14.25" x14ac:dyDescent="0.2">
      <c r="C90" s="30" t="s">
        <v>26</v>
      </c>
      <c r="D90" s="31">
        <f t="shared" si="0"/>
        <v>1.8E-3</v>
      </c>
      <c r="E90" s="32">
        <v>1.4999999999999999E-4</v>
      </c>
      <c r="F90" s="142"/>
      <c r="G90" s="146"/>
      <c r="H90" s="142"/>
      <c r="I90" s="142"/>
      <c r="J90" s="142"/>
      <c r="L90" s="226"/>
    </row>
    <row r="91" spans="2:13" ht="14.25" x14ac:dyDescent="0.2">
      <c r="C91" s="30" t="s">
        <v>27</v>
      </c>
      <c r="D91" s="31">
        <f t="shared" si="0"/>
        <v>1.8E-3</v>
      </c>
      <c r="E91" s="32">
        <v>1.4999999999999999E-4</v>
      </c>
      <c r="F91" s="142"/>
      <c r="G91" s="146"/>
      <c r="H91" s="142"/>
      <c r="I91" s="142"/>
      <c r="J91" s="142"/>
      <c r="L91" s="226"/>
    </row>
    <row r="92" spans="2:13" x14ac:dyDescent="0.2">
      <c r="C92" s="30" t="s">
        <v>28</v>
      </c>
      <c r="D92" s="31">
        <f t="shared" si="0"/>
        <v>4.8000000000000004E-3</v>
      </c>
      <c r="E92" s="32">
        <v>4.0000000000000002E-4</v>
      </c>
      <c r="F92" s="142"/>
      <c r="G92" s="146"/>
      <c r="H92" s="142"/>
      <c r="I92" s="142"/>
      <c r="J92" s="142"/>
      <c r="K92" s="142"/>
    </row>
    <row r="93" spans="2:13" x14ac:dyDescent="0.2">
      <c r="C93" s="30" t="s">
        <v>29</v>
      </c>
      <c r="D93" s="31">
        <f t="shared" si="0"/>
        <v>6.0000000000000001E-3</v>
      </c>
      <c r="E93" s="32">
        <v>5.0000000000000001E-4</v>
      </c>
      <c r="F93" s="142"/>
      <c r="G93" s="146"/>
      <c r="H93" s="142"/>
      <c r="I93" s="142"/>
      <c r="J93" s="142"/>
      <c r="K93" s="142"/>
    </row>
    <row r="94" spans="2:13" x14ac:dyDescent="0.2">
      <c r="C94" s="30" t="s">
        <v>30</v>
      </c>
      <c r="D94" s="31">
        <f t="shared" si="0"/>
        <v>1.0199999999999999E-2</v>
      </c>
      <c r="E94" s="32">
        <v>8.4999999999999995E-4</v>
      </c>
      <c r="F94" s="142"/>
      <c r="G94" s="146"/>
      <c r="H94" s="142"/>
      <c r="I94" s="142"/>
      <c r="J94" s="142"/>
      <c r="K94" s="142"/>
    </row>
    <row r="95" spans="2:13" ht="13.5" thickBot="1" x14ac:dyDescent="0.25">
      <c r="C95" s="33" t="s">
        <v>31</v>
      </c>
      <c r="D95" s="34" t="s">
        <v>33</v>
      </c>
      <c r="E95" s="35" t="s">
        <v>32</v>
      </c>
      <c r="F95" s="142"/>
      <c r="G95" s="146"/>
      <c r="H95" s="142"/>
      <c r="I95" s="142"/>
      <c r="J95" s="142"/>
      <c r="K95" s="142"/>
    </row>
    <row r="96" spans="2:13" x14ac:dyDescent="0.2">
      <c r="B96" s="2"/>
      <c r="D96" s="4"/>
      <c r="F96" s="142"/>
      <c r="G96" s="146"/>
      <c r="H96" s="142"/>
      <c r="I96" s="142"/>
      <c r="J96" s="142"/>
      <c r="K96" s="142"/>
    </row>
    <row r="97" spans="3:11" x14ac:dyDescent="0.2">
      <c r="F97" s="142"/>
      <c r="G97" s="146"/>
      <c r="H97" s="146"/>
      <c r="I97" s="142"/>
      <c r="J97" s="142"/>
      <c r="K97" s="142"/>
    </row>
    <row r="98" spans="3:11" x14ac:dyDescent="0.2">
      <c r="C98" s="4"/>
      <c r="D98" s="4"/>
      <c r="F98" s="142"/>
      <c r="G98" s="146"/>
      <c r="H98" s="142"/>
      <c r="I98" s="142"/>
      <c r="J98" s="142"/>
      <c r="K98" s="142"/>
    </row>
    <row r="99" spans="3:11" x14ac:dyDescent="0.2">
      <c r="C99" s="4"/>
      <c r="D99" s="4"/>
      <c r="F99" s="142"/>
      <c r="G99" s="146"/>
      <c r="H99" s="142"/>
      <c r="I99" s="142"/>
      <c r="J99" s="142"/>
      <c r="K99" s="142"/>
    </row>
    <row r="100" spans="3:11" x14ac:dyDescent="0.2">
      <c r="C100" s="4"/>
      <c r="D100" s="4"/>
      <c r="F100" s="142"/>
      <c r="G100" s="146"/>
      <c r="H100" s="142"/>
      <c r="I100" s="142"/>
      <c r="J100" s="142"/>
      <c r="K100" s="142"/>
    </row>
    <row r="101" spans="3:11" x14ac:dyDescent="0.2">
      <c r="C101" s="4"/>
      <c r="D101" s="4"/>
      <c r="F101" s="142"/>
      <c r="G101" s="146"/>
      <c r="H101" s="142"/>
      <c r="I101" s="142"/>
      <c r="J101" s="142"/>
      <c r="K101" s="142"/>
    </row>
    <row r="102" spans="3:11" x14ac:dyDescent="0.2">
      <c r="C102" s="4"/>
      <c r="D102" s="4"/>
      <c r="F102" s="142"/>
      <c r="G102" s="146"/>
      <c r="H102" s="142"/>
      <c r="I102" s="142"/>
      <c r="J102" s="142"/>
      <c r="K102" s="142"/>
    </row>
    <row r="103" spans="3:11" x14ac:dyDescent="0.2">
      <c r="C103" s="4"/>
      <c r="D103" s="4"/>
      <c r="F103" s="142"/>
      <c r="G103" s="146"/>
      <c r="H103" s="142"/>
      <c r="I103" s="142"/>
      <c r="J103" s="142"/>
      <c r="K103" s="142"/>
    </row>
    <row r="104" spans="3:11" x14ac:dyDescent="0.2">
      <c r="C104" s="4"/>
      <c r="D104" s="4"/>
      <c r="F104" s="142"/>
      <c r="G104" s="146"/>
      <c r="H104" s="142"/>
      <c r="I104" s="142"/>
      <c r="J104" s="142"/>
      <c r="K104" s="142"/>
    </row>
    <row r="105" spans="3:11" x14ac:dyDescent="0.2">
      <c r="C105" s="4"/>
      <c r="D105" s="4"/>
      <c r="F105" s="142"/>
      <c r="G105" s="146"/>
      <c r="H105" s="142"/>
      <c r="I105" s="142"/>
      <c r="J105" s="142"/>
      <c r="K105" s="142"/>
    </row>
    <row r="106" spans="3:11" x14ac:dyDescent="0.2">
      <c r="C106" s="4"/>
      <c r="D106" s="4"/>
      <c r="F106" s="142"/>
      <c r="G106" s="146"/>
      <c r="H106" s="142"/>
      <c r="I106" s="142"/>
      <c r="J106" s="142"/>
      <c r="K106" s="142"/>
    </row>
    <row r="107" spans="3:11" x14ac:dyDescent="0.2">
      <c r="C107" s="4"/>
      <c r="D107" s="4"/>
      <c r="F107" s="142"/>
      <c r="G107" s="146"/>
      <c r="H107" s="142"/>
      <c r="I107" s="142"/>
      <c r="J107" s="142"/>
      <c r="K107" s="142"/>
    </row>
    <row r="108" spans="3:11" x14ac:dyDescent="0.2">
      <c r="C108" s="4"/>
      <c r="D108" s="4"/>
      <c r="F108" s="142"/>
      <c r="G108" s="146"/>
      <c r="H108" s="142"/>
      <c r="I108" s="142"/>
      <c r="J108" s="142"/>
      <c r="K108" s="142"/>
    </row>
    <row r="109" spans="3:11" x14ac:dyDescent="0.2">
      <c r="C109" s="4"/>
      <c r="D109" s="4"/>
      <c r="F109" s="142"/>
      <c r="G109" s="146"/>
      <c r="H109" s="142"/>
      <c r="I109" s="142"/>
      <c r="J109" s="142"/>
      <c r="K109" s="142"/>
    </row>
    <row r="110" spans="3:11" x14ac:dyDescent="0.2">
      <c r="C110" s="4"/>
      <c r="D110" s="4"/>
      <c r="F110" s="142"/>
      <c r="G110" s="146"/>
      <c r="H110" s="142"/>
      <c r="I110" s="142"/>
      <c r="J110" s="142"/>
      <c r="K110" s="142"/>
    </row>
    <row r="111" spans="3:11" x14ac:dyDescent="0.2">
      <c r="C111" s="4"/>
      <c r="D111" s="4"/>
      <c r="F111" s="142"/>
      <c r="G111" s="146"/>
      <c r="H111" s="142"/>
      <c r="I111" s="142"/>
      <c r="J111" s="142"/>
      <c r="K111" s="142"/>
    </row>
    <row r="112" spans="3:11" x14ac:dyDescent="0.2">
      <c r="C112" s="4"/>
      <c r="D112" s="4"/>
      <c r="F112" s="142"/>
      <c r="G112" s="146"/>
      <c r="H112" s="142"/>
      <c r="I112" s="142"/>
      <c r="J112" s="142"/>
      <c r="K112" s="142"/>
    </row>
    <row r="113" spans="2:11" x14ac:dyDescent="0.2">
      <c r="C113" s="4"/>
      <c r="D113" s="4"/>
      <c r="F113" s="142"/>
      <c r="G113" s="146"/>
      <c r="H113" s="142"/>
      <c r="I113" s="142"/>
      <c r="J113" s="142"/>
      <c r="K113" s="142"/>
    </row>
    <row r="114" spans="2:11" x14ac:dyDescent="0.2">
      <c r="C114" s="4"/>
      <c r="D114" s="4"/>
      <c r="F114" s="142"/>
      <c r="G114" s="146"/>
      <c r="H114" s="142"/>
      <c r="I114" s="142"/>
      <c r="J114" s="142"/>
      <c r="K114" s="142"/>
    </row>
    <row r="115" spans="2:11" x14ac:dyDescent="0.2">
      <c r="C115" s="4"/>
      <c r="D115" s="4"/>
      <c r="F115" s="142"/>
      <c r="G115" s="146"/>
      <c r="H115" s="142"/>
      <c r="I115" s="142"/>
      <c r="J115" s="142"/>
      <c r="K115" s="142"/>
    </row>
    <row r="116" spans="2:11" x14ac:dyDescent="0.2">
      <c r="C116" s="4"/>
      <c r="D116" s="4"/>
      <c r="F116" s="142"/>
      <c r="G116" s="146"/>
      <c r="H116" s="142"/>
      <c r="I116" s="142"/>
      <c r="J116" s="142"/>
      <c r="K116" s="142"/>
    </row>
    <row r="117" spans="2:11" x14ac:dyDescent="0.2">
      <c r="C117" s="4"/>
      <c r="D117" s="4"/>
      <c r="F117" s="142"/>
      <c r="G117" s="146"/>
      <c r="H117" s="142"/>
      <c r="I117" s="142"/>
      <c r="J117" s="142"/>
      <c r="K117" s="142"/>
    </row>
    <row r="118" spans="2:11" x14ac:dyDescent="0.2">
      <c r="C118" s="4"/>
      <c r="D118" s="4"/>
      <c r="F118" s="142"/>
      <c r="G118" s="146"/>
      <c r="H118" s="142"/>
      <c r="I118" s="142"/>
      <c r="J118" s="142"/>
      <c r="K118" s="142"/>
    </row>
    <row r="119" spans="2:11" x14ac:dyDescent="0.2">
      <c r="C119" s="4"/>
      <c r="D119" s="4"/>
      <c r="F119" s="142"/>
      <c r="G119" s="146"/>
      <c r="H119" s="142"/>
      <c r="I119" s="142"/>
      <c r="J119" s="142"/>
      <c r="K119" s="142"/>
    </row>
    <row r="120" spans="2:11" x14ac:dyDescent="0.2">
      <c r="C120" s="4"/>
      <c r="D120" s="4"/>
      <c r="F120" s="142"/>
      <c r="G120" s="146"/>
      <c r="H120" s="142"/>
      <c r="I120" s="142"/>
      <c r="J120" s="142"/>
    </row>
    <row r="121" spans="2:11" ht="15.75" x14ac:dyDescent="0.25">
      <c r="B121" s="47" t="s">
        <v>230</v>
      </c>
      <c r="H121" s="47" t="s">
        <v>231</v>
      </c>
      <c r="I121" s="3"/>
      <c r="J121" s="3"/>
    </row>
    <row r="122" spans="2:11" ht="13.5" thickBot="1" x14ac:dyDescent="0.25">
      <c r="B122" s="5" t="s">
        <v>423</v>
      </c>
      <c r="C122" s="8" t="s">
        <v>0</v>
      </c>
      <c r="H122" s="5" t="s">
        <v>424</v>
      </c>
      <c r="I122" s="8" t="s">
        <v>0</v>
      </c>
      <c r="J122" s="3"/>
    </row>
    <row r="123" spans="2:11" x14ac:dyDescent="0.2">
      <c r="B123" s="2" t="s">
        <v>35</v>
      </c>
      <c r="C123" s="147">
        <v>130</v>
      </c>
      <c r="D123" s="3" t="s">
        <v>8</v>
      </c>
      <c r="H123" s="2" t="s">
        <v>35</v>
      </c>
      <c r="I123" s="9">
        <v>130</v>
      </c>
      <c r="J123" s="3" t="s">
        <v>8</v>
      </c>
    </row>
    <row r="124" spans="2:11" x14ac:dyDescent="0.2">
      <c r="B124" s="2" t="s">
        <v>38</v>
      </c>
      <c r="C124" s="148">
        <v>2</v>
      </c>
      <c r="D124" s="3" t="s">
        <v>9</v>
      </c>
      <c r="H124" s="2" t="s">
        <v>38</v>
      </c>
      <c r="I124" s="10">
        <v>2</v>
      </c>
      <c r="J124" s="3" t="s">
        <v>9</v>
      </c>
    </row>
    <row r="125" spans="2:11" x14ac:dyDescent="0.2">
      <c r="B125" s="2" t="s">
        <v>47</v>
      </c>
      <c r="C125" s="156">
        <v>1.8E-3</v>
      </c>
      <c r="D125" s="3" t="s">
        <v>1</v>
      </c>
      <c r="H125" s="2" t="s">
        <v>47</v>
      </c>
      <c r="I125" s="36">
        <v>1.8E-3</v>
      </c>
      <c r="J125" s="3" t="s">
        <v>1</v>
      </c>
    </row>
    <row r="126" spans="2:11" x14ac:dyDescent="0.2">
      <c r="B126" s="2" t="s">
        <v>149</v>
      </c>
      <c r="C126" s="165">
        <v>143</v>
      </c>
      <c r="D126" s="3" t="s">
        <v>1</v>
      </c>
      <c r="H126" s="2" t="s">
        <v>149</v>
      </c>
      <c r="I126" s="107">
        <v>143</v>
      </c>
      <c r="J126" s="3" t="s">
        <v>1</v>
      </c>
    </row>
    <row r="127" spans="2:11" x14ac:dyDescent="0.2">
      <c r="B127" s="2" t="s">
        <v>192</v>
      </c>
      <c r="C127" s="150">
        <v>2.73E-5</v>
      </c>
      <c r="D127" s="3" t="s">
        <v>173</v>
      </c>
      <c r="H127" s="2" t="s">
        <v>192</v>
      </c>
      <c r="I127" s="12">
        <v>2.73E-5</v>
      </c>
      <c r="J127" s="3" t="s">
        <v>173</v>
      </c>
    </row>
    <row r="128" spans="2:11" x14ac:dyDescent="0.2">
      <c r="B128" s="131" t="s">
        <v>207</v>
      </c>
      <c r="C128" s="151">
        <v>62.468000000000004</v>
      </c>
      <c r="D128" s="3" t="s">
        <v>2</v>
      </c>
      <c r="H128" s="131" t="s">
        <v>207</v>
      </c>
      <c r="I128" s="13">
        <v>62.468000000000004</v>
      </c>
      <c r="J128" s="3" t="s">
        <v>2</v>
      </c>
    </row>
    <row r="129" spans="2:10" x14ac:dyDescent="0.2">
      <c r="B129" s="2" t="s">
        <v>37</v>
      </c>
      <c r="C129" s="149">
        <v>32.200000000000003</v>
      </c>
      <c r="D129" s="3" t="s">
        <v>6</v>
      </c>
      <c r="H129" s="2" t="s">
        <v>37</v>
      </c>
      <c r="I129" s="11">
        <v>32.200000000000003</v>
      </c>
      <c r="J129" s="3" t="s">
        <v>6</v>
      </c>
    </row>
    <row r="130" spans="2:10" ht="15.75" x14ac:dyDescent="0.3">
      <c r="B130" s="2" t="s">
        <v>129</v>
      </c>
      <c r="C130" s="139">
        <v>0.7</v>
      </c>
      <c r="D130" s="4"/>
      <c r="H130" s="2" t="s">
        <v>129</v>
      </c>
      <c r="I130" s="101">
        <v>0.7</v>
      </c>
    </row>
    <row r="131" spans="2:10" ht="15.75" x14ac:dyDescent="0.3">
      <c r="B131" s="2" t="s">
        <v>130</v>
      </c>
      <c r="C131" s="139">
        <v>0.9</v>
      </c>
      <c r="D131" s="4"/>
      <c r="H131" s="2" t="s">
        <v>130</v>
      </c>
      <c r="I131" s="101">
        <v>0.9</v>
      </c>
    </row>
    <row r="132" spans="2:10" ht="16.5" thickBot="1" x14ac:dyDescent="0.35">
      <c r="B132" s="2" t="s">
        <v>131</v>
      </c>
      <c r="C132" s="140">
        <v>0.9</v>
      </c>
      <c r="D132" s="4"/>
      <c r="H132" s="2" t="s">
        <v>131</v>
      </c>
      <c r="I132" s="102">
        <v>0.9</v>
      </c>
    </row>
    <row r="133" spans="2:10" x14ac:dyDescent="0.2">
      <c r="B133" s="2"/>
      <c r="C133" s="8" t="s">
        <v>3</v>
      </c>
      <c r="H133" s="2"/>
      <c r="I133" s="8" t="s">
        <v>3</v>
      </c>
      <c r="J133" s="3"/>
    </row>
    <row r="134" spans="2:10" x14ac:dyDescent="0.2">
      <c r="B134" s="15" t="s">
        <v>10</v>
      </c>
      <c r="C134" s="1" t="s">
        <v>69</v>
      </c>
      <c r="D134" s="5"/>
      <c r="H134" s="15" t="s">
        <v>10</v>
      </c>
      <c r="I134" s="1" t="s">
        <v>69</v>
      </c>
      <c r="J134" s="5"/>
    </row>
    <row r="135" spans="2:10" x14ac:dyDescent="0.2">
      <c r="B135" s="15" t="s">
        <v>4</v>
      </c>
      <c r="C135" s="16">
        <f>C124/12</f>
        <v>0.16666666666666666</v>
      </c>
      <c r="D135" s="5" t="s">
        <v>1</v>
      </c>
      <c r="H135" s="15" t="s">
        <v>4</v>
      </c>
      <c r="I135" s="16">
        <f>I124/12</f>
        <v>0.16666666666666666</v>
      </c>
      <c r="J135" s="5" t="s">
        <v>1</v>
      </c>
    </row>
    <row r="136" spans="2:10" x14ac:dyDescent="0.2">
      <c r="B136" s="15" t="s">
        <v>49</v>
      </c>
      <c r="C136" s="16">
        <f>C125/C124</f>
        <v>8.9999999999999998E-4</v>
      </c>
      <c r="H136" s="15" t="s">
        <v>49</v>
      </c>
      <c r="I136" s="16">
        <f>I125/I124</f>
        <v>8.9999999999999998E-4</v>
      </c>
      <c r="J136" s="3"/>
    </row>
    <row r="137" spans="2:10" x14ac:dyDescent="0.2">
      <c r="B137" s="15" t="s">
        <v>39</v>
      </c>
      <c r="C137" s="1" t="s">
        <v>7</v>
      </c>
      <c r="D137" s="5"/>
      <c r="H137" s="15" t="s">
        <v>39</v>
      </c>
      <c r="I137" s="1" t="s">
        <v>7</v>
      </c>
      <c r="J137" s="5"/>
    </row>
    <row r="138" spans="2:10" x14ac:dyDescent="0.2">
      <c r="B138" s="15" t="s">
        <v>4</v>
      </c>
      <c r="C138" s="16">
        <f>3.1416*C135^2/4</f>
        <v>2.1816666666666665E-2</v>
      </c>
      <c r="D138" s="5" t="s">
        <v>12</v>
      </c>
      <c r="H138" s="15" t="s">
        <v>4</v>
      </c>
      <c r="I138" s="16">
        <f>3.1416*I135^2/4</f>
        <v>2.1816666666666665E-2</v>
      </c>
      <c r="J138" s="5" t="s">
        <v>12</v>
      </c>
    </row>
    <row r="139" spans="2:10" x14ac:dyDescent="0.2">
      <c r="B139" s="15" t="s">
        <v>40</v>
      </c>
      <c r="C139" s="5" t="s">
        <v>17</v>
      </c>
      <c r="D139" s="5"/>
      <c r="H139" s="15" t="s">
        <v>40</v>
      </c>
      <c r="I139" s="5" t="s">
        <v>17</v>
      </c>
      <c r="J139" s="5"/>
    </row>
    <row r="140" spans="2:10" x14ac:dyDescent="0.2">
      <c r="B140" s="15" t="s">
        <v>4</v>
      </c>
      <c r="C140" s="17">
        <f>C123/ 448.831</f>
        <v>0.28964131265442894</v>
      </c>
      <c r="D140" s="5" t="s">
        <v>13</v>
      </c>
      <c r="H140" s="15" t="s">
        <v>4</v>
      </c>
      <c r="I140" s="17">
        <f>I123/ 448.831</f>
        <v>0.28964131265442894</v>
      </c>
      <c r="J140" s="5" t="s">
        <v>13</v>
      </c>
    </row>
    <row r="141" spans="2:10" x14ac:dyDescent="0.2">
      <c r="B141" s="15" t="s">
        <v>41</v>
      </c>
      <c r="C141" s="5" t="s">
        <v>11</v>
      </c>
      <c r="D141" s="5"/>
      <c r="H141" s="15" t="s">
        <v>41</v>
      </c>
      <c r="I141" s="5" t="s">
        <v>11</v>
      </c>
      <c r="J141" s="5"/>
    </row>
    <row r="142" spans="2:10" x14ac:dyDescent="0.2">
      <c r="B142" s="15" t="s">
        <v>4</v>
      </c>
      <c r="C142" s="18">
        <f>C140/C138</f>
        <v>13.276148784771381</v>
      </c>
      <c r="D142" s="5" t="s">
        <v>14</v>
      </c>
      <c r="H142" s="15" t="s">
        <v>4</v>
      </c>
      <c r="I142" s="18">
        <f>I140/I138</f>
        <v>13.276148784771381</v>
      </c>
      <c r="J142" s="5" t="s">
        <v>14</v>
      </c>
    </row>
    <row r="143" spans="2:10" ht="14.25" x14ac:dyDescent="0.25">
      <c r="B143" s="15" t="s">
        <v>194</v>
      </c>
      <c r="C143" s="5" t="s">
        <v>15</v>
      </c>
      <c r="D143" s="5"/>
      <c r="H143" s="15" t="s">
        <v>194</v>
      </c>
      <c r="I143" s="5" t="s">
        <v>15</v>
      </c>
      <c r="J143" s="5"/>
    </row>
    <row r="144" spans="2:10" x14ac:dyDescent="0.2">
      <c r="B144" s="15" t="s">
        <v>4</v>
      </c>
      <c r="C144" s="16">
        <f>C128/32.2</f>
        <v>1.94</v>
      </c>
      <c r="D144" s="5" t="s">
        <v>16</v>
      </c>
      <c r="H144" s="15" t="s">
        <v>4</v>
      </c>
      <c r="I144" s="16">
        <f>I128/32.2</f>
        <v>1.94</v>
      </c>
      <c r="J144" s="5" t="s">
        <v>16</v>
      </c>
    </row>
    <row r="145" spans="2:11" x14ac:dyDescent="0.2">
      <c r="B145" s="15" t="s">
        <v>34</v>
      </c>
      <c r="C145" s="5" t="s">
        <v>50</v>
      </c>
      <c r="D145" s="5"/>
      <c r="H145" s="15" t="s">
        <v>34</v>
      </c>
      <c r="I145" s="5" t="s">
        <v>50</v>
      </c>
      <c r="J145" s="5"/>
    </row>
    <row r="146" spans="2:11" x14ac:dyDescent="0.2">
      <c r="B146" s="15" t="s">
        <v>4</v>
      </c>
      <c r="C146" s="19">
        <f>C135*C142*C144/C127</f>
        <v>157238.88060107743</v>
      </c>
      <c r="D146" s="5"/>
      <c r="H146" s="15" t="s">
        <v>4</v>
      </c>
      <c r="I146" s="19">
        <f>I135*I142*I144/I127</f>
        <v>157238.88060107743</v>
      </c>
      <c r="J146" s="5"/>
    </row>
    <row r="147" spans="2:11" x14ac:dyDescent="0.2">
      <c r="B147" s="15" t="s">
        <v>4</v>
      </c>
      <c r="C147" s="20">
        <f>C146</f>
        <v>157238.88060107743</v>
      </c>
      <c r="D147" s="5"/>
      <c r="H147" s="15" t="s">
        <v>4</v>
      </c>
      <c r="I147" s="20">
        <f>I146</f>
        <v>157238.88060107743</v>
      </c>
      <c r="J147" s="5"/>
    </row>
    <row r="148" spans="2:11" ht="14.25" x14ac:dyDescent="0.25">
      <c r="B148" s="15" t="s">
        <v>18</v>
      </c>
      <c r="C148" s="5" t="s">
        <v>51</v>
      </c>
      <c r="H148" s="15" t="s">
        <v>18</v>
      </c>
      <c r="I148" s="5" t="s">
        <v>51</v>
      </c>
      <c r="J148" s="3"/>
    </row>
    <row r="149" spans="2:11" x14ac:dyDescent="0.2">
      <c r="B149" s="15" t="s">
        <v>4</v>
      </c>
      <c r="C149" s="16">
        <f>(1.14 + (2* LOG(C124/C125)))^-2</f>
        <v>1.9122356895653902E-2</v>
      </c>
      <c r="H149" s="15" t="s">
        <v>4</v>
      </c>
      <c r="I149" s="16">
        <f>(1.14 + (2* LOG(I124/I125)))^-2</f>
        <v>1.9122356895653902E-2</v>
      </c>
      <c r="J149" s="3"/>
    </row>
    <row r="150" spans="2:11" ht="14.25" x14ac:dyDescent="0.25">
      <c r="B150" s="15" t="s">
        <v>399</v>
      </c>
      <c r="C150" s="5" t="s">
        <v>48</v>
      </c>
      <c r="H150" s="15" t="s">
        <v>57</v>
      </c>
      <c r="I150" s="5" t="s">
        <v>48</v>
      </c>
      <c r="J150" s="3"/>
    </row>
    <row r="151" spans="2:11" x14ac:dyDescent="0.2">
      <c r="B151" s="15" t="s">
        <v>4</v>
      </c>
      <c r="C151" s="48">
        <f>C149*(C126/C135)*(C142^2/(2*C129))</f>
        <v>44.904210154321405</v>
      </c>
      <c r="D151" s="5" t="s">
        <v>1</v>
      </c>
      <c r="H151" s="15" t="s">
        <v>4</v>
      </c>
      <c r="I151" s="48">
        <f>I149*(I126/I135)*(I142^2/(2*I129))</f>
        <v>44.904210154321405</v>
      </c>
      <c r="J151" s="5" t="s">
        <v>1</v>
      </c>
    </row>
    <row r="152" spans="2:11" ht="14.25" x14ac:dyDescent="0.25">
      <c r="B152" s="77" t="s">
        <v>206</v>
      </c>
      <c r="C152" s="81" t="s">
        <v>132</v>
      </c>
      <c r="D152" s="37"/>
      <c r="H152" s="77" t="s">
        <v>206</v>
      </c>
      <c r="I152" s="81" t="s">
        <v>132</v>
      </c>
      <c r="J152" s="37"/>
    </row>
    <row r="153" spans="2:11" x14ac:dyDescent="0.2">
      <c r="B153" s="2" t="s">
        <v>4</v>
      </c>
      <c r="C153" s="81">
        <f>C123 * C151 / (3960 * C130 * C131 * C132)</f>
        <v>2.5998732118636907</v>
      </c>
      <c r="D153" s="1" t="s">
        <v>133</v>
      </c>
      <c r="H153" s="2" t="s">
        <v>4</v>
      </c>
      <c r="I153" s="81">
        <f>I123 * I151 / (3960 * I130 * I131 * I132)</f>
        <v>2.5998732118636907</v>
      </c>
      <c r="J153" s="1" t="s">
        <v>133</v>
      </c>
    </row>
    <row r="154" spans="2:11" x14ac:dyDescent="0.2">
      <c r="C154" s="4"/>
      <c r="D154" s="4"/>
    </row>
    <row r="155" spans="2:11" ht="13.5" thickBot="1" x14ac:dyDescent="0.25">
      <c r="B155" s="142"/>
      <c r="C155" s="142"/>
      <c r="D155" s="142"/>
    </row>
    <row r="156" spans="2:11" ht="13.5" thickBot="1" x14ac:dyDescent="0.25">
      <c r="B156" s="142"/>
      <c r="C156" s="142"/>
      <c r="D156" s="142"/>
      <c r="E156" s="110" t="s">
        <v>150</v>
      </c>
      <c r="F156" s="110" t="s">
        <v>151</v>
      </c>
      <c r="J156" s="110" t="s">
        <v>150</v>
      </c>
      <c r="K156" s="110" t="s">
        <v>151</v>
      </c>
    </row>
    <row r="157" spans="2:11" x14ac:dyDescent="0.2">
      <c r="B157" s="142"/>
      <c r="C157" s="142"/>
      <c r="D157" s="142"/>
      <c r="E157" s="180">
        <v>0</v>
      </c>
      <c r="F157" s="180">
        <v>0</v>
      </c>
      <c r="J157" s="28">
        <v>0</v>
      </c>
      <c r="K157" s="28">
        <v>0</v>
      </c>
    </row>
    <row r="158" spans="2:11" x14ac:dyDescent="0.2">
      <c r="B158" s="142"/>
      <c r="C158" s="142"/>
      <c r="D158" s="142"/>
      <c r="E158" s="179">
        <v>10</v>
      </c>
      <c r="F158" s="179">
        <v>0.3</v>
      </c>
      <c r="J158" s="31">
        <v>10</v>
      </c>
      <c r="K158" s="31">
        <v>0.3</v>
      </c>
    </row>
    <row r="159" spans="2:11" x14ac:dyDescent="0.2">
      <c r="B159" s="142"/>
      <c r="C159" s="142"/>
      <c r="D159" s="142"/>
      <c r="E159" s="179">
        <v>40</v>
      </c>
      <c r="F159" s="179">
        <v>4.3</v>
      </c>
      <c r="J159" s="31">
        <v>40</v>
      </c>
      <c r="K159" s="31">
        <v>4.3</v>
      </c>
    </row>
    <row r="160" spans="2:11" x14ac:dyDescent="0.2">
      <c r="B160" s="142"/>
      <c r="C160" s="142"/>
      <c r="D160" s="142"/>
      <c r="E160" s="179">
        <v>70</v>
      </c>
      <c r="F160" s="181">
        <v>13</v>
      </c>
      <c r="J160" s="31">
        <v>70</v>
      </c>
      <c r="K160" s="58">
        <v>13</v>
      </c>
    </row>
    <row r="161" spans="2:11" x14ac:dyDescent="0.2">
      <c r="B161" s="142"/>
      <c r="C161" s="142"/>
      <c r="D161" s="142"/>
      <c r="E161" s="179">
        <v>100</v>
      </c>
      <c r="F161" s="181">
        <v>26.6</v>
      </c>
      <c r="J161" s="31">
        <v>100</v>
      </c>
      <c r="K161" s="58">
        <v>26.6</v>
      </c>
    </row>
    <row r="162" spans="2:11" ht="13.5" thickBot="1" x14ac:dyDescent="0.25">
      <c r="B162" s="142"/>
      <c r="C162" s="142"/>
      <c r="D162" s="142"/>
      <c r="E162" s="182">
        <v>130</v>
      </c>
      <c r="F162" s="183">
        <v>44.9</v>
      </c>
      <c r="J162" s="34">
        <v>130</v>
      </c>
      <c r="K162" s="67">
        <v>44.9</v>
      </c>
    </row>
    <row r="163" spans="2:11" x14ac:dyDescent="0.2">
      <c r="B163" s="142"/>
      <c r="C163" s="142"/>
      <c r="D163" s="142"/>
    </row>
    <row r="164" spans="2:11" x14ac:dyDescent="0.2">
      <c r="B164" s="142"/>
      <c r="C164" s="142"/>
      <c r="D164" s="142"/>
    </row>
    <row r="165" spans="2:11" x14ac:dyDescent="0.2">
      <c r="B165" s="142"/>
      <c r="C165" s="142"/>
      <c r="D165" s="142"/>
    </row>
    <row r="166" spans="2:11" x14ac:dyDescent="0.2">
      <c r="B166" s="142"/>
      <c r="C166" s="142"/>
      <c r="D166" s="142"/>
    </row>
    <row r="167" spans="2:11" x14ac:dyDescent="0.2">
      <c r="B167" s="142"/>
      <c r="C167" s="142"/>
      <c r="D167" s="142"/>
    </row>
    <row r="168" spans="2:11" x14ac:dyDescent="0.2">
      <c r="B168" s="142"/>
      <c r="C168" s="142"/>
      <c r="D168" s="142"/>
    </row>
    <row r="169" spans="2:11" x14ac:dyDescent="0.2">
      <c r="B169" s="142"/>
      <c r="C169" s="142"/>
      <c r="D169" s="142"/>
    </row>
    <row r="170" spans="2:11" x14ac:dyDescent="0.2">
      <c r="B170" s="142"/>
      <c r="C170" s="142"/>
      <c r="D170" s="142"/>
    </row>
    <row r="171" spans="2:11" x14ac:dyDescent="0.2">
      <c r="B171" s="142"/>
      <c r="C171" s="142"/>
      <c r="D171" s="142"/>
    </row>
    <row r="172" spans="2:11" x14ac:dyDescent="0.2">
      <c r="B172" s="142"/>
      <c r="C172" s="142"/>
      <c r="D172" s="142"/>
    </row>
    <row r="173" spans="2:11" ht="14.25" x14ac:dyDescent="0.25">
      <c r="B173" s="5" t="s">
        <v>401</v>
      </c>
      <c r="C173" s="4"/>
      <c r="D173" s="4"/>
      <c r="H173" s="5" t="s">
        <v>232</v>
      </c>
    </row>
    <row r="174" spans="2:11" x14ac:dyDescent="0.2">
      <c r="B174" s="135" t="s">
        <v>400</v>
      </c>
      <c r="C174" s="136"/>
      <c r="D174" s="136"/>
      <c r="E174" s="136"/>
      <c r="F174" s="136"/>
      <c r="H174" s="5" t="s">
        <v>233</v>
      </c>
      <c r="I174" s="136"/>
      <c r="J174" s="136"/>
    </row>
    <row r="175" spans="2:11" x14ac:dyDescent="0.2">
      <c r="C175" s="4"/>
      <c r="D175" s="4"/>
    </row>
    <row r="176" spans="2:11" x14ac:dyDescent="0.2">
      <c r="C176" s="4"/>
      <c r="D176" s="4"/>
    </row>
    <row r="177" spans="3:4" x14ac:dyDescent="0.2">
      <c r="C177" s="4"/>
      <c r="D177" s="4"/>
    </row>
    <row r="178" spans="3:4" x14ac:dyDescent="0.2">
      <c r="C178" s="4"/>
      <c r="D178" s="4"/>
    </row>
    <row r="179" spans="3:4" x14ac:dyDescent="0.2">
      <c r="C179" s="4"/>
      <c r="D179" s="4"/>
    </row>
    <row r="180" spans="3:4" x14ac:dyDescent="0.2">
      <c r="C180" s="4"/>
      <c r="D180" s="4"/>
    </row>
    <row r="181" spans="3:4" x14ac:dyDescent="0.2">
      <c r="C181" s="4"/>
      <c r="D181" s="4"/>
    </row>
    <row r="182" spans="3:4" x14ac:dyDescent="0.2">
      <c r="C182" s="4"/>
      <c r="D182" s="4"/>
    </row>
    <row r="183" spans="3:4" x14ac:dyDescent="0.2">
      <c r="C183" s="4"/>
      <c r="D183" s="4"/>
    </row>
    <row r="184" spans="3:4" x14ac:dyDescent="0.2">
      <c r="C184" s="4"/>
      <c r="D184" s="4"/>
    </row>
    <row r="185" spans="3:4" x14ac:dyDescent="0.2">
      <c r="C185" s="4"/>
      <c r="D185" s="4"/>
    </row>
    <row r="186" spans="3:4" x14ac:dyDescent="0.2">
      <c r="C186" s="4"/>
      <c r="D186" s="4"/>
    </row>
    <row r="187" spans="3:4" x14ac:dyDescent="0.2">
      <c r="C187" s="4"/>
      <c r="D187" s="4"/>
    </row>
    <row r="188" spans="3:4" x14ac:dyDescent="0.2">
      <c r="C188" s="4"/>
      <c r="D188" s="4"/>
    </row>
    <row r="189" spans="3:4" x14ac:dyDescent="0.2">
      <c r="C189" s="4"/>
      <c r="D189" s="4"/>
    </row>
    <row r="190" spans="3:4" x14ac:dyDescent="0.2">
      <c r="C190" s="4"/>
      <c r="D190" s="4"/>
    </row>
    <row r="191" spans="3:4" x14ac:dyDescent="0.2">
      <c r="C191" s="4"/>
      <c r="D191" s="4"/>
    </row>
    <row r="192" spans="3:4" x14ac:dyDescent="0.2">
      <c r="C192" s="4"/>
      <c r="D192" s="4"/>
    </row>
    <row r="193" spans="2:8" x14ac:dyDescent="0.2">
      <c r="C193" s="4"/>
      <c r="D193" s="4"/>
    </row>
    <row r="194" spans="2:8" x14ac:dyDescent="0.2">
      <c r="C194" s="4"/>
      <c r="D194" s="4"/>
    </row>
    <row r="195" spans="2:8" x14ac:dyDescent="0.2">
      <c r="C195" s="4"/>
      <c r="D195" s="4"/>
    </row>
    <row r="196" spans="2:8" x14ac:dyDescent="0.2">
      <c r="C196" s="4"/>
      <c r="D196" s="4"/>
    </row>
    <row r="197" spans="2:8" x14ac:dyDescent="0.2">
      <c r="C197" s="4"/>
      <c r="D197" s="4"/>
      <c r="H197" s="1" t="s">
        <v>234</v>
      </c>
    </row>
    <row r="198" spans="2:8" x14ac:dyDescent="0.2">
      <c r="B198" s="1" t="s">
        <v>234</v>
      </c>
      <c r="C198" s="4"/>
      <c r="D198" s="4"/>
    </row>
    <row r="199" spans="2:8" x14ac:dyDescent="0.2">
      <c r="C199" s="4"/>
      <c r="D199" s="4"/>
    </row>
    <row r="200" spans="2:8" x14ac:dyDescent="0.2">
      <c r="C200" s="4"/>
      <c r="D200" s="4"/>
    </row>
    <row r="212" spans="2:4" ht="13.5" thickBot="1" x14ac:dyDescent="0.25">
      <c r="C212" s="8" t="s">
        <v>0</v>
      </c>
    </row>
    <row r="213" spans="2:4" x14ac:dyDescent="0.2">
      <c r="B213" s="2" t="s">
        <v>435</v>
      </c>
      <c r="C213" s="152">
        <v>50</v>
      </c>
      <c r="D213" s="3" t="s">
        <v>8</v>
      </c>
    </row>
    <row r="214" spans="2:4" x14ac:dyDescent="0.2">
      <c r="B214" s="2" t="s">
        <v>434</v>
      </c>
      <c r="C214" s="149">
        <v>100</v>
      </c>
      <c r="D214" s="3" t="s">
        <v>1</v>
      </c>
    </row>
    <row r="215" spans="2:4" ht="13.5" thickBot="1" x14ac:dyDescent="0.25">
      <c r="B215" s="2" t="s">
        <v>436</v>
      </c>
      <c r="C215" s="155">
        <v>1</v>
      </c>
    </row>
    <row r="216" spans="2:4" x14ac:dyDescent="0.2">
      <c r="B216" s="2"/>
      <c r="C216" s="8" t="s">
        <v>437</v>
      </c>
    </row>
    <row r="217" spans="2:4" x14ac:dyDescent="0.2">
      <c r="B217" s="15" t="s">
        <v>438</v>
      </c>
      <c r="C217" s="5" t="s">
        <v>439</v>
      </c>
      <c r="D217" s="5"/>
    </row>
    <row r="218" spans="2:4" x14ac:dyDescent="0.2">
      <c r="B218" s="15" t="s">
        <v>4</v>
      </c>
      <c r="C218" s="18">
        <f>C213*C214*C215 / 3960</f>
        <v>1.2626262626262625</v>
      </c>
      <c r="D218" s="5" t="s">
        <v>133</v>
      </c>
    </row>
    <row r="219" spans="2:4" x14ac:dyDescent="0.2">
      <c r="B219" s="2"/>
    </row>
    <row r="220" spans="2:4" x14ac:dyDescent="0.2">
      <c r="B220" s="37" t="s">
        <v>241</v>
      </c>
    </row>
    <row r="221" spans="2:4" x14ac:dyDescent="0.2">
      <c r="B221" s="2"/>
    </row>
    <row r="222" spans="2:4" x14ac:dyDescent="0.2">
      <c r="B222" s="2"/>
    </row>
    <row r="223" spans="2:4" x14ac:dyDescent="0.2">
      <c r="B223" s="2"/>
    </row>
    <row r="224" spans="2:4"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sheetData>
  <sheetProtection sheet="1" objects="1" scenarios="1" formatCells="0" selectLockedCells="1"/>
  <printOptions gridLines="1"/>
  <pageMargins left="0" right="0" top="0.39410000000000001" bottom="0.39410000000000001" header="0" footer="0"/>
  <pageSetup orientation="portrait"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5"/>
  <sheetViews>
    <sheetView workbookViewId="0">
      <selection activeCell="D5" sqref="D5"/>
    </sheetView>
  </sheetViews>
  <sheetFormatPr defaultRowHeight="14.25" x14ac:dyDescent="0.2"/>
  <cols>
    <col min="1" max="1" width="3.5" customWidth="1"/>
  </cols>
  <sheetData>
    <row r="1" spans="1:13" ht="15.75" x14ac:dyDescent="0.25">
      <c r="B1" s="46" t="s">
        <v>483</v>
      </c>
    </row>
    <row r="2" spans="1:13" ht="15.75" x14ac:dyDescent="0.25">
      <c r="B2" s="47" t="s">
        <v>475</v>
      </c>
      <c r="G2" s="99"/>
      <c r="H2" s="99" t="s">
        <v>481</v>
      </c>
    </row>
    <row r="4" spans="1:13" ht="15.75" x14ac:dyDescent="0.25">
      <c r="A4" s="4"/>
      <c r="B4" s="46" t="s">
        <v>486</v>
      </c>
    </row>
    <row r="5" spans="1:13" x14ac:dyDescent="0.2">
      <c r="A5" s="143"/>
      <c r="B5" s="281" t="s">
        <v>128</v>
      </c>
      <c r="C5" s="143"/>
      <c r="D5" s="143"/>
      <c r="E5" s="143"/>
      <c r="F5" s="143"/>
      <c r="G5" s="143"/>
      <c r="H5" s="143"/>
      <c r="I5" s="143"/>
      <c r="J5" s="281" t="s">
        <v>128</v>
      </c>
      <c r="K5" s="143"/>
      <c r="L5" s="143"/>
      <c r="M5" s="143"/>
    </row>
    <row r="36" spans="4:4" ht="15.75" x14ac:dyDescent="0.25">
      <c r="D36" s="47" t="s">
        <v>152</v>
      </c>
    </row>
    <row r="54" spans="4:4" ht="15.75" x14ac:dyDescent="0.25">
      <c r="D54" s="47" t="s">
        <v>153</v>
      </c>
    </row>
    <row r="77" spans="4:4" ht="15.75" x14ac:dyDescent="0.25">
      <c r="D77" s="46" t="s">
        <v>154</v>
      </c>
    </row>
    <row r="85" spans="4:4" ht="15.75" x14ac:dyDescent="0.25">
      <c r="D85" s="46" t="s">
        <v>155</v>
      </c>
    </row>
    <row r="98" spans="2:5" ht="15.75" x14ac:dyDescent="0.25">
      <c r="D98" s="47" t="s">
        <v>156</v>
      </c>
    </row>
    <row r="110" spans="2:5" ht="15.75" x14ac:dyDescent="0.25">
      <c r="E110" s="47" t="s">
        <v>157</v>
      </c>
    </row>
    <row r="111" spans="2:5" x14ac:dyDescent="0.2">
      <c r="B111" s="111" t="s">
        <v>158</v>
      </c>
    </row>
    <row r="126" spans="4:4" ht="15" x14ac:dyDescent="0.2">
      <c r="D126" s="112" t="s">
        <v>159</v>
      </c>
    </row>
    <row r="155" spans="2:2" ht="15" x14ac:dyDescent="0.2">
      <c r="B155" s="112" t="s">
        <v>160</v>
      </c>
    </row>
    <row r="165" spans="3:3" x14ac:dyDescent="0.2">
      <c r="C165" s="37" t="s">
        <v>241</v>
      </c>
    </row>
  </sheetData>
  <sheetProtection sheet="1" objects="1" scenarios="1" formatCells="0" selectLockedCells="1"/>
  <hyperlinks>
    <hyperlink ref="B5" r:id="rId1" xr:uid="{00000000-0004-0000-0300-000000000000}"/>
    <hyperlink ref="J5" r:id="rId2" xr:uid="{21192660-3B24-49A7-BD8A-7024F8892445}"/>
  </hyperlinks>
  <printOptions gridLines="1"/>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0"/>
  <sheetViews>
    <sheetView workbookViewId="0">
      <selection activeCell="H6" sqref="H6"/>
    </sheetView>
  </sheetViews>
  <sheetFormatPr defaultRowHeight="14.25" x14ac:dyDescent="0.2"/>
  <cols>
    <col min="1" max="1" width="4.375" customWidth="1"/>
    <col min="2" max="2" width="30.875" style="66" customWidth="1"/>
    <col min="4" max="4" width="13.625" customWidth="1"/>
  </cols>
  <sheetData>
    <row r="1" spans="1:17" ht="15.75" x14ac:dyDescent="0.25">
      <c r="A1" s="132"/>
      <c r="B1" s="46" t="s">
        <v>210</v>
      </c>
    </row>
    <row r="2" spans="1:17" ht="15.75" x14ac:dyDescent="0.25">
      <c r="A2" s="132"/>
      <c r="B2" s="47" t="s">
        <v>475</v>
      </c>
      <c r="E2" s="99" t="s">
        <v>481</v>
      </c>
    </row>
    <row r="3" spans="1:17" x14ac:dyDescent="0.2">
      <c r="C3" s="116"/>
    </row>
    <row r="4" spans="1:17" ht="15.75" x14ac:dyDescent="0.25">
      <c r="B4" s="47" t="s">
        <v>174</v>
      </c>
    </row>
    <row r="6" spans="1:17" x14ac:dyDescent="0.2">
      <c r="B6" s="132" t="s">
        <v>485</v>
      </c>
      <c r="H6" s="143"/>
      <c r="I6" s="143"/>
      <c r="J6" s="143"/>
      <c r="K6" s="143"/>
      <c r="L6" s="143"/>
    </row>
    <row r="7" spans="1:17" x14ac:dyDescent="0.2">
      <c r="A7" s="143"/>
      <c r="B7" s="184" t="s">
        <v>484</v>
      </c>
      <c r="C7" s="143"/>
      <c r="D7" s="143"/>
      <c r="H7" s="184" t="s">
        <v>484</v>
      </c>
      <c r="I7" s="143"/>
      <c r="J7" s="143"/>
      <c r="K7" s="143"/>
      <c r="L7" s="143"/>
    </row>
    <row r="8" spans="1:17" x14ac:dyDescent="0.2">
      <c r="H8" s="143"/>
      <c r="I8" s="143"/>
      <c r="J8" s="143"/>
      <c r="K8" s="143"/>
      <c r="L8" s="143"/>
    </row>
    <row r="9" spans="1:17" x14ac:dyDescent="0.2">
      <c r="H9" s="143"/>
      <c r="I9" s="143"/>
      <c r="J9" s="143"/>
      <c r="K9" s="143"/>
      <c r="L9" s="143"/>
      <c r="M9" s="143"/>
      <c r="N9" s="143"/>
      <c r="O9" s="143"/>
      <c r="P9" s="143"/>
      <c r="Q9" s="143"/>
    </row>
    <row r="10" spans="1:17" x14ac:dyDescent="0.2">
      <c r="H10" s="143"/>
      <c r="I10" s="143"/>
      <c r="J10" s="143"/>
      <c r="K10" s="143"/>
      <c r="L10" s="143"/>
      <c r="M10" s="143"/>
      <c r="N10" s="143"/>
      <c r="O10" s="143"/>
      <c r="P10" s="143"/>
      <c r="Q10" s="143"/>
    </row>
    <row r="11" spans="1:17" x14ac:dyDescent="0.2">
      <c r="H11" s="143"/>
      <c r="I11" s="143"/>
      <c r="J11" s="143"/>
      <c r="K11" s="143"/>
      <c r="L11" s="143"/>
      <c r="M11" s="143"/>
      <c r="N11" s="143"/>
      <c r="O11" s="143"/>
      <c r="P11" s="143"/>
      <c r="Q11" s="143"/>
    </row>
    <row r="12" spans="1:17" x14ac:dyDescent="0.2">
      <c r="H12" s="143"/>
      <c r="I12" s="143"/>
      <c r="J12" s="143"/>
      <c r="K12" s="143"/>
      <c r="L12" s="143"/>
      <c r="M12" s="143"/>
      <c r="N12" s="143"/>
      <c r="O12" s="143"/>
      <c r="P12" s="143"/>
      <c r="Q12" s="143"/>
    </row>
    <row r="13" spans="1:17" x14ac:dyDescent="0.2">
      <c r="H13" s="143"/>
      <c r="I13" s="143"/>
      <c r="J13" s="143"/>
      <c r="K13" s="143"/>
      <c r="L13" s="143"/>
      <c r="M13" s="143"/>
      <c r="N13" s="143"/>
      <c r="O13" s="143"/>
      <c r="P13" s="143"/>
      <c r="Q13" s="143"/>
    </row>
    <row r="14" spans="1:17" x14ac:dyDescent="0.2">
      <c r="H14" s="143"/>
      <c r="I14" s="143"/>
      <c r="J14" s="143"/>
      <c r="K14" s="143"/>
      <c r="L14" s="143"/>
      <c r="M14" s="143"/>
      <c r="N14" s="143"/>
      <c r="O14" s="143"/>
      <c r="P14" s="143"/>
      <c r="Q14" s="143"/>
    </row>
    <row r="15" spans="1:17" x14ac:dyDescent="0.2">
      <c r="H15" s="143"/>
      <c r="I15" s="143"/>
      <c r="J15" s="143"/>
      <c r="K15" s="143"/>
      <c r="L15" s="143"/>
      <c r="M15" s="143"/>
      <c r="N15" s="143"/>
      <c r="O15" s="143"/>
      <c r="P15" s="143"/>
      <c r="Q15" s="143"/>
    </row>
    <row r="16" spans="1:17" x14ac:dyDescent="0.2">
      <c r="H16" s="143"/>
      <c r="I16" s="143"/>
      <c r="J16" s="143"/>
      <c r="K16" s="143"/>
      <c r="L16" s="143"/>
      <c r="M16" s="143"/>
      <c r="N16" s="143"/>
      <c r="O16" s="143"/>
      <c r="P16" s="143"/>
      <c r="Q16" s="143"/>
    </row>
    <row r="17" spans="8:17" x14ac:dyDescent="0.2">
      <c r="H17" s="143"/>
      <c r="I17" s="143"/>
      <c r="J17" s="143"/>
      <c r="K17" s="143"/>
      <c r="L17" s="143"/>
      <c r="M17" s="143"/>
      <c r="N17" s="143"/>
      <c r="O17" s="143"/>
      <c r="P17" s="143"/>
      <c r="Q17" s="143"/>
    </row>
    <row r="18" spans="8:17" x14ac:dyDescent="0.2">
      <c r="H18" s="143"/>
      <c r="I18" s="143"/>
      <c r="J18" s="143"/>
      <c r="K18" s="143"/>
      <c r="L18" s="143"/>
      <c r="M18" s="143"/>
      <c r="N18" s="143"/>
      <c r="O18" s="143"/>
      <c r="P18" s="143"/>
      <c r="Q18" s="143"/>
    </row>
    <row r="19" spans="8:17" x14ac:dyDescent="0.2">
      <c r="H19" s="143"/>
      <c r="I19" s="143"/>
      <c r="J19" s="143"/>
      <c r="K19" s="143"/>
      <c r="L19" s="143"/>
      <c r="M19" s="143"/>
      <c r="N19" s="143"/>
      <c r="O19" s="143"/>
      <c r="P19" s="143"/>
      <c r="Q19" s="143"/>
    </row>
    <row r="20" spans="8:17" x14ac:dyDescent="0.2">
      <c r="H20" s="143"/>
      <c r="I20" s="143"/>
      <c r="J20" s="143"/>
      <c r="K20" s="143"/>
      <c r="L20" s="143"/>
      <c r="M20" s="143"/>
      <c r="N20" s="143"/>
      <c r="O20" s="143"/>
      <c r="P20" s="143"/>
      <c r="Q20" s="143"/>
    </row>
    <row r="21" spans="8:17" x14ac:dyDescent="0.2">
      <c r="H21" s="143"/>
      <c r="I21" s="143"/>
      <c r="J21" s="143"/>
      <c r="K21" s="143"/>
      <c r="L21" s="143"/>
      <c r="M21" s="143"/>
      <c r="N21" s="143"/>
      <c r="O21" s="143"/>
      <c r="P21" s="143"/>
      <c r="Q21" s="143"/>
    </row>
    <row r="22" spans="8:17" x14ac:dyDescent="0.2">
      <c r="H22" s="143"/>
      <c r="I22" s="143"/>
      <c r="J22" s="143"/>
      <c r="K22" s="143"/>
      <c r="L22" s="143"/>
      <c r="M22" s="143"/>
      <c r="N22" s="143"/>
      <c r="O22" s="143"/>
      <c r="P22" s="143"/>
      <c r="Q22" s="143"/>
    </row>
    <row r="23" spans="8:17" x14ac:dyDescent="0.2">
      <c r="H23" s="143"/>
      <c r="I23" s="143"/>
      <c r="J23" s="143"/>
      <c r="K23" s="143"/>
      <c r="L23" s="143"/>
      <c r="M23" s="143"/>
      <c r="N23" s="143"/>
      <c r="O23" s="143"/>
      <c r="P23" s="143"/>
      <c r="Q23" s="143"/>
    </row>
    <row r="24" spans="8:17" x14ac:dyDescent="0.2">
      <c r="H24" s="143"/>
      <c r="I24" s="143"/>
      <c r="J24" s="143"/>
      <c r="K24" s="143"/>
      <c r="L24" s="143"/>
      <c r="M24" s="143"/>
      <c r="N24" s="143"/>
      <c r="O24" s="143"/>
      <c r="P24" s="143"/>
      <c r="Q24" s="143"/>
    </row>
    <row r="25" spans="8:17" x14ac:dyDescent="0.2">
      <c r="H25" s="143"/>
      <c r="I25" s="143"/>
      <c r="J25" s="143"/>
      <c r="K25" s="143"/>
      <c r="L25" s="143"/>
      <c r="M25" s="143"/>
      <c r="N25" s="143"/>
      <c r="O25" s="143"/>
      <c r="P25" s="143"/>
      <c r="Q25" s="143"/>
    </row>
    <row r="26" spans="8:17" x14ac:dyDescent="0.2">
      <c r="H26" s="143"/>
      <c r="I26" s="143"/>
      <c r="J26" s="143"/>
      <c r="K26" s="143"/>
      <c r="L26" s="143"/>
      <c r="M26" s="143"/>
      <c r="N26" s="143"/>
      <c r="O26" s="143"/>
      <c r="P26" s="143"/>
      <c r="Q26" s="143"/>
    </row>
    <row r="27" spans="8:17" x14ac:dyDescent="0.2">
      <c r="H27" s="143"/>
      <c r="I27" s="143"/>
      <c r="J27" s="143"/>
      <c r="K27" s="143"/>
      <c r="L27" s="143"/>
      <c r="M27" s="143"/>
      <c r="N27" s="143"/>
      <c r="O27" s="143"/>
      <c r="P27" s="143"/>
      <c r="Q27" s="143"/>
    </row>
    <row r="28" spans="8:17" x14ac:dyDescent="0.2">
      <c r="H28" s="143"/>
      <c r="I28" s="143"/>
      <c r="J28" s="143"/>
      <c r="K28" s="143"/>
      <c r="L28" s="143"/>
      <c r="M28" s="143"/>
      <c r="N28" s="143"/>
      <c r="O28" s="143"/>
      <c r="P28" s="143"/>
      <c r="Q28" s="143"/>
    </row>
    <row r="29" spans="8:17" x14ac:dyDescent="0.2">
      <c r="H29" s="143"/>
      <c r="I29" s="143"/>
      <c r="J29" s="143"/>
      <c r="K29" s="143"/>
      <c r="L29" s="143"/>
      <c r="M29" s="143"/>
      <c r="N29" s="143"/>
      <c r="O29" s="143"/>
      <c r="P29" s="143"/>
      <c r="Q29" s="143"/>
    </row>
    <row r="30" spans="8:17" x14ac:dyDescent="0.2">
      <c r="H30" s="143"/>
      <c r="I30" s="143"/>
      <c r="J30" s="143"/>
      <c r="K30" s="143"/>
      <c r="L30" s="143"/>
      <c r="M30" s="143"/>
      <c r="N30" s="143"/>
      <c r="O30" s="143"/>
      <c r="P30" s="143"/>
      <c r="Q30" s="143"/>
    </row>
    <row r="31" spans="8:17" x14ac:dyDescent="0.2">
      <c r="H31" s="143"/>
      <c r="I31" s="143"/>
      <c r="J31" s="143"/>
      <c r="K31" s="143"/>
      <c r="L31" s="143"/>
      <c r="M31" s="143"/>
      <c r="N31" s="143"/>
      <c r="O31" s="143"/>
      <c r="P31" s="143"/>
      <c r="Q31" s="143"/>
    </row>
    <row r="32" spans="8:17" x14ac:dyDescent="0.2">
      <c r="H32" s="143"/>
      <c r="I32" s="143"/>
      <c r="J32" s="143"/>
      <c r="K32" s="143"/>
      <c r="L32" s="143"/>
      <c r="M32" s="143"/>
      <c r="N32" s="143"/>
      <c r="O32" s="143"/>
      <c r="P32" s="143"/>
      <c r="Q32" s="143"/>
    </row>
    <row r="33" spans="1:17" x14ac:dyDescent="0.2">
      <c r="H33" s="143"/>
      <c r="I33" s="143"/>
      <c r="J33" s="143"/>
      <c r="K33" s="143"/>
      <c r="L33" s="143"/>
      <c r="M33" s="143"/>
      <c r="N33" s="143"/>
      <c r="O33" s="143"/>
      <c r="P33" s="143"/>
      <c r="Q33" s="143"/>
    </row>
    <row r="34" spans="1:17" x14ac:dyDescent="0.2">
      <c r="H34" s="143"/>
      <c r="I34" s="143"/>
      <c r="J34" s="143"/>
      <c r="K34" s="143"/>
      <c r="L34" s="143"/>
      <c r="M34" s="143"/>
      <c r="N34" s="143"/>
      <c r="O34" s="143"/>
      <c r="P34" s="143"/>
      <c r="Q34" s="143"/>
    </row>
    <row r="35" spans="1:17" x14ac:dyDescent="0.2">
      <c r="H35" s="143"/>
      <c r="I35" s="143"/>
      <c r="J35" s="143"/>
      <c r="K35" s="143"/>
      <c r="L35" s="143"/>
      <c r="M35" s="143"/>
      <c r="N35" s="143"/>
      <c r="O35" s="143"/>
      <c r="P35" s="143"/>
      <c r="Q35" s="143"/>
    </row>
    <row r="36" spans="1:17" x14ac:dyDescent="0.2">
      <c r="H36" s="143"/>
      <c r="I36" s="143"/>
      <c r="J36" s="143"/>
      <c r="K36" s="143"/>
      <c r="L36" s="143"/>
      <c r="M36" s="143"/>
      <c r="N36" s="143"/>
      <c r="O36" s="143"/>
      <c r="P36" s="143"/>
      <c r="Q36" s="143"/>
    </row>
    <row r="37" spans="1:17" x14ac:dyDescent="0.2">
      <c r="H37" s="143"/>
      <c r="I37" s="143"/>
      <c r="J37" s="143"/>
      <c r="K37" s="143"/>
      <c r="L37" s="143"/>
      <c r="M37" s="143"/>
      <c r="N37" s="143"/>
      <c r="O37" s="143"/>
      <c r="P37" s="143"/>
      <c r="Q37" s="143"/>
    </row>
    <row r="38" spans="1:17" x14ac:dyDescent="0.2">
      <c r="H38" s="143"/>
      <c r="I38" s="143"/>
      <c r="J38" s="143"/>
      <c r="K38" s="143"/>
      <c r="L38" s="143"/>
      <c r="M38" s="143"/>
      <c r="N38" s="143"/>
      <c r="O38" s="143"/>
      <c r="P38" s="143"/>
      <c r="Q38" s="143"/>
    </row>
    <row r="39" spans="1:17" x14ac:dyDescent="0.2">
      <c r="H39" s="143"/>
      <c r="I39" s="143"/>
      <c r="J39" s="143"/>
      <c r="K39" s="143"/>
      <c r="L39" s="143"/>
      <c r="M39" s="143"/>
      <c r="N39" s="143"/>
      <c r="O39" s="143"/>
      <c r="P39" s="143"/>
      <c r="Q39" s="143"/>
    </row>
    <row r="40" spans="1:17" x14ac:dyDescent="0.2">
      <c r="H40" s="143"/>
      <c r="I40" s="143"/>
      <c r="J40" s="143"/>
      <c r="K40" s="143"/>
      <c r="L40" s="143"/>
      <c r="M40" s="143"/>
      <c r="N40" s="143"/>
      <c r="O40" s="143"/>
      <c r="P40" s="143"/>
      <c r="Q40" s="143"/>
    </row>
    <row r="41" spans="1:17" x14ac:dyDescent="0.2">
      <c r="H41" s="143"/>
      <c r="I41" s="143"/>
      <c r="J41" s="143"/>
      <c r="K41" s="143"/>
      <c r="L41" s="143"/>
      <c r="M41" s="143"/>
      <c r="N41" s="143"/>
      <c r="O41" s="143"/>
      <c r="P41" s="143"/>
      <c r="Q41" s="143"/>
    </row>
    <row r="42" spans="1:17" x14ac:dyDescent="0.2">
      <c r="H42" s="143"/>
      <c r="I42" s="143"/>
      <c r="J42" s="143"/>
      <c r="K42" s="143"/>
      <c r="L42" s="143"/>
      <c r="M42" s="143"/>
      <c r="N42" s="143"/>
      <c r="O42" s="143"/>
      <c r="P42" s="143"/>
      <c r="Q42" s="143"/>
    </row>
    <row r="43" spans="1:17" x14ac:dyDescent="0.2">
      <c r="H43" s="143"/>
      <c r="I43" s="143"/>
      <c r="J43" s="143"/>
      <c r="K43" s="143"/>
      <c r="L43" s="143"/>
      <c r="M43" s="143"/>
      <c r="N43" s="143"/>
      <c r="O43" s="143"/>
      <c r="P43" s="143"/>
      <c r="Q43" s="143"/>
    </row>
    <row r="44" spans="1:17" x14ac:dyDescent="0.2">
      <c r="B44" s="5" t="s">
        <v>118</v>
      </c>
      <c r="H44" s="143"/>
      <c r="I44" s="143"/>
      <c r="J44" s="143"/>
      <c r="K44" s="143"/>
      <c r="L44" s="143"/>
      <c r="M44" s="143"/>
      <c r="N44" s="143"/>
      <c r="O44" s="143"/>
      <c r="P44" s="143"/>
      <c r="Q44" s="143"/>
    </row>
    <row r="45" spans="1:17" ht="15" thickBot="1" x14ac:dyDescent="0.25">
      <c r="C45" s="8" t="s">
        <v>0</v>
      </c>
      <c r="D45" s="8" t="s">
        <v>3</v>
      </c>
      <c r="H45" s="143"/>
      <c r="I45" s="143"/>
      <c r="J45" s="143"/>
      <c r="K45" s="143"/>
      <c r="L45" s="143"/>
      <c r="M45" s="143"/>
      <c r="N45" s="143"/>
      <c r="O45" s="143"/>
      <c r="P45" s="143"/>
      <c r="Q45" s="143"/>
    </row>
    <row r="46" spans="1:17" x14ac:dyDescent="0.2">
      <c r="B46" s="66" t="s">
        <v>175</v>
      </c>
      <c r="C46" s="303">
        <v>100</v>
      </c>
      <c r="D46" s="117">
        <f>C46*0.3048</f>
        <v>30.48</v>
      </c>
      <c r="E46" t="s">
        <v>476</v>
      </c>
      <c r="H46" s="143"/>
      <c r="I46" s="143"/>
      <c r="J46" s="143"/>
      <c r="K46" s="143"/>
      <c r="L46" s="143"/>
      <c r="M46" s="143"/>
      <c r="N46" s="143"/>
      <c r="O46" s="143"/>
      <c r="P46" s="143"/>
      <c r="Q46" s="143"/>
    </row>
    <row r="47" spans="1:17" x14ac:dyDescent="0.2">
      <c r="A47" s="4"/>
      <c r="B47" s="66" t="s">
        <v>176</v>
      </c>
      <c r="C47" s="304">
        <v>12</v>
      </c>
      <c r="D47" s="118">
        <f>C47/(12*3.2808)</f>
        <v>0.30480370641306992</v>
      </c>
      <c r="E47" t="s">
        <v>476</v>
      </c>
      <c r="H47" s="143"/>
      <c r="I47" s="143"/>
      <c r="J47" s="143"/>
      <c r="K47" s="143"/>
      <c r="L47" s="143"/>
      <c r="M47" s="143"/>
      <c r="N47" s="143"/>
      <c r="O47" s="143"/>
      <c r="P47" s="143"/>
      <c r="Q47" s="143"/>
    </row>
    <row r="48" spans="1:17" x14ac:dyDescent="0.2">
      <c r="B48" s="66" t="s">
        <v>177</v>
      </c>
      <c r="C48" s="304">
        <v>1E-3</v>
      </c>
      <c r="D48" s="119">
        <f>C48/(12*3.2808)</f>
        <v>2.5400308867755828E-5</v>
      </c>
      <c r="E48" t="s">
        <v>477</v>
      </c>
      <c r="H48" s="143"/>
      <c r="I48" s="143"/>
      <c r="J48" s="143"/>
      <c r="K48" s="143"/>
      <c r="L48" s="143"/>
      <c r="M48" s="143"/>
      <c r="N48" s="143"/>
      <c r="O48" s="143"/>
      <c r="P48" s="143"/>
      <c r="Q48" s="143"/>
    </row>
    <row r="49" spans="2:17" ht="15" thickBot="1" x14ac:dyDescent="0.25">
      <c r="B49" s="66" t="s">
        <v>178</v>
      </c>
      <c r="C49" s="305">
        <v>60</v>
      </c>
      <c r="D49" s="120">
        <f>C49*0.2271/(60*60)</f>
        <v>3.7849999999999997E-3</v>
      </c>
      <c r="E49" t="s">
        <v>478</v>
      </c>
      <c r="H49" s="143"/>
      <c r="I49" s="143"/>
      <c r="J49" s="143"/>
      <c r="K49" s="143"/>
      <c r="L49" s="143"/>
      <c r="M49" s="143"/>
      <c r="N49" s="143"/>
      <c r="O49" s="143"/>
      <c r="P49" s="143"/>
      <c r="Q49" s="143"/>
    </row>
    <row r="50" spans="2:17" x14ac:dyDescent="0.2">
      <c r="H50" s="143"/>
      <c r="I50" s="143"/>
      <c r="J50" s="143"/>
      <c r="K50" s="143"/>
      <c r="L50" s="143"/>
      <c r="M50" s="143"/>
      <c r="N50" s="143"/>
      <c r="O50" s="143"/>
      <c r="P50" s="143"/>
      <c r="Q50" s="143"/>
    </row>
    <row r="51" spans="2:17" x14ac:dyDescent="0.2">
      <c r="H51" s="143"/>
      <c r="I51" s="143"/>
      <c r="J51" s="143"/>
      <c r="K51" s="143"/>
      <c r="L51" s="143"/>
      <c r="M51" s="143"/>
      <c r="N51" s="143"/>
      <c r="O51" s="143"/>
      <c r="P51" s="143"/>
      <c r="Q51" s="143"/>
    </row>
    <row r="52" spans="2:17" x14ac:dyDescent="0.2">
      <c r="B52" s="37" t="s">
        <v>241</v>
      </c>
      <c r="H52" s="143"/>
      <c r="I52" s="143"/>
      <c r="J52" s="143"/>
      <c r="K52" s="143"/>
      <c r="L52" s="143"/>
      <c r="M52" s="143"/>
      <c r="N52" s="143"/>
      <c r="O52" s="143"/>
      <c r="P52" s="143"/>
      <c r="Q52" s="143"/>
    </row>
    <row r="53" spans="2:17" x14ac:dyDescent="0.2">
      <c r="H53" s="143"/>
      <c r="I53" s="143"/>
      <c r="J53" s="143"/>
      <c r="K53" s="143"/>
      <c r="L53" s="143"/>
      <c r="M53" s="143"/>
      <c r="N53" s="143"/>
      <c r="O53" s="143"/>
      <c r="P53" s="143"/>
      <c r="Q53" s="143"/>
    </row>
    <row r="54" spans="2:17" x14ac:dyDescent="0.2">
      <c r="H54" s="143"/>
      <c r="I54" s="143"/>
      <c r="J54" s="143"/>
      <c r="K54" s="143"/>
      <c r="L54" s="143"/>
      <c r="M54" s="143"/>
      <c r="N54" s="143"/>
      <c r="O54" s="143"/>
      <c r="P54" s="143"/>
      <c r="Q54" s="143"/>
    </row>
    <row r="55" spans="2:17" x14ac:dyDescent="0.2">
      <c r="H55" s="143"/>
      <c r="I55" s="143"/>
      <c r="J55" s="143"/>
      <c r="K55" s="143"/>
      <c r="L55" s="143"/>
      <c r="M55" s="143"/>
      <c r="N55" s="143"/>
      <c r="O55" s="143"/>
      <c r="P55" s="143"/>
      <c r="Q55" s="143"/>
    </row>
    <row r="56" spans="2:17" x14ac:dyDescent="0.2">
      <c r="H56" s="143"/>
      <c r="I56" s="143"/>
      <c r="J56" s="143"/>
      <c r="K56" s="143"/>
      <c r="L56" s="143"/>
      <c r="M56" s="143"/>
      <c r="N56" s="143"/>
      <c r="O56" s="143"/>
      <c r="P56" s="143"/>
      <c r="Q56" s="143"/>
    </row>
    <row r="57" spans="2:17" x14ac:dyDescent="0.2">
      <c r="H57" s="143"/>
      <c r="I57" s="143"/>
      <c r="J57" s="143"/>
      <c r="K57" s="143"/>
      <c r="L57" s="143"/>
      <c r="M57" s="143"/>
      <c r="N57" s="143"/>
      <c r="O57" s="143"/>
      <c r="P57" s="143"/>
      <c r="Q57" s="143"/>
    </row>
    <row r="58" spans="2:17" x14ac:dyDescent="0.2">
      <c r="H58" s="143"/>
      <c r="I58" s="143"/>
      <c r="J58" s="143"/>
      <c r="K58" s="143"/>
      <c r="L58" s="143"/>
      <c r="M58" s="143"/>
      <c r="N58" s="143"/>
      <c r="O58" s="143"/>
      <c r="P58" s="143"/>
      <c r="Q58" s="143"/>
    </row>
    <row r="59" spans="2:17" x14ac:dyDescent="0.2">
      <c r="H59" s="143"/>
      <c r="I59" s="143"/>
      <c r="J59" s="143"/>
      <c r="K59" s="143"/>
      <c r="L59" s="143"/>
      <c r="M59" s="143"/>
      <c r="N59" s="143"/>
      <c r="O59" s="143"/>
      <c r="P59" s="143"/>
      <c r="Q59" s="143"/>
    </row>
    <row r="60" spans="2:17" x14ac:dyDescent="0.2">
      <c r="H60" s="143"/>
      <c r="I60" s="143"/>
      <c r="J60" s="143"/>
      <c r="K60" s="143"/>
      <c r="L60" s="143"/>
      <c r="M60" s="143"/>
      <c r="N60" s="143"/>
      <c r="O60" s="143"/>
      <c r="P60" s="143"/>
      <c r="Q60" s="143"/>
    </row>
  </sheetData>
  <sheetProtection sheet="1" objects="1" scenarios="1" formatCells="0" selectLockedCells="1"/>
  <hyperlinks>
    <hyperlink ref="H7" r:id="rId1" xr:uid="{B9612DE4-9C8B-44D8-B574-440EBB0FCFCC}"/>
    <hyperlink ref="B7" r:id="rId2" xr:uid="{04E288B8-4686-4E66-ABB4-66F8A86ACAD0}"/>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0"/>
  <sheetViews>
    <sheetView workbookViewId="0">
      <selection activeCell="N1" sqref="N1"/>
    </sheetView>
  </sheetViews>
  <sheetFormatPr defaultRowHeight="14.25" x14ac:dyDescent="0.2"/>
  <cols>
    <col min="1" max="1" width="3.875" customWidth="1"/>
  </cols>
  <sheetData>
    <row r="1" spans="2:20" ht="15.75" x14ac:dyDescent="0.25">
      <c r="B1" s="46" t="s">
        <v>482</v>
      </c>
      <c r="M1" s="143"/>
      <c r="N1" s="143"/>
      <c r="O1" s="143"/>
      <c r="P1" s="143"/>
      <c r="Q1" s="143"/>
      <c r="R1" s="143"/>
      <c r="S1" s="143"/>
      <c r="T1" s="143"/>
    </row>
    <row r="2" spans="2:20" ht="15.75" x14ac:dyDescent="0.25">
      <c r="B2" s="47" t="s">
        <v>475</v>
      </c>
      <c r="H2" s="99" t="s">
        <v>481</v>
      </c>
      <c r="M2" s="143"/>
      <c r="N2" s="143"/>
      <c r="O2" s="143"/>
      <c r="P2" s="143"/>
      <c r="Q2" s="143"/>
      <c r="R2" s="143"/>
      <c r="S2" s="143"/>
      <c r="T2" s="143"/>
    </row>
    <row r="3" spans="2:20" x14ac:dyDescent="0.2">
      <c r="B3" s="66"/>
      <c r="M3" s="143"/>
      <c r="N3" s="143"/>
      <c r="O3" s="143"/>
      <c r="P3" s="143"/>
      <c r="Q3" s="143"/>
      <c r="R3" s="143"/>
      <c r="S3" s="143"/>
      <c r="T3" s="143"/>
    </row>
    <row r="4" spans="2:20" ht="15.75" x14ac:dyDescent="0.25">
      <c r="B4" s="133" t="s">
        <v>214</v>
      </c>
      <c r="M4" s="143"/>
      <c r="N4" s="143"/>
      <c r="O4" s="143"/>
      <c r="P4" s="143"/>
      <c r="Q4" s="143"/>
      <c r="R4" s="143"/>
      <c r="S4" s="143"/>
      <c r="T4" s="143"/>
    </row>
    <row r="5" spans="2:20" x14ac:dyDescent="0.2">
      <c r="M5" s="143"/>
      <c r="N5" s="143"/>
      <c r="O5" s="143"/>
      <c r="P5" s="143"/>
      <c r="Q5" s="143"/>
      <c r="R5" s="143"/>
      <c r="S5" s="143"/>
      <c r="T5" s="143"/>
    </row>
    <row r="6" spans="2:20" ht="15.75" x14ac:dyDescent="0.25">
      <c r="C6" s="47" t="s">
        <v>213</v>
      </c>
      <c r="M6" s="143"/>
      <c r="N6" s="143"/>
      <c r="O6" s="143"/>
      <c r="P6" s="143"/>
      <c r="Q6" s="143"/>
      <c r="R6" s="143"/>
      <c r="S6" s="143"/>
      <c r="T6" s="143"/>
    </row>
    <row r="7" spans="2:20" x14ac:dyDescent="0.2">
      <c r="B7" s="4"/>
      <c r="C7" s="134" t="s">
        <v>212</v>
      </c>
      <c r="D7" s="4"/>
      <c r="E7" s="4"/>
      <c r="F7" s="4"/>
      <c r="M7" s="143"/>
      <c r="N7" s="143"/>
      <c r="O7" s="143"/>
      <c r="P7" s="143"/>
      <c r="Q7" s="143"/>
      <c r="R7" s="143"/>
      <c r="S7" s="143"/>
      <c r="T7" s="143"/>
    </row>
    <row r="8" spans="2:20" x14ac:dyDescent="0.2">
      <c r="C8" s="66"/>
      <c r="M8" s="143"/>
      <c r="N8" s="143"/>
      <c r="O8" s="143"/>
      <c r="P8" s="143"/>
      <c r="Q8" s="143"/>
      <c r="R8" s="143"/>
      <c r="S8" s="143"/>
      <c r="T8" s="143"/>
    </row>
    <row r="9" spans="2:20" x14ac:dyDescent="0.2">
      <c r="C9" s="66"/>
      <c r="M9" s="143"/>
      <c r="N9" s="143"/>
      <c r="O9" s="143"/>
      <c r="P9" s="143"/>
      <c r="Q9" s="143"/>
      <c r="R9" s="143"/>
      <c r="S9" s="143"/>
      <c r="T9" s="143"/>
    </row>
    <row r="10" spans="2:20" x14ac:dyDescent="0.2">
      <c r="C10" s="66"/>
      <c r="M10" s="143"/>
      <c r="N10" s="143"/>
      <c r="O10" s="143"/>
      <c r="P10" s="143"/>
      <c r="Q10" s="143"/>
      <c r="R10" s="143"/>
      <c r="S10" s="143"/>
      <c r="T10" s="143"/>
    </row>
    <row r="11" spans="2:20" x14ac:dyDescent="0.2">
      <c r="C11" s="66"/>
      <c r="M11" s="143"/>
      <c r="N11" s="143"/>
      <c r="O11" s="143"/>
      <c r="P11" s="143"/>
      <c r="Q11" s="143"/>
      <c r="R11" s="143"/>
      <c r="S11" s="143"/>
      <c r="T11" s="143"/>
    </row>
    <row r="12" spans="2:20" x14ac:dyDescent="0.2">
      <c r="C12" s="66"/>
      <c r="M12" s="143"/>
      <c r="N12" s="143"/>
      <c r="O12" s="143"/>
      <c r="P12" s="143"/>
      <c r="Q12" s="143"/>
      <c r="R12" s="143"/>
      <c r="S12" s="143"/>
      <c r="T12" s="143"/>
    </row>
    <row r="13" spans="2:20" x14ac:dyDescent="0.2">
      <c r="C13" s="66"/>
      <c r="M13" s="143"/>
      <c r="N13" s="143"/>
      <c r="O13" s="143"/>
      <c r="P13" s="143"/>
      <c r="Q13" s="143"/>
      <c r="R13" s="143"/>
      <c r="S13" s="143"/>
      <c r="T13" s="143"/>
    </row>
    <row r="14" spans="2:20" x14ac:dyDescent="0.2">
      <c r="C14" s="66"/>
      <c r="M14" s="143"/>
      <c r="N14" s="143"/>
      <c r="O14" s="143"/>
      <c r="P14" s="143"/>
      <c r="Q14" s="143"/>
      <c r="R14" s="143"/>
      <c r="S14" s="143"/>
      <c r="T14" s="143"/>
    </row>
    <row r="15" spans="2:20" x14ac:dyDescent="0.2">
      <c r="C15" s="66"/>
      <c r="M15" s="143"/>
      <c r="N15" s="143"/>
      <c r="O15" s="143"/>
      <c r="P15" s="143"/>
      <c r="Q15" s="143"/>
      <c r="R15" s="143"/>
      <c r="S15" s="143"/>
      <c r="T15" s="143"/>
    </row>
    <row r="16" spans="2:20" x14ac:dyDescent="0.2">
      <c r="C16" s="66"/>
      <c r="M16" s="143"/>
      <c r="N16" s="143"/>
      <c r="O16" s="143"/>
      <c r="P16" s="143"/>
      <c r="Q16" s="143"/>
      <c r="R16" s="143"/>
      <c r="S16" s="143"/>
      <c r="T16" s="143"/>
    </row>
    <row r="17" spans="3:20" x14ac:dyDescent="0.2">
      <c r="C17" s="66"/>
      <c r="M17" s="143"/>
      <c r="N17" s="143"/>
      <c r="O17" s="143"/>
      <c r="P17" s="143"/>
      <c r="Q17" s="143"/>
      <c r="R17" s="143"/>
      <c r="S17" s="143"/>
      <c r="T17" s="143"/>
    </row>
    <row r="18" spans="3:20" x14ac:dyDescent="0.2">
      <c r="C18" s="66"/>
      <c r="M18" s="143"/>
      <c r="N18" s="143"/>
      <c r="O18" s="143"/>
      <c r="P18" s="143"/>
      <c r="Q18" s="143"/>
      <c r="R18" s="143"/>
      <c r="S18" s="143"/>
      <c r="T18" s="143"/>
    </row>
    <row r="19" spans="3:20" x14ac:dyDescent="0.2">
      <c r="C19" s="66"/>
      <c r="M19" s="143"/>
      <c r="N19" s="143"/>
      <c r="O19" s="143"/>
      <c r="P19" s="143"/>
      <c r="Q19" s="143"/>
      <c r="R19" s="143"/>
      <c r="S19" s="143"/>
      <c r="T19" s="143"/>
    </row>
    <row r="20" spans="3:20" x14ac:dyDescent="0.2">
      <c r="C20" s="66"/>
      <c r="M20" s="143"/>
      <c r="N20" s="143"/>
      <c r="O20" s="143"/>
      <c r="P20" s="143"/>
      <c r="Q20" s="143"/>
      <c r="R20" s="143"/>
      <c r="S20" s="143"/>
      <c r="T20" s="143"/>
    </row>
    <row r="21" spans="3:20" x14ac:dyDescent="0.2">
      <c r="C21" s="66"/>
      <c r="M21" s="143"/>
      <c r="N21" s="143"/>
      <c r="O21" s="143"/>
      <c r="P21" s="143"/>
      <c r="Q21" s="143"/>
      <c r="R21" s="143"/>
      <c r="S21" s="143"/>
      <c r="T21" s="143"/>
    </row>
    <row r="22" spans="3:20" x14ac:dyDescent="0.2">
      <c r="C22" s="66"/>
      <c r="M22" s="143"/>
      <c r="N22" s="143"/>
      <c r="O22" s="143"/>
      <c r="P22" s="143"/>
      <c r="Q22" s="143"/>
      <c r="R22" s="143"/>
      <c r="S22" s="143"/>
      <c r="T22" s="143"/>
    </row>
    <row r="23" spans="3:20" x14ac:dyDescent="0.2">
      <c r="C23" s="66"/>
      <c r="M23" s="143"/>
      <c r="N23" s="143"/>
      <c r="O23" s="143"/>
      <c r="P23" s="143"/>
      <c r="Q23" s="143"/>
      <c r="R23" s="143"/>
      <c r="S23" s="143"/>
      <c r="T23" s="143"/>
    </row>
    <row r="24" spans="3:20" x14ac:dyDescent="0.2">
      <c r="C24" s="66"/>
      <c r="M24" s="143"/>
      <c r="N24" s="143"/>
      <c r="O24" s="143"/>
      <c r="P24" s="143"/>
      <c r="Q24" s="143"/>
      <c r="R24" s="143"/>
      <c r="S24" s="143"/>
      <c r="T24" s="143"/>
    </row>
    <row r="25" spans="3:20" x14ac:dyDescent="0.2">
      <c r="C25" s="66"/>
      <c r="M25" s="143"/>
      <c r="N25" s="143"/>
      <c r="O25" s="143"/>
      <c r="P25" s="143"/>
      <c r="Q25" s="143"/>
      <c r="R25" s="143"/>
      <c r="S25" s="143"/>
      <c r="T25" s="143"/>
    </row>
    <row r="26" spans="3:20" x14ac:dyDescent="0.2">
      <c r="C26" s="66"/>
      <c r="M26" s="143"/>
      <c r="N26" s="143"/>
      <c r="O26" s="143"/>
      <c r="P26" s="143"/>
      <c r="Q26" s="143"/>
      <c r="R26" s="143"/>
      <c r="S26" s="143"/>
      <c r="T26" s="143"/>
    </row>
    <row r="27" spans="3:20" x14ac:dyDescent="0.2">
      <c r="C27" s="66"/>
      <c r="M27" s="143"/>
      <c r="N27" s="143"/>
      <c r="O27" s="143"/>
      <c r="P27" s="143"/>
      <c r="Q27" s="143"/>
      <c r="R27" s="143"/>
      <c r="S27" s="143"/>
      <c r="T27" s="143"/>
    </row>
    <row r="28" spans="3:20" x14ac:dyDescent="0.2">
      <c r="C28" s="66"/>
      <c r="M28" s="143"/>
      <c r="N28" s="143"/>
      <c r="O28" s="143"/>
      <c r="P28" s="143"/>
      <c r="Q28" s="143"/>
      <c r="R28" s="143"/>
      <c r="S28" s="143"/>
      <c r="T28" s="143"/>
    </row>
    <row r="29" spans="3:20" x14ac:dyDescent="0.2">
      <c r="C29" s="66"/>
      <c r="M29" s="143"/>
      <c r="N29" s="143"/>
      <c r="O29" s="143"/>
      <c r="P29" s="143"/>
      <c r="Q29" s="143"/>
      <c r="R29" s="143"/>
      <c r="S29" s="143"/>
      <c r="T29" s="143"/>
    </row>
    <row r="30" spans="3:20" x14ac:dyDescent="0.2">
      <c r="C30" s="66"/>
      <c r="M30" s="143"/>
      <c r="N30" s="143"/>
      <c r="O30" s="143"/>
      <c r="P30" s="143"/>
      <c r="Q30" s="143"/>
      <c r="R30" s="143"/>
      <c r="S30" s="143"/>
      <c r="T30" s="143"/>
    </row>
    <row r="31" spans="3:20" x14ac:dyDescent="0.2">
      <c r="C31" s="66"/>
      <c r="M31" s="143"/>
      <c r="N31" s="143"/>
      <c r="O31" s="143"/>
      <c r="P31" s="143"/>
      <c r="Q31" s="143"/>
      <c r="R31" s="143"/>
      <c r="S31" s="143"/>
      <c r="T31" s="143"/>
    </row>
    <row r="32" spans="3:20" x14ac:dyDescent="0.2">
      <c r="C32" s="66"/>
      <c r="M32" s="143"/>
      <c r="N32" s="143"/>
      <c r="O32" s="143"/>
      <c r="P32" s="143"/>
      <c r="Q32" s="143"/>
      <c r="R32" s="143"/>
      <c r="S32" s="143"/>
      <c r="T32" s="143"/>
    </row>
    <row r="33" spans="1:20" ht="15" x14ac:dyDescent="0.25">
      <c r="B33" s="99" t="s">
        <v>226</v>
      </c>
      <c r="C33" s="66"/>
      <c r="M33" s="143"/>
      <c r="N33" s="143"/>
      <c r="O33" s="143"/>
      <c r="P33" s="143"/>
      <c r="Q33" s="143"/>
      <c r="R33" s="143"/>
      <c r="S33" s="143"/>
      <c r="T33" s="143"/>
    </row>
    <row r="34" spans="1:20" x14ac:dyDescent="0.2">
      <c r="A34" s="143"/>
      <c r="B34" s="184" t="s">
        <v>227</v>
      </c>
      <c r="C34" s="144"/>
      <c r="D34" s="143"/>
      <c r="E34" s="143"/>
      <c r="F34" s="143"/>
      <c r="G34" s="143"/>
      <c r="M34" s="143"/>
      <c r="N34" s="143"/>
      <c r="O34" s="143"/>
      <c r="P34" s="143"/>
      <c r="Q34" s="143"/>
      <c r="R34" s="143"/>
      <c r="S34" s="143"/>
      <c r="T34" s="143"/>
    </row>
    <row r="35" spans="1:20" x14ac:dyDescent="0.2">
      <c r="C35" s="66"/>
      <c r="M35" s="143"/>
      <c r="N35" s="143"/>
      <c r="O35" s="143"/>
      <c r="P35" s="143"/>
      <c r="Q35" s="143"/>
      <c r="R35" s="143"/>
      <c r="S35" s="143"/>
      <c r="T35" s="143"/>
    </row>
    <row r="36" spans="1:20" ht="15.75" x14ac:dyDescent="0.25">
      <c r="B36" s="46" t="s">
        <v>229</v>
      </c>
      <c r="M36" s="143"/>
      <c r="N36" s="143"/>
      <c r="O36" s="143"/>
      <c r="P36" s="143"/>
      <c r="Q36" s="143"/>
      <c r="R36" s="143"/>
      <c r="S36" s="143"/>
      <c r="T36" s="143"/>
    </row>
    <row r="37" spans="1:20" x14ac:dyDescent="0.2">
      <c r="A37" s="143"/>
      <c r="B37" s="184" t="s">
        <v>228</v>
      </c>
      <c r="C37" s="143"/>
      <c r="D37" s="143"/>
      <c r="E37" s="143"/>
      <c r="F37" s="143"/>
      <c r="G37" s="143"/>
      <c r="M37" s="143"/>
      <c r="N37" s="143"/>
      <c r="O37" s="143"/>
      <c r="P37" s="143"/>
      <c r="Q37" s="143"/>
      <c r="R37" s="143"/>
      <c r="S37" s="143"/>
      <c r="T37" s="143"/>
    </row>
    <row r="40" spans="1:20" x14ac:dyDescent="0.2">
      <c r="B40" s="37" t="s">
        <v>241</v>
      </c>
    </row>
  </sheetData>
  <sheetProtection sheet="1" objects="1" scenarios="1" formatCells="0" selectLockedCells="1"/>
  <hyperlinks>
    <hyperlink ref="C7" r:id="rId1" xr:uid="{00000000-0004-0000-0500-000000000000}"/>
    <hyperlink ref="B34" r:id="rId2" xr:uid="{00000000-0004-0000-0500-000001000000}"/>
    <hyperlink ref="B37" r:id="rId3" xr:uid="{00000000-0004-0000-0500-000002000000}"/>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U97"/>
  <sheetViews>
    <sheetView zoomScaleNormal="100" workbookViewId="0">
      <selection activeCell="Q1" sqref="Q1"/>
    </sheetView>
  </sheetViews>
  <sheetFormatPr defaultRowHeight="14.25" x14ac:dyDescent="0.2"/>
  <cols>
    <col min="1" max="1" width="4.5" customWidth="1"/>
    <col min="5" max="5" width="12" customWidth="1"/>
  </cols>
  <sheetData>
    <row r="1" spans="2:21" ht="15.75" x14ac:dyDescent="0.25">
      <c r="B1" s="46" t="s">
        <v>482</v>
      </c>
      <c r="I1" s="143"/>
      <c r="J1" s="143"/>
      <c r="K1" s="143"/>
      <c r="L1" s="143"/>
      <c r="M1" s="143"/>
      <c r="N1" s="143"/>
      <c r="O1" s="143"/>
      <c r="P1" s="143"/>
      <c r="Q1" s="143"/>
      <c r="R1" s="143"/>
      <c r="S1" s="143"/>
      <c r="T1" s="143"/>
      <c r="U1" s="143"/>
    </row>
    <row r="2" spans="2:21" ht="15.75" x14ac:dyDescent="0.25">
      <c r="B2" s="47" t="s">
        <v>475</v>
      </c>
      <c r="H2" s="99" t="s">
        <v>481</v>
      </c>
      <c r="I2" s="143"/>
      <c r="J2" s="143"/>
      <c r="K2" s="143"/>
      <c r="L2" s="143"/>
      <c r="M2" s="143"/>
      <c r="N2" s="143"/>
      <c r="O2" s="143"/>
      <c r="P2" s="143"/>
      <c r="Q2" s="143"/>
      <c r="R2" s="143"/>
      <c r="S2" s="143"/>
      <c r="T2" s="143"/>
      <c r="U2" s="143"/>
    </row>
    <row r="3" spans="2:21" ht="25.5" customHeight="1" x14ac:dyDescent="0.25">
      <c r="B3" s="255" t="s">
        <v>469</v>
      </c>
      <c r="I3" s="143"/>
      <c r="J3" s="143"/>
      <c r="K3" s="143"/>
      <c r="L3" s="143"/>
      <c r="M3" s="143"/>
      <c r="N3" s="143"/>
      <c r="O3" s="143"/>
      <c r="P3" s="143"/>
      <c r="Q3" s="143"/>
      <c r="R3" s="143"/>
      <c r="S3" s="143"/>
      <c r="T3" s="143"/>
      <c r="U3" s="143"/>
    </row>
    <row r="4" spans="2:21" ht="45" x14ac:dyDescent="0.25">
      <c r="B4" s="253" t="s">
        <v>446</v>
      </c>
      <c r="C4" s="253" t="s">
        <v>447</v>
      </c>
      <c r="D4" s="253" t="s">
        <v>448</v>
      </c>
      <c r="E4" s="253" t="s">
        <v>449</v>
      </c>
      <c r="F4" s="253" t="s">
        <v>450</v>
      </c>
      <c r="G4" s="253" t="s">
        <v>451</v>
      </c>
      <c r="H4" s="253" t="s">
        <v>452</v>
      </c>
      <c r="I4" s="253" t="s">
        <v>453</v>
      </c>
      <c r="J4" s="253" t="s">
        <v>454</v>
      </c>
      <c r="K4" s="253" t="s">
        <v>455</v>
      </c>
      <c r="L4" s="253" t="s">
        <v>456</v>
      </c>
      <c r="M4" s="253" t="s">
        <v>457</v>
      </c>
      <c r="N4" s="253" t="s">
        <v>458</v>
      </c>
      <c r="O4" s="253" t="s">
        <v>459</v>
      </c>
      <c r="P4" s="253" t="s">
        <v>460</v>
      </c>
      <c r="Q4" s="143"/>
      <c r="R4" s="143"/>
      <c r="S4" s="143"/>
      <c r="T4" s="143"/>
      <c r="U4" s="143"/>
    </row>
    <row r="5" spans="2:21" x14ac:dyDescent="0.2">
      <c r="B5" s="254" t="s">
        <v>461</v>
      </c>
      <c r="C5" s="254">
        <v>0.84</v>
      </c>
      <c r="D5" s="254" t="s">
        <v>462</v>
      </c>
      <c r="E5" s="257">
        <v>0.109</v>
      </c>
      <c r="F5" s="254">
        <v>0.14699999999999999</v>
      </c>
      <c r="G5" s="254">
        <v>0.29399999999999998</v>
      </c>
      <c r="H5" s="254" t="s">
        <v>462</v>
      </c>
      <c r="I5" s="254" t="s">
        <v>462</v>
      </c>
      <c r="J5" s="257" t="s">
        <v>449</v>
      </c>
      <c r="K5" s="254" t="s">
        <v>462</v>
      </c>
      <c r="L5" s="254" t="s">
        <v>450</v>
      </c>
      <c r="M5" s="254" t="s">
        <v>462</v>
      </c>
      <c r="N5" s="254" t="s">
        <v>462</v>
      </c>
      <c r="O5" s="254" t="s">
        <v>462</v>
      </c>
      <c r="P5" s="254">
        <v>0.188</v>
      </c>
      <c r="Q5" s="143"/>
      <c r="R5" s="143"/>
      <c r="S5" s="143"/>
      <c r="T5" s="143"/>
      <c r="U5" s="143"/>
    </row>
    <row r="6" spans="2:21" x14ac:dyDescent="0.2">
      <c r="B6" s="254" t="s">
        <v>463</v>
      </c>
      <c r="C6" s="254">
        <v>1.05</v>
      </c>
      <c r="D6" s="254" t="s">
        <v>462</v>
      </c>
      <c r="E6" s="257">
        <v>0.113</v>
      </c>
      <c r="F6" s="254">
        <v>0.154</v>
      </c>
      <c r="G6" s="254">
        <v>0.308</v>
      </c>
      <c r="H6" s="254" t="s">
        <v>462</v>
      </c>
      <c r="I6" s="254" t="s">
        <v>462</v>
      </c>
      <c r="J6" s="257" t="s">
        <v>449</v>
      </c>
      <c r="K6" s="254" t="s">
        <v>462</v>
      </c>
      <c r="L6" s="254" t="s">
        <v>450</v>
      </c>
      <c r="M6" s="254" t="s">
        <v>462</v>
      </c>
      <c r="N6" s="254" t="s">
        <v>462</v>
      </c>
      <c r="O6" s="254" t="s">
        <v>462</v>
      </c>
      <c r="P6" s="254">
        <v>0.219</v>
      </c>
      <c r="Q6" s="143"/>
      <c r="R6" s="143"/>
      <c r="S6" s="143"/>
      <c r="T6" s="143"/>
      <c r="U6" s="143"/>
    </row>
    <row r="7" spans="2:21" x14ac:dyDescent="0.2">
      <c r="B7" s="254">
        <v>1</v>
      </c>
      <c r="C7" s="254">
        <v>1.3149999999999999</v>
      </c>
      <c r="D7" s="254" t="s">
        <v>462</v>
      </c>
      <c r="E7" s="257">
        <v>0.13300000000000001</v>
      </c>
      <c r="F7" s="254">
        <v>0.17899999999999999</v>
      </c>
      <c r="G7" s="254">
        <v>0.35799999999999998</v>
      </c>
      <c r="H7" s="254" t="s">
        <v>462</v>
      </c>
      <c r="I7" s="254" t="s">
        <v>462</v>
      </c>
      <c r="J7" s="257" t="s">
        <v>449</v>
      </c>
      <c r="K7" s="254" t="s">
        <v>462</v>
      </c>
      <c r="L7" s="254" t="s">
        <v>450</v>
      </c>
      <c r="M7" s="254" t="s">
        <v>462</v>
      </c>
      <c r="N7" s="254" t="s">
        <v>462</v>
      </c>
      <c r="O7" s="254" t="s">
        <v>462</v>
      </c>
      <c r="P7" s="254">
        <v>0.25</v>
      </c>
      <c r="Q7" s="143"/>
      <c r="R7" s="143"/>
      <c r="S7" s="143"/>
      <c r="T7" s="143"/>
      <c r="U7" s="143"/>
    </row>
    <row r="8" spans="2:21" x14ac:dyDescent="0.2">
      <c r="B8" s="254" t="s">
        <v>464</v>
      </c>
      <c r="C8" s="254">
        <v>1.66</v>
      </c>
      <c r="D8" s="254" t="s">
        <v>462</v>
      </c>
      <c r="E8" s="257">
        <v>0.14000000000000001</v>
      </c>
      <c r="F8" s="254">
        <v>0.191</v>
      </c>
      <c r="G8" s="254">
        <v>0.38200000000000001</v>
      </c>
      <c r="H8" s="254" t="s">
        <v>462</v>
      </c>
      <c r="I8" s="254" t="s">
        <v>462</v>
      </c>
      <c r="J8" s="257" t="s">
        <v>449</v>
      </c>
      <c r="K8" s="254" t="s">
        <v>462</v>
      </c>
      <c r="L8" s="254" t="s">
        <v>450</v>
      </c>
      <c r="M8" s="254" t="s">
        <v>462</v>
      </c>
      <c r="N8" s="254" t="s">
        <v>462</v>
      </c>
      <c r="O8" s="254" t="s">
        <v>462</v>
      </c>
      <c r="P8" s="254">
        <v>0.25</v>
      </c>
      <c r="Q8" s="143"/>
      <c r="R8" s="143"/>
      <c r="S8" s="143"/>
      <c r="T8" s="143"/>
      <c r="U8" s="143"/>
    </row>
    <row r="9" spans="2:21" x14ac:dyDescent="0.2">
      <c r="B9" s="254" t="s">
        <v>465</v>
      </c>
      <c r="C9" s="254">
        <v>1.9</v>
      </c>
      <c r="D9" s="254" t="s">
        <v>462</v>
      </c>
      <c r="E9" s="257">
        <v>0.14499999999999999</v>
      </c>
      <c r="F9" s="254">
        <v>0.2</v>
      </c>
      <c r="G9" s="254">
        <v>0.4</v>
      </c>
      <c r="H9" s="254" t="s">
        <v>462</v>
      </c>
      <c r="I9" s="254" t="s">
        <v>462</v>
      </c>
      <c r="J9" s="257" t="s">
        <v>449</v>
      </c>
      <c r="K9" s="254" t="s">
        <v>462</v>
      </c>
      <c r="L9" s="254" t="s">
        <v>450</v>
      </c>
      <c r="M9" s="254" t="s">
        <v>462</v>
      </c>
      <c r="N9" s="254" t="s">
        <v>462</v>
      </c>
      <c r="O9" s="254" t="s">
        <v>462</v>
      </c>
      <c r="P9" s="254">
        <v>0.28100000000000003</v>
      </c>
      <c r="Q9" s="143"/>
      <c r="R9" s="143"/>
      <c r="S9" s="143"/>
      <c r="T9" s="143"/>
      <c r="U9" s="143"/>
    </row>
    <row r="10" spans="2:21" x14ac:dyDescent="0.2">
      <c r="B10" s="254">
        <v>2</v>
      </c>
      <c r="C10" s="254">
        <v>2.375</v>
      </c>
      <c r="D10" s="254" t="s">
        <v>462</v>
      </c>
      <c r="E10" s="257">
        <v>0.154</v>
      </c>
      <c r="F10" s="254">
        <v>0.218</v>
      </c>
      <c r="G10" s="254">
        <v>0.438</v>
      </c>
      <c r="H10" s="254" t="s">
        <v>462</v>
      </c>
      <c r="I10" s="254" t="s">
        <v>462</v>
      </c>
      <c r="J10" s="257" t="s">
        <v>449</v>
      </c>
      <c r="K10" s="254" t="s">
        <v>462</v>
      </c>
      <c r="L10" s="254" t="s">
        <v>450</v>
      </c>
      <c r="M10" s="254" t="s">
        <v>462</v>
      </c>
      <c r="N10" s="254" t="s">
        <v>462</v>
      </c>
      <c r="O10" s="254" t="s">
        <v>462</v>
      </c>
      <c r="P10" s="254">
        <v>0.34399999999999997</v>
      </c>
      <c r="Q10" s="143"/>
      <c r="R10" s="143"/>
      <c r="S10" s="143"/>
      <c r="T10" s="143"/>
      <c r="U10" s="143"/>
    </row>
    <row r="11" spans="2:21" x14ac:dyDescent="0.2">
      <c r="B11" s="254" t="s">
        <v>466</v>
      </c>
      <c r="C11" s="254">
        <v>2.875</v>
      </c>
      <c r="D11" s="254" t="s">
        <v>462</v>
      </c>
      <c r="E11" s="257">
        <v>0.20300000000000001</v>
      </c>
      <c r="F11" s="254">
        <v>0.27600000000000002</v>
      </c>
      <c r="G11" s="254">
        <v>0.55200000000000005</v>
      </c>
      <c r="H11" s="254" t="s">
        <v>462</v>
      </c>
      <c r="I11" s="254" t="s">
        <v>462</v>
      </c>
      <c r="J11" s="257" t="s">
        <v>449</v>
      </c>
      <c r="K11" s="254" t="s">
        <v>462</v>
      </c>
      <c r="L11" s="254" t="s">
        <v>450</v>
      </c>
      <c r="M11" s="254" t="s">
        <v>462</v>
      </c>
      <c r="N11" s="254" t="s">
        <v>462</v>
      </c>
      <c r="O11" s="254" t="s">
        <v>462</v>
      </c>
      <c r="P11" s="254">
        <v>0.375</v>
      </c>
      <c r="Q11" s="143"/>
      <c r="R11" s="143"/>
      <c r="S11" s="143"/>
      <c r="T11" s="143"/>
      <c r="U11" s="143"/>
    </row>
    <row r="12" spans="2:21" x14ac:dyDescent="0.2">
      <c r="B12" s="254">
        <v>3</v>
      </c>
      <c r="C12" s="254">
        <v>3.5</v>
      </c>
      <c r="D12" s="254" t="s">
        <v>462</v>
      </c>
      <c r="E12" s="257">
        <v>0.216</v>
      </c>
      <c r="F12" s="254">
        <v>0.3</v>
      </c>
      <c r="G12" s="254">
        <v>0.6</v>
      </c>
      <c r="H12" s="254" t="s">
        <v>462</v>
      </c>
      <c r="I12" s="254" t="s">
        <v>462</v>
      </c>
      <c r="J12" s="257" t="s">
        <v>449</v>
      </c>
      <c r="K12" s="254" t="s">
        <v>462</v>
      </c>
      <c r="L12" s="254" t="s">
        <v>450</v>
      </c>
      <c r="M12" s="254" t="s">
        <v>462</v>
      </c>
      <c r="N12" s="254" t="s">
        <v>462</v>
      </c>
      <c r="O12" s="254" t="s">
        <v>462</v>
      </c>
      <c r="P12" s="254">
        <v>0.438</v>
      </c>
      <c r="Q12" s="143"/>
      <c r="R12" s="143"/>
      <c r="S12" s="143"/>
      <c r="T12" s="143"/>
      <c r="U12" s="143"/>
    </row>
    <row r="13" spans="2:21" x14ac:dyDescent="0.2">
      <c r="B13" s="254" t="s">
        <v>467</v>
      </c>
      <c r="C13" s="254">
        <v>4</v>
      </c>
      <c r="D13" s="254" t="s">
        <v>462</v>
      </c>
      <c r="E13" s="257">
        <v>0.22600000000000001</v>
      </c>
      <c r="F13" s="254">
        <v>0.318</v>
      </c>
      <c r="G13" s="254">
        <v>0.63600000000000001</v>
      </c>
      <c r="H13" s="254" t="s">
        <v>462</v>
      </c>
      <c r="I13" s="254" t="s">
        <v>462</v>
      </c>
      <c r="J13" s="257" t="s">
        <v>449</v>
      </c>
      <c r="K13" s="254" t="s">
        <v>462</v>
      </c>
      <c r="L13" s="254" t="s">
        <v>450</v>
      </c>
      <c r="M13" s="254" t="s">
        <v>462</v>
      </c>
      <c r="N13" s="254" t="s">
        <v>462</v>
      </c>
      <c r="O13" s="254" t="s">
        <v>462</v>
      </c>
      <c r="P13" s="254" t="s">
        <v>462</v>
      </c>
      <c r="Q13" s="143"/>
      <c r="R13" s="143"/>
      <c r="S13" s="143"/>
      <c r="T13" s="143"/>
      <c r="U13" s="143"/>
    </row>
    <row r="14" spans="2:21" x14ac:dyDescent="0.2">
      <c r="B14" s="254">
        <v>4</v>
      </c>
      <c r="C14" s="254">
        <v>4.5</v>
      </c>
      <c r="D14" s="254">
        <v>0.188</v>
      </c>
      <c r="E14" s="257">
        <v>0.23699999999999999</v>
      </c>
      <c r="F14" s="254">
        <v>0.33700000000000002</v>
      </c>
      <c r="G14" s="254">
        <v>0.67400000000000004</v>
      </c>
      <c r="H14" s="254" t="s">
        <v>462</v>
      </c>
      <c r="I14" s="254" t="s">
        <v>462</v>
      </c>
      <c r="J14" s="257" t="s">
        <v>449</v>
      </c>
      <c r="K14" s="254" t="s">
        <v>462</v>
      </c>
      <c r="L14" s="254" t="s">
        <v>450</v>
      </c>
      <c r="M14" s="254" t="s">
        <v>462</v>
      </c>
      <c r="N14" s="254">
        <v>0.438</v>
      </c>
      <c r="O14" s="254" t="s">
        <v>462</v>
      </c>
      <c r="P14" s="254">
        <v>0.53100000000000003</v>
      </c>
      <c r="Q14" s="143"/>
      <c r="R14" s="143"/>
      <c r="S14" s="143"/>
      <c r="T14" s="143"/>
      <c r="U14" s="143"/>
    </row>
    <row r="15" spans="2:21" x14ac:dyDescent="0.2">
      <c r="B15" s="254">
        <v>5</v>
      </c>
      <c r="C15" s="254">
        <v>5.5620000000000003</v>
      </c>
      <c r="D15" s="254" t="s">
        <v>462</v>
      </c>
      <c r="E15" s="257">
        <v>0.25800000000000001</v>
      </c>
      <c r="F15" s="254">
        <v>0.375</v>
      </c>
      <c r="G15" s="254">
        <v>0.75</v>
      </c>
      <c r="H15" s="254" t="s">
        <v>462</v>
      </c>
      <c r="I15" s="254" t="s">
        <v>462</v>
      </c>
      <c r="J15" s="257" t="s">
        <v>449</v>
      </c>
      <c r="K15" s="254" t="s">
        <v>462</v>
      </c>
      <c r="L15" s="254" t="s">
        <v>450</v>
      </c>
      <c r="M15" s="254" t="s">
        <v>462</v>
      </c>
      <c r="N15" s="254">
        <v>0.5</v>
      </c>
      <c r="O15" s="254" t="s">
        <v>462</v>
      </c>
      <c r="P15" s="254">
        <v>0.625</v>
      </c>
      <c r="Q15" s="143"/>
      <c r="R15" s="143"/>
      <c r="S15" s="143"/>
      <c r="T15" s="143"/>
      <c r="U15" s="143"/>
    </row>
    <row r="16" spans="2:21" x14ac:dyDescent="0.2">
      <c r="B16" s="254">
        <v>6</v>
      </c>
      <c r="C16" s="254">
        <v>6.625</v>
      </c>
      <c r="D16" s="254">
        <v>0.219</v>
      </c>
      <c r="E16" s="257">
        <v>0.28000000000000003</v>
      </c>
      <c r="F16" s="254">
        <v>0.432</v>
      </c>
      <c r="G16" s="254">
        <v>0.86399999999999999</v>
      </c>
      <c r="H16" s="254" t="s">
        <v>462</v>
      </c>
      <c r="I16" s="254" t="s">
        <v>462</v>
      </c>
      <c r="J16" s="257" t="s">
        <v>449</v>
      </c>
      <c r="K16" s="254" t="s">
        <v>462</v>
      </c>
      <c r="L16" s="254" t="s">
        <v>450</v>
      </c>
      <c r="M16" s="254" t="s">
        <v>462</v>
      </c>
      <c r="N16" s="254">
        <v>0.56200000000000006</v>
      </c>
      <c r="O16" s="254" t="s">
        <v>462</v>
      </c>
      <c r="P16" s="254">
        <v>0.71899999999999997</v>
      </c>
      <c r="Q16" s="143"/>
      <c r="R16" s="143"/>
      <c r="S16" s="143"/>
      <c r="T16" s="143"/>
      <c r="U16" s="143"/>
    </row>
    <row r="17" spans="2:21" x14ac:dyDescent="0.2">
      <c r="B17" s="254">
        <v>8</v>
      </c>
      <c r="C17" s="254">
        <v>8.625</v>
      </c>
      <c r="D17" s="254">
        <v>0.219</v>
      </c>
      <c r="E17" s="257">
        <v>0.32200000000000001</v>
      </c>
      <c r="F17" s="254">
        <v>0.5</v>
      </c>
      <c r="G17" s="254">
        <v>0.875</v>
      </c>
      <c r="H17" s="254">
        <v>0.25</v>
      </c>
      <c r="I17" s="254">
        <v>0.27700000000000002</v>
      </c>
      <c r="J17" s="257" t="s">
        <v>449</v>
      </c>
      <c r="K17" s="254">
        <v>0.40600000000000003</v>
      </c>
      <c r="L17" s="254" t="s">
        <v>450</v>
      </c>
      <c r="M17" s="254">
        <v>0.59399999999999997</v>
      </c>
      <c r="N17" s="254">
        <v>0.71899999999999997</v>
      </c>
      <c r="O17" s="254">
        <v>0.81200000000000006</v>
      </c>
      <c r="P17" s="254">
        <v>0.90600000000000003</v>
      </c>
      <c r="Q17" s="143"/>
      <c r="R17" s="143"/>
      <c r="S17" s="143"/>
      <c r="T17" s="143"/>
      <c r="U17" s="143"/>
    </row>
    <row r="18" spans="2:21" x14ac:dyDescent="0.2">
      <c r="B18" s="254">
        <v>10</v>
      </c>
      <c r="C18" s="254">
        <v>10.75</v>
      </c>
      <c r="D18" s="254">
        <v>0.219</v>
      </c>
      <c r="E18" s="257">
        <v>0.36499999999999999</v>
      </c>
      <c r="F18" s="254">
        <v>0.5</v>
      </c>
      <c r="G18" s="254">
        <v>1</v>
      </c>
      <c r="H18" s="254">
        <v>0.25</v>
      </c>
      <c r="I18" s="254">
        <v>0.307</v>
      </c>
      <c r="J18" s="257" t="s">
        <v>449</v>
      </c>
      <c r="K18" s="254" t="s">
        <v>450</v>
      </c>
      <c r="L18" s="254">
        <v>0.59399999999999997</v>
      </c>
      <c r="M18" s="254">
        <v>0.71899999999999997</v>
      </c>
      <c r="N18" s="254">
        <v>0.84399999999999997</v>
      </c>
      <c r="O18" s="254">
        <v>1</v>
      </c>
      <c r="P18" s="254">
        <v>1.125</v>
      </c>
      <c r="Q18" s="143"/>
      <c r="R18" s="143"/>
      <c r="S18" s="143"/>
      <c r="T18" s="143"/>
      <c r="U18" s="143"/>
    </row>
    <row r="19" spans="2:21" x14ac:dyDescent="0.2">
      <c r="B19" s="254">
        <v>12</v>
      </c>
      <c r="C19" s="254">
        <v>12.75</v>
      </c>
      <c r="D19" s="254">
        <v>0.25</v>
      </c>
      <c r="E19" s="257">
        <v>0.375</v>
      </c>
      <c r="F19" s="254">
        <v>0.5</v>
      </c>
      <c r="G19" s="254">
        <v>1</v>
      </c>
      <c r="H19" s="254">
        <v>0.25</v>
      </c>
      <c r="I19" s="254">
        <v>0.33</v>
      </c>
      <c r="J19" s="257">
        <v>0.40600000000000003</v>
      </c>
      <c r="K19" s="254">
        <v>0.56200000000000006</v>
      </c>
      <c r="L19" s="254">
        <v>0.68799999999999994</v>
      </c>
      <c r="M19" s="254">
        <v>0.84399999999999997</v>
      </c>
      <c r="N19" s="254">
        <v>1</v>
      </c>
      <c r="O19" s="254">
        <v>1.125</v>
      </c>
      <c r="P19" s="254">
        <v>1.3120000000000001</v>
      </c>
      <c r="Q19" s="143"/>
      <c r="R19" s="143"/>
      <c r="S19" s="143"/>
      <c r="T19" s="143"/>
      <c r="U19" s="143"/>
    </row>
    <row r="20" spans="2:21" x14ac:dyDescent="0.2">
      <c r="B20" s="254">
        <v>14</v>
      </c>
      <c r="C20" s="254">
        <v>14</v>
      </c>
      <c r="D20" s="254">
        <v>0.25</v>
      </c>
      <c r="E20" s="257">
        <v>0.375</v>
      </c>
      <c r="F20" s="254">
        <v>0.5</v>
      </c>
      <c r="G20" s="254" t="s">
        <v>462</v>
      </c>
      <c r="H20" s="254">
        <v>0.312</v>
      </c>
      <c r="I20" s="254" t="s">
        <v>449</v>
      </c>
      <c r="J20" s="257">
        <v>0.438</v>
      </c>
      <c r="K20" s="254">
        <v>0.59399999999999997</v>
      </c>
      <c r="L20" s="254">
        <v>0.75</v>
      </c>
      <c r="M20" s="254">
        <v>0.93799999999999994</v>
      </c>
      <c r="N20" s="254">
        <v>1.0940000000000001</v>
      </c>
      <c r="O20" s="254">
        <v>1.25</v>
      </c>
      <c r="P20" s="254">
        <v>1.4059999999999999</v>
      </c>
      <c r="Q20" s="143"/>
      <c r="R20" s="143"/>
      <c r="S20" s="143"/>
      <c r="T20" s="143"/>
      <c r="U20" s="143"/>
    </row>
    <row r="21" spans="2:21" x14ac:dyDescent="0.2">
      <c r="B21" s="254">
        <v>16</v>
      </c>
      <c r="C21" s="254">
        <v>16</v>
      </c>
      <c r="D21" s="254">
        <v>0.25</v>
      </c>
      <c r="E21" s="257">
        <v>0.375</v>
      </c>
      <c r="F21" s="254">
        <v>0.5</v>
      </c>
      <c r="G21" s="254" t="s">
        <v>462</v>
      </c>
      <c r="H21" s="254">
        <v>0.312</v>
      </c>
      <c r="I21" s="254" t="s">
        <v>449</v>
      </c>
      <c r="J21" s="257" t="s">
        <v>450</v>
      </c>
      <c r="K21" s="254">
        <v>0.65600000000000003</v>
      </c>
      <c r="L21" s="254">
        <v>0.84399999999999997</v>
      </c>
      <c r="M21" s="254">
        <v>1.0309999999999999</v>
      </c>
      <c r="N21" s="254">
        <v>1.2190000000000001</v>
      </c>
      <c r="O21" s="254">
        <v>1.4379999999999999</v>
      </c>
      <c r="P21" s="254">
        <v>1.5940000000000001</v>
      </c>
      <c r="Q21" s="143"/>
      <c r="R21" s="143"/>
      <c r="S21" s="143"/>
      <c r="T21" s="143"/>
      <c r="U21" s="143"/>
    </row>
    <row r="22" spans="2:21" x14ac:dyDescent="0.2">
      <c r="B22" s="254">
        <v>18</v>
      </c>
      <c r="C22" s="254">
        <v>18</v>
      </c>
      <c r="D22" s="254">
        <v>0.25</v>
      </c>
      <c r="E22" s="257">
        <v>0.375</v>
      </c>
      <c r="F22" s="254">
        <v>0.5</v>
      </c>
      <c r="G22" s="254" t="s">
        <v>462</v>
      </c>
      <c r="H22" s="254">
        <v>0.312</v>
      </c>
      <c r="I22" s="254">
        <v>0.438</v>
      </c>
      <c r="J22" s="257">
        <v>0.56200000000000006</v>
      </c>
      <c r="K22" s="254">
        <v>0.75</v>
      </c>
      <c r="L22" s="254">
        <v>0.93799999999999994</v>
      </c>
      <c r="M22" s="254">
        <v>1.1559999999999999</v>
      </c>
      <c r="N22" s="254">
        <v>1.375</v>
      </c>
      <c r="O22" s="254">
        <v>1.5620000000000001</v>
      </c>
      <c r="P22" s="254">
        <v>1.7809999999999999</v>
      </c>
      <c r="Q22" s="143"/>
      <c r="R22" s="143"/>
      <c r="S22" s="143"/>
      <c r="T22" s="143"/>
      <c r="U22" s="143"/>
    </row>
    <row r="23" spans="2:21" x14ac:dyDescent="0.2">
      <c r="B23" s="254">
        <v>20</v>
      </c>
      <c r="C23" s="254">
        <v>20</v>
      </c>
      <c r="D23" s="254">
        <v>0.25</v>
      </c>
      <c r="E23" s="257">
        <v>0.375</v>
      </c>
      <c r="F23" s="254">
        <v>0.5</v>
      </c>
      <c r="G23" s="254" t="s">
        <v>462</v>
      </c>
      <c r="H23" s="254" t="s">
        <v>449</v>
      </c>
      <c r="I23" s="254" t="s">
        <v>450</v>
      </c>
      <c r="J23" s="257">
        <v>0.59399999999999997</v>
      </c>
      <c r="K23" s="254">
        <v>0.81200000000000006</v>
      </c>
      <c r="L23" s="254">
        <v>1.0309999999999999</v>
      </c>
      <c r="M23" s="254">
        <v>1.2809999999999999</v>
      </c>
      <c r="N23" s="254">
        <v>1.5</v>
      </c>
      <c r="O23" s="254">
        <v>1.75</v>
      </c>
      <c r="P23" s="254">
        <v>1.9690000000000001</v>
      </c>
      <c r="Q23" s="143"/>
      <c r="R23" s="143"/>
      <c r="S23" s="143"/>
      <c r="T23" s="143"/>
      <c r="U23" s="143"/>
    </row>
    <row r="24" spans="2:21" x14ac:dyDescent="0.2">
      <c r="B24" s="254">
        <v>22</v>
      </c>
      <c r="C24" s="254">
        <v>22</v>
      </c>
      <c r="D24" s="254" t="s">
        <v>462</v>
      </c>
      <c r="E24" s="257">
        <v>0.375</v>
      </c>
      <c r="F24" s="254">
        <v>0.5</v>
      </c>
      <c r="G24" s="254" t="s">
        <v>462</v>
      </c>
      <c r="H24" s="254" t="s">
        <v>449</v>
      </c>
      <c r="I24" s="254" t="s">
        <v>450</v>
      </c>
      <c r="J24" s="257" t="s">
        <v>462</v>
      </c>
      <c r="K24" s="254">
        <v>0.875</v>
      </c>
      <c r="L24" s="254">
        <v>1.125</v>
      </c>
      <c r="M24" s="254">
        <v>1.375</v>
      </c>
      <c r="N24" s="254">
        <v>1.625</v>
      </c>
      <c r="O24" s="254">
        <v>1.875</v>
      </c>
      <c r="P24" s="254">
        <v>2.125</v>
      </c>
      <c r="Q24" s="143"/>
      <c r="R24" s="143"/>
      <c r="S24" s="143"/>
      <c r="T24" s="143"/>
      <c r="U24" s="143"/>
    </row>
    <row r="25" spans="2:21" x14ac:dyDescent="0.2">
      <c r="B25" s="254">
        <v>24</v>
      </c>
      <c r="C25" s="254">
        <v>24</v>
      </c>
      <c r="D25" s="254">
        <v>0.25</v>
      </c>
      <c r="E25" s="257">
        <v>0.375</v>
      </c>
      <c r="F25" s="254">
        <v>0.5</v>
      </c>
      <c r="G25" s="254" t="s">
        <v>462</v>
      </c>
      <c r="H25" s="254" t="s">
        <v>449</v>
      </c>
      <c r="I25" s="254">
        <v>0.56200000000000006</v>
      </c>
      <c r="J25" s="257">
        <v>0.68799999999999994</v>
      </c>
      <c r="K25" s="254">
        <v>0.96899999999999997</v>
      </c>
      <c r="L25" s="254">
        <v>1.2190000000000001</v>
      </c>
      <c r="M25" s="254">
        <v>1.5309999999999999</v>
      </c>
      <c r="N25" s="254">
        <v>1.8120000000000001</v>
      </c>
      <c r="O25" s="254">
        <v>2.0619999999999998</v>
      </c>
      <c r="P25" s="254">
        <v>2.3439999999999999</v>
      </c>
      <c r="Q25" s="143"/>
      <c r="R25" s="143"/>
      <c r="S25" s="143"/>
      <c r="T25" s="143"/>
      <c r="U25" s="143"/>
    </row>
    <row r="26" spans="2:21" x14ac:dyDescent="0.2">
      <c r="B26" s="254">
        <v>26</v>
      </c>
      <c r="C26" s="254">
        <v>26</v>
      </c>
      <c r="D26" s="254" t="s">
        <v>462</v>
      </c>
      <c r="E26" s="257">
        <v>0.375</v>
      </c>
      <c r="F26" s="254">
        <v>0.5</v>
      </c>
      <c r="G26" s="254" t="s">
        <v>462</v>
      </c>
      <c r="H26" s="254" t="s">
        <v>450</v>
      </c>
      <c r="I26" s="254" t="s">
        <v>462</v>
      </c>
      <c r="J26" s="257" t="s">
        <v>462</v>
      </c>
      <c r="K26" s="254" t="s">
        <v>462</v>
      </c>
      <c r="L26" s="254" t="s">
        <v>462</v>
      </c>
      <c r="M26" s="254" t="s">
        <v>462</v>
      </c>
      <c r="N26" s="254" t="s">
        <v>462</v>
      </c>
      <c r="O26" s="254" t="s">
        <v>462</v>
      </c>
      <c r="P26" s="254" t="s">
        <v>462</v>
      </c>
      <c r="Q26" s="143"/>
      <c r="R26" s="143"/>
      <c r="S26" s="143"/>
      <c r="T26" s="143"/>
      <c r="U26" s="143"/>
    </row>
    <row r="27" spans="2:21" x14ac:dyDescent="0.2">
      <c r="B27" s="254">
        <v>28</v>
      </c>
      <c r="C27" s="254">
        <v>28</v>
      </c>
      <c r="D27" s="254" t="s">
        <v>462</v>
      </c>
      <c r="E27" s="257">
        <v>0.375</v>
      </c>
      <c r="F27" s="254">
        <v>0.5</v>
      </c>
      <c r="G27" s="254" t="s">
        <v>462</v>
      </c>
      <c r="H27" s="254" t="s">
        <v>450</v>
      </c>
      <c r="I27" s="254">
        <v>0.625</v>
      </c>
      <c r="J27" s="257" t="s">
        <v>462</v>
      </c>
      <c r="K27" s="254" t="s">
        <v>462</v>
      </c>
      <c r="L27" s="254" t="s">
        <v>462</v>
      </c>
      <c r="M27" s="254" t="s">
        <v>462</v>
      </c>
      <c r="N27" s="254" t="s">
        <v>462</v>
      </c>
      <c r="O27" s="254" t="s">
        <v>462</v>
      </c>
      <c r="P27" s="254" t="s">
        <v>462</v>
      </c>
      <c r="Q27" s="143"/>
      <c r="R27" s="143"/>
      <c r="S27" s="143"/>
      <c r="T27" s="143"/>
      <c r="U27" s="143"/>
    </row>
    <row r="28" spans="2:21" x14ac:dyDescent="0.2">
      <c r="B28" s="254">
        <v>30</v>
      </c>
      <c r="C28" s="254">
        <v>30</v>
      </c>
      <c r="D28" s="254" t="s">
        <v>462</v>
      </c>
      <c r="E28" s="257">
        <v>0.375</v>
      </c>
      <c r="F28" s="254">
        <v>0.5</v>
      </c>
      <c r="G28" s="254" t="s">
        <v>462</v>
      </c>
      <c r="H28" s="254" t="s">
        <v>450</v>
      </c>
      <c r="I28" s="254">
        <v>0.625</v>
      </c>
      <c r="J28" s="257" t="s">
        <v>462</v>
      </c>
      <c r="K28" s="254" t="s">
        <v>462</v>
      </c>
      <c r="L28" s="254" t="s">
        <v>462</v>
      </c>
      <c r="M28" s="254" t="s">
        <v>462</v>
      </c>
      <c r="N28" s="254" t="s">
        <v>462</v>
      </c>
      <c r="O28" s="254" t="s">
        <v>462</v>
      </c>
      <c r="P28" s="254" t="s">
        <v>462</v>
      </c>
      <c r="Q28" s="143"/>
      <c r="R28" s="143"/>
      <c r="S28" s="143"/>
      <c r="T28" s="143"/>
      <c r="U28" s="143"/>
    </row>
    <row r="29" spans="2:21" x14ac:dyDescent="0.2">
      <c r="B29" s="254">
        <v>32</v>
      </c>
      <c r="C29" s="254">
        <v>32</v>
      </c>
      <c r="D29" s="254" t="s">
        <v>462</v>
      </c>
      <c r="E29" s="257">
        <v>0.375</v>
      </c>
      <c r="F29" s="254">
        <v>0.5</v>
      </c>
      <c r="G29" s="254" t="s">
        <v>462</v>
      </c>
      <c r="H29" s="254" t="s">
        <v>450</v>
      </c>
      <c r="I29" s="254">
        <v>0.625</v>
      </c>
      <c r="J29" s="257">
        <v>0.68799999999999994</v>
      </c>
      <c r="K29" s="254" t="s">
        <v>462</v>
      </c>
      <c r="L29" s="254" t="s">
        <v>462</v>
      </c>
      <c r="M29" s="254" t="s">
        <v>462</v>
      </c>
      <c r="N29" s="254" t="s">
        <v>462</v>
      </c>
      <c r="O29" s="254" t="s">
        <v>462</v>
      </c>
      <c r="P29" s="254" t="s">
        <v>462</v>
      </c>
      <c r="Q29" s="143"/>
      <c r="R29" s="143"/>
      <c r="S29" s="143"/>
      <c r="T29" s="143"/>
      <c r="U29" s="143"/>
    </row>
    <row r="30" spans="2:21" x14ac:dyDescent="0.2">
      <c r="B30" s="254">
        <v>34</v>
      </c>
      <c r="C30" s="254">
        <v>34</v>
      </c>
      <c r="D30" s="254" t="s">
        <v>462</v>
      </c>
      <c r="E30" s="257">
        <v>0.375</v>
      </c>
      <c r="F30" s="254">
        <v>0.5</v>
      </c>
      <c r="G30" s="254" t="s">
        <v>462</v>
      </c>
      <c r="H30" s="254" t="s">
        <v>450</v>
      </c>
      <c r="I30" s="254">
        <v>0.625</v>
      </c>
      <c r="J30" s="257">
        <v>0.68799999999999994</v>
      </c>
      <c r="K30" s="254" t="s">
        <v>462</v>
      </c>
      <c r="L30" s="254" t="s">
        <v>462</v>
      </c>
      <c r="M30" s="254" t="s">
        <v>462</v>
      </c>
      <c r="N30" s="254" t="s">
        <v>462</v>
      </c>
      <c r="O30" s="254" t="s">
        <v>462</v>
      </c>
      <c r="P30" s="254" t="s">
        <v>462</v>
      </c>
      <c r="Q30" s="143"/>
      <c r="R30" s="143"/>
      <c r="S30" s="143"/>
      <c r="T30" s="143"/>
      <c r="U30" s="143"/>
    </row>
    <row r="31" spans="2:21" x14ac:dyDescent="0.2">
      <c r="B31" s="254">
        <v>36</v>
      </c>
      <c r="C31" s="254">
        <v>36</v>
      </c>
      <c r="D31" s="254" t="s">
        <v>462</v>
      </c>
      <c r="E31" s="257">
        <v>0.375</v>
      </c>
      <c r="F31" s="254">
        <v>0.5</v>
      </c>
      <c r="G31" s="254" t="s">
        <v>462</v>
      </c>
      <c r="H31" s="254" t="s">
        <v>450</v>
      </c>
      <c r="I31" s="254">
        <v>0.625</v>
      </c>
      <c r="J31" s="257">
        <v>0.75</v>
      </c>
      <c r="K31" s="254" t="s">
        <v>462</v>
      </c>
      <c r="L31" s="254" t="s">
        <v>462</v>
      </c>
      <c r="M31" s="254" t="s">
        <v>462</v>
      </c>
      <c r="N31" s="254" t="s">
        <v>462</v>
      </c>
      <c r="O31" s="254" t="s">
        <v>462</v>
      </c>
      <c r="P31" s="254" t="s">
        <v>462</v>
      </c>
      <c r="Q31" s="143"/>
      <c r="R31" s="143"/>
      <c r="S31" s="143"/>
      <c r="T31" s="143"/>
      <c r="U31" s="143"/>
    </row>
    <row r="32" spans="2:21" x14ac:dyDescent="0.2">
      <c r="B32" s="254">
        <v>38</v>
      </c>
      <c r="C32" s="254">
        <v>38</v>
      </c>
      <c r="D32" s="254" t="s">
        <v>462</v>
      </c>
      <c r="E32" s="257">
        <v>0.375</v>
      </c>
      <c r="F32" s="254">
        <v>0.5</v>
      </c>
      <c r="G32" s="254" t="s">
        <v>462</v>
      </c>
      <c r="H32" s="254" t="s">
        <v>462</v>
      </c>
      <c r="I32" s="254" t="s">
        <v>462</v>
      </c>
      <c r="J32" s="257" t="s">
        <v>462</v>
      </c>
      <c r="K32" s="254" t="s">
        <v>462</v>
      </c>
      <c r="L32" s="254" t="s">
        <v>462</v>
      </c>
      <c r="M32" s="254" t="s">
        <v>462</v>
      </c>
      <c r="N32" s="254" t="s">
        <v>462</v>
      </c>
      <c r="O32" s="254" t="s">
        <v>462</v>
      </c>
      <c r="P32" s="254" t="s">
        <v>462</v>
      </c>
      <c r="Q32" s="143"/>
      <c r="R32" s="143"/>
      <c r="S32" s="143"/>
      <c r="T32" s="143"/>
      <c r="U32" s="143"/>
    </row>
    <row r="33" spans="2:21" x14ac:dyDescent="0.2">
      <c r="B33" s="254">
        <v>40</v>
      </c>
      <c r="C33" s="254">
        <v>40</v>
      </c>
      <c r="D33" s="254" t="s">
        <v>462</v>
      </c>
      <c r="E33" s="257">
        <v>0.375</v>
      </c>
      <c r="F33" s="254">
        <v>0.5</v>
      </c>
      <c r="G33" s="254" t="s">
        <v>462</v>
      </c>
      <c r="H33" s="254" t="s">
        <v>462</v>
      </c>
      <c r="I33" s="254" t="s">
        <v>462</v>
      </c>
      <c r="J33" s="257" t="s">
        <v>462</v>
      </c>
      <c r="K33" s="254" t="s">
        <v>462</v>
      </c>
      <c r="L33" s="254" t="s">
        <v>462</v>
      </c>
      <c r="M33" s="254" t="s">
        <v>462</v>
      </c>
      <c r="N33" s="254" t="s">
        <v>462</v>
      </c>
      <c r="O33" s="254" t="s">
        <v>462</v>
      </c>
      <c r="P33" s="254" t="s">
        <v>462</v>
      </c>
      <c r="Q33" s="143"/>
      <c r="R33" s="143"/>
      <c r="S33" s="143"/>
      <c r="T33" s="143"/>
      <c r="U33" s="143"/>
    </row>
    <row r="34" spans="2:21" x14ac:dyDescent="0.2">
      <c r="B34" s="254">
        <v>42</v>
      </c>
      <c r="C34" s="254">
        <v>42</v>
      </c>
      <c r="D34" s="254" t="s">
        <v>462</v>
      </c>
      <c r="E34" s="257">
        <v>0.375</v>
      </c>
      <c r="F34" s="254">
        <v>0.5</v>
      </c>
      <c r="G34" s="254" t="s">
        <v>462</v>
      </c>
      <c r="H34" s="254" t="s">
        <v>462</v>
      </c>
      <c r="I34" s="254" t="s">
        <v>462</v>
      </c>
      <c r="J34" s="257" t="s">
        <v>462</v>
      </c>
      <c r="K34" s="254" t="s">
        <v>462</v>
      </c>
      <c r="L34" s="254" t="s">
        <v>462</v>
      </c>
      <c r="M34" s="254" t="s">
        <v>462</v>
      </c>
      <c r="N34" s="254" t="s">
        <v>462</v>
      </c>
      <c r="O34" s="254" t="s">
        <v>462</v>
      </c>
      <c r="P34" s="254" t="s">
        <v>462</v>
      </c>
      <c r="Q34" s="143"/>
      <c r="R34" s="143"/>
      <c r="S34" s="143"/>
      <c r="T34" s="143"/>
      <c r="U34" s="143"/>
    </row>
    <row r="35" spans="2:21" x14ac:dyDescent="0.2">
      <c r="B35" s="254">
        <v>44</v>
      </c>
      <c r="C35" s="254">
        <v>44</v>
      </c>
      <c r="D35" s="254" t="s">
        <v>462</v>
      </c>
      <c r="E35" s="257">
        <v>0.375</v>
      </c>
      <c r="F35" s="254">
        <v>0.5</v>
      </c>
      <c r="G35" s="254" t="s">
        <v>462</v>
      </c>
      <c r="H35" s="254" t="s">
        <v>462</v>
      </c>
      <c r="I35" s="254" t="s">
        <v>462</v>
      </c>
      <c r="J35" s="257" t="s">
        <v>462</v>
      </c>
      <c r="K35" s="254" t="s">
        <v>462</v>
      </c>
      <c r="L35" s="254" t="s">
        <v>462</v>
      </c>
      <c r="M35" s="254" t="s">
        <v>462</v>
      </c>
      <c r="N35" s="254" t="s">
        <v>462</v>
      </c>
      <c r="O35" s="254" t="s">
        <v>462</v>
      </c>
      <c r="P35" s="254" t="s">
        <v>462</v>
      </c>
      <c r="Q35" s="143"/>
      <c r="R35" s="143"/>
      <c r="S35" s="143"/>
      <c r="T35" s="143"/>
      <c r="U35" s="143"/>
    </row>
    <row r="36" spans="2:21" x14ac:dyDescent="0.2">
      <c r="B36" s="254">
        <v>46</v>
      </c>
      <c r="C36" s="254">
        <v>46</v>
      </c>
      <c r="D36" s="254" t="s">
        <v>462</v>
      </c>
      <c r="E36" s="257">
        <v>0.375</v>
      </c>
      <c r="F36" s="254">
        <v>0.5</v>
      </c>
      <c r="G36" s="254" t="s">
        <v>462</v>
      </c>
      <c r="H36" s="254" t="s">
        <v>462</v>
      </c>
      <c r="I36" s="254" t="s">
        <v>462</v>
      </c>
      <c r="J36" s="257" t="s">
        <v>462</v>
      </c>
      <c r="K36" s="254" t="s">
        <v>462</v>
      </c>
      <c r="L36" s="254" t="s">
        <v>462</v>
      </c>
      <c r="M36" s="254" t="s">
        <v>462</v>
      </c>
      <c r="N36" s="254" t="s">
        <v>462</v>
      </c>
      <c r="O36" s="254" t="s">
        <v>462</v>
      </c>
      <c r="P36" s="254" t="s">
        <v>462</v>
      </c>
      <c r="Q36" s="143"/>
      <c r="R36" s="143"/>
      <c r="S36" s="143"/>
      <c r="T36" s="143"/>
      <c r="U36" s="143"/>
    </row>
    <row r="37" spans="2:21" x14ac:dyDescent="0.2">
      <c r="B37" s="254">
        <v>48</v>
      </c>
      <c r="C37" s="254">
        <v>48</v>
      </c>
      <c r="D37" s="254" t="s">
        <v>462</v>
      </c>
      <c r="E37" s="257">
        <v>0.375</v>
      </c>
      <c r="F37" s="254">
        <v>0.5</v>
      </c>
      <c r="G37" s="254" t="s">
        <v>462</v>
      </c>
      <c r="H37" s="254" t="s">
        <v>462</v>
      </c>
      <c r="I37" s="254" t="s">
        <v>462</v>
      </c>
      <c r="J37" s="257" t="s">
        <v>462</v>
      </c>
      <c r="K37" s="254" t="s">
        <v>462</v>
      </c>
      <c r="L37" s="254" t="s">
        <v>462</v>
      </c>
      <c r="M37" s="254" t="s">
        <v>462</v>
      </c>
      <c r="N37" s="254" t="s">
        <v>462</v>
      </c>
      <c r="O37" s="254" t="s">
        <v>462</v>
      </c>
      <c r="P37" s="254" t="s">
        <v>462</v>
      </c>
      <c r="Q37" s="143"/>
      <c r="R37" s="143"/>
      <c r="S37" s="143"/>
      <c r="T37" s="143"/>
      <c r="U37" s="143"/>
    </row>
    <row r="38" spans="2:21" x14ac:dyDescent="0.2">
      <c r="L38" s="116" t="s">
        <v>468</v>
      </c>
      <c r="Q38" s="143"/>
      <c r="R38" s="143"/>
      <c r="S38" s="143"/>
      <c r="T38" s="143"/>
      <c r="U38" s="143"/>
    </row>
    <row r="39" spans="2:21" ht="18.75" thickBot="1" x14ac:dyDescent="0.3">
      <c r="B39" s="46" t="s">
        <v>473</v>
      </c>
      <c r="D39" s="256"/>
      <c r="E39" s="269" t="s">
        <v>0</v>
      </c>
      <c r="G39" s="143"/>
      <c r="H39" s="143"/>
      <c r="I39" s="143"/>
      <c r="J39" s="143"/>
      <c r="K39" s="143"/>
      <c r="L39" s="143"/>
      <c r="M39" s="143"/>
      <c r="N39" s="143"/>
      <c r="O39" s="143"/>
      <c r="P39" s="143"/>
      <c r="Q39" s="143"/>
      <c r="R39" s="143"/>
      <c r="S39" s="143"/>
      <c r="T39" s="143"/>
      <c r="U39" s="143"/>
    </row>
    <row r="40" spans="2:21" ht="15.75" x14ac:dyDescent="0.25">
      <c r="C40" s="46"/>
      <c r="D40" s="264" t="s">
        <v>444</v>
      </c>
      <c r="E40" s="265">
        <v>6</v>
      </c>
      <c r="F40" s="46" t="s">
        <v>9</v>
      </c>
      <c r="G40" s="143"/>
      <c r="H40" s="143"/>
      <c r="I40" s="143"/>
      <c r="J40" s="143"/>
      <c r="K40" s="143"/>
      <c r="L40" s="143"/>
      <c r="M40" s="143"/>
      <c r="N40" s="143"/>
      <c r="O40" s="143"/>
      <c r="P40" s="144"/>
      <c r="Q40" s="258"/>
      <c r="R40" s="143"/>
      <c r="S40" s="143"/>
      <c r="T40" s="143"/>
      <c r="U40" s="143"/>
    </row>
    <row r="41" spans="2:21" ht="18" x14ac:dyDescent="0.25">
      <c r="C41" s="46"/>
      <c r="D41" s="264" t="s">
        <v>445</v>
      </c>
      <c r="E41" s="266" t="s">
        <v>474</v>
      </c>
      <c r="F41" s="46"/>
      <c r="G41" s="143"/>
      <c r="H41" s="143"/>
      <c r="I41" s="143"/>
      <c r="J41" s="259"/>
      <c r="K41" s="260"/>
      <c r="L41" s="261"/>
      <c r="M41" s="143"/>
      <c r="N41" s="143"/>
      <c r="O41" s="143"/>
      <c r="P41" s="144"/>
      <c r="Q41" s="258"/>
      <c r="R41" s="143"/>
      <c r="S41" s="143"/>
      <c r="T41" s="143"/>
      <c r="U41" s="143"/>
    </row>
    <row r="42" spans="2:21" ht="15.75" x14ac:dyDescent="0.25">
      <c r="C42" s="46"/>
      <c r="D42" s="264" t="s">
        <v>443</v>
      </c>
      <c r="E42" s="267">
        <v>6.625</v>
      </c>
      <c r="F42" s="46" t="s">
        <v>9</v>
      </c>
      <c r="G42" s="143"/>
      <c r="H42" s="143"/>
      <c r="I42" s="143"/>
      <c r="J42" s="262"/>
      <c r="K42" s="263"/>
      <c r="L42" s="261"/>
      <c r="M42" s="143"/>
      <c r="N42" s="143"/>
      <c r="O42" s="143"/>
      <c r="P42" s="144"/>
      <c r="Q42" s="258"/>
      <c r="R42" s="143"/>
      <c r="S42" s="143"/>
      <c r="T42" s="143"/>
      <c r="U42" s="143"/>
    </row>
    <row r="43" spans="2:21" ht="16.5" thickBot="1" x14ac:dyDescent="0.3">
      <c r="C43" s="46"/>
      <c r="D43" s="264" t="s">
        <v>442</v>
      </c>
      <c r="E43" s="268">
        <v>0.432</v>
      </c>
      <c r="F43" s="46" t="s">
        <v>9</v>
      </c>
      <c r="G43" s="143"/>
      <c r="H43" s="143"/>
      <c r="I43" s="143"/>
      <c r="J43" s="262"/>
      <c r="K43" s="263"/>
      <c r="L43" s="261"/>
      <c r="M43" s="143"/>
      <c r="N43" s="143"/>
      <c r="O43" s="143"/>
      <c r="P43" s="144"/>
      <c r="Q43" s="258"/>
      <c r="R43" s="143"/>
      <c r="S43" s="143"/>
      <c r="T43" s="143"/>
      <c r="U43" s="143"/>
    </row>
    <row r="44" spans="2:21" ht="15.75" x14ac:dyDescent="0.25">
      <c r="C44" s="46"/>
      <c r="D44" s="264"/>
      <c r="E44" s="269" t="s">
        <v>437</v>
      </c>
      <c r="F44" s="46"/>
      <c r="G44" s="143"/>
      <c r="H44" s="143"/>
      <c r="I44" s="143"/>
      <c r="J44" s="262"/>
      <c r="K44" s="263"/>
      <c r="L44" s="261"/>
      <c r="M44" s="143"/>
      <c r="N44" s="143"/>
      <c r="O44" s="143"/>
      <c r="P44" s="144"/>
      <c r="Q44" s="258"/>
      <c r="R44" s="143"/>
      <c r="S44" s="143"/>
      <c r="T44" s="143"/>
      <c r="U44" s="143"/>
    </row>
    <row r="45" spans="2:21" ht="15.75" x14ac:dyDescent="0.25">
      <c r="C45" s="46"/>
      <c r="D45" s="264" t="s">
        <v>471</v>
      </c>
      <c r="E45" s="270" t="s">
        <v>472</v>
      </c>
      <c r="F45" s="46"/>
      <c r="G45" s="143"/>
      <c r="H45" s="143"/>
      <c r="I45" s="143"/>
      <c r="J45" s="262"/>
      <c r="K45" s="263"/>
      <c r="L45" s="261"/>
      <c r="M45" s="143"/>
      <c r="N45" s="143"/>
      <c r="O45" s="143"/>
      <c r="P45" s="144"/>
      <c r="Q45" s="258"/>
      <c r="R45" s="143"/>
      <c r="S45" s="143"/>
      <c r="T45" s="143"/>
      <c r="U45" s="143"/>
    </row>
    <row r="46" spans="2:21" ht="15.75" x14ac:dyDescent="0.25">
      <c r="C46" s="46"/>
      <c r="D46" s="264"/>
      <c r="E46" s="271">
        <f>E42 -2*E43</f>
        <v>5.7610000000000001</v>
      </c>
      <c r="F46" s="46" t="s">
        <v>9</v>
      </c>
      <c r="G46" s="143"/>
      <c r="H46" s="143"/>
      <c r="I46" s="143"/>
      <c r="J46" s="262"/>
      <c r="K46" s="260"/>
      <c r="L46" s="261"/>
      <c r="M46" s="143"/>
      <c r="N46" s="143"/>
      <c r="O46" s="143"/>
      <c r="P46" s="144"/>
      <c r="Q46" s="258"/>
      <c r="R46" s="143"/>
      <c r="S46" s="143"/>
      <c r="T46" s="143"/>
      <c r="U46" s="143"/>
    </row>
    <row r="47" spans="2:21" x14ac:dyDescent="0.2">
      <c r="G47" s="143"/>
      <c r="H47" s="143"/>
      <c r="I47" s="143"/>
      <c r="J47" s="262"/>
      <c r="K47" s="263"/>
      <c r="L47" s="261"/>
      <c r="M47" s="143"/>
      <c r="N47" s="143"/>
      <c r="O47" s="143"/>
      <c r="P47" s="144"/>
      <c r="Q47" s="258"/>
      <c r="R47" s="143"/>
      <c r="S47" s="143"/>
      <c r="T47" s="143"/>
      <c r="U47" s="143"/>
    </row>
    <row r="48" spans="2:21" x14ac:dyDescent="0.2">
      <c r="G48" s="143"/>
      <c r="H48" s="143"/>
      <c r="I48" s="143"/>
      <c r="J48" s="143"/>
      <c r="K48" s="143"/>
      <c r="L48" s="143"/>
      <c r="M48" s="143"/>
      <c r="N48" s="143"/>
      <c r="O48" s="143"/>
      <c r="P48" s="143"/>
      <c r="Q48" s="143"/>
      <c r="R48" s="143"/>
      <c r="S48" s="143"/>
      <c r="T48" s="143"/>
      <c r="U48" s="143"/>
    </row>
    <row r="49" spans="2:21" ht="18" x14ac:dyDescent="0.25">
      <c r="B49" s="255" t="s">
        <v>470</v>
      </c>
      <c r="G49" s="143"/>
      <c r="H49" s="143"/>
      <c r="I49" s="143"/>
      <c r="J49" s="143"/>
      <c r="K49" s="143"/>
      <c r="L49" s="143"/>
      <c r="M49" s="143"/>
      <c r="N49" s="143"/>
      <c r="O49" s="143"/>
      <c r="P49" s="143"/>
      <c r="Q49" s="143"/>
      <c r="R49" s="143"/>
      <c r="S49" s="144"/>
      <c r="T49" s="258"/>
      <c r="U49" s="143"/>
    </row>
    <row r="50" spans="2:21" x14ac:dyDescent="0.2">
      <c r="Q50" s="143"/>
      <c r="R50" s="143"/>
      <c r="S50" s="144"/>
      <c r="T50" s="258"/>
      <c r="U50" s="143"/>
    </row>
    <row r="51" spans="2:21" ht="32.25" customHeight="1" x14ac:dyDescent="0.2">
      <c r="Q51" s="143"/>
      <c r="R51" s="143"/>
      <c r="S51" s="143"/>
      <c r="T51" s="143"/>
      <c r="U51" s="143"/>
    </row>
    <row r="52" spans="2:21" x14ac:dyDescent="0.2">
      <c r="Q52" s="143"/>
      <c r="R52" s="143"/>
      <c r="S52" s="143"/>
      <c r="T52" s="143"/>
      <c r="U52" s="143"/>
    </row>
    <row r="53" spans="2:21" x14ac:dyDescent="0.2">
      <c r="Q53" s="143"/>
      <c r="R53" s="143"/>
      <c r="S53" s="143"/>
      <c r="T53" s="143"/>
      <c r="U53" s="143"/>
    </row>
    <row r="54" spans="2:21" x14ac:dyDescent="0.2">
      <c r="Q54" s="143"/>
      <c r="R54" s="143"/>
      <c r="S54" s="143"/>
      <c r="T54" s="143"/>
      <c r="U54" s="143"/>
    </row>
    <row r="55" spans="2:21" x14ac:dyDescent="0.2">
      <c r="Q55" s="143"/>
      <c r="R55" s="143"/>
      <c r="S55" s="143"/>
      <c r="T55" s="143"/>
      <c r="U55" s="143"/>
    </row>
    <row r="56" spans="2:21" x14ac:dyDescent="0.2">
      <c r="Q56" s="143"/>
      <c r="R56" s="143"/>
      <c r="S56" s="143"/>
      <c r="T56" s="143"/>
      <c r="U56" s="143"/>
    </row>
    <row r="57" spans="2:21" x14ac:dyDescent="0.2">
      <c r="Q57" s="143"/>
      <c r="R57" s="143"/>
      <c r="S57" s="143"/>
      <c r="T57" s="143"/>
      <c r="U57" s="143"/>
    </row>
    <row r="58" spans="2:21" x14ac:dyDescent="0.2">
      <c r="N58" s="143"/>
      <c r="O58" s="143"/>
      <c r="P58" s="143"/>
      <c r="Q58" s="143"/>
      <c r="R58" s="143"/>
      <c r="S58" s="143"/>
      <c r="T58" s="143"/>
      <c r="U58" s="143"/>
    </row>
    <row r="59" spans="2:21" x14ac:dyDescent="0.2">
      <c r="N59" s="143"/>
      <c r="O59" s="143"/>
      <c r="P59" s="143"/>
      <c r="Q59" s="143"/>
      <c r="R59" s="143"/>
      <c r="S59" s="143"/>
      <c r="T59" s="143"/>
      <c r="U59" s="143"/>
    </row>
    <row r="60" spans="2:21" x14ac:dyDescent="0.2">
      <c r="N60" s="143"/>
      <c r="O60" s="143"/>
      <c r="P60" s="143"/>
      <c r="Q60" s="143"/>
      <c r="R60" s="143"/>
      <c r="S60" s="143"/>
      <c r="T60" s="143"/>
      <c r="U60" s="143"/>
    </row>
    <row r="61" spans="2:21" x14ac:dyDescent="0.2">
      <c r="N61" s="143"/>
      <c r="O61" s="143"/>
      <c r="P61" s="144"/>
      <c r="Q61" s="143"/>
      <c r="R61" s="143"/>
      <c r="S61" s="143"/>
      <c r="T61" s="143"/>
      <c r="U61" s="143"/>
    </row>
    <row r="62" spans="2:21" x14ac:dyDescent="0.2">
      <c r="N62" s="143"/>
      <c r="O62" s="143"/>
      <c r="P62" s="144"/>
      <c r="Q62" s="143"/>
      <c r="R62" s="143"/>
      <c r="S62" s="143"/>
      <c r="T62" s="143"/>
      <c r="U62" s="143"/>
    </row>
    <row r="63" spans="2:21" x14ac:dyDescent="0.2">
      <c r="N63" s="143"/>
      <c r="O63" s="143"/>
      <c r="P63" s="144"/>
      <c r="Q63" s="143"/>
      <c r="R63" s="143"/>
      <c r="S63" s="143"/>
      <c r="T63" s="143"/>
      <c r="U63" s="143"/>
    </row>
    <row r="64" spans="2:21" x14ac:dyDescent="0.2">
      <c r="N64" s="143"/>
      <c r="O64" s="143"/>
      <c r="P64" s="144"/>
      <c r="Q64" s="258"/>
      <c r="R64" s="143"/>
      <c r="S64" s="143"/>
      <c r="T64" s="143"/>
      <c r="U64" s="143"/>
    </row>
    <row r="65" spans="14:21" x14ac:dyDescent="0.2">
      <c r="N65" s="143"/>
      <c r="O65" s="143"/>
      <c r="P65" s="144"/>
      <c r="Q65" s="258"/>
      <c r="R65" s="143"/>
      <c r="S65" s="143"/>
      <c r="T65" s="143"/>
      <c r="U65" s="143"/>
    </row>
    <row r="66" spans="14:21" x14ac:dyDescent="0.2">
      <c r="N66" s="143"/>
      <c r="O66" s="143"/>
      <c r="P66" s="144"/>
      <c r="Q66" s="258"/>
      <c r="R66" s="143"/>
      <c r="S66" s="143"/>
      <c r="T66" s="143"/>
      <c r="U66" s="143"/>
    </row>
    <row r="67" spans="14:21" x14ac:dyDescent="0.2">
      <c r="N67" s="143"/>
      <c r="O67" s="143"/>
      <c r="P67" s="144"/>
      <c r="Q67" s="258"/>
      <c r="R67" s="143"/>
      <c r="S67" s="143"/>
      <c r="T67" s="143"/>
      <c r="U67" s="143"/>
    </row>
    <row r="68" spans="14:21" x14ac:dyDescent="0.2">
      <c r="N68" s="143"/>
      <c r="O68" s="143"/>
      <c r="P68" s="144"/>
      <c r="Q68" s="258"/>
      <c r="R68" s="143"/>
      <c r="S68" s="143"/>
      <c r="T68" s="143"/>
      <c r="U68" s="143"/>
    </row>
    <row r="69" spans="14:21" x14ac:dyDescent="0.2">
      <c r="N69" s="143"/>
      <c r="O69" s="143"/>
      <c r="P69" s="144"/>
      <c r="Q69" s="258"/>
      <c r="R69" s="143"/>
      <c r="S69" s="143"/>
      <c r="T69" s="143"/>
      <c r="U69" s="143"/>
    </row>
    <row r="70" spans="14:21" x14ac:dyDescent="0.2">
      <c r="N70" s="143"/>
      <c r="O70" s="143"/>
      <c r="P70" s="144"/>
      <c r="Q70" s="258"/>
      <c r="R70" s="143"/>
      <c r="S70" s="143"/>
      <c r="T70" s="143"/>
      <c r="U70" s="143"/>
    </row>
    <row r="71" spans="14:21" x14ac:dyDescent="0.2">
      <c r="N71" s="143"/>
      <c r="O71" s="143"/>
      <c r="P71" s="144"/>
      <c r="Q71" s="258"/>
      <c r="R71" s="143"/>
      <c r="S71" s="143"/>
      <c r="T71" s="143"/>
      <c r="U71" s="143"/>
    </row>
    <row r="72" spans="14:21" x14ac:dyDescent="0.2">
      <c r="N72" s="143"/>
      <c r="O72" s="143"/>
      <c r="P72" s="144"/>
      <c r="Q72" s="258"/>
      <c r="R72" s="143"/>
      <c r="S72" s="143"/>
      <c r="T72" s="143"/>
      <c r="U72" s="143"/>
    </row>
    <row r="73" spans="14:21" x14ac:dyDescent="0.2">
      <c r="N73" s="143"/>
      <c r="O73" s="143"/>
      <c r="P73" s="144"/>
      <c r="Q73" s="258"/>
      <c r="R73" s="143"/>
      <c r="S73" s="143"/>
      <c r="T73" s="143"/>
      <c r="U73" s="143"/>
    </row>
    <row r="74" spans="14:21" x14ac:dyDescent="0.2">
      <c r="N74" s="143"/>
      <c r="O74" s="143"/>
      <c r="P74" s="144"/>
      <c r="Q74" s="258"/>
      <c r="R74" s="143"/>
      <c r="S74" s="143"/>
      <c r="T74" s="143"/>
      <c r="U74" s="143"/>
    </row>
    <row r="75" spans="14:21" x14ac:dyDescent="0.2">
      <c r="N75" s="143"/>
      <c r="O75" s="143"/>
      <c r="P75" s="144"/>
      <c r="Q75" s="258"/>
      <c r="R75" s="143"/>
      <c r="S75" s="143"/>
      <c r="T75" s="143"/>
      <c r="U75" s="143"/>
    </row>
    <row r="76" spans="14:21" x14ac:dyDescent="0.2">
      <c r="N76" s="143"/>
      <c r="O76" s="143"/>
      <c r="P76" s="144"/>
      <c r="Q76" s="258"/>
      <c r="R76" s="143"/>
      <c r="S76" s="143"/>
      <c r="T76" s="143"/>
      <c r="U76" s="143"/>
    </row>
    <row r="77" spans="14:21" x14ac:dyDescent="0.2">
      <c r="N77" s="143"/>
      <c r="O77" s="143"/>
      <c r="P77" s="144"/>
      <c r="Q77" s="258"/>
      <c r="R77" s="143"/>
      <c r="S77" s="143"/>
      <c r="T77" s="143"/>
      <c r="U77" s="143"/>
    </row>
    <row r="78" spans="14:21" x14ac:dyDescent="0.2">
      <c r="N78" s="143"/>
      <c r="O78" s="143"/>
      <c r="P78" s="144"/>
      <c r="Q78" s="258"/>
      <c r="R78" s="143"/>
      <c r="S78" s="143"/>
      <c r="T78" s="143"/>
      <c r="U78" s="143"/>
    </row>
    <row r="79" spans="14:21" x14ac:dyDescent="0.2">
      <c r="N79" s="143"/>
      <c r="O79" s="143"/>
      <c r="P79" s="144"/>
      <c r="Q79" s="258"/>
      <c r="R79" s="143"/>
      <c r="S79" s="143"/>
      <c r="T79" s="143"/>
      <c r="U79" s="143"/>
    </row>
    <row r="80" spans="14:21" x14ac:dyDescent="0.2">
      <c r="N80" s="143"/>
      <c r="O80" s="143"/>
      <c r="P80" s="144"/>
      <c r="Q80" s="258"/>
      <c r="R80" s="143"/>
      <c r="S80" s="143"/>
      <c r="T80" s="143"/>
      <c r="U80" s="143"/>
    </row>
    <row r="81" spans="5:21" x14ac:dyDescent="0.2">
      <c r="N81" s="143"/>
      <c r="O81" s="143"/>
      <c r="P81" s="144"/>
      <c r="Q81" s="258"/>
      <c r="R81" s="143"/>
      <c r="S81" s="143"/>
      <c r="T81" s="143"/>
      <c r="U81" s="143"/>
    </row>
    <row r="82" spans="5:21" x14ac:dyDescent="0.2">
      <c r="N82" s="143"/>
      <c r="O82" s="143"/>
      <c r="P82" s="144"/>
      <c r="Q82" s="258"/>
      <c r="R82" s="143"/>
      <c r="S82" s="143"/>
      <c r="T82" s="143"/>
      <c r="U82" s="143"/>
    </row>
    <row r="83" spans="5:21" x14ac:dyDescent="0.2">
      <c r="N83" s="143"/>
      <c r="O83" s="143"/>
      <c r="P83" s="144"/>
      <c r="Q83" s="258"/>
      <c r="R83" s="143"/>
      <c r="S83" s="143"/>
      <c r="T83" s="143"/>
      <c r="U83" s="143"/>
    </row>
    <row r="84" spans="5:21" x14ac:dyDescent="0.2">
      <c r="N84" s="143"/>
      <c r="O84" s="143"/>
      <c r="P84" s="144"/>
      <c r="Q84" s="258"/>
      <c r="R84" s="143"/>
      <c r="S84" s="143"/>
      <c r="T84" s="143"/>
      <c r="U84" s="143"/>
    </row>
    <row r="85" spans="5:21" x14ac:dyDescent="0.2">
      <c r="N85" s="143"/>
      <c r="O85" s="143"/>
      <c r="P85" s="143"/>
      <c r="Q85" s="258"/>
      <c r="R85" s="143"/>
      <c r="S85" s="143"/>
      <c r="T85" s="143"/>
      <c r="U85" s="143"/>
    </row>
    <row r="86" spans="5:21" x14ac:dyDescent="0.2">
      <c r="N86" s="143"/>
      <c r="O86" s="143"/>
      <c r="P86" s="143"/>
      <c r="Q86" s="258"/>
      <c r="R86" s="143"/>
      <c r="S86" s="143"/>
      <c r="T86" s="143"/>
      <c r="U86" s="143"/>
    </row>
    <row r="87" spans="5:21" x14ac:dyDescent="0.2">
      <c r="N87" s="143"/>
      <c r="O87" s="143"/>
      <c r="P87" s="143"/>
      <c r="Q87" s="258"/>
      <c r="R87" s="143"/>
      <c r="S87" s="143"/>
      <c r="T87" s="143"/>
      <c r="U87" s="143"/>
    </row>
    <row r="88" spans="5:21" x14ac:dyDescent="0.2">
      <c r="N88" s="143"/>
      <c r="O88" s="143"/>
      <c r="P88" s="143"/>
      <c r="Q88" s="143"/>
      <c r="R88" s="143"/>
      <c r="S88" s="143"/>
      <c r="T88" s="143"/>
      <c r="U88" s="143"/>
    </row>
    <row r="89" spans="5:21" x14ac:dyDescent="0.2">
      <c r="N89" s="143"/>
      <c r="O89" s="143"/>
      <c r="P89" s="143"/>
      <c r="Q89" s="143"/>
      <c r="R89" s="143"/>
      <c r="S89" s="143"/>
      <c r="T89" s="143"/>
      <c r="U89" s="143"/>
    </row>
    <row r="90" spans="5:21" x14ac:dyDescent="0.2">
      <c r="F90" s="116"/>
      <c r="N90" s="143"/>
      <c r="O90" s="143"/>
      <c r="P90" s="143"/>
      <c r="Q90" s="143"/>
      <c r="R90" s="143"/>
      <c r="S90" s="143"/>
      <c r="T90" s="143"/>
      <c r="U90" s="143"/>
    </row>
    <row r="91" spans="5:21" ht="15" x14ac:dyDescent="0.2">
      <c r="E91" s="218" t="s">
        <v>356</v>
      </c>
      <c r="N91" s="143"/>
      <c r="O91" s="143"/>
      <c r="P91" s="143"/>
      <c r="Q91" s="143"/>
      <c r="R91" s="143"/>
      <c r="S91" s="143"/>
      <c r="T91" s="143"/>
      <c r="U91" s="143"/>
    </row>
    <row r="92" spans="5:21" x14ac:dyDescent="0.2">
      <c r="E92" s="116" t="s">
        <v>355</v>
      </c>
      <c r="N92" s="143"/>
      <c r="O92" s="143"/>
      <c r="P92" s="143"/>
      <c r="Q92" s="143"/>
      <c r="R92" s="143"/>
      <c r="S92" s="143"/>
      <c r="T92" s="143"/>
      <c r="U92" s="143"/>
    </row>
    <row r="93" spans="5:21" x14ac:dyDescent="0.2">
      <c r="N93" s="143"/>
      <c r="O93" s="143"/>
      <c r="P93" s="143"/>
      <c r="Q93" s="143"/>
      <c r="R93" s="143"/>
      <c r="S93" s="143"/>
      <c r="T93" s="143"/>
      <c r="U93" s="143"/>
    </row>
    <row r="94" spans="5:21" x14ac:dyDescent="0.2">
      <c r="N94" s="143"/>
      <c r="O94" s="143"/>
      <c r="P94" s="143"/>
      <c r="Q94" s="143"/>
      <c r="R94" s="143"/>
      <c r="S94" s="143"/>
      <c r="T94" s="143"/>
      <c r="U94" s="143"/>
    </row>
    <row r="95" spans="5:21" x14ac:dyDescent="0.2">
      <c r="E95" s="37" t="s">
        <v>241</v>
      </c>
      <c r="N95" s="143"/>
      <c r="O95" s="143"/>
      <c r="P95" s="143"/>
      <c r="Q95" s="143"/>
      <c r="R95" s="143"/>
      <c r="S95" s="143"/>
      <c r="T95" s="143"/>
      <c r="U95" s="143"/>
    </row>
    <row r="96" spans="5:21" x14ac:dyDescent="0.2">
      <c r="Q96" s="143"/>
      <c r="R96" s="143"/>
      <c r="S96" s="143"/>
      <c r="T96" s="143"/>
      <c r="U96" s="143"/>
    </row>
    <row r="97" spans="17:21" x14ac:dyDescent="0.2">
      <c r="Q97" s="143"/>
      <c r="R97" s="143"/>
      <c r="S97" s="143"/>
      <c r="T97" s="143"/>
      <c r="U97" s="143"/>
    </row>
  </sheetData>
  <sheetProtection sheet="1" objects="1" scenarios="1" formatCells="0" selectLockedCells="1"/>
  <hyperlinks>
    <hyperlink ref="L38" r:id="rId1" xr:uid="{00000000-0004-0000-0600-000000000000}"/>
    <hyperlink ref="E92" r:id="rId2" display="http://pccenergygroup.com/PDFs/PCC-materials/Conversion Booklet.pdf" xr:uid="{00000000-0004-0000-06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TotalTime>537</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PUMPS</vt:lpstr>
      <vt:lpstr>PIPING</vt:lpstr>
      <vt:lpstr>SYSTEMS</vt:lpstr>
      <vt:lpstr>SOFTWARE</vt:lpstr>
      <vt:lpstr>CALCULATOR</vt:lpstr>
      <vt:lpstr>LINKS</vt:lpstr>
      <vt:lpstr>PIPE &amp; FITTINGS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Mildred Andrew</dc:creator>
  <cp:lastModifiedBy>John Andrew</cp:lastModifiedBy>
  <cp:revision>51</cp:revision>
  <cp:lastPrinted>2014-02-24T15:45:24Z</cp:lastPrinted>
  <dcterms:created xsi:type="dcterms:W3CDTF">2011-04-30T17:44:53Z</dcterms:created>
  <dcterms:modified xsi:type="dcterms:W3CDTF">2020-07-28T20:41:02Z</dcterms:modified>
</cp:coreProperties>
</file>