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MAZON-LEXAR\ENGINEERS-PDH\"/>
    </mc:Choice>
  </mc:AlternateContent>
  <xr:revisionPtr revIDLastSave="0" documentId="8_{85B289A4-58E3-4912-945D-865FCBDA2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BRATION" sheetId="1" r:id="rId1"/>
    <sheet name="SHOCK LOAD" sheetId="2" r:id="rId2"/>
    <sheet name="MATERIALS" sheetId="4" r:id="rId3"/>
    <sheet name="MATH TOOL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5" l="1"/>
  <c r="C38" i="5"/>
  <c r="G37" i="5"/>
  <c r="G40" i="5" s="1"/>
  <c r="G35" i="5"/>
  <c r="H39" i="1"/>
  <c r="H41" i="1"/>
  <c r="H43" i="1" s="1"/>
  <c r="H45" i="1" s="1"/>
  <c r="C41" i="1" l="1"/>
  <c r="C136" i="2"/>
  <c r="C120" i="2"/>
  <c r="C91" i="2"/>
  <c r="C94" i="2" s="1"/>
  <c r="C89" i="2"/>
  <c r="C53" i="2"/>
  <c r="C57" i="2" s="1"/>
  <c r="C529" i="1"/>
  <c r="C511" i="1"/>
  <c r="C510" i="1"/>
  <c r="C508" i="1"/>
  <c r="C469" i="1"/>
  <c r="C466" i="1"/>
  <c r="C433" i="1"/>
  <c r="C438" i="1" s="1"/>
  <c r="C369" i="1"/>
  <c r="C375" i="1" s="1"/>
  <c r="C350" i="1"/>
  <c r="C354" i="1" s="1"/>
  <c r="C348" i="1"/>
  <c r="C322" i="1"/>
  <c r="C320" i="1"/>
  <c r="C324" i="1" s="1"/>
  <c r="C310" i="1"/>
  <c r="C308" i="1"/>
  <c r="C312" i="1" s="1"/>
  <c r="C296" i="1"/>
  <c r="C294" i="1"/>
  <c r="C298" i="1" s="1"/>
  <c r="C284" i="1"/>
  <c r="C282" i="1"/>
  <c r="C286" i="1" s="1"/>
  <c r="C270" i="1"/>
  <c r="C273" i="1" s="1"/>
  <c r="C260" i="1"/>
  <c r="C258" i="1"/>
  <c r="C262" i="1" s="1"/>
  <c r="C235" i="1"/>
  <c r="C238" i="1" s="1"/>
  <c r="C243" i="1" s="1"/>
  <c r="C232" i="1"/>
  <c r="C210" i="1"/>
  <c r="C201" i="1"/>
  <c r="C192" i="1"/>
  <c r="C185" i="1"/>
  <c r="C111" i="1"/>
  <c r="C107" i="1"/>
  <c r="C109" i="1" s="1"/>
  <c r="C87" i="1"/>
  <c r="C83" i="1"/>
  <c r="C85" i="1" s="1"/>
  <c r="C81" i="1"/>
  <c r="C39" i="1"/>
  <c r="C55" i="2" l="1"/>
  <c r="C43" i="1"/>
  <c r="C45" i="1" s="1"/>
  <c r="C124" i="2"/>
  <c r="C89" i="1"/>
  <c r="C91" i="1" s="1"/>
  <c r="C472" i="1"/>
  <c r="C476" i="1" s="1"/>
  <c r="C478" i="1" s="1"/>
  <c r="C483" i="1" s="1"/>
  <c r="C118" i="1"/>
  <c r="C120" i="1" s="1"/>
  <c r="C124" i="1" s="1"/>
  <c r="C514" i="1"/>
  <c r="C522" i="1" s="1"/>
  <c r="C118" i="2"/>
  <c r="C127" i="2" s="1"/>
  <c r="C130" i="2" s="1"/>
  <c r="C246" i="1"/>
  <c r="C372" i="1"/>
  <c r="C113" i="1"/>
  <c r="C116" i="1" s="1"/>
  <c r="C474" i="1" l="1"/>
  <c r="C122" i="1"/>
  <c r="C133" i="2"/>
  <c r="C126" i="1"/>
</calcChain>
</file>

<file path=xl/sharedStrings.xml><?xml version="1.0" encoding="utf-8"?>
<sst xmlns="http://schemas.openxmlformats.org/spreadsheetml/2006/main" count="975" uniqueCount="571">
  <si>
    <t xml:space="preserve"> </t>
  </si>
  <si>
    <t>Simple Vibrating Systems</t>
  </si>
  <si>
    <t>External forcing function F(t) varies with time and is externally applied to the mass M.</t>
  </si>
  <si>
    <t>Fm is the maximum applied force.</t>
  </si>
  <si>
    <t>M is the mass of the vibration object that is equal to W/g.</t>
  </si>
  <si>
    <t>g is the gravitational constant, 32.2 ft/sec^2.</t>
  </si>
  <si>
    <t>X is the displacement from the equilibrium position.</t>
  </si>
  <si>
    <t>and is proportional to velocity.</t>
  </si>
  <si>
    <t>K is the spring stiffness force per inch.</t>
  </si>
  <si>
    <t>If the mass M shown above is displaced through distance x and released it will vibrate freely.</t>
  </si>
  <si>
    <t>Undamped vibrations are called free vibrations. Both x and g are measured in inch units.</t>
  </si>
  <si>
    <t xml:space="preserve">Input </t>
  </si>
  <si>
    <t>Weight,  W =</t>
  </si>
  <si>
    <t>lb</t>
  </si>
  <si>
    <t>Spring stiffness, k =</t>
  </si>
  <si>
    <t>lb/in</t>
  </si>
  <si>
    <t>Calculation</t>
  </si>
  <si>
    <t>Gravitational Content,  g =</t>
  </si>
  <si>
    <t>ft/sec^2</t>
  </si>
  <si>
    <t>π =</t>
  </si>
  <si>
    <t>Static Deflection,  x =</t>
  </si>
  <si>
    <t>W / k</t>
  </si>
  <si>
    <t>=</t>
  </si>
  <si>
    <t>in</t>
  </si>
  <si>
    <t xml:space="preserve">         </t>
  </si>
  <si>
    <t>Mass,  M =</t>
  </si>
  <si>
    <t xml:space="preserve"> =</t>
  </si>
  <si>
    <t>lbm-sec^2/in</t>
  </si>
  <si>
    <t>Natural Frequency,  fn =</t>
  </si>
  <si>
    <t>Hz</t>
  </si>
  <si>
    <t>Angular frequency,  ω =</t>
  </si>
  <si>
    <t>2*π*fn</t>
  </si>
  <si>
    <t>radn/sec</t>
  </si>
  <si>
    <t>Motor weight,  W =</t>
  </si>
  <si>
    <t>Motor speed,  N =</t>
  </si>
  <si>
    <t>rpm</t>
  </si>
  <si>
    <t>Gravitational content (ft),  g =</t>
  </si>
  <si>
    <t>Gravitational content (in),  g =</t>
  </si>
  <si>
    <t>in/sec^2</t>
  </si>
  <si>
    <t>Periodic disturbing force,  Fd =</t>
  </si>
  <si>
    <t>Motor mount stiffness,  k =</t>
  </si>
  <si>
    <t>Angular natural frequency,  fn =</t>
  </si>
  <si>
    <t>(k*g / W)^.5</t>
  </si>
  <si>
    <t>rad/sec</t>
  </si>
  <si>
    <t>Disturbing force frequency,  f =</t>
  </si>
  <si>
    <t>N</t>
  </si>
  <si>
    <t>cycles/min</t>
  </si>
  <si>
    <t>Disturbing force angular frequency,  fd =</t>
  </si>
  <si>
    <t>f*2*π / 60</t>
  </si>
  <si>
    <t>Pseudo-static deflection,  x =</t>
  </si>
  <si>
    <t>Fd / k</t>
  </si>
  <si>
    <t>Amplitude magnification factor,  B =</t>
  </si>
  <si>
    <t>1 / ( (1 - (fa / fn)^2)</t>
  </si>
  <si>
    <t>Vibration amplitude =</t>
  </si>
  <si>
    <t>B*(Fd / k)</t>
  </si>
  <si>
    <t xml:space="preserve">Pick cell B84, Tools, Goal Seek, </t>
  </si>
  <si>
    <t>"Math Tools" tab.</t>
  </si>
  <si>
    <t>Damped, (Viscous) Forced Vibrations</t>
  </si>
  <si>
    <t>Input</t>
  </si>
  <si>
    <t>Motor Weight,  W =</t>
  </si>
  <si>
    <t>lbm</t>
  </si>
  <si>
    <t>Motor Speed,  N =</t>
  </si>
  <si>
    <t>Gravitational Content (ft),  g =</t>
  </si>
  <si>
    <t>Gravitational Constant (in),  g =</t>
  </si>
  <si>
    <t>Isolation mount combined stiffness,  k =</t>
  </si>
  <si>
    <t>Rotating imbalance mass,  Wi =</t>
  </si>
  <si>
    <t>Rotating imbalance eccentricity,  e =</t>
  </si>
  <si>
    <t>Viscous damping ratio,  C =</t>
  </si>
  <si>
    <t>-</t>
  </si>
  <si>
    <t>Static deflection of the mounts,  d =</t>
  </si>
  <si>
    <t>Undamped natural frequency,  fn =</t>
  </si>
  <si>
    <t>(1 / 2*π)*(g / d)^.5</t>
  </si>
  <si>
    <t>N / 60</t>
  </si>
  <si>
    <t>Disturbing force angular frequency,  fa =</t>
  </si>
  <si>
    <t>2*π*f</t>
  </si>
  <si>
    <t>Out of balance force F due to rotating mass</t>
  </si>
  <si>
    <t>F =</t>
  </si>
  <si>
    <t>Wi*fa^2*e / g</t>
  </si>
  <si>
    <t>lbf</t>
  </si>
  <si>
    <t>Forcing frequency / Natural frequency = r =</t>
  </si>
  <si>
    <t>f / fn</t>
  </si>
  <si>
    <t>Amplitude magnification factor,  MF =</t>
  </si>
  <si>
    <t>1/( (1 -r^2)+ (2*Cr)^2)</t>
  </si>
  <si>
    <t>Vibration amplitude,  x =</t>
  </si>
  <si>
    <t>(MF)*(F / k)</t>
  </si>
  <si>
    <t>Transmissibility,  TR =</t>
  </si>
  <si>
    <t>(MF)*(1 + (2*r*C)^2)^.5</t>
  </si>
  <si>
    <t>Transmissibility Force,  Ftr =</t>
  </si>
  <si>
    <t>(TR)*F</t>
  </si>
  <si>
    <t xml:space="preserve">Critical Damping </t>
  </si>
  <si>
    <t>Critical damping occurs when the vibration amplitude is stable:</t>
  </si>
  <si>
    <t>C =</t>
  </si>
  <si>
    <t>Damping Coefficient</t>
  </si>
  <si>
    <t>Ccrit =</t>
  </si>
  <si>
    <t>Critical Damping Coeff.</t>
  </si>
  <si>
    <t>2*(K*M)^.5</t>
  </si>
  <si>
    <t>K =</t>
  </si>
  <si>
    <t>System stiffness</t>
  </si>
  <si>
    <t>M =</t>
  </si>
  <si>
    <t>Vibrating Mass</t>
  </si>
  <si>
    <t>Transmissibility (TR)</t>
  </si>
  <si>
    <t xml:space="preserve">Transmissibility is the ratio of the force </t>
  </si>
  <si>
    <t xml:space="preserve">transmitted to a machine's supports </t>
  </si>
  <si>
    <t>due to a periodic imbalance in an; engine,</t>
  </si>
  <si>
    <t>pump, compressor, pulverizer, motor, etc.</t>
  </si>
  <si>
    <t>The amplitude of vibrations in machinery</t>
  </si>
  <si>
    <t>mountings can be reduced with resilient</t>
  </si>
  <si>
    <t>pads or springs called isolators.</t>
  </si>
  <si>
    <t xml:space="preserve">The isolated system must have a natural </t>
  </si>
  <si>
    <t xml:space="preserve">frequency less than 0.707 x the disturbing  </t>
  </si>
  <si>
    <t>periodic imbalance force.</t>
  </si>
  <si>
    <t>The vibration amplitude will increase if the</t>
  </si>
  <si>
    <t xml:space="preserve">isolated system has a natural frequency </t>
  </si>
  <si>
    <t>higher than 0.707 x the disturbing frequency.</t>
  </si>
  <si>
    <t>Transmissibility ratio is equal to the, mass displacement amplitude / base displacement amplitude.</t>
  </si>
  <si>
    <t>TR  =</t>
  </si>
  <si>
    <t>X2 / X1</t>
  </si>
  <si>
    <t>The transmissibility ratio TR, is the vibration amplitude reduction.</t>
  </si>
  <si>
    <t xml:space="preserve">  </t>
  </si>
  <si>
    <t>Disturbing force frequency,  fd =</t>
  </si>
  <si>
    <t>1/(1-(fd/fn)^2)</t>
  </si>
  <si>
    <t>TR =</t>
  </si>
  <si>
    <t>If mounting damper pad natural frequency is known:</t>
  </si>
  <si>
    <t>Calculations</t>
  </si>
  <si>
    <t>System natural frequency,  fn =</t>
  </si>
  <si>
    <t>fd / (1+(1/TR))^0.5</t>
  </si>
  <si>
    <t>Answer:  fn =</t>
  </si>
  <si>
    <t>Springs are employed as vibration isolators.</t>
  </si>
  <si>
    <t>Series Springs Combined Stiffness</t>
  </si>
  <si>
    <t>k1 =</t>
  </si>
  <si>
    <t>lbf/in</t>
  </si>
  <si>
    <t>k2 =</t>
  </si>
  <si>
    <t xml:space="preserve">1 / k = </t>
  </si>
  <si>
    <t>1 / k1 + 1 / k2</t>
  </si>
  <si>
    <t>k  =</t>
  </si>
  <si>
    <t>(k1*k2) / (k1 + k2)</t>
  </si>
  <si>
    <t>Answer:  k  =</t>
  </si>
  <si>
    <t>Parallel Springs Combined Stiffness</t>
  </si>
  <si>
    <t>lbf/ in</t>
  </si>
  <si>
    <t>k1 + k2</t>
  </si>
  <si>
    <t>Critical Speed of Rotating Shaft</t>
  </si>
  <si>
    <t xml:space="preserve">The critical speed of a shaft is its </t>
  </si>
  <si>
    <t>natural frequency. The amplitude of</t>
  </si>
  <si>
    <t>any vibrating system will increase</t>
  </si>
  <si>
    <t xml:space="preserve">if an applied periodic force has the  </t>
  </si>
  <si>
    <t>same or nearly same frequency.</t>
  </si>
  <si>
    <t>Resonance occurs at the critical</t>
  </si>
  <si>
    <t xml:space="preserve">speed. </t>
  </si>
  <si>
    <t>Flywheel mass,  W =</t>
  </si>
  <si>
    <t>Shaft diameter,  D =</t>
  </si>
  <si>
    <t>Steel Shaft,  E =</t>
  </si>
  <si>
    <t>lb/sq in</t>
  </si>
  <si>
    <t>Bearing center distance,  L2 =</t>
  </si>
  <si>
    <t>Flywheel overhang,  L1 =</t>
  </si>
  <si>
    <t>Gravitational constant (ft),  g =</t>
  </si>
  <si>
    <t>Gravitational constant (in),  g =</t>
  </si>
  <si>
    <t>Shaft radius,  r =</t>
  </si>
  <si>
    <t>D / 2</t>
  </si>
  <si>
    <t>Shaft section moment of inertia,  I =</t>
  </si>
  <si>
    <t>π*r^4 / 4</t>
  </si>
  <si>
    <t>in^4</t>
  </si>
  <si>
    <t>The ball bearings act as pivoting supports</t>
  </si>
  <si>
    <t>Flywheel static deflection is;</t>
  </si>
  <si>
    <t>x =</t>
  </si>
  <si>
    <t>W*L1^2*(L1+L2) /3*E*I</t>
  </si>
  <si>
    <t>Natural frequency,  f =</t>
  </si>
  <si>
    <t>(1 / 2*π)*(g / x)^.5</t>
  </si>
  <si>
    <t xml:space="preserve">   </t>
  </si>
  <si>
    <t>Beam Stiffness (k), Deflection (x), and Natural Frequency ( f )</t>
  </si>
  <si>
    <t>Cantilever, load W at Free End</t>
  </si>
  <si>
    <t>Load at Free End,  W =</t>
  </si>
  <si>
    <t>Length,  L =</t>
  </si>
  <si>
    <t>Young's Modulus,  E =</t>
  </si>
  <si>
    <t>Moment of Inertia,  I =</t>
  </si>
  <si>
    <t>Deflection,  x =</t>
  </si>
  <si>
    <t>W*L^3 / (3*E*I)</t>
  </si>
  <si>
    <t>Answer:  x =</t>
  </si>
  <si>
    <t>Stiffness,  k =</t>
  </si>
  <si>
    <t>3*E*I/L^3</t>
  </si>
  <si>
    <t>Answer:  k =</t>
  </si>
  <si>
    <t>Natural frequency, f =</t>
  </si>
  <si>
    <t>(1/2π)*(g / x)^0.5</t>
  </si>
  <si>
    <t>f =</t>
  </si>
  <si>
    <t>Cantilever, Uniform Load w</t>
  </si>
  <si>
    <t>Uniform Load,  w =</t>
  </si>
  <si>
    <t>w*L^4 / (8*E*I)</t>
  </si>
  <si>
    <t>8*E*I/L^3</t>
  </si>
  <si>
    <t>Beam, Pinned ends, W at Mid Span</t>
  </si>
  <si>
    <t>Load at Mid Span,  W =</t>
  </si>
  <si>
    <t xml:space="preserve">lbf </t>
  </si>
  <si>
    <t>W*L^3 / (48*E*I)</t>
  </si>
  <si>
    <t>48*E*I/L^3</t>
  </si>
  <si>
    <t>Beam, Pinned ends, Uniform Load w</t>
  </si>
  <si>
    <t>5*w*L^4 / (384*E*I)</t>
  </si>
  <si>
    <t>384*E*I/(5*L^3)</t>
  </si>
  <si>
    <t>Beam, Fixed Ends, Load W at Mid Span</t>
  </si>
  <si>
    <t>W*L^3 / (192*E*I)</t>
  </si>
  <si>
    <t>192*E*I/L^3</t>
  </si>
  <si>
    <t>Beam, Fixed ends, Uniform Load w</t>
  </si>
  <si>
    <t>w*L^4 / (384*E*I)</t>
  </si>
  <si>
    <t>384*E*I/(L^3)</t>
  </si>
  <si>
    <t>Plate Natural Frequency (f)</t>
  </si>
  <si>
    <t>Rectangular plate natural frequency,  f =</t>
  </si>
  <si>
    <t>(K / 2*π)*((D*g)/(w*a^4))</t>
  </si>
  <si>
    <t>Rectangular Plate, simply supported edges =</t>
  </si>
  <si>
    <t>K, ss</t>
  </si>
  <si>
    <t>Rectangular Plate, fixed edges =</t>
  </si>
  <si>
    <t>K, fixed</t>
  </si>
  <si>
    <t>Vibration Coefficients</t>
  </si>
  <si>
    <t>a / b</t>
  </si>
  <si>
    <t>Rectangular Plate Natural Frequency (f)</t>
  </si>
  <si>
    <t>Modulus of elasticity,  E =</t>
  </si>
  <si>
    <t>lbf/in^2</t>
  </si>
  <si>
    <t>Plate thickness,  t =</t>
  </si>
  <si>
    <t>Poisson's ratio,  v =</t>
  </si>
  <si>
    <t>Plate short side,  a =</t>
  </si>
  <si>
    <t>Plate long side, b =</t>
  </si>
  <si>
    <t>From the table above,  K,ss or Kfixed =</t>
  </si>
  <si>
    <t>Load per unit area,  w =</t>
  </si>
  <si>
    <t>lb/in^2</t>
  </si>
  <si>
    <t>Answer:  a / b =</t>
  </si>
  <si>
    <t>D =</t>
  </si>
  <si>
    <t>E*t^3 / (12*(1 - ν^2))</t>
  </si>
  <si>
    <t>Answer:  D =</t>
  </si>
  <si>
    <t>Gravitational acceleration,  g =</t>
  </si>
  <si>
    <t>Rectangular Plates,  f =</t>
  </si>
  <si>
    <t>Answer:  f =</t>
  </si>
  <si>
    <t>Circular Plate Natural Frequency (f)</t>
  </si>
  <si>
    <t>Plate radius,  r =</t>
  </si>
  <si>
    <t>From the table above,  K,ss =</t>
  </si>
  <si>
    <t>Kfixed =</t>
  </si>
  <si>
    <t xml:space="preserve">  g =</t>
  </si>
  <si>
    <t>Simply supported edges,  f =</t>
  </si>
  <si>
    <t>(K / 2*π)*((D*g)/(w*r^4))</t>
  </si>
  <si>
    <t>Fixed edges,  f =</t>
  </si>
  <si>
    <t>Balancing Rotating Shafts</t>
  </si>
  <si>
    <t>Masses in the Same Plane</t>
  </si>
  <si>
    <t>For static balance:</t>
  </si>
  <si>
    <t>Two masses, M1 and M2 must be in the</t>
  </si>
  <si>
    <t xml:space="preserve">same plane and 180 degrees out of </t>
  </si>
  <si>
    <t>phase and moments must balance:</t>
  </si>
  <si>
    <t>Σmi*Ri =  0</t>
  </si>
  <si>
    <t>M1*R1+ M2*R2 = 0</t>
  </si>
  <si>
    <t>Masses in Different Planes</t>
  </si>
  <si>
    <t xml:space="preserve">For static and dynamic balance there must </t>
  </si>
  <si>
    <t>be no unbalanced moments and couples.</t>
  </si>
  <si>
    <t>When the masses are in the same plane</t>
  </si>
  <si>
    <t>static and dynamic balance occurs when:</t>
  </si>
  <si>
    <t>Σmi*Ri*Xi = 0</t>
  </si>
  <si>
    <t>M2*R2*X2+ M3*R3*X3 + M4*R4*X4 = 0</t>
  </si>
  <si>
    <t>The crank (Mc) is statically and dynamically</t>
  </si>
  <si>
    <t xml:space="preserve">balanced by two counter weights, M1 &amp; M2, </t>
  </si>
  <si>
    <t>all three masses are in the same plane.</t>
  </si>
  <si>
    <t>Find the masses of the two counterweights.</t>
  </si>
  <si>
    <t>Example only</t>
  </si>
  <si>
    <t>Mass 1 C.G. radius,  R1 =</t>
  </si>
  <si>
    <t>X1 =</t>
  </si>
  <si>
    <t>Mass 2 C.G. radius,  R2 =</t>
  </si>
  <si>
    <t>X2 =</t>
  </si>
  <si>
    <t>Crank Mass,  Mc =</t>
  </si>
  <si>
    <t>Crank Mass Eccentricity,  E =</t>
  </si>
  <si>
    <t>Dynamic balance about mass M1:</t>
  </si>
  <si>
    <t>Mc*E*X1 =</t>
  </si>
  <si>
    <t>M2*R2*(X1+X2)</t>
  </si>
  <si>
    <t>M2 =</t>
  </si>
  <si>
    <t>Mc*E*X1 / R2*(X1+X2)</t>
  </si>
  <si>
    <t>Answer:  M2 =</t>
  </si>
  <si>
    <t>Condition for static balance:</t>
  </si>
  <si>
    <t xml:space="preserve">Σmi*Ri = </t>
  </si>
  <si>
    <t>0 =</t>
  </si>
  <si>
    <t>M1*R1+M2*R2-Mc*E</t>
  </si>
  <si>
    <t>Mass required to balance Mc,  M1 =</t>
  </si>
  <si>
    <t>(-M2*R2+Mc*E) / R1</t>
  </si>
  <si>
    <t>Answer:  M1 =</t>
  </si>
  <si>
    <t>Forced, Steady State Vibration Example</t>
  </si>
  <si>
    <t xml:space="preserve">Calculate the two spring support stiffness </t>
  </si>
  <si>
    <t xml:space="preserve">(k) if the horizontal vibration amplitude is to   </t>
  </si>
  <si>
    <t>be no more than 0.25 inches.</t>
  </si>
  <si>
    <t>Estimated friction is 5% of the critical</t>
  </si>
  <si>
    <t>damping factor (Cc).</t>
  </si>
  <si>
    <t>Motor+Compressor+Table Mass,  W =</t>
  </si>
  <si>
    <t>Critical damping coefficient  =</t>
  </si>
  <si>
    <t>Cc</t>
  </si>
  <si>
    <t>Friction damping coefficient  =</t>
  </si>
  <si>
    <t xml:space="preserve">Cf </t>
  </si>
  <si>
    <t>(Friction/ Critical) damping factor ratio,  DR =</t>
  </si>
  <si>
    <t>Cf / Cc</t>
  </si>
  <si>
    <t>Allowable vibration amplitude,  Y =</t>
  </si>
  <si>
    <t>Motor speed,  ω =</t>
  </si>
  <si>
    <t>2*π*N / 60</t>
  </si>
  <si>
    <t>Answer:  ω =</t>
  </si>
  <si>
    <t>rad / sec</t>
  </si>
  <si>
    <t>g =</t>
  </si>
  <si>
    <t>W / g</t>
  </si>
  <si>
    <t>Answer:  M =</t>
  </si>
  <si>
    <t>Total spring support stiffness,  Kt =</t>
  </si>
  <si>
    <t>2*K</t>
  </si>
  <si>
    <t>Kt =</t>
  </si>
  <si>
    <t>M*ω^2</t>
  </si>
  <si>
    <t>Answer: Kt =</t>
  </si>
  <si>
    <t>lbf / in</t>
  </si>
  <si>
    <t>Kt / 2</t>
  </si>
  <si>
    <t>Answer:  K =</t>
  </si>
  <si>
    <t>Critical value of damping factor,  Cc =</t>
  </si>
  <si>
    <t>2*(Kt*M)^.5</t>
  </si>
  <si>
    <t>Answer:  Cc =</t>
  </si>
  <si>
    <t>Friction damping factor,  Cf =</t>
  </si>
  <si>
    <t>Cc*DR</t>
  </si>
  <si>
    <t>Answer:  Cf =</t>
  </si>
  <si>
    <t>The motor periodic imbalance force,  F =</t>
  </si>
  <si>
    <t>Fo*Sin(ω*t)</t>
  </si>
  <si>
    <t>The motor peak imbalance force, Fo =</t>
  </si>
  <si>
    <t>Cf*ω*Y</t>
  </si>
  <si>
    <t>At resonance,  Y =</t>
  </si>
  <si>
    <t>Fo / Cc*ω</t>
  </si>
  <si>
    <t>Fo =</t>
  </si>
  <si>
    <t>Answer:  Fo =</t>
  </si>
  <si>
    <t>Vertical Vibration Damper Selection</t>
  </si>
  <si>
    <t xml:space="preserve">A metal tumbling drum driven by an electric </t>
  </si>
  <si>
    <t xml:space="preserve">motor-gear, right, rotates at 1080 rpm causing </t>
  </si>
  <si>
    <t xml:space="preserve">a disturbing vibration to the floor on which it is </t>
  </si>
  <si>
    <t>mounted.</t>
  </si>
  <si>
    <t>The loaded drum, motor, and support base .</t>
  </si>
  <si>
    <t>weigh 400 lbm.</t>
  </si>
  <si>
    <t>Vibration Isolator Selection</t>
  </si>
  <si>
    <t>Select 4 vibration isolators that will provide</t>
  </si>
  <si>
    <t>80% vibration reduction applied to the floor.</t>
  </si>
  <si>
    <t>System weight,  W =</t>
  </si>
  <si>
    <t>Number of isolators,  N =</t>
  </si>
  <si>
    <t>Vibration reduction, VR =</t>
  </si>
  <si>
    <t>Disturbing frequency,  Fd =</t>
  </si>
  <si>
    <t>Weight per isolator,  w =</t>
  </si>
  <si>
    <t>W / N</t>
  </si>
  <si>
    <t>Answer:  w =</t>
  </si>
  <si>
    <t>Transmissibility,  T =</t>
  </si>
  <si>
    <t>1 - VR</t>
  </si>
  <si>
    <t>Answer:  T =</t>
  </si>
  <si>
    <t>Answer:  Fd =</t>
  </si>
  <si>
    <t>rps</t>
  </si>
  <si>
    <t>(1 / (1-(Fd / Fn)^.5)</t>
  </si>
  <si>
    <t>System natural frequency,  Fn =</t>
  </si>
  <si>
    <t>Fd / (1 +(1/T))^.5</t>
  </si>
  <si>
    <t>Answer:  Fn =</t>
  </si>
  <si>
    <t>ft / sec^2</t>
  </si>
  <si>
    <t>Stiffness,  K =</t>
  </si>
  <si>
    <t>W / x</t>
  </si>
  <si>
    <t>W / K</t>
  </si>
  <si>
    <t>Undamped natural frequency,  Fn =</t>
  </si>
  <si>
    <t>(1 / 2π)*(K*g / W)^.5</t>
  </si>
  <si>
    <t>Fn =</t>
  </si>
  <si>
    <t>(1 / 2π)*(g / x)^.5</t>
  </si>
  <si>
    <t>3.128*(1 / x)^.5</t>
  </si>
  <si>
    <t>Solving for deflection in the above, x =</t>
  </si>
  <si>
    <t>(3.128)^2 / (Fn)^2</t>
  </si>
  <si>
    <t>Suggested max transmissibility, Tmax =</t>
  </si>
  <si>
    <t>Ref. "Engineered Solutions" a Barry Controls publication.</t>
  </si>
  <si>
    <t>At resonance transmissibility,  T =</t>
  </si>
  <si>
    <t>1/ (2*C / Ccrit)</t>
  </si>
  <si>
    <t>C / Ccrit =</t>
  </si>
  <si>
    <t>1/ (2*T)</t>
  </si>
  <si>
    <t>Answer:  C / Ccrit =</t>
  </si>
  <si>
    <t>Isolator Selected:</t>
  </si>
  <si>
    <t>Go to the Barry Controls home page at:</t>
  </si>
  <si>
    <t>4 Barry Controls vibration isolators</t>
  </si>
  <si>
    <t>http://www.barrycontrols.com/</t>
  </si>
  <si>
    <t xml:space="preserve">Part No. 633A-100 </t>
  </si>
  <si>
    <t>Graphical Values</t>
  </si>
  <si>
    <t>Deflection due to static load of 100 lb  =</t>
  </si>
  <si>
    <t xml:space="preserve">      </t>
  </si>
  <si>
    <t>Isolator frequency =</t>
  </si>
  <si>
    <t xml:space="preserve">The "Barry Controls" information presented here may be found on the web at: </t>
  </si>
  <si>
    <t>www.barrycontrols.com</t>
  </si>
  <si>
    <t xml:space="preserve">"Barry 633A Series Mounts are medium weight mounts normally </t>
  </si>
  <si>
    <t xml:space="preserve">used for vertically applied loads to prevent transmission of noise </t>
  </si>
  <si>
    <t xml:space="preserve">and vibration caused by rotation of imbalanced equipment </t>
  </si>
  <si>
    <t xml:space="preserve">(i.e. generators, blowers, pumps, etc...) </t>
  </si>
  <si>
    <t>Low-profile, low frequency elastomeric noise and vibration</t>
  </si>
  <si>
    <t xml:space="preserve"> isolators for medium weight industrial equipment." </t>
  </si>
  <si>
    <t>The above graph shows a static load of 100 lbs produces a deflection of 0.275 inches.</t>
  </si>
  <si>
    <t xml:space="preserve">A shock load is caused by a nearly instantaneous </t>
  </si>
  <si>
    <t>rise and fall of acceleration.</t>
  </si>
  <si>
    <t>Shock input pulse is normally</t>
  </si>
  <si>
    <t xml:space="preserve"> expressed in g's.</t>
  </si>
  <si>
    <t>Free Fall Impact Shock</t>
  </si>
  <si>
    <t xml:space="preserve">A typical free fall shock test is an 11 </t>
  </si>
  <si>
    <t xml:space="preserve">millisecond second half sine waveform </t>
  </si>
  <si>
    <t>with a peak acceleration of 15 g.</t>
  </si>
  <si>
    <t>The above graph shows a static load of 100 lbs produces a natural frequency of 7.2 Hz.</t>
  </si>
  <si>
    <t>Shock Impulse Deflection</t>
  </si>
  <si>
    <t>An electronic device is to be subjected to a</t>
  </si>
  <si>
    <t>15g half sine shock lasting 11 milliseconds.</t>
  </si>
  <si>
    <t xml:space="preserve">The unit is mounted on a 10 Hz natural </t>
  </si>
  <si>
    <t>frequency isolation system.</t>
  </si>
  <si>
    <t>Determine the maximum shock transmission</t>
  </si>
  <si>
    <t>Half sine shock acceleration, a =</t>
  </si>
  <si>
    <t>g</t>
  </si>
  <si>
    <t>Shock pulse time,  t =</t>
  </si>
  <si>
    <t>sec</t>
  </si>
  <si>
    <t>in/ sec^2</t>
  </si>
  <si>
    <t>Isolator natural frequency,  Fn =</t>
  </si>
  <si>
    <t>Half sine pulse max peak velocity,  Vmax =</t>
  </si>
  <si>
    <t>2*g*a*t / π</t>
  </si>
  <si>
    <t>Answer:  Vmax =</t>
  </si>
  <si>
    <t>Max acceleration,  G =</t>
  </si>
  <si>
    <t>Vmax*(2*π*Fn)/ g</t>
  </si>
  <si>
    <t>Answer:  G =</t>
  </si>
  <si>
    <t>g's</t>
  </si>
  <si>
    <t>Dynamic isolator deflection: Dd =</t>
  </si>
  <si>
    <t>Vmax/ (2*π*Fn)</t>
  </si>
  <si>
    <t>Answer:  Dd =</t>
  </si>
  <si>
    <t xml:space="preserve"> Transmissibility Ratio,  TR =</t>
  </si>
  <si>
    <t>Ftransmitted/ Fapplied</t>
  </si>
  <si>
    <t>Bd*(1+(2*r*C)^2)^.5</t>
  </si>
  <si>
    <t>Notes:</t>
  </si>
  <si>
    <t xml:space="preserve">Magnification factor Bd must be greater </t>
  </si>
  <si>
    <t>than 1.00 or vibrations will be amplified.</t>
  </si>
  <si>
    <t>Magnification factor,  Bd =</t>
  </si>
  <si>
    <t>1/((1-r^2)^2+(2*C*r)^2)^.5</t>
  </si>
  <si>
    <t>Bd =</t>
  </si>
  <si>
    <t>D /(Fo / K)</t>
  </si>
  <si>
    <t>Vibration amplitude</t>
  </si>
  <si>
    <t>Peak disturbing force</t>
  </si>
  <si>
    <t>Support stiffness</t>
  </si>
  <si>
    <t xml:space="preserve">Isolator Selection </t>
  </si>
  <si>
    <t>http://www.baldor.com/support/product_specs/generators/Vibration_Isolators/01_Korfund_Catalog.pdf</t>
  </si>
  <si>
    <t>Equipment Weight,  W =</t>
  </si>
  <si>
    <t>Number of Isolators,  N =</t>
  </si>
  <si>
    <t>Shock Half Sine Pulse time,  t =</t>
  </si>
  <si>
    <t>Allowable sway space,  Xv =</t>
  </si>
  <si>
    <t xml:space="preserve">Isolator Roll Stiffness,  Kr = </t>
  </si>
  <si>
    <t>Flexmount CB1260-39</t>
  </si>
  <si>
    <t xml:space="preserve">Isolator Shear Stiffness,  Kh = </t>
  </si>
  <si>
    <t xml:space="preserve"> "</t>
  </si>
  <si>
    <t xml:space="preserve">Isolator Compression Stiffness,  Kv = </t>
  </si>
  <si>
    <t xml:space="preserve">Isolator Combined Total Stiffness,  Kt = </t>
  </si>
  <si>
    <t>Equipment Fragility g Limit,  Af =</t>
  </si>
  <si>
    <t>Load per Isolator,  Wi =</t>
  </si>
  <si>
    <t>Answer:  Wi =</t>
  </si>
  <si>
    <t>Required Isolation Factor,  If =</t>
  </si>
  <si>
    <t>Af / Gv</t>
  </si>
  <si>
    <t>Answer:  If =</t>
  </si>
  <si>
    <t>%</t>
  </si>
  <si>
    <t>Required Transmissibility,  Tr =</t>
  </si>
  <si>
    <t>1 - (If /1000)</t>
  </si>
  <si>
    <t>Answer:  Tr =</t>
  </si>
  <si>
    <t>The spring type vibration and shock isolator</t>
  </si>
  <si>
    <t xml:space="preserve">information shown here may be found at: </t>
  </si>
  <si>
    <t>http://www.baldor.com</t>
  </si>
  <si>
    <t>Korfund division of Baldor Motor corp.</t>
  </si>
  <si>
    <t>and at the direct link above.</t>
  </si>
  <si>
    <t xml:space="preserve">"Effective vibration control for loads up to </t>
  </si>
  <si>
    <t xml:space="preserve">. Static deflections up to 1.36". Available </t>
  </si>
  <si>
    <t>with, or without adjustable snubbing."</t>
  </si>
  <si>
    <t xml:space="preserve">"Applications include: Stationary equipment, </t>
  </si>
  <si>
    <t xml:space="preserve">HVAC, Compressors, Pumps, Motor </t>
  </si>
  <si>
    <t>Generators, Fans, Blowers, etc."</t>
  </si>
  <si>
    <t>Vibration Damper Selection</t>
  </si>
  <si>
    <t>Calculations continued</t>
  </si>
  <si>
    <t>Gravitational constant,  g =</t>
  </si>
  <si>
    <t>Isolator Vertical Natural frequency,  Fn =</t>
  </si>
  <si>
    <t>3.13*(Kv / Wi)^.5</t>
  </si>
  <si>
    <t>Half Sine Shock Pulse Frequency,  Fp =</t>
  </si>
  <si>
    <t>1/ (2 * t)</t>
  </si>
  <si>
    <t>Answer:  Fp =</t>
  </si>
  <si>
    <t>Shock Absorber Selection</t>
  </si>
  <si>
    <t>Max Vertical Shock Transmitted,  Gv =</t>
  </si>
  <si>
    <t>Wi *(2*π*Fn)/ g</t>
  </si>
  <si>
    <t>Answer:  Gv =</t>
  </si>
  <si>
    <t>Required Average Spring Rate,  Ks =</t>
  </si>
  <si>
    <t>(2*π*Fn)^2*(W/g)</t>
  </si>
  <si>
    <t>Answer:  Ks =</t>
  </si>
  <si>
    <t>Combined Isolator Vertical Frequency,  Fc =</t>
  </si>
  <si>
    <t>3.13*(Ks / Wi)</t>
  </si>
  <si>
    <t>Answer:  Fc =</t>
  </si>
  <si>
    <t>Maximum Dynamic Travel,  Dt =</t>
  </si>
  <si>
    <t>Gv*g / (2*π*Fs)^2</t>
  </si>
  <si>
    <t>Answer:  Dt =</t>
  </si>
  <si>
    <t>Max Half Sine Pulse Velocity,  Vv =</t>
  </si>
  <si>
    <t>2*g*Gv*t / π</t>
  </si>
  <si>
    <t>Answer:  Vv =</t>
  </si>
  <si>
    <t>in/sec</t>
  </si>
  <si>
    <t xml:space="preserve">Above: Korfund division of Baldor Motor corp. </t>
  </si>
  <si>
    <t>Goal Seek</t>
  </si>
  <si>
    <t>Frequency of vibration f is cycles per second or Hz.</t>
  </si>
  <si>
    <t>Forced Un-damped Vibrations</t>
  </si>
  <si>
    <t>C is the damping constant force per second velocity.</t>
  </si>
  <si>
    <t>Vibration Isolator Vendors</t>
  </si>
  <si>
    <t>radians</t>
  </si>
  <si>
    <t>degrees</t>
  </si>
  <si>
    <t>1/ (2*π)*((k/12)*/M))^.5</t>
  </si>
  <si>
    <t>1/(2*π)*((k/12)*/M))^.5</t>
  </si>
  <si>
    <r>
      <t>Omega, ω</t>
    </r>
    <r>
      <rPr>
        <sz val="12"/>
        <rFont val="Arial"/>
        <family val="2"/>
      </rPr>
      <t xml:space="preserve"> is the angular frequency as defined below.</t>
    </r>
  </si>
  <si>
    <r>
      <t>We will assume, F(t) = Fm*Sin(</t>
    </r>
    <r>
      <rPr>
        <sz val="12"/>
        <rFont val="Arial"/>
        <family val="2"/>
      </rPr>
      <t>ω</t>
    </r>
    <r>
      <rPr>
        <sz val="12"/>
        <color theme="1"/>
        <rFont val="Arial"/>
        <family val="2"/>
      </rPr>
      <t xml:space="preserve">t) </t>
    </r>
  </si>
  <si>
    <t xml:space="preserve">M390 VIBRATION AND SHOCK LOAD SPREADSHEET </t>
  </si>
  <si>
    <t>VIBRATION MATERIALS</t>
  </si>
  <si>
    <t>END OF SECTION</t>
  </si>
  <si>
    <t xml:space="preserve">The inertia forces of rotating and oscillating machinery </t>
  </si>
  <si>
    <t>cause elastic supports to vibrate.</t>
  </si>
  <si>
    <t xml:space="preserve">Vibration amplitudes can be reduced by installing </t>
  </si>
  <si>
    <t>vibration damping mounting pads or springs.</t>
  </si>
  <si>
    <t xml:space="preserve">John Andrew LLC </t>
  </si>
  <si>
    <t>Copyright © 11/15/2022</t>
  </si>
  <si>
    <t xml:space="preserve">Undamped Vibrations </t>
  </si>
  <si>
    <t>Undamped Vibration</t>
  </si>
  <si>
    <t>Damped Vibration</t>
  </si>
  <si>
    <t xml:space="preserve">Go to the Barry Controls </t>
  </si>
  <si>
    <t>Undamped Vibrations - Example Only</t>
  </si>
  <si>
    <t>Data</t>
  </si>
  <si>
    <t>What-If Analysis</t>
  </si>
  <si>
    <t>Pick Cell C43 (Equation Cell)</t>
  </si>
  <si>
    <t>By changing cell: C34</t>
  </si>
  <si>
    <t>To value:  0.82</t>
  </si>
  <si>
    <t>OK</t>
  </si>
  <si>
    <t>Goal Seek Method</t>
  </si>
  <si>
    <t>See more at "Math Tools" tab below.</t>
  </si>
  <si>
    <t>MATH TOOLS</t>
  </si>
  <si>
    <t xml:space="preserve">Unlock a worksheet with "Unprotect" </t>
  </si>
  <si>
    <t>Step-1</t>
  </si>
  <si>
    <t xml:space="preserve">HOME </t>
  </si>
  <si>
    <t>Step-2</t>
  </si>
  <si>
    <t xml:space="preserve">Format </t>
  </si>
  <si>
    <t>Step-3</t>
  </si>
  <si>
    <t>Unprotect Sheet</t>
  </si>
  <si>
    <t>Step-4</t>
  </si>
  <si>
    <t xml:space="preserve">Lock a worksheet with "Protect Sheet" </t>
  </si>
  <si>
    <t>Protect Sheet Box Opens</t>
  </si>
  <si>
    <t>Step-5</t>
  </si>
  <si>
    <t>NEW EXCEL</t>
  </si>
  <si>
    <t>OLD EXCEL</t>
  </si>
  <si>
    <t>Step-6</t>
  </si>
  <si>
    <t>Step-7</t>
  </si>
  <si>
    <t>Protect Sheet</t>
  </si>
  <si>
    <t>Password is not required.</t>
  </si>
  <si>
    <t>Check the "Protect Sheet" two boxes right &gt;&gt;</t>
  </si>
  <si>
    <t>Select Unlocked Cells</t>
  </si>
  <si>
    <t>Format Cells</t>
  </si>
  <si>
    <t>Step</t>
  </si>
  <si>
    <t>Enter</t>
  </si>
  <si>
    <t>Follow Steps&gt;&gt;</t>
  </si>
  <si>
    <t xml:space="preserve">GOAL SEEK </t>
  </si>
  <si>
    <t>H =</t>
  </si>
  <si>
    <t>lbs</t>
  </si>
  <si>
    <t>Format</t>
  </si>
  <si>
    <t>V =</t>
  </si>
  <si>
    <t>llbs</t>
  </si>
  <si>
    <t>Horizontal force, H =</t>
  </si>
  <si>
    <t>TAN(A) =</t>
  </si>
  <si>
    <t>V/H</t>
  </si>
  <si>
    <t>Number</t>
  </si>
  <si>
    <t>Vertical force, V =</t>
  </si>
  <si>
    <t>number</t>
  </si>
  <si>
    <t>Decimal Places</t>
  </si>
  <si>
    <t>Angle  A =</t>
  </si>
  <si>
    <t>ATAN(V/H)</t>
  </si>
  <si>
    <t>Resultant force, R =</t>
  </si>
  <si>
    <t>( H^2 + V^2 )^(1/2)</t>
  </si>
  <si>
    <t>A radians =</t>
  </si>
  <si>
    <t xml:space="preserve">57.3*A </t>
  </si>
  <si>
    <t>Angle, A =</t>
  </si>
  <si>
    <t>57.30 * ATAN(V / H)</t>
  </si>
  <si>
    <t>57.3*A</t>
  </si>
  <si>
    <t>deg</t>
  </si>
  <si>
    <t>GOAL SEEK method</t>
  </si>
  <si>
    <t>Step-1  Select the green cell C38 containing a formula.</t>
  </si>
  <si>
    <t>Step-2  Select: DATA  &gt; What-If Analysis &gt; Goal Seek</t>
  </si>
  <si>
    <t>Step-3  To value: 14, for example</t>
  </si>
  <si>
    <t>Step-4  Pick cell containing value to be changed by Excel: C34 or C35 &gt; OK</t>
  </si>
  <si>
    <t>Select &gt; OK and "Goal Seek Status'&gt;&gt; will open &gt; OK</t>
  </si>
  <si>
    <r>
      <t xml:space="preserve">Applied </t>
    </r>
    <r>
      <rPr>
        <b/>
        <sz val="12"/>
        <rFont val="Arial"/>
        <family val="2"/>
      </rPr>
      <t>Vertical</t>
    </r>
    <r>
      <rPr>
        <sz val="12"/>
        <color theme="1"/>
        <rFont val="Arial"/>
        <family val="2"/>
      </rPr>
      <t xml:space="preserve"> Shock Acceleration,  Gv =</t>
    </r>
  </si>
  <si>
    <t>DAMPED VIBRATION with FORCING FUNCTION</t>
  </si>
  <si>
    <t>SHOCK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</si>
</sst>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"/>
    <numFmt numFmtId="167" formatCode="0.0000"/>
    <numFmt numFmtId="168" formatCode="0.000000"/>
  </numFmts>
  <fonts count="16" x14ac:knownFonts="1"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right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0" xfId="1" applyFont="1" applyAlignment="1" applyProtection="1"/>
    <xf numFmtId="0" fontId="9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right"/>
    </xf>
    <xf numFmtId="0" fontId="10" fillId="0" borderId="0" xfId="0" applyFont="1"/>
    <xf numFmtId="15" fontId="10" fillId="0" borderId="0" xfId="0" applyNumberFormat="1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2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" fontId="10" fillId="0" borderId="2" xfId="0" applyNumberFormat="1" applyFont="1" applyBorder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65" fontId="10" fillId="0" borderId="1" xfId="0" applyNumberFormat="1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164" fontId="10" fillId="0" borderId="2" xfId="0" applyNumberFormat="1" applyFont="1" applyBorder="1" applyAlignment="1" applyProtection="1">
      <alignment horizontal="center"/>
      <protection locked="0"/>
    </xf>
    <xf numFmtId="11" fontId="10" fillId="0" borderId="1" xfId="0" applyNumberFormat="1" applyFont="1" applyBorder="1" applyAlignment="1" applyProtection="1">
      <alignment horizontal="center"/>
      <protection locked="0"/>
    </xf>
    <xf numFmtId="165" fontId="10" fillId="0" borderId="3" xfId="0" applyNumberFormat="1" applyFont="1" applyBorder="1" applyAlignment="1" applyProtection="1">
      <alignment horizontal="center"/>
      <protection locked="0"/>
    </xf>
    <xf numFmtId="11" fontId="10" fillId="0" borderId="3" xfId="0" applyNumberFormat="1" applyFont="1" applyBorder="1" applyAlignment="1" applyProtection="1">
      <alignment horizontal="center"/>
      <protection locked="0"/>
    </xf>
    <xf numFmtId="2" fontId="10" fillId="0" borderId="3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3" fillId="0" borderId="0" xfId="0" applyFont="1"/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0" fontId="4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 applyProtection="1">
      <alignment horizontal="center"/>
      <protection locked="0"/>
    </xf>
    <xf numFmtId="1" fontId="10" fillId="0" borderId="2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5" fillId="0" borderId="0" xfId="0" applyFont="1"/>
    <xf numFmtId="164" fontId="2" fillId="6" borderId="4" xfId="0" applyNumberFormat="1" applyFont="1" applyFill="1" applyBorder="1" applyAlignment="1" applyProtection="1">
      <alignment horizontal="center"/>
      <protection locked="0"/>
    </xf>
    <xf numFmtId="15" fontId="6" fillId="0" borderId="0" xfId="0" applyNumberFormat="1" applyFont="1"/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0" fillId="0" borderId="0" xfId="0" quotePrefix="1" applyFont="1" applyAlignment="1" applyProtection="1">
      <alignment horizontal="right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2" fontId="2" fillId="5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2" fontId="2" fillId="3" borderId="4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167" fontId="4" fillId="0" borderId="0" xfId="0" applyNumberFormat="1" applyFont="1" applyAlignment="1">
      <alignment horizontal="left"/>
    </xf>
    <xf numFmtId="165" fontId="2" fillId="4" borderId="4" xfId="0" applyNumberFormat="1" applyFont="1" applyFill="1" applyBorder="1" applyAlignment="1" applyProtection="1">
      <alignment horizontal="left"/>
      <protection locked="0"/>
    </xf>
    <xf numFmtId="2" fontId="4" fillId="0" borderId="0" xfId="0" applyNumberFormat="1" applyFont="1" applyAlignment="1">
      <alignment horizontal="left"/>
    </xf>
    <xf numFmtId="2" fontId="2" fillId="7" borderId="4" xfId="0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0" fillId="0" borderId="0" xfId="0" quotePrefix="1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5" xfId="1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9" fillId="0" borderId="6" xfId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7" Type="http://schemas.openxmlformats.org/officeDocument/2006/relationships/image" Target="../media/image31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5" Type="http://schemas.openxmlformats.org/officeDocument/2006/relationships/image" Target="../media/image29.jpeg"/><Relationship Id="rId4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7" Type="http://schemas.openxmlformats.org/officeDocument/2006/relationships/image" Target="../media/image30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6" Type="http://schemas.openxmlformats.org/officeDocument/2006/relationships/image" Target="../media/image29.jpeg"/><Relationship Id="rId5" Type="http://schemas.openxmlformats.org/officeDocument/2006/relationships/image" Target="../media/image23.png"/><Relationship Id="rId4" Type="http://schemas.openxmlformats.org/officeDocument/2006/relationships/image" Target="../media/image3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jpg"/><Relationship Id="rId7" Type="http://schemas.openxmlformats.org/officeDocument/2006/relationships/image" Target="../media/image42.jpg"/><Relationship Id="rId2" Type="http://schemas.openxmlformats.org/officeDocument/2006/relationships/image" Target="../media/image37.tif"/><Relationship Id="rId1" Type="http://schemas.openxmlformats.org/officeDocument/2006/relationships/image" Target="../media/image36.tif"/><Relationship Id="rId6" Type="http://schemas.openxmlformats.org/officeDocument/2006/relationships/image" Target="../media/image41.jpg"/><Relationship Id="rId5" Type="http://schemas.openxmlformats.org/officeDocument/2006/relationships/image" Target="../media/image40.jpg"/><Relationship Id="rId4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45</xdr:row>
      <xdr:rowOff>104775</xdr:rowOff>
    </xdr:from>
    <xdr:to>
      <xdr:col>3</xdr:col>
      <xdr:colOff>323850</xdr:colOff>
      <xdr:row>56</xdr:row>
      <xdr:rowOff>28575</xdr:rowOff>
    </xdr:to>
    <xdr:pic>
      <xdr:nvPicPr>
        <xdr:cNvPr id="28" name="Picture 1" descr="SINE-WAVE-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" y="9877425"/>
          <a:ext cx="34194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156</xdr:row>
      <xdr:rowOff>161925</xdr:rowOff>
    </xdr:from>
    <xdr:to>
      <xdr:col>5</xdr:col>
      <xdr:colOff>552450</xdr:colOff>
      <xdr:row>172</xdr:row>
      <xdr:rowOff>28575</xdr:rowOff>
    </xdr:to>
    <xdr:pic>
      <xdr:nvPicPr>
        <xdr:cNvPr id="29" name="Picture 2" descr="GRAPG-TRANSMISSIBILITY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31194375"/>
          <a:ext cx="281940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188</xdr:row>
      <xdr:rowOff>95250</xdr:rowOff>
    </xdr:from>
    <xdr:to>
      <xdr:col>5</xdr:col>
      <xdr:colOff>438150</xdr:colOff>
      <xdr:row>201</xdr:row>
      <xdr:rowOff>171450</xdr:rowOff>
    </xdr:to>
    <xdr:pic>
      <xdr:nvPicPr>
        <xdr:cNvPr id="30" name="Picture 3" descr="SPRINGS-SERIES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19650" y="30784800"/>
          <a:ext cx="8382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177</xdr:row>
      <xdr:rowOff>38100</xdr:rowOff>
    </xdr:from>
    <xdr:to>
      <xdr:col>5</xdr:col>
      <xdr:colOff>523875</xdr:colOff>
      <xdr:row>187</xdr:row>
      <xdr:rowOff>38100</xdr:rowOff>
    </xdr:to>
    <xdr:pic>
      <xdr:nvPicPr>
        <xdr:cNvPr id="31" name="Picture 4" descr="SPRINGS-PARALEL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48200" y="28917900"/>
          <a:ext cx="10953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2390775</xdr:colOff>
      <xdr:row>213</xdr:row>
      <xdr:rowOff>47625</xdr:rowOff>
    </xdr:from>
    <xdr:to>
      <xdr:col>5</xdr:col>
      <xdr:colOff>171450</xdr:colOff>
      <xdr:row>222</xdr:row>
      <xdr:rowOff>104775</xdr:rowOff>
    </xdr:to>
    <xdr:pic>
      <xdr:nvPicPr>
        <xdr:cNvPr id="32" name="Picture 5" descr="SHAFT-CRIT-SPEED-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90775" y="42443400"/>
          <a:ext cx="32289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504824</xdr:colOff>
      <xdr:row>378</xdr:row>
      <xdr:rowOff>76200</xdr:rowOff>
    </xdr:from>
    <xdr:to>
      <xdr:col>5</xdr:col>
      <xdr:colOff>495299</xdr:colOff>
      <xdr:row>388</xdr:row>
      <xdr:rowOff>190500</xdr:rowOff>
    </xdr:to>
    <xdr:pic>
      <xdr:nvPicPr>
        <xdr:cNvPr id="33" name="Picture 6" descr="BALANCE-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4" y="73771125"/>
          <a:ext cx="22574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2533651</xdr:colOff>
      <xdr:row>391</xdr:row>
      <xdr:rowOff>133350</xdr:rowOff>
    </xdr:from>
    <xdr:to>
      <xdr:col>5</xdr:col>
      <xdr:colOff>342901</xdr:colOff>
      <xdr:row>407</xdr:row>
      <xdr:rowOff>9525</xdr:rowOff>
    </xdr:to>
    <xdr:pic>
      <xdr:nvPicPr>
        <xdr:cNvPr id="34" name="Picture 7" descr="BALANCE-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33651" y="76323825"/>
          <a:ext cx="325755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2838450</xdr:colOff>
      <xdr:row>409</xdr:row>
      <xdr:rowOff>171450</xdr:rowOff>
    </xdr:from>
    <xdr:to>
      <xdr:col>4</xdr:col>
      <xdr:colOff>447675</xdr:colOff>
      <xdr:row>421</xdr:row>
      <xdr:rowOff>66675</xdr:rowOff>
    </xdr:to>
    <xdr:pic>
      <xdr:nvPicPr>
        <xdr:cNvPr id="35" name="Picture 8" descr="BALANCE-CRANK-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8450" y="79800450"/>
          <a:ext cx="24479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2943225</xdr:colOff>
      <xdr:row>442</xdr:row>
      <xdr:rowOff>9525</xdr:rowOff>
    </xdr:from>
    <xdr:to>
      <xdr:col>5</xdr:col>
      <xdr:colOff>247650</xdr:colOff>
      <xdr:row>451</xdr:row>
      <xdr:rowOff>152400</xdr:rowOff>
    </xdr:to>
    <xdr:pic>
      <xdr:nvPicPr>
        <xdr:cNvPr id="36" name="Picture 13" descr="MOTOR-COMPRESSO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43225" y="89573100"/>
          <a:ext cx="27527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486</xdr:row>
      <xdr:rowOff>76200</xdr:rowOff>
    </xdr:from>
    <xdr:to>
      <xdr:col>5</xdr:col>
      <xdr:colOff>485775</xdr:colOff>
      <xdr:row>496</xdr:row>
      <xdr:rowOff>38100</xdr:rowOff>
    </xdr:to>
    <xdr:pic>
      <xdr:nvPicPr>
        <xdr:cNvPr id="37" name="Picture 14" descr="MOTOR-DRU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86125" y="98040825"/>
          <a:ext cx="24765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15</xdr:row>
      <xdr:rowOff>47625</xdr:rowOff>
    </xdr:from>
    <xdr:to>
      <xdr:col>5</xdr:col>
      <xdr:colOff>190500</xdr:colOff>
      <xdr:row>28</xdr:row>
      <xdr:rowOff>0</xdr:rowOff>
    </xdr:to>
    <xdr:pic>
      <xdr:nvPicPr>
        <xdr:cNvPr id="42" name="Picture 22" descr="DAMPED-VIBS-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343275" y="1457325"/>
          <a:ext cx="21812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60</xdr:row>
      <xdr:rowOff>85725</xdr:rowOff>
    </xdr:from>
    <xdr:to>
      <xdr:col>4</xdr:col>
      <xdr:colOff>66674</xdr:colOff>
      <xdr:row>70</xdr:row>
      <xdr:rowOff>76200</xdr:rowOff>
    </xdr:to>
    <xdr:pic>
      <xdr:nvPicPr>
        <xdr:cNvPr id="43" name="Picture 23" descr="MOTOR-UNDAMPED-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1475" y="10239375"/>
          <a:ext cx="4533899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136</xdr:row>
      <xdr:rowOff>47625</xdr:rowOff>
    </xdr:from>
    <xdr:to>
      <xdr:col>4</xdr:col>
      <xdr:colOff>371475</xdr:colOff>
      <xdr:row>154</xdr:row>
      <xdr:rowOff>28575</xdr:rowOff>
    </xdr:to>
    <xdr:pic>
      <xdr:nvPicPr>
        <xdr:cNvPr id="44" name="Picture 24" descr="MASS-SPRING-TRANSMISSIBILITY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57475" y="21440775"/>
          <a:ext cx="24384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254</xdr:row>
      <xdr:rowOff>0</xdr:rowOff>
    </xdr:from>
    <xdr:to>
      <xdr:col>5</xdr:col>
      <xdr:colOff>457200</xdr:colOff>
      <xdr:row>258</xdr:row>
      <xdr:rowOff>171450</xdr:rowOff>
    </xdr:to>
    <xdr:pic>
      <xdr:nvPicPr>
        <xdr:cNvPr id="45" name="Picture 25" descr="BEAM-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610100" y="42900600"/>
          <a:ext cx="1066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264</xdr:row>
      <xdr:rowOff>85725</xdr:rowOff>
    </xdr:from>
    <xdr:to>
      <xdr:col>5</xdr:col>
      <xdr:colOff>533400</xdr:colOff>
      <xdr:row>269</xdr:row>
      <xdr:rowOff>123825</xdr:rowOff>
    </xdr:to>
    <xdr:pic>
      <xdr:nvPicPr>
        <xdr:cNvPr id="46" name="Picture 26" descr="BEAM-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676775" y="44624625"/>
          <a:ext cx="10763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590550</xdr:colOff>
      <xdr:row>302</xdr:row>
      <xdr:rowOff>142875</xdr:rowOff>
    </xdr:from>
    <xdr:to>
      <xdr:col>5</xdr:col>
      <xdr:colOff>419100</xdr:colOff>
      <xdr:row>308</xdr:row>
      <xdr:rowOff>95250</xdr:rowOff>
    </xdr:to>
    <xdr:pic>
      <xdr:nvPicPr>
        <xdr:cNvPr id="47" name="Picture 27" descr="BEAM-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91050" y="50892075"/>
          <a:ext cx="10477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288</xdr:row>
      <xdr:rowOff>66675</xdr:rowOff>
    </xdr:from>
    <xdr:to>
      <xdr:col>5</xdr:col>
      <xdr:colOff>457200</xdr:colOff>
      <xdr:row>294</xdr:row>
      <xdr:rowOff>38100</xdr:rowOff>
    </xdr:to>
    <xdr:pic>
      <xdr:nvPicPr>
        <xdr:cNvPr id="48" name="Picture 28" descr="BEAM-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48200" y="48529875"/>
          <a:ext cx="10287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312</xdr:row>
      <xdr:rowOff>38100</xdr:rowOff>
    </xdr:from>
    <xdr:to>
      <xdr:col>5</xdr:col>
      <xdr:colOff>466725</xdr:colOff>
      <xdr:row>318</xdr:row>
      <xdr:rowOff>19050</xdr:rowOff>
    </xdr:to>
    <xdr:pic>
      <xdr:nvPicPr>
        <xdr:cNvPr id="49" name="Picture 30" descr="BEAM-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72025" y="61807725"/>
          <a:ext cx="9715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276</xdr:row>
      <xdr:rowOff>28575</xdr:rowOff>
    </xdr:from>
    <xdr:to>
      <xdr:col>5</xdr:col>
      <xdr:colOff>571500</xdr:colOff>
      <xdr:row>282</xdr:row>
      <xdr:rowOff>95250</xdr:rowOff>
    </xdr:to>
    <xdr:pic>
      <xdr:nvPicPr>
        <xdr:cNvPr id="50" name="Picture 36" descr="BEAM-w-PINNED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638675" y="46529625"/>
          <a:ext cx="11525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49</xdr:row>
      <xdr:rowOff>28575</xdr:rowOff>
    </xdr:from>
    <xdr:to>
      <xdr:col>5</xdr:col>
      <xdr:colOff>400050</xdr:colOff>
      <xdr:row>51</xdr:row>
      <xdr:rowOff>95250</xdr:rowOff>
    </xdr:to>
    <xdr:sp macro="" textlink="">
      <xdr:nvSpPr>
        <xdr:cNvPr id="51" name="Text Box 12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676775" y="7000875"/>
          <a:ext cx="94297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Displacement vs Time Graph</a:t>
          </a:r>
        </a:p>
      </xdr:txBody>
    </xdr:sp>
    <xdr:clientData/>
  </xdr:twoCellAnchor>
  <xdr:twoCellAnchor>
    <xdr:from>
      <xdr:col>1</xdr:col>
      <xdr:colOff>247650</xdr:colOff>
      <xdr:row>330</xdr:row>
      <xdr:rowOff>57150</xdr:rowOff>
    </xdr:from>
    <xdr:to>
      <xdr:col>1</xdr:col>
      <xdr:colOff>2362200</xdr:colOff>
      <xdr:row>336</xdr:row>
      <xdr:rowOff>114300</xdr:rowOff>
    </xdr:to>
    <xdr:sp macro="" textlink="">
      <xdr:nvSpPr>
        <xdr:cNvPr id="52" name="Text Box 12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47650" y="55416450"/>
          <a:ext cx="2114550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Circular Stiffness Factors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Circular Plate, simply supported edges,  K = 4.99.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Circular Plate, fixed supported edges,  K = 10.2.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1133475</xdr:colOff>
      <xdr:row>45</xdr:row>
      <xdr:rowOff>57150</xdr:rowOff>
    </xdr:from>
    <xdr:to>
      <xdr:col>9</xdr:col>
      <xdr:colOff>161925</xdr:colOff>
      <xdr:row>55</xdr:row>
      <xdr:rowOff>171450</xdr:rowOff>
    </xdr:to>
    <xdr:pic>
      <xdr:nvPicPr>
        <xdr:cNvPr id="54" name="Picture 1" descr="SINE-WAVE-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" y="7372350"/>
          <a:ext cx="34194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228600</xdr:colOff>
      <xdr:row>49</xdr:row>
      <xdr:rowOff>47625</xdr:rowOff>
    </xdr:from>
    <xdr:to>
      <xdr:col>10</xdr:col>
      <xdr:colOff>561975</xdr:colOff>
      <xdr:row>51</xdr:row>
      <xdr:rowOff>114300</xdr:rowOff>
    </xdr:to>
    <xdr:sp macro="" textlink="">
      <xdr:nvSpPr>
        <xdr:cNvPr id="55" name="Text Box 12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848975" y="8124825"/>
          <a:ext cx="94297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Displacement vs Time Graph</a:t>
          </a:r>
        </a:p>
      </xdr:txBody>
    </xdr:sp>
    <xdr:clientData/>
  </xdr:twoCellAnchor>
  <xdr:twoCellAnchor>
    <xdr:from>
      <xdr:col>10</xdr:col>
      <xdr:colOff>123824</xdr:colOff>
      <xdr:row>1</xdr:row>
      <xdr:rowOff>123826</xdr:rowOff>
    </xdr:from>
    <xdr:to>
      <xdr:col>15</xdr:col>
      <xdr:colOff>257174</xdr:colOff>
      <xdr:row>18</xdr:row>
      <xdr:rowOff>123826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1963399" y="381001"/>
          <a:ext cx="3248025" cy="331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endParaRPr lang="en-US" sz="1200" b="1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Spread Sheet Method: new Excel version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1. Type in values for the </a:t>
          </a:r>
          <a:r>
            <a:rPr lang="en-US" sz="1200" b="1" i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Input Data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200">
            <a:latin typeface="Arial" pitchFamily="34" charset="0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2. Excel will make the </a:t>
          </a:r>
          <a:r>
            <a:rPr lang="en-US" sz="1200" b="1" i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Calculations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200">
            <a:latin typeface="Arial" pitchFamily="34" charset="0"/>
            <a:cs typeface="Arial" pitchFamily="34" charset="0"/>
          </a:endParaRPr>
        </a:p>
        <a:p>
          <a:pPr rtl="0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1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Excel's GOAL SEEK 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Excel's, "Goal Seek" adjusts one Input value to cause a Calculated formula cell to equal a given value.</a:t>
          </a:r>
          <a:endParaRPr lang="en-US" sz="1200">
            <a:latin typeface="Arial" pitchFamily="34" charset="0"/>
            <a:cs typeface="Arial" pitchFamily="34" charset="0"/>
          </a:endParaRPr>
        </a:p>
        <a:p>
          <a:pPr rtl="0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When using Excel's Goal Seek, unprotect the spread sheet by selecting: Drop down menu:  Home &gt; Format &gt; Unprotect Sheet &gt; OK </a:t>
          </a:r>
          <a:endParaRPr lang="en-US" sz="1200">
            <a:latin typeface="Arial" pitchFamily="34" charset="0"/>
            <a:cs typeface="Arial" pitchFamily="34" charset="0"/>
          </a:endParaRPr>
        </a:p>
        <a:p>
          <a:pPr rtl="0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When Excel's Goal Seek is not needed, restore protection with:</a:t>
          </a:r>
          <a:endParaRPr lang="en-US" sz="1200">
            <a:latin typeface="Arial" pitchFamily="34" charset="0"/>
            <a:cs typeface="Arial" pitchFamily="34" charset="0"/>
          </a:endParaRPr>
        </a:p>
        <a:p>
          <a:pPr rtl="0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Drop down menu:  Home &gt; Format &gt; Protect Sheet &gt; OK </a:t>
          </a:r>
          <a:endParaRPr lang="en-US" sz="1200">
            <a:latin typeface="Arial" pitchFamily="34" charset="0"/>
            <a:cs typeface="Arial" pitchFamily="34" charset="0"/>
          </a:endParaRPr>
        </a:p>
        <a:p>
          <a:endParaRPr lang="en-US" sz="1100"/>
        </a:p>
      </xdr:txBody>
    </xdr:sp>
    <xdr:clientData/>
  </xdr:twoCellAnchor>
  <xdr:twoCellAnchor editAs="oneCell">
    <xdr:from>
      <xdr:col>7</xdr:col>
      <xdr:colOff>704850</xdr:colOff>
      <xdr:row>15</xdr:row>
      <xdr:rowOff>66675</xdr:rowOff>
    </xdr:from>
    <xdr:to>
      <xdr:col>9</xdr:col>
      <xdr:colOff>533400</xdr:colOff>
      <xdr:row>28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F0835-7EE6-DA0B-683D-1F9737BB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4095750"/>
          <a:ext cx="1733550" cy="2533650"/>
        </a:xfrm>
        <a:prstGeom prst="rect">
          <a:avLst/>
        </a:prstGeom>
      </xdr:spPr>
    </xdr:pic>
    <xdr:clientData/>
  </xdr:twoCellAnchor>
  <xdr:twoCellAnchor>
    <xdr:from>
      <xdr:col>6</xdr:col>
      <xdr:colOff>6349</xdr:colOff>
      <xdr:row>4</xdr:row>
      <xdr:rowOff>12700</xdr:rowOff>
    </xdr:from>
    <xdr:to>
      <xdr:col>8</xdr:col>
      <xdr:colOff>466725</xdr:colOff>
      <xdr:row>13</xdr:row>
      <xdr:rowOff>15875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48E08D-BDD7-45C8-B2AB-6E7ECD0E9D24}"/>
            </a:ext>
          </a:extLst>
        </xdr:cNvPr>
        <xdr:cNvSpPr txBox="1"/>
      </xdr:nvSpPr>
      <xdr:spPr>
        <a:xfrm>
          <a:off x="6502399" y="879475"/>
          <a:ext cx="4584701" cy="175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DISCLAIMER: The materials contained in the online course are not intended as a representation or warranty on the part of John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Andrew LLC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 any other person/organization named herein. The materials are for general information only. They are not a substitute for competent professional advice. Application of this information to a specific project should be reviewed by a registered professional engineer. Anyone making use of the information set forth herein does so at their own risk and assumes any and all resulting liability arising therefrom. 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n-US" sz="1100"/>
        </a:p>
      </xdr:txBody>
    </xdr:sp>
    <xdr:clientData/>
  </xdr:twoCellAnchor>
  <xdr:twoCellAnchor editAs="oneCell">
    <xdr:from>
      <xdr:col>6</xdr:col>
      <xdr:colOff>1514475</xdr:colOff>
      <xdr:row>84</xdr:row>
      <xdr:rowOff>66675</xdr:rowOff>
    </xdr:from>
    <xdr:to>
      <xdr:col>9</xdr:col>
      <xdr:colOff>418048</xdr:colOff>
      <xdr:row>92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EB6496-343F-9B65-1084-CBA8A9CD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10525" y="16373475"/>
          <a:ext cx="3637498" cy="159067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94</xdr:row>
      <xdr:rowOff>171449</xdr:rowOff>
    </xdr:from>
    <xdr:to>
      <xdr:col>7</xdr:col>
      <xdr:colOff>900982</xdr:colOff>
      <xdr:row>105</xdr:row>
      <xdr:rowOff>19049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2367FD0-DBCC-5B59-340F-17EE2749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18545174"/>
          <a:ext cx="3367957" cy="1990725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1190625</xdr:colOff>
      <xdr:row>95</xdr:row>
      <xdr:rowOff>76200</xdr:rowOff>
    </xdr:from>
    <xdr:to>
      <xdr:col>13</xdr:col>
      <xdr:colOff>391029</xdr:colOff>
      <xdr:row>104</xdr:row>
      <xdr:rowOff>9759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6D0FC5-A80D-216F-4F76-D968B748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515600" y="18640425"/>
          <a:ext cx="3610479" cy="1676634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106</xdr:row>
      <xdr:rowOff>85725</xdr:rowOff>
    </xdr:from>
    <xdr:to>
      <xdr:col>8</xdr:col>
      <xdr:colOff>95250</xdr:colOff>
      <xdr:row>122</xdr:row>
      <xdr:rowOff>38100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71B685C-EA72-507F-314D-1C737C2446A9}"/>
            </a:ext>
          </a:extLst>
        </xdr:cNvPr>
        <xdr:cNvSpPr txBox="1"/>
      </xdr:nvSpPr>
      <xdr:spPr>
        <a:xfrm>
          <a:off x="6543675" y="20793075"/>
          <a:ext cx="4171950" cy="3152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"Most elastomeric isolators cannot be constantly subjected to large strains."</a:t>
          </a:r>
        </a:p>
        <a:p>
          <a:endParaRPr lang="en-US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"An isolator with a large static deflection may give satisfactory performance temporarily but it tends to drift or creep excessively over a relatively short period of time. </a:t>
          </a:r>
        </a:p>
        <a:p>
          <a:endParaRPr lang="en-US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Opinions on maximum permissible static strain vary widely, but it may be taken as a conservative limitation that elastomers should not be continuously strained more than 10 to 15% in compression, nor more than 25 to 50% in shear. </a:t>
          </a:r>
        </a:p>
        <a:p>
          <a:endParaRPr lang="en-US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rules of thumb are often used to determine the maximum load capacity of a given isolator."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438149</xdr:colOff>
      <xdr:row>107</xdr:row>
      <xdr:rowOff>133351</xdr:rowOff>
    </xdr:from>
    <xdr:to>
      <xdr:col>13</xdr:col>
      <xdr:colOff>57149</xdr:colOff>
      <xdr:row>114</xdr:row>
      <xdr:rowOff>142876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71BAFF3-8792-03DF-047F-D9B955DFAC23}"/>
            </a:ext>
          </a:extLst>
        </xdr:cNvPr>
        <xdr:cNvSpPr txBox="1"/>
      </xdr:nvSpPr>
      <xdr:spPr>
        <a:xfrm>
          <a:off x="11058524" y="21040726"/>
          <a:ext cx="2733675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"For applications where all metal isolators are desired because of temperature extremes or other environmental factors, damping can be added to a load carrying spring by use of metal mesh insterts."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171450</xdr:colOff>
      <xdr:row>33</xdr:row>
      <xdr:rowOff>57150</xdr:rowOff>
    </xdr:from>
    <xdr:to>
      <xdr:col>14</xdr:col>
      <xdr:colOff>505127</xdr:colOff>
      <xdr:row>40</xdr:row>
      <xdr:rowOff>171661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08344E8-54F4-B8E8-3426-A0E39721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687300" y="6515100"/>
          <a:ext cx="2162477" cy="1514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5</xdr:row>
      <xdr:rowOff>133350</xdr:rowOff>
    </xdr:from>
    <xdr:to>
      <xdr:col>1</xdr:col>
      <xdr:colOff>2543175</xdr:colOff>
      <xdr:row>15</xdr:row>
      <xdr:rowOff>66675</xdr:rowOff>
    </xdr:to>
    <xdr:pic>
      <xdr:nvPicPr>
        <xdr:cNvPr id="2" name="Picture 9" descr="SHOCK-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152525"/>
          <a:ext cx="19431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5</xdr:row>
      <xdr:rowOff>114300</xdr:rowOff>
    </xdr:from>
    <xdr:to>
      <xdr:col>5</xdr:col>
      <xdr:colOff>504825</xdr:colOff>
      <xdr:row>15</xdr:row>
      <xdr:rowOff>19050</xdr:rowOff>
    </xdr:to>
    <xdr:pic>
      <xdr:nvPicPr>
        <xdr:cNvPr id="3" name="Picture 10" descr="SHOCK-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52825" y="1000125"/>
          <a:ext cx="19335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21</xdr:row>
      <xdr:rowOff>95250</xdr:rowOff>
    </xdr:from>
    <xdr:to>
      <xdr:col>1</xdr:col>
      <xdr:colOff>2438400</xdr:colOff>
      <xdr:row>31</xdr:row>
      <xdr:rowOff>0</xdr:rowOff>
    </xdr:to>
    <xdr:pic>
      <xdr:nvPicPr>
        <xdr:cNvPr id="4" name="Picture 11" descr="SHOCK-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" y="3609975"/>
          <a:ext cx="16668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20</xdr:row>
      <xdr:rowOff>66675</xdr:rowOff>
    </xdr:from>
    <xdr:to>
      <xdr:col>5</xdr:col>
      <xdr:colOff>504825</xdr:colOff>
      <xdr:row>32</xdr:row>
      <xdr:rowOff>0</xdr:rowOff>
    </xdr:to>
    <xdr:pic>
      <xdr:nvPicPr>
        <xdr:cNvPr id="5" name="Picture 12" descr="SHOCK-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3381375"/>
          <a:ext cx="17240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96</xdr:row>
      <xdr:rowOff>76200</xdr:rowOff>
    </xdr:from>
    <xdr:to>
      <xdr:col>5</xdr:col>
      <xdr:colOff>485775</xdr:colOff>
      <xdr:row>111</xdr:row>
      <xdr:rowOff>57150</xdr:rowOff>
    </xdr:to>
    <xdr:pic>
      <xdr:nvPicPr>
        <xdr:cNvPr id="6" name="Picture 19" descr="SPRING-ISOLATOR-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38475" y="157734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164</xdr:row>
      <xdr:rowOff>57150</xdr:rowOff>
    </xdr:from>
    <xdr:to>
      <xdr:col>5</xdr:col>
      <xdr:colOff>152400</xdr:colOff>
      <xdr:row>183</xdr:row>
      <xdr:rowOff>76200</xdr:rowOff>
    </xdr:to>
    <xdr:pic>
      <xdr:nvPicPr>
        <xdr:cNvPr id="7" name="Picture 20" descr="SPRING-ISOLATOR-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0975" y="26765250"/>
          <a:ext cx="54102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914400</xdr:colOff>
      <xdr:row>139</xdr:row>
      <xdr:rowOff>114300</xdr:rowOff>
    </xdr:from>
    <xdr:to>
      <xdr:col>5</xdr:col>
      <xdr:colOff>66675</xdr:colOff>
      <xdr:row>164</xdr:row>
      <xdr:rowOff>66675</xdr:rowOff>
    </xdr:to>
    <xdr:pic>
      <xdr:nvPicPr>
        <xdr:cNvPr id="8" name="Picture 21" descr="SPRING-ISOLATOR-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4400" y="22774275"/>
          <a:ext cx="459105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13</xdr:row>
      <xdr:rowOff>19050</xdr:rowOff>
    </xdr:from>
    <xdr:to>
      <xdr:col>9</xdr:col>
      <xdr:colOff>428625</xdr:colOff>
      <xdr:row>43</xdr:row>
      <xdr:rowOff>38100</xdr:rowOff>
    </xdr:to>
    <xdr:pic>
      <xdr:nvPicPr>
        <xdr:cNvPr id="2" name="Picture 15" descr="BARRY-CONT-633A-1">
          <a:extLst>
            <a:ext uri="{FF2B5EF4-FFF2-40B4-BE49-F238E27FC236}">
              <a16:creationId xmlns:a16="http://schemas.microsoft.com/office/drawing/2014/main" id="{7E3AB4B8-7084-45BA-BB60-B376BE07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2571750"/>
          <a:ext cx="4581525" cy="603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49</xdr:row>
      <xdr:rowOff>9525</xdr:rowOff>
    </xdr:from>
    <xdr:to>
      <xdr:col>10</xdr:col>
      <xdr:colOff>447675</xdr:colOff>
      <xdr:row>85</xdr:row>
      <xdr:rowOff>0</xdr:rowOff>
    </xdr:to>
    <xdr:pic>
      <xdr:nvPicPr>
        <xdr:cNvPr id="3" name="Picture 16" descr="BARRY-CONT-633A-2">
          <a:extLst>
            <a:ext uri="{FF2B5EF4-FFF2-40B4-BE49-F238E27FC236}">
              <a16:creationId xmlns:a16="http://schemas.microsoft.com/office/drawing/2014/main" id="{7198B2F8-231C-48D0-B0EF-1BAE2EF07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9763125"/>
          <a:ext cx="5143500" cy="721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990600</xdr:colOff>
      <xdr:row>96</xdr:row>
      <xdr:rowOff>133350</xdr:rowOff>
    </xdr:from>
    <xdr:to>
      <xdr:col>10</xdr:col>
      <xdr:colOff>57150</xdr:colOff>
      <xdr:row>117</xdr:row>
      <xdr:rowOff>123825</xdr:rowOff>
    </xdr:to>
    <xdr:pic>
      <xdr:nvPicPr>
        <xdr:cNvPr id="4" name="Picture 17" descr="BARRY-CONT-633A-4-2">
          <a:extLst>
            <a:ext uri="{FF2B5EF4-FFF2-40B4-BE49-F238E27FC236}">
              <a16:creationId xmlns:a16="http://schemas.microsoft.com/office/drawing/2014/main" id="{CDFBB4CE-0CBC-4C56-A363-3DBEA59E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0" y="122682000"/>
          <a:ext cx="371475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121</xdr:row>
      <xdr:rowOff>76200</xdr:rowOff>
    </xdr:from>
    <xdr:to>
      <xdr:col>10</xdr:col>
      <xdr:colOff>495300</xdr:colOff>
      <xdr:row>143</xdr:row>
      <xdr:rowOff>104775</xdr:rowOff>
    </xdr:to>
    <xdr:pic>
      <xdr:nvPicPr>
        <xdr:cNvPr id="5" name="Picture 18" descr="BARRY-CONT-633A-5-2">
          <a:extLst>
            <a:ext uri="{FF2B5EF4-FFF2-40B4-BE49-F238E27FC236}">
              <a16:creationId xmlns:a16="http://schemas.microsoft.com/office/drawing/2014/main" id="{90481F6F-8E87-4661-AC3C-36D8F0A3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5850" y="127406400"/>
          <a:ext cx="415290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17</xdr:col>
      <xdr:colOff>562479</xdr:colOff>
      <xdr:row>14</xdr:row>
      <xdr:rowOff>85959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D5A3A2-304D-8B9E-EB3C-A83FB848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53275" y="1266825"/>
          <a:ext cx="3610479" cy="167663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16</xdr:row>
      <xdr:rowOff>123825</xdr:rowOff>
    </xdr:from>
    <xdr:to>
      <xdr:col>21</xdr:col>
      <xdr:colOff>361950</xdr:colOff>
      <xdr:row>30</xdr:row>
      <xdr:rowOff>180975</xdr:rowOff>
    </xdr:to>
    <xdr:pic>
      <xdr:nvPicPr>
        <xdr:cNvPr id="7" name="Picture 19" descr="SPRING-ISOLATOR-4">
          <a:extLst>
            <a:ext uri="{FF2B5EF4-FFF2-40B4-BE49-F238E27FC236}">
              <a16:creationId xmlns:a16="http://schemas.microsoft.com/office/drawing/2014/main" id="{5137D91D-E650-425E-84CE-932F8D3D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77475" y="3381375"/>
          <a:ext cx="272415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21</xdr:col>
      <xdr:colOff>171450</xdr:colOff>
      <xdr:row>52</xdr:row>
      <xdr:rowOff>38100</xdr:rowOff>
    </xdr:to>
    <xdr:pic>
      <xdr:nvPicPr>
        <xdr:cNvPr id="8" name="Picture 20" descr="SPRING-ISOLATOR-1">
          <a:extLst>
            <a:ext uri="{FF2B5EF4-FFF2-40B4-BE49-F238E27FC236}">
              <a16:creationId xmlns:a16="http://schemas.microsoft.com/office/drawing/2014/main" id="{380B925C-A41C-47C8-92DB-4EE22E39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53275" y="6877050"/>
          <a:ext cx="5657850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10</xdr:row>
      <xdr:rowOff>57150</xdr:rowOff>
    </xdr:from>
    <xdr:to>
      <xdr:col>10</xdr:col>
      <xdr:colOff>1325176</xdr:colOff>
      <xdr:row>24</xdr:row>
      <xdr:rowOff>187325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74034-45AF-4F9A-82A1-57E5D817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1" y="2038350"/>
          <a:ext cx="2525325" cy="27971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23</xdr:row>
      <xdr:rowOff>66675</xdr:rowOff>
    </xdr:from>
    <xdr:to>
      <xdr:col>3</xdr:col>
      <xdr:colOff>149225</xdr:colOff>
      <xdr:row>30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BC4417-0BEF-44A8-9CF0-B50A52B7F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629150"/>
          <a:ext cx="2120900" cy="13684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38100</xdr:rowOff>
    </xdr:from>
    <xdr:to>
      <xdr:col>7</xdr:col>
      <xdr:colOff>18638</xdr:colOff>
      <xdr:row>27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D4C10C-B8A4-4AFE-A15C-74840819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019300"/>
          <a:ext cx="2237963" cy="32099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</xdr:row>
      <xdr:rowOff>95251</xdr:rowOff>
    </xdr:from>
    <xdr:to>
      <xdr:col>5</xdr:col>
      <xdr:colOff>454025</xdr:colOff>
      <xdr:row>7</xdr:row>
      <xdr:rowOff>183072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184C16-E1EE-45E4-9BD5-87E71C073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676276"/>
          <a:ext cx="1263650" cy="849821"/>
        </a:xfrm>
        <a:prstGeom prst="rect">
          <a:avLst/>
        </a:prstGeom>
      </xdr:spPr>
    </xdr:pic>
    <xdr:clientData/>
  </xdr:twoCellAnchor>
  <xdr:twoCellAnchor editAs="oneCell">
    <xdr:from>
      <xdr:col>10</xdr:col>
      <xdr:colOff>676275</xdr:colOff>
      <xdr:row>28</xdr:row>
      <xdr:rowOff>28575</xdr:rowOff>
    </xdr:from>
    <xdr:to>
      <xdr:col>17</xdr:col>
      <xdr:colOff>18263</xdr:colOff>
      <xdr:row>49</xdr:row>
      <xdr:rowOff>130175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D0D1EB-5A2E-43F7-9259-C55F95EA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5686425"/>
          <a:ext cx="4371188" cy="436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644525</xdr:colOff>
      <xdr:row>54</xdr:row>
      <xdr:rowOff>53975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E817EB5-1BA6-4DCE-8303-752E0BDB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372600"/>
          <a:ext cx="2006600" cy="13874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6</xdr:col>
      <xdr:colOff>263525</xdr:colOff>
      <xdr:row>54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84BEF0-6DB9-45C0-B841-9CD07A84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9372600"/>
          <a:ext cx="2463800" cy="1419225"/>
        </a:xfrm>
        <a:prstGeom prst="rect">
          <a:avLst/>
        </a:prstGeom>
      </xdr:spPr>
    </xdr:pic>
    <xdr:clientData/>
  </xdr:twoCellAnchor>
  <xdr:oneCellAnchor>
    <xdr:from>
      <xdr:col>8</xdr:col>
      <xdr:colOff>19051</xdr:colOff>
      <xdr:row>10</xdr:row>
      <xdr:rowOff>57150</xdr:rowOff>
    </xdr:from>
    <xdr:ext cx="2528500" cy="2800350"/>
    <xdr:pic>
      <xdr:nvPicPr>
        <xdr:cNvPr id="9" name="Picture 8">
          <a:extLst>
            <a:ext uri="{FF2B5EF4-FFF2-40B4-BE49-F238E27FC236}">
              <a16:creationId xmlns:a16="http://schemas.microsoft.com/office/drawing/2014/main" id="{CD6A8ADF-6C45-477A-9F57-7CAB7F074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1" y="2038350"/>
          <a:ext cx="2528500" cy="2800350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23</xdr:row>
      <xdr:rowOff>66675</xdr:rowOff>
    </xdr:from>
    <xdr:ext cx="2124075" cy="1371600"/>
    <xdr:pic>
      <xdr:nvPicPr>
        <xdr:cNvPr id="10" name="Picture 9">
          <a:extLst>
            <a:ext uri="{FF2B5EF4-FFF2-40B4-BE49-F238E27FC236}">
              <a16:creationId xmlns:a16="http://schemas.microsoft.com/office/drawing/2014/main" id="{F0E58C46-0A85-40A5-9DA3-DB41AD5E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629150"/>
          <a:ext cx="2124075" cy="13716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38100</xdr:rowOff>
    </xdr:from>
    <xdr:ext cx="2237963" cy="3209925"/>
    <xdr:pic>
      <xdr:nvPicPr>
        <xdr:cNvPr id="11" name="Picture 10">
          <a:extLst>
            <a:ext uri="{FF2B5EF4-FFF2-40B4-BE49-F238E27FC236}">
              <a16:creationId xmlns:a16="http://schemas.microsoft.com/office/drawing/2014/main" id="{AE6004DA-7636-4A61-8110-A21A3417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019300"/>
          <a:ext cx="2237963" cy="3209925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3</xdr:row>
      <xdr:rowOff>95251</xdr:rowOff>
    </xdr:from>
    <xdr:ext cx="1266825" cy="852996"/>
    <xdr:pic>
      <xdr:nvPicPr>
        <xdr:cNvPr id="12" name="Picture 11">
          <a:extLst>
            <a:ext uri="{FF2B5EF4-FFF2-40B4-BE49-F238E27FC236}">
              <a16:creationId xmlns:a16="http://schemas.microsoft.com/office/drawing/2014/main" id="{0199AD48-BE71-40D7-B6A4-C78663876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676276"/>
          <a:ext cx="1266825" cy="85299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009775" cy="1390650"/>
    <xdr:pic>
      <xdr:nvPicPr>
        <xdr:cNvPr id="14" name="Picture 13">
          <a:extLst>
            <a:ext uri="{FF2B5EF4-FFF2-40B4-BE49-F238E27FC236}">
              <a16:creationId xmlns:a16="http://schemas.microsoft.com/office/drawing/2014/main" id="{50407171-9161-4D84-8569-D066CEDF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372600"/>
          <a:ext cx="2009775" cy="13906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2466975" cy="1419225"/>
    <xdr:pic>
      <xdr:nvPicPr>
        <xdr:cNvPr id="15" name="Picture 14">
          <a:extLst>
            <a:ext uri="{FF2B5EF4-FFF2-40B4-BE49-F238E27FC236}">
              <a16:creationId xmlns:a16="http://schemas.microsoft.com/office/drawing/2014/main" id="{C0EF7BD0-9EA1-44C5-ABA8-EDBC8CBEB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9372600"/>
          <a:ext cx="2466975" cy="1419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rycontrol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ldor.com/" TargetMode="External"/><Relationship Id="rId1" Type="http://schemas.openxmlformats.org/officeDocument/2006/relationships/hyperlink" Target="http://www.baldor.com/support/product_specs/generators/Vibration_Isolators/01_Korfund_Catalog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ldor.com/" TargetMode="External"/><Relationship Id="rId2" Type="http://schemas.openxmlformats.org/officeDocument/2006/relationships/hyperlink" Target="http://www.barrycontrols.com/" TargetMode="External"/><Relationship Id="rId1" Type="http://schemas.openxmlformats.org/officeDocument/2006/relationships/hyperlink" Target="http://www.barrycontrols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13"/>
  <sheetViews>
    <sheetView tabSelected="1" zoomScaleNormal="100" workbookViewId="0">
      <selection activeCell="G1" sqref="G1"/>
    </sheetView>
  </sheetViews>
  <sheetFormatPr defaultRowHeight="15" x14ac:dyDescent="0.2"/>
  <cols>
    <col min="1" max="1" width="6.5703125" style="41" customWidth="1"/>
    <col min="2" max="2" width="47.7109375" style="41" customWidth="1"/>
    <col min="3" max="3" width="15.7109375" style="41" customWidth="1"/>
    <col min="4" max="6" width="9.140625" style="41"/>
    <col min="7" max="7" width="42.42578125" style="41" customWidth="1"/>
    <col min="8" max="8" width="19.42578125" style="47" customWidth="1"/>
    <col min="9" max="9" width="9.140625" style="45"/>
    <col min="10" max="10" width="9.140625" style="41"/>
    <col min="11" max="11" width="10.140625" style="41" customWidth="1"/>
    <col min="12" max="16384" width="9.140625" style="41"/>
  </cols>
  <sheetData>
    <row r="1" spans="2:13" ht="20.25" x14ac:dyDescent="0.3">
      <c r="B1" s="71" t="s">
        <v>493</v>
      </c>
      <c r="D1" s="2"/>
      <c r="E1" s="42"/>
      <c r="F1" s="7"/>
      <c r="G1" s="43"/>
      <c r="H1" s="44"/>
    </row>
    <row r="2" spans="2:13" x14ac:dyDescent="0.2">
      <c r="B2" s="8"/>
      <c r="G2" s="43"/>
      <c r="H2" s="44"/>
    </row>
    <row r="3" spans="2:13" ht="18" x14ac:dyDescent="0.25">
      <c r="B3" s="85" t="s">
        <v>569</v>
      </c>
      <c r="C3" s="46"/>
      <c r="D3" s="46"/>
      <c r="G3" s="6" t="s">
        <v>500</v>
      </c>
      <c r="H3" s="6"/>
      <c r="I3" s="6"/>
      <c r="K3" s="76"/>
      <c r="L3" s="76"/>
      <c r="M3" s="76"/>
    </row>
    <row r="4" spans="2:13" x14ac:dyDescent="0.2">
      <c r="C4" s="46"/>
      <c r="D4" s="46"/>
      <c r="G4" s="41" t="s">
        <v>501</v>
      </c>
      <c r="H4" s="41"/>
      <c r="I4" s="41"/>
      <c r="K4" s="76"/>
      <c r="L4" s="76"/>
      <c r="M4" s="76"/>
    </row>
    <row r="5" spans="2:13" x14ac:dyDescent="0.2">
      <c r="B5" s="45" t="s">
        <v>496</v>
      </c>
      <c r="C5" s="46"/>
      <c r="D5" s="46"/>
      <c r="H5" s="41"/>
      <c r="I5" s="41"/>
      <c r="K5" s="76"/>
      <c r="L5" s="76"/>
      <c r="M5" s="76"/>
    </row>
    <row r="6" spans="2:13" x14ac:dyDescent="0.2">
      <c r="B6" s="41" t="s">
        <v>497</v>
      </c>
      <c r="C6" s="46"/>
      <c r="D6" s="46"/>
      <c r="H6" s="41"/>
      <c r="I6" s="41"/>
      <c r="K6" s="76"/>
      <c r="L6" s="76"/>
      <c r="M6" s="76"/>
    </row>
    <row r="7" spans="2:13" x14ac:dyDescent="0.2">
      <c r="H7" s="41"/>
      <c r="I7" s="41"/>
      <c r="K7" s="76"/>
      <c r="L7" s="76"/>
      <c r="M7" s="76"/>
    </row>
    <row r="8" spans="2:13" x14ac:dyDescent="0.2">
      <c r="B8" s="45" t="s">
        <v>498</v>
      </c>
      <c r="H8" s="41"/>
      <c r="I8" s="41"/>
      <c r="K8" s="76"/>
      <c r="L8" s="76"/>
      <c r="M8" s="76"/>
    </row>
    <row r="9" spans="2:13" x14ac:dyDescent="0.2">
      <c r="B9" s="41" t="s">
        <v>499</v>
      </c>
      <c r="H9" s="41"/>
      <c r="I9" s="41"/>
      <c r="K9" s="76"/>
      <c r="L9" s="76"/>
      <c r="M9" s="76"/>
    </row>
    <row r="10" spans="2:13" x14ac:dyDescent="0.2">
      <c r="H10" s="41"/>
      <c r="I10" s="41"/>
      <c r="K10" s="76"/>
      <c r="L10" s="76"/>
      <c r="M10" s="76"/>
    </row>
    <row r="11" spans="2:13" x14ac:dyDescent="0.2">
      <c r="G11" s="77"/>
      <c r="H11" s="77"/>
      <c r="I11" s="77"/>
      <c r="J11" s="77"/>
      <c r="K11" s="77"/>
      <c r="L11" s="77"/>
      <c r="M11" s="77"/>
    </row>
    <row r="12" spans="2:13" x14ac:dyDescent="0.2">
      <c r="G12" s="77"/>
      <c r="H12" s="77"/>
      <c r="I12" s="77"/>
      <c r="J12" s="77"/>
      <c r="K12" s="77"/>
      <c r="L12" s="77"/>
      <c r="M12" s="77"/>
    </row>
    <row r="13" spans="2:13" ht="18" x14ac:dyDescent="0.25">
      <c r="B13" s="70" t="s">
        <v>1</v>
      </c>
      <c r="G13" s="77"/>
      <c r="H13" s="77"/>
      <c r="I13" s="77"/>
      <c r="J13" s="77"/>
      <c r="K13" s="77"/>
      <c r="L13" s="77"/>
      <c r="M13" s="77"/>
    </row>
    <row r="14" spans="2:13" x14ac:dyDescent="0.2">
      <c r="C14" s="46"/>
      <c r="D14" s="46"/>
      <c r="G14" s="77"/>
      <c r="H14" s="77"/>
      <c r="I14" s="77"/>
      <c r="J14" s="77"/>
      <c r="K14" s="77"/>
      <c r="L14" s="77"/>
      <c r="M14" s="77"/>
    </row>
    <row r="15" spans="2:13" x14ac:dyDescent="0.2">
      <c r="B15" s="45" t="s">
        <v>2</v>
      </c>
      <c r="C15" s="46"/>
      <c r="D15" s="46"/>
      <c r="G15" s="43"/>
      <c r="H15" s="44"/>
    </row>
    <row r="16" spans="2:13" x14ac:dyDescent="0.2">
      <c r="B16" s="45" t="s">
        <v>492</v>
      </c>
      <c r="C16" s="46"/>
      <c r="D16" s="46"/>
      <c r="G16" s="43"/>
      <c r="H16" s="44"/>
    </row>
    <row r="17" spans="2:9" x14ac:dyDescent="0.2">
      <c r="B17" s="45" t="s">
        <v>3</v>
      </c>
      <c r="C17" s="46"/>
      <c r="D17" s="46"/>
      <c r="G17" s="43"/>
      <c r="H17" s="44"/>
    </row>
    <row r="18" spans="2:9" x14ac:dyDescent="0.2">
      <c r="B18" s="45" t="s">
        <v>4</v>
      </c>
      <c r="C18" s="46"/>
      <c r="D18" s="46"/>
      <c r="G18" s="43"/>
      <c r="H18" s="44"/>
    </row>
    <row r="19" spans="2:9" x14ac:dyDescent="0.2">
      <c r="B19" s="45" t="s">
        <v>491</v>
      </c>
      <c r="C19" s="46"/>
      <c r="D19" s="46"/>
      <c r="G19" s="43"/>
      <c r="H19" s="44"/>
    </row>
    <row r="20" spans="2:9" x14ac:dyDescent="0.2">
      <c r="B20" s="45" t="s">
        <v>5</v>
      </c>
      <c r="C20" s="46"/>
      <c r="D20" s="46"/>
      <c r="G20" s="43"/>
      <c r="H20" s="44"/>
    </row>
    <row r="21" spans="2:9" x14ac:dyDescent="0.2">
      <c r="B21" s="45" t="s">
        <v>6</v>
      </c>
      <c r="C21" s="46"/>
      <c r="D21" s="46"/>
      <c r="G21" s="43"/>
      <c r="H21" s="44"/>
    </row>
    <row r="22" spans="2:9" x14ac:dyDescent="0.2">
      <c r="B22" s="45" t="s">
        <v>485</v>
      </c>
      <c r="C22" s="46"/>
      <c r="D22" s="46"/>
      <c r="G22" s="43"/>
      <c r="H22" s="44"/>
    </row>
    <row r="23" spans="2:9" x14ac:dyDescent="0.2">
      <c r="B23" s="45" t="s">
        <v>7</v>
      </c>
      <c r="C23" s="46"/>
      <c r="D23" s="46"/>
      <c r="G23" s="43"/>
      <c r="H23" s="44"/>
    </row>
    <row r="24" spans="2:9" x14ac:dyDescent="0.2">
      <c r="B24" s="45" t="s">
        <v>8</v>
      </c>
      <c r="C24" s="46"/>
      <c r="D24" s="46"/>
      <c r="G24" s="43"/>
      <c r="H24" s="44"/>
    </row>
    <row r="25" spans="2:9" x14ac:dyDescent="0.2">
      <c r="B25" s="45" t="s">
        <v>483</v>
      </c>
      <c r="C25" s="46"/>
      <c r="D25" s="46"/>
      <c r="G25" s="43"/>
      <c r="H25" s="44"/>
    </row>
    <row r="26" spans="2:9" x14ac:dyDescent="0.2">
      <c r="B26" s="45"/>
      <c r="C26" s="46"/>
      <c r="D26" s="46"/>
      <c r="G26" s="43"/>
      <c r="H26" s="44"/>
    </row>
    <row r="27" spans="2:9" x14ac:dyDescent="0.2">
      <c r="B27" s="45"/>
      <c r="C27" s="46"/>
      <c r="D27" s="46"/>
      <c r="G27" s="43"/>
      <c r="H27" s="44"/>
    </row>
    <row r="28" spans="2:9" x14ac:dyDescent="0.2">
      <c r="B28" s="47"/>
      <c r="C28" s="46"/>
      <c r="D28" s="46"/>
      <c r="G28" s="43"/>
      <c r="H28" s="44"/>
    </row>
    <row r="29" spans="2:9" ht="15.75" x14ac:dyDescent="0.25">
      <c r="B29" s="2" t="s">
        <v>502</v>
      </c>
      <c r="C29" s="46"/>
      <c r="D29" s="46"/>
      <c r="G29" s="2" t="s">
        <v>506</v>
      </c>
      <c r="H29" s="46"/>
      <c r="I29" s="46"/>
    </row>
    <row r="30" spans="2:9" x14ac:dyDescent="0.2">
      <c r="B30" s="45" t="s">
        <v>9</v>
      </c>
      <c r="C30" s="46"/>
      <c r="D30" s="46"/>
      <c r="G30" s="45" t="s">
        <v>9</v>
      </c>
      <c r="H30" s="46"/>
      <c r="I30" s="46"/>
    </row>
    <row r="31" spans="2:9" x14ac:dyDescent="0.2">
      <c r="B31" s="45" t="s">
        <v>10</v>
      </c>
      <c r="C31" s="46"/>
      <c r="D31" s="46"/>
      <c r="G31" s="45" t="s">
        <v>10</v>
      </c>
      <c r="H31" s="46"/>
      <c r="I31" s="46"/>
    </row>
    <row r="32" spans="2:9" ht="16.5" thickBot="1" x14ac:dyDescent="0.3">
      <c r="B32" s="47"/>
      <c r="C32" s="9" t="s">
        <v>11</v>
      </c>
      <c r="D32" s="46"/>
      <c r="G32" s="47"/>
      <c r="H32" s="9" t="s">
        <v>11</v>
      </c>
      <c r="I32" s="46"/>
    </row>
    <row r="33" spans="2:13" ht="18" x14ac:dyDescent="0.25">
      <c r="B33" s="47" t="s">
        <v>12</v>
      </c>
      <c r="C33" s="48">
        <v>10</v>
      </c>
      <c r="D33" s="46" t="s">
        <v>13</v>
      </c>
      <c r="G33" s="47" t="s">
        <v>12</v>
      </c>
      <c r="H33" s="49">
        <v>10</v>
      </c>
      <c r="I33" s="46" t="s">
        <v>13</v>
      </c>
      <c r="L33" s="85" t="s">
        <v>513</v>
      </c>
    </row>
    <row r="34" spans="2:13" ht="15.75" thickBot="1" x14ac:dyDescent="0.25">
      <c r="B34" s="47" t="s">
        <v>14</v>
      </c>
      <c r="C34" s="57">
        <v>80</v>
      </c>
      <c r="D34" s="46" t="s">
        <v>15</v>
      </c>
      <c r="G34" s="47" t="s">
        <v>14</v>
      </c>
      <c r="H34" s="82">
        <v>99</v>
      </c>
      <c r="I34" s="46" t="s">
        <v>15</v>
      </c>
    </row>
    <row r="35" spans="2:13" ht="15.75" x14ac:dyDescent="0.25">
      <c r="B35" s="47"/>
      <c r="C35" s="9" t="s">
        <v>16</v>
      </c>
      <c r="D35" s="46"/>
      <c r="G35" s="47"/>
      <c r="H35" s="9" t="s">
        <v>16</v>
      </c>
      <c r="I35" s="46"/>
    </row>
    <row r="36" spans="2:13" ht="15.75" x14ac:dyDescent="0.25">
      <c r="B36" s="10" t="s">
        <v>17</v>
      </c>
      <c r="C36" s="7">
        <v>32.200000000000003</v>
      </c>
      <c r="D36" s="2" t="s">
        <v>18</v>
      </c>
      <c r="G36" s="10" t="s">
        <v>17</v>
      </c>
      <c r="H36" s="7">
        <v>32.200000000000003</v>
      </c>
      <c r="I36" s="2" t="s">
        <v>18</v>
      </c>
    </row>
    <row r="37" spans="2:13" ht="15.75" x14ac:dyDescent="0.25">
      <c r="B37" s="10" t="s">
        <v>19</v>
      </c>
      <c r="C37" s="7">
        <v>3.1419999999999999</v>
      </c>
      <c r="D37" s="7"/>
      <c r="G37" s="10" t="s">
        <v>19</v>
      </c>
      <c r="H37" s="7">
        <v>3.1419999999999999</v>
      </c>
      <c r="I37" s="7"/>
    </row>
    <row r="38" spans="2:13" ht="15.75" x14ac:dyDescent="0.25">
      <c r="B38" s="10" t="s">
        <v>20</v>
      </c>
      <c r="C38" s="11" t="s">
        <v>21</v>
      </c>
      <c r="D38" s="46"/>
      <c r="G38" s="10" t="s">
        <v>20</v>
      </c>
      <c r="H38" s="11" t="s">
        <v>21</v>
      </c>
      <c r="I38" s="46"/>
    </row>
    <row r="39" spans="2:13" ht="15.75" x14ac:dyDescent="0.25">
      <c r="B39" s="12" t="s">
        <v>22</v>
      </c>
      <c r="C39" s="13">
        <f>C33/C34</f>
        <v>0.125</v>
      </c>
      <c r="D39" s="7" t="s">
        <v>23</v>
      </c>
      <c r="E39" s="41" t="s">
        <v>24</v>
      </c>
      <c r="G39" s="12" t="s">
        <v>22</v>
      </c>
      <c r="H39" s="13">
        <f>H33/H34</f>
        <v>0.10101010101010101</v>
      </c>
      <c r="I39" s="7" t="s">
        <v>23</v>
      </c>
      <c r="J39" s="41" t="s">
        <v>24</v>
      </c>
    </row>
    <row r="40" spans="2:13" ht="15.75" x14ac:dyDescent="0.25">
      <c r="B40" s="10" t="s">
        <v>25</v>
      </c>
      <c r="C40" s="7" t="s">
        <v>293</v>
      </c>
      <c r="D40" s="46"/>
      <c r="G40" s="10" t="s">
        <v>25</v>
      </c>
      <c r="H40" s="7" t="s">
        <v>293</v>
      </c>
      <c r="I40" s="46"/>
    </row>
    <row r="41" spans="2:13" ht="15.75" x14ac:dyDescent="0.25">
      <c r="B41" s="12" t="s">
        <v>26</v>
      </c>
      <c r="C41" s="11">
        <f>C33/32.2</f>
        <v>0.3105590062111801</v>
      </c>
      <c r="D41" s="2" t="s">
        <v>27</v>
      </c>
      <c r="G41" s="12" t="s">
        <v>26</v>
      </c>
      <c r="H41" s="11">
        <f>H33/32.2</f>
        <v>0.3105590062111801</v>
      </c>
      <c r="I41" s="2" t="s">
        <v>27</v>
      </c>
    </row>
    <row r="42" spans="2:13" ht="16.5" thickBot="1" x14ac:dyDescent="0.3">
      <c r="B42" s="10" t="s">
        <v>28</v>
      </c>
      <c r="C42" s="2" t="s">
        <v>489</v>
      </c>
      <c r="E42" s="7" t="s">
        <v>29</v>
      </c>
      <c r="G42" s="10" t="s">
        <v>28</v>
      </c>
      <c r="H42" s="2" t="s">
        <v>490</v>
      </c>
      <c r="I42" s="7" t="s">
        <v>29</v>
      </c>
      <c r="L42" s="46">
        <v>1</v>
      </c>
      <c r="M42" s="41" t="s">
        <v>509</v>
      </c>
    </row>
    <row r="43" spans="2:13" ht="16.5" thickBot="1" x14ac:dyDescent="0.3">
      <c r="B43" s="12" t="s">
        <v>22</v>
      </c>
      <c r="C43" s="81">
        <f>(1/(2*3.1416))*((C34/12) / C41)^0.5</f>
        <v>0.737397095063834</v>
      </c>
      <c r="E43" s="7" t="s">
        <v>29</v>
      </c>
      <c r="G43" s="12" t="s">
        <v>22</v>
      </c>
      <c r="H43" s="80">
        <f>1/(2*3.1416)*((H34/12) / H41)^0.5</f>
        <v>0.82030248312017129</v>
      </c>
      <c r="I43" s="7" t="s">
        <v>29</v>
      </c>
      <c r="L43" s="46">
        <v>2</v>
      </c>
      <c r="M43" s="41" t="s">
        <v>507</v>
      </c>
    </row>
    <row r="44" spans="2:13" ht="15.75" x14ac:dyDescent="0.25">
      <c r="B44" s="10" t="s">
        <v>30</v>
      </c>
      <c r="C44" s="7" t="s">
        <v>31</v>
      </c>
      <c r="D44" s="7"/>
      <c r="G44" s="10" t="s">
        <v>30</v>
      </c>
      <c r="H44" s="7" t="s">
        <v>31</v>
      </c>
      <c r="I44" s="7"/>
      <c r="L44" s="83">
        <v>3</v>
      </c>
      <c r="M44" s="45" t="s">
        <v>508</v>
      </c>
    </row>
    <row r="45" spans="2:13" ht="15.75" x14ac:dyDescent="0.25">
      <c r="B45" s="12" t="s">
        <v>22</v>
      </c>
      <c r="C45" s="14">
        <f>2*3.142*C43</f>
        <v>4.6338033453811329</v>
      </c>
      <c r="D45" s="2" t="s">
        <v>32</v>
      </c>
      <c r="G45" s="12" t="s">
        <v>22</v>
      </c>
      <c r="H45" s="14">
        <f>2*3.142*H43</f>
        <v>5.1547808039271565</v>
      </c>
      <c r="I45" s="2" t="s">
        <v>32</v>
      </c>
      <c r="L45" s="84">
        <v>4</v>
      </c>
      <c r="M45" s="45" t="s">
        <v>482</v>
      </c>
    </row>
    <row r="46" spans="2:13" ht="15.75" x14ac:dyDescent="0.25">
      <c r="B46" s="45" t="s">
        <v>0</v>
      </c>
      <c r="C46" s="46"/>
      <c r="D46" s="46"/>
      <c r="G46" s="45" t="s">
        <v>0</v>
      </c>
      <c r="H46" s="46"/>
      <c r="I46" s="46"/>
      <c r="L46" s="83">
        <v>5</v>
      </c>
      <c r="M46" s="45" t="s">
        <v>511</v>
      </c>
    </row>
    <row r="47" spans="2:13" ht="15.75" x14ac:dyDescent="0.25">
      <c r="C47" s="46"/>
      <c r="D47" s="46"/>
      <c r="H47" s="46"/>
      <c r="I47" s="46"/>
      <c r="L47" s="83">
        <v>6</v>
      </c>
      <c r="M47" s="41" t="s">
        <v>510</v>
      </c>
    </row>
    <row r="48" spans="2:13" ht="15.75" x14ac:dyDescent="0.25">
      <c r="B48" s="47"/>
      <c r="C48" s="46"/>
      <c r="D48" s="46"/>
      <c r="G48" s="47"/>
      <c r="H48" s="46"/>
      <c r="I48" s="46"/>
      <c r="L48" s="84">
        <v>7</v>
      </c>
      <c r="M48" s="41" t="s">
        <v>512</v>
      </c>
    </row>
    <row r="49" spans="2:12" x14ac:dyDescent="0.2">
      <c r="B49" s="47"/>
      <c r="C49" s="46"/>
      <c r="D49" s="46"/>
      <c r="G49" s="47"/>
      <c r="H49" s="46"/>
      <c r="I49" s="46"/>
      <c r="L49" s="41" t="s">
        <v>514</v>
      </c>
    </row>
    <row r="50" spans="2:12" x14ac:dyDescent="0.2">
      <c r="B50" s="47"/>
      <c r="C50" s="46"/>
      <c r="D50" s="46"/>
      <c r="G50" s="47"/>
      <c r="H50" s="46"/>
      <c r="I50" s="46"/>
    </row>
    <row r="51" spans="2:12" x14ac:dyDescent="0.2">
      <c r="B51" s="47"/>
      <c r="C51" s="46"/>
      <c r="D51" s="46"/>
      <c r="G51" s="47"/>
      <c r="H51" s="46"/>
      <c r="I51" s="46"/>
    </row>
    <row r="52" spans="2:12" x14ac:dyDescent="0.2">
      <c r="B52" s="47"/>
      <c r="C52" s="46"/>
      <c r="D52" s="46"/>
      <c r="G52" s="47"/>
      <c r="H52" s="46"/>
      <c r="I52" s="46"/>
    </row>
    <row r="53" spans="2:12" x14ac:dyDescent="0.2">
      <c r="B53" s="47"/>
      <c r="C53" s="46"/>
      <c r="D53" s="46"/>
      <c r="G53" s="47"/>
      <c r="H53" s="46"/>
      <c r="I53" s="46"/>
    </row>
    <row r="54" spans="2:12" x14ac:dyDescent="0.2">
      <c r="B54" s="47"/>
      <c r="C54" s="46"/>
      <c r="D54" s="46"/>
      <c r="G54" s="47"/>
      <c r="H54" s="46"/>
      <c r="I54" s="46"/>
    </row>
    <row r="55" spans="2:12" x14ac:dyDescent="0.2">
      <c r="B55" s="47"/>
      <c r="C55" s="46"/>
      <c r="D55" s="46"/>
      <c r="G55" s="47"/>
      <c r="H55" s="46"/>
      <c r="I55" s="46"/>
    </row>
    <row r="56" spans="2:12" x14ac:dyDescent="0.2">
      <c r="B56" s="47"/>
      <c r="C56" s="46"/>
      <c r="D56" s="46"/>
      <c r="G56" s="47"/>
      <c r="H56" s="46"/>
      <c r="I56" s="46"/>
    </row>
    <row r="57" spans="2:12" x14ac:dyDescent="0.2">
      <c r="B57" s="47"/>
      <c r="C57" s="46"/>
      <c r="D57" s="46"/>
      <c r="G57" s="47"/>
      <c r="H57" s="46"/>
      <c r="I57" s="46"/>
    </row>
    <row r="58" spans="2:12" ht="18" x14ac:dyDescent="0.25">
      <c r="B58" s="4"/>
      <c r="C58" s="9"/>
      <c r="D58" s="46"/>
      <c r="G58" s="70"/>
      <c r="H58" s="9"/>
      <c r="I58" s="46"/>
    </row>
    <row r="59" spans="2:12" ht="15.75" x14ac:dyDescent="0.25">
      <c r="B59" s="47"/>
      <c r="C59" s="45"/>
      <c r="D59" s="46"/>
      <c r="F59" s="7" t="s">
        <v>0</v>
      </c>
      <c r="G59" s="6"/>
    </row>
    <row r="60" spans="2:12" ht="15.75" x14ac:dyDescent="0.25">
      <c r="B60" s="50"/>
      <c r="C60" s="51"/>
      <c r="D60" s="51"/>
      <c r="E60" s="52"/>
      <c r="F60" s="52"/>
      <c r="G60" s="16"/>
      <c r="H60" s="45"/>
      <c r="I60" s="46"/>
      <c r="K60" s="7" t="s">
        <v>0</v>
      </c>
    </row>
    <row r="61" spans="2:12" ht="15.75" x14ac:dyDescent="0.25">
      <c r="B61" s="47"/>
      <c r="C61" s="46"/>
      <c r="D61" s="46"/>
      <c r="G61" s="16"/>
      <c r="H61" s="46"/>
      <c r="I61" s="46"/>
    </row>
    <row r="62" spans="2:12" x14ac:dyDescent="0.2">
      <c r="B62" s="47"/>
      <c r="C62" s="46"/>
      <c r="D62" s="46"/>
    </row>
    <row r="63" spans="2:12" ht="15.75" x14ac:dyDescent="0.25">
      <c r="B63" s="47"/>
      <c r="C63" s="9"/>
      <c r="D63" s="46"/>
      <c r="G63" s="16"/>
      <c r="H63" s="46"/>
      <c r="I63" s="46"/>
    </row>
    <row r="64" spans="2:12" ht="15.75" x14ac:dyDescent="0.25">
      <c r="B64" s="10"/>
      <c r="C64" s="11"/>
      <c r="D64" s="46"/>
    </row>
    <row r="65" spans="2:8" ht="15.75" x14ac:dyDescent="0.25">
      <c r="B65" s="10"/>
      <c r="C65" s="7"/>
      <c r="D65" s="46"/>
      <c r="G65" s="15"/>
    </row>
    <row r="66" spans="2:8" ht="15.75" x14ac:dyDescent="0.25">
      <c r="B66" s="10"/>
      <c r="C66" s="11"/>
      <c r="D66" s="46"/>
      <c r="G66" s="53"/>
      <c r="H66" s="44"/>
    </row>
    <row r="67" spans="2:8" x14ac:dyDescent="0.2">
      <c r="B67" s="47"/>
      <c r="C67" s="46"/>
      <c r="D67" s="46"/>
      <c r="H67" s="44"/>
    </row>
    <row r="68" spans="2:8" x14ac:dyDescent="0.2">
      <c r="B68" s="47"/>
      <c r="C68" s="46"/>
      <c r="D68" s="46"/>
      <c r="G68" s="53"/>
      <c r="H68" s="44"/>
    </row>
    <row r="69" spans="2:8" x14ac:dyDescent="0.2">
      <c r="B69" s="47"/>
      <c r="C69" s="46"/>
      <c r="D69" s="46"/>
      <c r="H69" s="44"/>
    </row>
    <row r="70" spans="2:8" x14ac:dyDescent="0.2">
      <c r="B70" s="47"/>
      <c r="C70" s="46"/>
      <c r="D70" s="46"/>
      <c r="G70" s="43"/>
      <c r="H70" s="44"/>
    </row>
    <row r="71" spans="2:8" x14ac:dyDescent="0.2">
      <c r="G71" s="43"/>
      <c r="H71" s="44"/>
    </row>
    <row r="72" spans="2:8" ht="16.5" thickBot="1" x14ac:dyDescent="0.3">
      <c r="B72" s="2" t="s">
        <v>484</v>
      </c>
      <c r="C72" s="9" t="s">
        <v>11</v>
      </c>
      <c r="D72" s="46"/>
      <c r="G72" s="43"/>
      <c r="H72" s="44"/>
    </row>
    <row r="73" spans="2:8" x14ac:dyDescent="0.2">
      <c r="B73" s="47" t="s">
        <v>33</v>
      </c>
      <c r="C73" s="54">
        <v>50</v>
      </c>
      <c r="D73" s="46" t="s">
        <v>13</v>
      </c>
      <c r="G73" s="43"/>
      <c r="H73" s="44"/>
    </row>
    <row r="74" spans="2:8" x14ac:dyDescent="0.2">
      <c r="B74" s="47" t="s">
        <v>34</v>
      </c>
      <c r="C74" s="55">
        <v>1150</v>
      </c>
      <c r="D74" s="46" t="s">
        <v>35</v>
      </c>
      <c r="G74" s="43"/>
      <c r="H74" s="44"/>
    </row>
    <row r="75" spans="2:8" ht="15.75" x14ac:dyDescent="0.25">
      <c r="B75" s="47" t="s">
        <v>36</v>
      </c>
      <c r="C75" s="55">
        <v>32.200000000000003</v>
      </c>
      <c r="D75" s="46" t="s">
        <v>18</v>
      </c>
      <c r="G75" s="15"/>
      <c r="H75" s="15"/>
    </row>
    <row r="76" spans="2:8" ht="15.75" x14ac:dyDescent="0.25">
      <c r="B76" s="47" t="s">
        <v>37</v>
      </c>
      <c r="C76" s="55">
        <v>386.4</v>
      </c>
      <c r="D76" s="46" t="s">
        <v>38</v>
      </c>
      <c r="G76" s="43"/>
      <c r="H76" s="16"/>
    </row>
    <row r="77" spans="2:8" ht="15.75" x14ac:dyDescent="0.25">
      <c r="B77" s="47" t="s">
        <v>39</v>
      </c>
      <c r="C77" s="56">
        <v>840</v>
      </c>
      <c r="D77" s="46" t="s">
        <v>13</v>
      </c>
      <c r="G77" s="43"/>
      <c r="H77" s="15"/>
    </row>
    <row r="78" spans="2:8" ht="16.5" thickBot="1" x14ac:dyDescent="0.3">
      <c r="B78" s="47" t="s">
        <v>40</v>
      </c>
      <c r="C78" s="57">
        <v>500</v>
      </c>
      <c r="D78" s="46" t="s">
        <v>15</v>
      </c>
      <c r="H78" s="15"/>
    </row>
    <row r="79" spans="2:8" ht="15.75" x14ac:dyDescent="0.25">
      <c r="B79" s="10"/>
      <c r="C79" s="9" t="s">
        <v>16</v>
      </c>
      <c r="D79" s="7"/>
      <c r="G79" s="5"/>
      <c r="H79" s="44"/>
    </row>
    <row r="80" spans="2:8" ht="15.75" x14ac:dyDescent="0.25">
      <c r="B80" s="10" t="s">
        <v>41</v>
      </c>
      <c r="C80" s="7" t="s">
        <v>42</v>
      </c>
      <c r="D80" s="7"/>
      <c r="G80" s="16"/>
      <c r="H80" s="44"/>
    </row>
    <row r="81" spans="2:8" ht="15.75" x14ac:dyDescent="0.25">
      <c r="B81" s="12" t="s">
        <v>22</v>
      </c>
      <c r="C81" s="14">
        <f>(C78*C76/C73)^0.5</f>
        <v>62.161081071680215</v>
      </c>
      <c r="D81" s="7" t="s">
        <v>43</v>
      </c>
      <c r="E81" s="46"/>
      <c r="G81" s="43"/>
      <c r="H81" s="44"/>
    </row>
    <row r="82" spans="2:8" ht="15.75" x14ac:dyDescent="0.25">
      <c r="B82" s="10" t="s">
        <v>44</v>
      </c>
      <c r="C82" s="7" t="s">
        <v>45</v>
      </c>
      <c r="D82" s="7"/>
      <c r="E82" s="58"/>
      <c r="G82" s="16"/>
      <c r="H82" s="44"/>
    </row>
    <row r="83" spans="2:8" ht="15.75" x14ac:dyDescent="0.25">
      <c r="B83" s="12" t="s">
        <v>22</v>
      </c>
      <c r="C83" s="7">
        <f>C74</f>
        <v>1150</v>
      </c>
      <c r="D83" s="2" t="s">
        <v>46</v>
      </c>
      <c r="G83" s="43"/>
      <c r="H83" s="44"/>
    </row>
    <row r="84" spans="2:8" ht="18" x14ac:dyDescent="0.25">
      <c r="B84" s="10" t="s">
        <v>47</v>
      </c>
      <c r="C84" s="7" t="s">
        <v>48</v>
      </c>
      <c r="D84" s="7" t="s">
        <v>43</v>
      </c>
      <c r="G84" s="43"/>
      <c r="H84" s="79" t="s">
        <v>503</v>
      </c>
    </row>
    <row r="85" spans="2:8" ht="15.75" x14ac:dyDescent="0.25">
      <c r="B85" s="12" t="s">
        <v>22</v>
      </c>
      <c r="C85" s="14">
        <f>C83*2*3.142/60</f>
        <v>120.44333333333333</v>
      </c>
      <c r="D85" s="7" t="s">
        <v>43</v>
      </c>
      <c r="G85" s="43"/>
      <c r="H85" s="44"/>
    </row>
    <row r="86" spans="2:8" ht="15.75" x14ac:dyDescent="0.25">
      <c r="B86" s="10" t="s">
        <v>49</v>
      </c>
      <c r="C86" s="7" t="s">
        <v>50</v>
      </c>
      <c r="D86" s="7" t="s">
        <v>23</v>
      </c>
      <c r="G86" s="43"/>
      <c r="H86" s="59"/>
    </row>
    <row r="87" spans="2:8" ht="15.75" x14ac:dyDescent="0.25">
      <c r="B87" s="12" t="s">
        <v>26</v>
      </c>
      <c r="C87" s="17">
        <f>C77/C78</f>
        <v>1.68</v>
      </c>
      <c r="D87" s="7" t="s">
        <v>23</v>
      </c>
      <c r="G87" s="43"/>
      <c r="H87" s="59"/>
    </row>
    <row r="88" spans="2:8" ht="15.75" x14ac:dyDescent="0.25">
      <c r="B88" s="10" t="s">
        <v>51</v>
      </c>
      <c r="C88" s="7" t="s">
        <v>52</v>
      </c>
      <c r="G88" s="43"/>
      <c r="H88" s="44"/>
    </row>
    <row r="89" spans="2:8" ht="15.75" x14ac:dyDescent="0.25">
      <c r="B89" s="12" t="s">
        <v>26</v>
      </c>
      <c r="C89" s="11">
        <f>-1*1/((1-(C85/C81)^2))</f>
        <v>0.36306929271100224</v>
      </c>
      <c r="G89" s="43"/>
      <c r="H89" s="44"/>
    </row>
    <row r="90" spans="2:8" ht="16.5" thickBot="1" x14ac:dyDescent="0.3">
      <c r="B90" s="10" t="s">
        <v>53</v>
      </c>
      <c r="C90" s="7" t="s">
        <v>54</v>
      </c>
      <c r="D90" s="7" t="s">
        <v>23</v>
      </c>
      <c r="G90" s="43"/>
      <c r="H90" s="44"/>
    </row>
    <row r="91" spans="2:8" ht="16.5" thickBot="1" x14ac:dyDescent="0.3">
      <c r="B91" s="10" t="s">
        <v>55</v>
      </c>
      <c r="C91" s="86">
        <f>C89*(C77/C78)</f>
        <v>0.60995641175448378</v>
      </c>
      <c r="D91" s="7" t="s">
        <v>23</v>
      </c>
      <c r="E91" s="4" t="s">
        <v>56</v>
      </c>
      <c r="G91" s="43"/>
      <c r="H91" s="44"/>
    </row>
    <row r="92" spans="2:8" x14ac:dyDescent="0.2">
      <c r="G92" s="43"/>
      <c r="H92" s="44"/>
    </row>
    <row r="93" spans="2:8" x14ac:dyDescent="0.2">
      <c r="B93" s="50"/>
      <c r="C93" s="51"/>
      <c r="D93" s="51"/>
      <c r="E93" s="52"/>
      <c r="F93" s="52"/>
      <c r="G93" s="43"/>
      <c r="H93" s="44"/>
    </row>
    <row r="94" spans="2:8" ht="18" x14ac:dyDescent="0.25">
      <c r="G94" s="43"/>
      <c r="H94" s="79" t="s">
        <v>504</v>
      </c>
    </row>
    <row r="95" spans="2:8" ht="15.75" x14ac:dyDescent="0.25">
      <c r="B95" s="2" t="s">
        <v>57</v>
      </c>
      <c r="D95" s="7"/>
      <c r="G95" s="43"/>
      <c r="H95" s="44"/>
    </row>
    <row r="96" spans="2:8" ht="16.5" thickBot="1" x14ac:dyDescent="0.3">
      <c r="C96" s="9" t="s">
        <v>58</v>
      </c>
      <c r="D96" s="46"/>
      <c r="G96" s="43"/>
      <c r="H96" s="44"/>
    </row>
    <row r="97" spans="2:10" x14ac:dyDescent="0.2">
      <c r="B97" s="47" t="s">
        <v>59</v>
      </c>
      <c r="C97" s="54">
        <v>500</v>
      </c>
      <c r="D97" s="46" t="s">
        <v>60</v>
      </c>
      <c r="G97" s="43"/>
      <c r="H97" s="44"/>
    </row>
    <row r="98" spans="2:10" x14ac:dyDescent="0.2">
      <c r="B98" s="47" t="s">
        <v>61</v>
      </c>
      <c r="C98" s="55">
        <v>1750</v>
      </c>
      <c r="D98" s="46" t="s">
        <v>35</v>
      </c>
      <c r="G98" s="43"/>
      <c r="H98" s="44"/>
    </row>
    <row r="99" spans="2:10" x14ac:dyDescent="0.2">
      <c r="B99" s="47" t="s">
        <v>62</v>
      </c>
      <c r="C99" s="55">
        <v>32.200000000000003</v>
      </c>
      <c r="D99" s="46" t="s">
        <v>18</v>
      </c>
      <c r="G99" s="43"/>
      <c r="H99" s="44"/>
    </row>
    <row r="100" spans="2:10" x14ac:dyDescent="0.2">
      <c r="B100" s="47" t="s">
        <v>63</v>
      </c>
      <c r="C100" s="55">
        <v>386.4</v>
      </c>
      <c r="D100" s="46" t="s">
        <v>38</v>
      </c>
      <c r="G100" s="43"/>
      <c r="H100" s="44"/>
    </row>
    <row r="101" spans="2:10" x14ac:dyDescent="0.2">
      <c r="B101" s="47" t="s">
        <v>64</v>
      </c>
      <c r="C101" s="55">
        <v>20000</v>
      </c>
      <c r="D101" s="46" t="s">
        <v>15</v>
      </c>
      <c r="G101" s="43"/>
      <c r="H101" s="44"/>
    </row>
    <row r="102" spans="2:10" x14ac:dyDescent="0.2">
      <c r="B102" s="47" t="s">
        <v>65</v>
      </c>
      <c r="C102" s="55">
        <v>40</v>
      </c>
      <c r="D102" s="46" t="s">
        <v>60</v>
      </c>
      <c r="G102" s="43"/>
      <c r="H102" s="44"/>
    </row>
    <row r="103" spans="2:10" x14ac:dyDescent="0.2">
      <c r="B103" s="47" t="s">
        <v>66</v>
      </c>
      <c r="C103" s="55">
        <v>1.5</v>
      </c>
      <c r="D103" s="46" t="s">
        <v>23</v>
      </c>
      <c r="G103" s="43"/>
      <c r="H103" s="44"/>
    </row>
    <row r="104" spans="2:10" ht="15.75" thickBot="1" x14ac:dyDescent="0.25">
      <c r="B104" s="47" t="s">
        <v>67</v>
      </c>
      <c r="C104" s="60">
        <v>0.2</v>
      </c>
      <c r="D104" s="46" t="s">
        <v>68</v>
      </c>
      <c r="G104" s="43"/>
      <c r="H104" s="44"/>
    </row>
    <row r="105" spans="2:10" ht="15.75" x14ac:dyDescent="0.25">
      <c r="B105" s="10"/>
      <c r="C105" s="9" t="s">
        <v>16</v>
      </c>
      <c r="D105" s="46"/>
      <c r="G105" s="43"/>
      <c r="H105" s="44"/>
    </row>
    <row r="106" spans="2:10" ht="15.75" x14ac:dyDescent="0.25">
      <c r="B106" s="10" t="s">
        <v>69</v>
      </c>
      <c r="C106" s="7" t="s">
        <v>21</v>
      </c>
      <c r="D106" s="7" t="s">
        <v>23</v>
      </c>
      <c r="G106" s="43"/>
      <c r="H106" s="44"/>
      <c r="J106" s="45" t="s">
        <v>505</v>
      </c>
    </row>
    <row r="107" spans="2:10" ht="15.75" x14ac:dyDescent="0.25">
      <c r="B107" s="12" t="s">
        <v>22</v>
      </c>
      <c r="C107" s="18">
        <f>C97/C101</f>
        <v>2.5000000000000001E-2</v>
      </c>
      <c r="D107" s="7" t="s">
        <v>23</v>
      </c>
      <c r="E107" s="41" t="s">
        <v>0</v>
      </c>
      <c r="G107" s="43"/>
      <c r="H107" s="44"/>
      <c r="J107" s="38" t="s">
        <v>364</v>
      </c>
    </row>
    <row r="108" spans="2:10" ht="15.75" x14ac:dyDescent="0.25">
      <c r="B108" s="10" t="s">
        <v>70</v>
      </c>
      <c r="C108" s="7" t="s">
        <v>71</v>
      </c>
      <c r="D108" s="7"/>
      <c r="G108" s="43"/>
      <c r="H108" s="44"/>
    </row>
    <row r="109" spans="2:10" ht="15.75" x14ac:dyDescent="0.25">
      <c r="B109" s="12" t="s">
        <v>22</v>
      </c>
      <c r="C109" s="11">
        <f>(1/(2*3.142)*(C100/C107)^0.5)</f>
        <v>19.783921410464739</v>
      </c>
      <c r="D109" s="7" t="s">
        <v>29</v>
      </c>
      <c r="G109" s="43"/>
      <c r="H109" s="44"/>
    </row>
    <row r="110" spans="2:10" ht="15.75" x14ac:dyDescent="0.25">
      <c r="B110" s="10" t="s">
        <v>44</v>
      </c>
      <c r="C110" s="7" t="s">
        <v>72</v>
      </c>
      <c r="D110" s="7" t="s">
        <v>29</v>
      </c>
      <c r="F110" s="61"/>
      <c r="G110" s="43"/>
      <c r="H110" s="44"/>
    </row>
    <row r="111" spans="2:10" ht="15.75" x14ac:dyDescent="0.25">
      <c r="B111" s="12" t="s">
        <v>26</v>
      </c>
      <c r="C111" s="13">
        <f>C98/60</f>
        <v>29.166666666666668</v>
      </c>
      <c r="D111" s="7" t="s">
        <v>29</v>
      </c>
      <c r="F111" s="61"/>
      <c r="G111" s="43"/>
      <c r="H111" s="44"/>
    </row>
    <row r="112" spans="2:10" ht="15.75" x14ac:dyDescent="0.25">
      <c r="B112" s="10" t="s">
        <v>73</v>
      </c>
      <c r="C112" s="7" t="s">
        <v>74</v>
      </c>
      <c r="D112" s="7" t="s">
        <v>43</v>
      </c>
      <c r="F112" s="61"/>
      <c r="G112" s="43"/>
      <c r="H112" s="44"/>
    </row>
    <row r="113" spans="2:8" ht="15.75" x14ac:dyDescent="0.25">
      <c r="B113" s="12" t="s">
        <v>22</v>
      </c>
      <c r="C113" s="14">
        <f>2*3.142*C111</f>
        <v>183.28333333333333</v>
      </c>
      <c r="D113" s="7" t="s">
        <v>43</v>
      </c>
      <c r="F113" s="61"/>
      <c r="G113" s="43"/>
      <c r="H113" s="44"/>
    </row>
    <row r="114" spans="2:8" ht="15.75" x14ac:dyDescent="0.25">
      <c r="B114" s="2" t="s">
        <v>75</v>
      </c>
      <c r="C114" s="7"/>
      <c r="D114" s="7"/>
      <c r="F114" s="61"/>
      <c r="G114" s="43"/>
      <c r="H114" s="44"/>
    </row>
    <row r="115" spans="2:8" ht="15.75" x14ac:dyDescent="0.25">
      <c r="B115" s="10" t="s">
        <v>76</v>
      </c>
      <c r="C115" s="7" t="s">
        <v>77</v>
      </c>
      <c r="D115" s="7"/>
      <c r="F115" s="61"/>
      <c r="G115" s="43"/>
      <c r="H115" s="44"/>
    </row>
    <row r="116" spans="2:8" ht="15.75" x14ac:dyDescent="0.25">
      <c r="B116" s="12" t="s">
        <v>26</v>
      </c>
      <c r="C116" s="19">
        <f>C102*C113^2*C103/C100</f>
        <v>5216.2702294685996</v>
      </c>
      <c r="D116" s="7" t="s">
        <v>78</v>
      </c>
      <c r="F116" s="61"/>
      <c r="G116" s="43"/>
      <c r="H116" s="44"/>
    </row>
    <row r="117" spans="2:8" ht="15.75" x14ac:dyDescent="0.25">
      <c r="B117" s="10" t="s">
        <v>79</v>
      </c>
      <c r="C117" s="7" t="s">
        <v>80</v>
      </c>
      <c r="D117" s="7"/>
      <c r="G117" s="43"/>
      <c r="H117" s="44"/>
    </row>
    <row r="118" spans="2:8" ht="15.75" x14ac:dyDescent="0.25">
      <c r="B118" s="12" t="s">
        <v>22</v>
      </c>
      <c r="C118" s="11">
        <f>C111/C109</f>
        <v>1.4742611467936235</v>
      </c>
      <c r="D118" s="7"/>
      <c r="G118" s="43"/>
      <c r="H118" s="44"/>
    </row>
    <row r="119" spans="2:8" ht="15.75" x14ac:dyDescent="0.25">
      <c r="B119" s="10" t="s">
        <v>81</v>
      </c>
      <c r="C119" s="7" t="s">
        <v>82</v>
      </c>
      <c r="D119" s="7"/>
      <c r="G119" s="43"/>
      <c r="H119" s="44"/>
    </row>
    <row r="120" spans="2:8" ht="15.75" x14ac:dyDescent="0.25">
      <c r="B120" s="12" t="s">
        <v>26</v>
      </c>
      <c r="C120" s="11">
        <f>1/((1-C118^2)^2+((2*C104*C118))^2)^0.5</f>
        <v>0.76144731059448367</v>
      </c>
      <c r="D120" s="7"/>
      <c r="G120" s="43"/>
      <c r="H120" s="44"/>
    </row>
    <row r="121" spans="2:8" ht="15.75" x14ac:dyDescent="0.25">
      <c r="B121" s="10" t="s">
        <v>83</v>
      </c>
      <c r="C121" s="7" t="s">
        <v>84</v>
      </c>
      <c r="D121" s="7" t="s">
        <v>23</v>
      </c>
      <c r="G121" s="43"/>
      <c r="H121" s="44"/>
    </row>
    <row r="122" spans="2:8" ht="15.75" x14ac:dyDescent="0.25">
      <c r="B122" s="12" t="s">
        <v>22</v>
      </c>
      <c r="C122" s="18">
        <f>(C120)*(C116/C101)</f>
        <v>0.19859574687814677</v>
      </c>
      <c r="D122" s="7" t="s">
        <v>23</v>
      </c>
      <c r="G122" s="43"/>
      <c r="H122" s="44"/>
    </row>
    <row r="123" spans="2:8" ht="15.75" x14ac:dyDescent="0.25">
      <c r="B123" s="10" t="s">
        <v>85</v>
      </c>
      <c r="C123" s="7" t="s">
        <v>86</v>
      </c>
      <c r="G123" s="43"/>
      <c r="H123" s="44"/>
    </row>
    <row r="124" spans="2:8" ht="15.75" x14ac:dyDescent="0.25">
      <c r="B124" s="12" t="s">
        <v>26</v>
      </c>
      <c r="C124" s="11">
        <f>(C120)*(1+(2*C118*C104)^2)^0.5</f>
        <v>0.88398469252549594</v>
      </c>
      <c r="G124" s="43"/>
      <c r="H124" s="44"/>
    </row>
    <row r="125" spans="2:8" ht="15.75" x14ac:dyDescent="0.25">
      <c r="B125" s="10" t="s">
        <v>87</v>
      </c>
      <c r="C125" s="7" t="s">
        <v>88</v>
      </c>
      <c r="D125" s="7"/>
      <c r="G125" s="43"/>
      <c r="H125" s="44"/>
    </row>
    <row r="126" spans="2:8" ht="15.75" x14ac:dyDescent="0.25">
      <c r="B126" s="12" t="s">
        <v>26</v>
      </c>
      <c r="C126" s="19">
        <f>C124*C116</f>
        <v>4611.1030349266985</v>
      </c>
      <c r="D126" s="7" t="s">
        <v>78</v>
      </c>
      <c r="G126" s="43"/>
      <c r="H126" s="44"/>
    </row>
    <row r="127" spans="2:8" ht="15.75" x14ac:dyDescent="0.25">
      <c r="B127" s="10"/>
      <c r="C127" s="7"/>
      <c r="D127" s="7"/>
      <c r="G127" s="43"/>
      <c r="H127" s="44"/>
    </row>
    <row r="128" spans="2:8" ht="15.75" x14ac:dyDescent="0.25">
      <c r="B128" s="52"/>
      <c r="C128" s="52"/>
      <c r="D128" s="20"/>
      <c r="E128" s="52"/>
      <c r="F128" s="52"/>
      <c r="G128" s="43"/>
      <c r="H128" s="44"/>
    </row>
    <row r="129" spans="2:8" x14ac:dyDescent="0.2">
      <c r="G129" s="43"/>
      <c r="H129" s="44"/>
    </row>
    <row r="130" spans="2:8" ht="15.75" x14ac:dyDescent="0.25">
      <c r="B130" s="2" t="s">
        <v>89</v>
      </c>
      <c r="D130" s="7"/>
      <c r="G130" s="43"/>
      <c r="H130" s="44"/>
    </row>
    <row r="131" spans="2:8" ht="15.75" x14ac:dyDescent="0.25">
      <c r="B131" s="2" t="s">
        <v>90</v>
      </c>
      <c r="C131" s="7"/>
      <c r="D131" s="46"/>
      <c r="G131" s="43"/>
      <c r="H131" s="44"/>
    </row>
    <row r="132" spans="2:8" ht="15.75" x14ac:dyDescent="0.25">
      <c r="B132" s="10" t="s">
        <v>91</v>
      </c>
      <c r="C132" s="7" t="s">
        <v>92</v>
      </c>
      <c r="D132" s="46"/>
      <c r="G132" s="43"/>
      <c r="H132" s="44"/>
    </row>
    <row r="133" spans="2:8" ht="15.75" x14ac:dyDescent="0.25">
      <c r="B133" s="10" t="s">
        <v>93</v>
      </c>
      <c r="C133" s="2" t="s">
        <v>94</v>
      </c>
      <c r="D133" s="46"/>
      <c r="G133" s="43"/>
      <c r="H133" s="44"/>
    </row>
    <row r="134" spans="2:8" ht="15.75" x14ac:dyDescent="0.25">
      <c r="B134" s="10" t="s">
        <v>93</v>
      </c>
      <c r="C134" s="7" t="s">
        <v>95</v>
      </c>
      <c r="D134" s="46"/>
      <c r="G134" s="43"/>
      <c r="H134" s="44"/>
    </row>
    <row r="135" spans="2:8" ht="15.75" x14ac:dyDescent="0.25">
      <c r="B135" s="10" t="s">
        <v>96</v>
      </c>
      <c r="C135" s="7" t="s">
        <v>97</v>
      </c>
      <c r="D135" s="46"/>
      <c r="G135" s="43"/>
      <c r="H135" s="44"/>
    </row>
    <row r="136" spans="2:8" ht="15.75" x14ac:dyDescent="0.25">
      <c r="B136" s="10" t="s">
        <v>98</v>
      </c>
      <c r="C136" s="7" t="s">
        <v>99</v>
      </c>
      <c r="D136" s="46"/>
      <c r="G136" s="43"/>
      <c r="H136" s="44"/>
    </row>
    <row r="137" spans="2:8" x14ac:dyDescent="0.2">
      <c r="G137" s="43"/>
      <c r="H137" s="44"/>
    </row>
    <row r="138" spans="2:8" x14ac:dyDescent="0.2">
      <c r="G138" s="43"/>
      <c r="H138" s="44"/>
    </row>
    <row r="139" spans="2:8" x14ac:dyDescent="0.2">
      <c r="G139" s="43"/>
      <c r="H139" s="44"/>
    </row>
    <row r="140" spans="2:8" x14ac:dyDescent="0.2">
      <c r="D140" s="46"/>
      <c r="G140" s="43"/>
      <c r="H140" s="44"/>
    </row>
    <row r="141" spans="2:8" x14ac:dyDescent="0.2">
      <c r="B141" s="47"/>
      <c r="C141" s="46"/>
      <c r="D141" s="46"/>
      <c r="G141" s="43"/>
      <c r="H141" s="44"/>
    </row>
    <row r="142" spans="2:8" x14ac:dyDescent="0.2">
      <c r="B142" s="47"/>
      <c r="C142" s="46"/>
      <c r="D142" s="46"/>
      <c r="G142" s="43"/>
      <c r="H142" s="44"/>
    </row>
    <row r="143" spans="2:8" x14ac:dyDescent="0.2">
      <c r="B143" s="47"/>
      <c r="G143" s="43"/>
      <c r="H143" s="44"/>
    </row>
    <row r="144" spans="2:8" x14ac:dyDescent="0.2">
      <c r="B144" s="47"/>
      <c r="G144" s="43"/>
      <c r="H144" s="44"/>
    </row>
    <row r="145" spans="2:8" x14ac:dyDescent="0.2">
      <c r="B145" s="47"/>
      <c r="G145" s="43"/>
      <c r="H145" s="44"/>
    </row>
    <row r="146" spans="2:8" x14ac:dyDescent="0.2">
      <c r="B146" s="47"/>
      <c r="G146" s="43"/>
      <c r="H146" s="44"/>
    </row>
    <row r="147" spans="2:8" x14ac:dyDescent="0.2">
      <c r="B147" s="47"/>
      <c r="G147" s="43"/>
      <c r="H147" s="44"/>
    </row>
    <row r="148" spans="2:8" x14ac:dyDescent="0.2">
      <c r="B148" s="47"/>
      <c r="G148" s="43"/>
      <c r="H148" s="44"/>
    </row>
    <row r="149" spans="2:8" x14ac:dyDescent="0.2">
      <c r="B149" s="47"/>
      <c r="G149" s="43"/>
      <c r="H149" s="44"/>
    </row>
    <row r="150" spans="2:8" x14ac:dyDescent="0.2">
      <c r="B150" s="47"/>
      <c r="G150" s="43"/>
      <c r="H150" s="44"/>
    </row>
    <row r="151" spans="2:8" x14ac:dyDescent="0.2">
      <c r="B151" s="47"/>
      <c r="C151" s="46"/>
      <c r="G151" s="43"/>
      <c r="H151" s="44"/>
    </row>
    <row r="152" spans="2:8" x14ac:dyDescent="0.2">
      <c r="B152" s="47"/>
      <c r="C152" s="46"/>
      <c r="G152" s="43"/>
      <c r="H152" s="44"/>
    </row>
    <row r="153" spans="2:8" x14ac:dyDescent="0.2">
      <c r="B153" s="47"/>
      <c r="G153" s="43"/>
      <c r="H153" s="44"/>
    </row>
    <row r="154" spans="2:8" x14ac:dyDescent="0.2">
      <c r="B154" s="47"/>
      <c r="G154" s="43"/>
      <c r="H154" s="44"/>
    </row>
    <row r="155" spans="2:8" x14ac:dyDescent="0.2">
      <c r="B155" s="47"/>
      <c r="G155" s="43"/>
      <c r="H155" s="44"/>
    </row>
    <row r="156" spans="2:8" x14ac:dyDescent="0.2">
      <c r="B156" s="50"/>
      <c r="C156" s="52"/>
      <c r="D156" s="52"/>
      <c r="E156" s="52"/>
      <c r="F156" s="52"/>
      <c r="G156" s="43"/>
      <c r="H156" s="44"/>
    </row>
    <row r="157" spans="2:8" x14ac:dyDescent="0.2">
      <c r="G157" s="43"/>
      <c r="H157" s="44"/>
    </row>
    <row r="158" spans="2:8" ht="15.75" x14ac:dyDescent="0.25">
      <c r="B158" s="2" t="s">
        <v>100</v>
      </c>
      <c r="C158" s="46"/>
      <c r="D158" s="46"/>
      <c r="G158" s="43"/>
      <c r="H158" s="44"/>
    </row>
    <row r="159" spans="2:8" x14ac:dyDescent="0.2">
      <c r="B159" s="21" t="s">
        <v>101</v>
      </c>
      <c r="C159" s="46"/>
      <c r="D159" s="46"/>
      <c r="G159" s="43"/>
      <c r="H159" s="44"/>
    </row>
    <row r="160" spans="2:8" x14ac:dyDescent="0.2">
      <c r="B160" s="45" t="s">
        <v>102</v>
      </c>
      <c r="C160" s="46"/>
      <c r="D160" s="46"/>
      <c r="G160" s="43"/>
      <c r="H160" s="44"/>
    </row>
    <row r="161" spans="2:8" x14ac:dyDescent="0.2">
      <c r="B161" s="45" t="s">
        <v>103</v>
      </c>
      <c r="C161" s="46"/>
      <c r="D161" s="46"/>
      <c r="G161" s="43"/>
      <c r="H161" s="44"/>
    </row>
    <row r="162" spans="2:8" x14ac:dyDescent="0.2">
      <c r="B162" s="45" t="s">
        <v>104</v>
      </c>
      <c r="C162" s="46"/>
      <c r="D162" s="46"/>
      <c r="G162" s="43"/>
      <c r="H162" s="44"/>
    </row>
    <row r="163" spans="2:8" x14ac:dyDescent="0.2">
      <c r="B163" s="45"/>
      <c r="C163" s="46"/>
      <c r="D163" s="46"/>
      <c r="G163" s="43"/>
      <c r="H163" s="44"/>
    </row>
    <row r="164" spans="2:8" x14ac:dyDescent="0.2">
      <c r="B164" s="45" t="s">
        <v>105</v>
      </c>
      <c r="C164" s="46"/>
      <c r="D164" s="46"/>
      <c r="G164" s="43"/>
      <c r="H164" s="44"/>
    </row>
    <row r="165" spans="2:8" x14ac:dyDescent="0.2">
      <c r="B165" s="45" t="s">
        <v>106</v>
      </c>
      <c r="C165" s="46"/>
      <c r="D165" s="46"/>
      <c r="G165" s="43"/>
      <c r="H165" s="44"/>
    </row>
    <row r="166" spans="2:8" x14ac:dyDescent="0.2">
      <c r="B166" s="45" t="s">
        <v>107</v>
      </c>
      <c r="C166" s="46"/>
      <c r="D166" s="46"/>
      <c r="G166" s="43"/>
      <c r="H166" s="44"/>
    </row>
    <row r="167" spans="2:8" x14ac:dyDescent="0.2">
      <c r="C167" s="46"/>
      <c r="D167" s="46"/>
      <c r="G167" s="43"/>
      <c r="H167" s="44"/>
    </row>
    <row r="168" spans="2:8" x14ac:dyDescent="0.2">
      <c r="B168" s="41" t="s">
        <v>108</v>
      </c>
      <c r="C168" s="46"/>
      <c r="D168" s="46"/>
      <c r="G168" s="43"/>
      <c r="H168" s="44"/>
    </row>
    <row r="169" spans="2:8" x14ac:dyDescent="0.2">
      <c r="B169" s="45" t="s">
        <v>109</v>
      </c>
      <c r="C169" s="46"/>
      <c r="D169" s="46"/>
      <c r="G169" s="43"/>
      <c r="H169" s="44"/>
    </row>
    <row r="170" spans="2:8" x14ac:dyDescent="0.2">
      <c r="B170" s="45" t="s">
        <v>110</v>
      </c>
      <c r="C170" s="46"/>
      <c r="D170" s="46"/>
      <c r="G170" s="43"/>
      <c r="H170" s="44"/>
    </row>
    <row r="171" spans="2:8" x14ac:dyDescent="0.2">
      <c r="B171" s="47"/>
      <c r="C171" s="46"/>
      <c r="D171" s="46"/>
      <c r="G171" s="43"/>
      <c r="H171" s="44"/>
    </row>
    <row r="172" spans="2:8" x14ac:dyDescent="0.2">
      <c r="B172" s="45" t="s">
        <v>111</v>
      </c>
      <c r="C172" s="46"/>
      <c r="D172" s="46"/>
      <c r="G172" s="43"/>
      <c r="H172" s="44"/>
    </row>
    <row r="173" spans="2:8" x14ac:dyDescent="0.2">
      <c r="B173" s="45" t="s">
        <v>112</v>
      </c>
      <c r="C173" s="46"/>
      <c r="D173" s="46"/>
      <c r="G173" s="43"/>
      <c r="H173" s="44"/>
    </row>
    <row r="174" spans="2:8" x14ac:dyDescent="0.2">
      <c r="B174" s="45" t="s">
        <v>113</v>
      </c>
      <c r="C174" s="46"/>
      <c r="D174" s="46"/>
      <c r="G174" s="43"/>
      <c r="H174" s="44"/>
    </row>
    <row r="175" spans="2:8" x14ac:dyDescent="0.2">
      <c r="B175" s="47"/>
      <c r="C175" s="46"/>
      <c r="D175" s="46"/>
      <c r="G175" s="43"/>
      <c r="H175" s="44"/>
    </row>
    <row r="176" spans="2:8" x14ac:dyDescent="0.2">
      <c r="B176" s="45" t="s">
        <v>114</v>
      </c>
      <c r="D176" s="46"/>
      <c r="G176" s="43"/>
      <c r="H176" s="44"/>
    </row>
    <row r="177" spans="2:8" ht="15.75" x14ac:dyDescent="0.25">
      <c r="B177" s="10" t="s">
        <v>115</v>
      </c>
      <c r="C177" s="7" t="s">
        <v>116</v>
      </c>
      <c r="D177" s="46"/>
      <c r="G177" s="43"/>
      <c r="H177" s="44"/>
    </row>
    <row r="178" spans="2:8" x14ac:dyDescent="0.2">
      <c r="B178" s="45" t="s">
        <v>117</v>
      </c>
      <c r="C178" s="46"/>
      <c r="D178" s="46"/>
      <c r="E178" s="41" t="s">
        <v>118</v>
      </c>
      <c r="G178" s="43"/>
      <c r="H178" s="44"/>
    </row>
    <row r="179" spans="2:8" x14ac:dyDescent="0.2">
      <c r="G179" s="43"/>
      <c r="H179" s="44"/>
    </row>
    <row r="180" spans="2:8" ht="16.5" thickBot="1" x14ac:dyDescent="0.3">
      <c r="B180" s="45"/>
      <c r="C180" s="9" t="s">
        <v>11</v>
      </c>
      <c r="D180" s="46"/>
      <c r="F180" s="7" t="s">
        <v>0</v>
      </c>
      <c r="G180" s="43"/>
      <c r="H180" s="44"/>
    </row>
    <row r="181" spans="2:8" x14ac:dyDescent="0.2">
      <c r="B181" s="47" t="s">
        <v>119</v>
      </c>
      <c r="C181" s="62">
        <v>16</v>
      </c>
      <c r="D181" s="46" t="s">
        <v>29</v>
      </c>
      <c r="G181" s="43"/>
      <c r="H181" s="44"/>
    </row>
    <row r="182" spans="2:8" ht="15.75" thickBot="1" x14ac:dyDescent="0.25">
      <c r="B182" s="47" t="s">
        <v>70</v>
      </c>
      <c r="C182" s="63">
        <v>12</v>
      </c>
      <c r="D182" s="22" t="s">
        <v>29</v>
      </c>
      <c r="G182" s="43"/>
      <c r="H182" s="44"/>
    </row>
    <row r="183" spans="2:8" ht="15.75" x14ac:dyDescent="0.25">
      <c r="B183" s="47"/>
      <c r="C183" s="9" t="s">
        <v>16</v>
      </c>
      <c r="D183" s="7"/>
      <c r="G183" s="43"/>
      <c r="H183" s="44"/>
    </row>
    <row r="184" spans="2:8" ht="15.75" x14ac:dyDescent="0.25">
      <c r="B184" s="10" t="s">
        <v>85</v>
      </c>
      <c r="C184" s="7" t="s">
        <v>120</v>
      </c>
      <c r="D184" s="46"/>
      <c r="G184" s="43"/>
      <c r="H184" s="44"/>
    </row>
    <row r="185" spans="2:8" ht="15.75" x14ac:dyDescent="0.25">
      <c r="B185" s="10" t="s">
        <v>121</v>
      </c>
      <c r="C185" s="11">
        <f>1/(1-(C181/C182)^2)</f>
        <v>-1.2857142857142858</v>
      </c>
      <c r="D185" s="46" t="s">
        <v>68</v>
      </c>
      <c r="E185" s="41" t="s">
        <v>0</v>
      </c>
      <c r="G185" s="43"/>
      <c r="H185" s="44"/>
    </row>
    <row r="186" spans="2:8" ht="15.75" x14ac:dyDescent="0.25">
      <c r="B186" s="2" t="s">
        <v>122</v>
      </c>
      <c r="D186" s="46"/>
      <c r="G186" s="43"/>
      <c r="H186" s="44"/>
    </row>
    <row r="187" spans="2:8" ht="16.5" thickBot="1" x14ac:dyDescent="0.3">
      <c r="B187" s="23"/>
      <c r="C187" s="9" t="s">
        <v>11</v>
      </c>
      <c r="D187" s="46"/>
      <c r="G187" s="43"/>
      <c r="H187" s="44"/>
    </row>
    <row r="188" spans="2:8" x14ac:dyDescent="0.2">
      <c r="B188" s="23" t="s">
        <v>85</v>
      </c>
      <c r="C188" s="54">
        <v>0.5</v>
      </c>
      <c r="D188" s="46" t="s">
        <v>68</v>
      </c>
      <c r="G188" s="43"/>
      <c r="H188" s="44"/>
    </row>
    <row r="189" spans="2:8" ht="15.75" thickBot="1" x14ac:dyDescent="0.25">
      <c r="B189" s="47" t="s">
        <v>119</v>
      </c>
      <c r="C189" s="60">
        <v>14</v>
      </c>
      <c r="D189" s="46" t="s">
        <v>29</v>
      </c>
      <c r="G189" s="43"/>
      <c r="H189" s="44"/>
    </row>
    <row r="190" spans="2:8" ht="15.75" x14ac:dyDescent="0.25">
      <c r="B190" s="47"/>
      <c r="C190" s="9" t="s">
        <v>123</v>
      </c>
      <c r="D190" s="46"/>
      <c r="G190" s="43"/>
      <c r="H190" s="44"/>
    </row>
    <row r="191" spans="2:8" ht="15.75" x14ac:dyDescent="0.25">
      <c r="B191" s="10" t="s">
        <v>124</v>
      </c>
      <c r="C191" s="7" t="s">
        <v>125</v>
      </c>
      <c r="D191" s="46"/>
      <c r="G191" s="43"/>
      <c r="H191" s="44"/>
    </row>
    <row r="192" spans="2:8" ht="15.75" x14ac:dyDescent="0.25">
      <c r="B192" s="10" t="s">
        <v>126</v>
      </c>
      <c r="C192" s="14">
        <f>C189/(1+(1/C188))^0.5</f>
        <v>8.0829037686547611</v>
      </c>
      <c r="D192" s="46" t="s">
        <v>29</v>
      </c>
      <c r="G192" s="43"/>
      <c r="H192" s="44"/>
    </row>
    <row r="193" spans="2:8" x14ac:dyDescent="0.2">
      <c r="B193" s="45" t="s">
        <v>127</v>
      </c>
      <c r="C193" s="46"/>
      <c r="D193" s="46"/>
      <c r="G193" s="43"/>
      <c r="H193" s="44"/>
    </row>
    <row r="194" spans="2:8" x14ac:dyDescent="0.2">
      <c r="C194" s="46"/>
      <c r="D194" s="46"/>
      <c r="G194" s="43"/>
      <c r="H194" s="44"/>
    </row>
    <row r="195" spans="2:8" ht="16.5" thickBot="1" x14ac:dyDescent="0.3">
      <c r="B195" s="2" t="s">
        <v>128</v>
      </c>
      <c r="C195" s="9" t="s">
        <v>11</v>
      </c>
      <c r="D195" s="46"/>
      <c r="G195" s="43"/>
      <c r="H195" s="44"/>
    </row>
    <row r="196" spans="2:8" x14ac:dyDescent="0.2">
      <c r="B196" s="47" t="s">
        <v>129</v>
      </c>
      <c r="C196" s="54">
        <v>10</v>
      </c>
      <c r="D196" s="46" t="s">
        <v>130</v>
      </c>
      <c r="G196" s="43"/>
      <c r="H196" s="44"/>
    </row>
    <row r="197" spans="2:8" ht="15.75" thickBot="1" x14ac:dyDescent="0.25">
      <c r="B197" s="47" t="s">
        <v>131</v>
      </c>
      <c r="C197" s="60">
        <v>15</v>
      </c>
      <c r="D197" s="46" t="s">
        <v>130</v>
      </c>
      <c r="G197" s="43"/>
      <c r="H197" s="44"/>
    </row>
    <row r="198" spans="2:8" ht="15.75" x14ac:dyDescent="0.25">
      <c r="B198" s="47"/>
      <c r="C198" s="9" t="s">
        <v>16</v>
      </c>
      <c r="D198" s="46"/>
      <c r="G198" s="43"/>
      <c r="H198" s="44"/>
    </row>
    <row r="199" spans="2:8" ht="15.75" x14ac:dyDescent="0.25">
      <c r="B199" s="10" t="s">
        <v>132</v>
      </c>
      <c r="C199" s="7" t="s">
        <v>133</v>
      </c>
      <c r="D199" s="46"/>
      <c r="G199" s="43"/>
      <c r="H199" s="44"/>
    </row>
    <row r="200" spans="2:8" ht="15.75" x14ac:dyDescent="0.25">
      <c r="B200" s="10" t="s">
        <v>134</v>
      </c>
      <c r="C200" s="7" t="s">
        <v>135</v>
      </c>
      <c r="D200" s="46"/>
      <c r="G200" s="43"/>
      <c r="H200" s="44"/>
    </row>
    <row r="201" spans="2:8" ht="15.75" x14ac:dyDescent="0.25">
      <c r="B201" s="10" t="s">
        <v>136</v>
      </c>
      <c r="C201" s="7">
        <f>(C196*C197)/(C196+C197)</f>
        <v>6</v>
      </c>
      <c r="D201" s="46" t="s">
        <v>130</v>
      </c>
      <c r="G201" s="43"/>
      <c r="H201" s="44"/>
    </row>
    <row r="202" spans="2:8" x14ac:dyDescent="0.2">
      <c r="B202" s="47"/>
      <c r="C202" s="46"/>
      <c r="D202" s="46"/>
      <c r="G202" s="43"/>
      <c r="H202" s="44"/>
    </row>
    <row r="203" spans="2:8" x14ac:dyDescent="0.2">
      <c r="G203" s="43"/>
      <c r="H203" s="44"/>
    </row>
    <row r="204" spans="2:8" ht="15.75" x14ac:dyDescent="0.25">
      <c r="B204" s="2" t="s">
        <v>137</v>
      </c>
      <c r="C204" s="45"/>
      <c r="D204" s="46"/>
      <c r="G204" s="43"/>
      <c r="H204" s="44"/>
    </row>
    <row r="205" spans="2:8" ht="16.5" thickBot="1" x14ac:dyDescent="0.3">
      <c r="B205" s="47"/>
      <c r="C205" s="9" t="s">
        <v>11</v>
      </c>
      <c r="D205" s="46"/>
      <c r="G205" s="43"/>
      <c r="H205" s="44"/>
    </row>
    <row r="206" spans="2:8" x14ac:dyDescent="0.2">
      <c r="B206" s="47" t="s">
        <v>129</v>
      </c>
      <c r="C206" s="54">
        <v>12</v>
      </c>
      <c r="D206" s="46" t="s">
        <v>138</v>
      </c>
      <c r="G206" s="43"/>
      <c r="H206" s="44"/>
    </row>
    <row r="207" spans="2:8" ht="15.75" thickBot="1" x14ac:dyDescent="0.25">
      <c r="B207" s="47" t="s">
        <v>131</v>
      </c>
      <c r="C207" s="60">
        <v>24</v>
      </c>
      <c r="D207" s="46" t="s">
        <v>138</v>
      </c>
      <c r="G207" s="43"/>
      <c r="H207" s="44"/>
    </row>
    <row r="208" spans="2:8" ht="15.75" x14ac:dyDescent="0.25">
      <c r="B208" s="47"/>
      <c r="C208" s="9" t="s">
        <v>16</v>
      </c>
      <c r="D208" s="46"/>
      <c r="G208" s="43"/>
      <c r="H208" s="44"/>
    </row>
    <row r="209" spans="2:8" ht="15.75" x14ac:dyDescent="0.25">
      <c r="B209" s="10" t="s">
        <v>136</v>
      </c>
      <c r="C209" s="7" t="s">
        <v>139</v>
      </c>
      <c r="D209" s="7"/>
      <c r="G209" s="43"/>
      <c r="H209" s="44"/>
    </row>
    <row r="210" spans="2:8" ht="15.75" x14ac:dyDescent="0.25">
      <c r="B210" s="10" t="s">
        <v>134</v>
      </c>
      <c r="C210" s="7">
        <f>C206+C207</f>
        <v>36</v>
      </c>
      <c r="D210" s="7" t="s">
        <v>138</v>
      </c>
      <c r="G210" s="43"/>
      <c r="H210" s="44"/>
    </row>
    <row r="211" spans="2:8" x14ac:dyDescent="0.2">
      <c r="G211" s="43"/>
      <c r="H211" s="44"/>
    </row>
    <row r="212" spans="2:8" x14ac:dyDescent="0.2">
      <c r="B212" s="52"/>
      <c r="C212" s="52"/>
      <c r="D212" s="52"/>
      <c r="E212" s="52"/>
      <c r="F212" s="52"/>
      <c r="G212" s="43"/>
      <c r="H212" s="44"/>
    </row>
    <row r="213" spans="2:8" x14ac:dyDescent="0.2">
      <c r="G213" s="43"/>
      <c r="H213" s="44"/>
    </row>
    <row r="214" spans="2:8" ht="15.75" x14ac:dyDescent="0.25">
      <c r="B214" s="2" t="s">
        <v>140</v>
      </c>
      <c r="C214" s="46"/>
      <c r="D214" s="46"/>
      <c r="G214" s="43"/>
      <c r="H214" s="44"/>
    </row>
    <row r="215" spans="2:8" x14ac:dyDescent="0.2">
      <c r="B215" s="45" t="s">
        <v>141</v>
      </c>
      <c r="C215" s="46"/>
      <c r="D215" s="46"/>
      <c r="G215" s="43"/>
      <c r="H215" s="44"/>
    </row>
    <row r="216" spans="2:8" x14ac:dyDescent="0.2">
      <c r="B216" s="45" t="s">
        <v>142</v>
      </c>
      <c r="C216" s="46"/>
      <c r="D216" s="46"/>
      <c r="G216" s="43"/>
      <c r="H216" s="44"/>
    </row>
    <row r="217" spans="2:8" x14ac:dyDescent="0.2">
      <c r="B217" s="45" t="s">
        <v>143</v>
      </c>
      <c r="C217" s="46"/>
      <c r="D217" s="46"/>
      <c r="G217" s="43"/>
      <c r="H217" s="44"/>
    </row>
    <row r="218" spans="2:8" x14ac:dyDescent="0.2">
      <c r="B218" s="45" t="s">
        <v>144</v>
      </c>
      <c r="C218" s="46"/>
      <c r="D218" s="46"/>
      <c r="G218" s="43"/>
      <c r="H218" s="44"/>
    </row>
    <row r="219" spans="2:8" x14ac:dyDescent="0.2">
      <c r="B219" s="45" t="s">
        <v>145</v>
      </c>
      <c r="C219" s="46"/>
      <c r="D219" s="46"/>
      <c r="G219" s="43"/>
      <c r="H219" s="44"/>
    </row>
    <row r="220" spans="2:8" x14ac:dyDescent="0.2">
      <c r="B220" s="45"/>
      <c r="C220" s="46"/>
      <c r="D220" s="46"/>
      <c r="G220" s="43"/>
      <c r="H220" s="44"/>
    </row>
    <row r="221" spans="2:8" x14ac:dyDescent="0.2">
      <c r="B221" s="45" t="s">
        <v>146</v>
      </c>
      <c r="C221" s="46"/>
      <c r="D221" s="46"/>
      <c r="G221" s="43"/>
      <c r="H221" s="44"/>
    </row>
    <row r="222" spans="2:8" x14ac:dyDescent="0.2">
      <c r="B222" s="45" t="s">
        <v>147</v>
      </c>
      <c r="C222" s="46"/>
      <c r="D222" s="46"/>
      <c r="G222" s="43"/>
      <c r="H222" s="44"/>
    </row>
    <row r="223" spans="2:8" x14ac:dyDescent="0.2">
      <c r="B223" s="45"/>
      <c r="C223" s="46"/>
      <c r="D223" s="46"/>
      <c r="G223" s="43"/>
      <c r="H223" s="44"/>
    </row>
    <row r="224" spans="2:8" x14ac:dyDescent="0.2">
      <c r="B224" s="47"/>
      <c r="C224" s="46"/>
      <c r="D224" s="46"/>
      <c r="G224" s="43"/>
      <c r="H224" s="44"/>
    </row>
    <row r="225" spans="2:8" ht="16.5" thickBot="1" x14ac:dyDescent="0.3">
      <c r="B225" s="47"/>
      <c r="C225" s="9" t="s">
        <v>11</v>
      </c>
      <c r="D225" s="46"/>
      <c r="G225" s="43"/>
      <c r="H225" s="44"/>
    </row>
    <row r="226" spans="2:8" x14ac:dyDescent="0.2">
      <c r="B226" s="47" t="s">
        <v>148</v>
      </c>
      <c r="C226" s="54">
        <v>50</v>
      </c>
      <c r="D226" s="46" t="s">
        <v>60</v>
      </c>
      <c r="G226" s="43"/>
      <c r="H226" s="44"/>
    </row>
    <row r="227" spans="2:8" x14ac:dyDescent="0.2">
      <c r="B227" s="47" t="s">
        <v>149</v>
      </c>
      <c r="C227" s="64">
        <v>1</v>
      </c>
      <c r="D227" s="46" t="s">
        <v>23</v>
      </c>
      <c r="G227" s="43"/>
      <c r="H227" s="44"/>
    </row>
    <row r="228" spans="2:8" x14ac:dyDescent="0.2">
      <c r="B228" s="47" t="s">
        <v>150</v>
      </c>
      <c r="C228" s="55">
        <v>29000000</v>
      </c>
      <c r="D228" s="46" t="s">
        <v>151</v>
      </c>
      <c r="G228" s="43"/>
      <c r="H228" s="44"/>
    </row>
    <row r="229" spans="2:8" x14ac:dyDescent="0.2">
      <c r="B229" s="47" t="s">
        <v>152</v>
      </c>
      <c r="C229" s="55">
        <v>20</v>
      </c>
      <c r="D229" s="46" t="s">
        <v>23</v>
      </c>
      <c r="G229" s="43"/>
      <c r="H229" s="44"/>
    </row>
    <row r="230" spans="2:8" x14ac:dyDescent="0.2">
      <c r="B230" s="47" t="s">
        <v>153</v>
      </c>
      <c r="C230" s="55">
        <v>8</v>
      </c>
      <c r="D230" s="46" t="s">
        <v>23</v>
      </c>
      <c r="G230" s="43"/>
      <c r="H230" s="44"/>
    </row>
    <row r="231" spans="2:8" x14ac:dyDescent="0.2">
      <c r="B231" s="47" t="s">
        <v>154</v>
      </c>
      <c r="C231" s="55">
        <v>32.200000000000003</v>
      </c>
      <c r="D231" s="46" t="s">
        <v>18</v>
      </c>
      <c r="G231" s="43"/>
      <c r="H231" s="44"/>
    </row>
    <row r="232" spans="2:8" ht="15.75" thickBot="1" x14ac:dyDescent="0.25">
      <c r="B232" s="47" t="s">
        <v>155</v>
      </c>
      <c r="C232" s="60">
        <f>C231*12</f>
        <v>386.40000000000003</v>
      </c>
      <c r="D232" s="46" t="s">
        <v>38</v>
      </c>
      <c r="G232" s="43"/>
      <c r="H232" s="44"/>
    </row>
    <row r="233" spans="2:8" ht="15.75" x14ac:dyDescent="0.25">
      <c r="B233" s="47"/>
      <c r="C233" s="9" t="s">
        <v>16</v>
      </c>
      <c r="D233" s="46"/>
      <c r="G233" s="43"/>
      <c r="H233" s="44"/>
    </row>
    <row r="234" spans="2:8" ht="15.75" x14ac:dyDescent="0.25">
      <c r="B234" s="10" t="s">
        <v>156</v>
      </c>
      <c r="C234" s="7" t="s">
        <v>157</v>
      </c>
      <c r="D234" s="7" t="s">
        <v>23</v>
      </c>
      <c r="G234" s="43"/>
      <c r="H234" s="44"/>
    </row>
    <row r="235" spans="2:8" ht="15.75" x14ac:dyDescent="0.25">
      <c r="B235" s="12" t="s">
        <v>22</v>
      </c>
      <c r="C235" s="11">
        <f>C227/2</f>
        <v>0.5</v>
      </c>
      <c r="D235" s="7" t="s">
        <v>23</v>
      </c>
      <c r="F235" s="7" t="s">
        <v>0</v>
      </c>
      <c r="G235" s="43"/>
      <c r="H235" s="44"/>
    </row>
    <row r="236" spans="2:8" ht="15.75" x14ac:dyDescent="0.25">
      <c r="B236" s="10"/>
      <c r="C236" s="7"/>
      <c r="D236" s="7"/>
      <c r="G236" s="43"/>
      <c r="H236" s="44"/>
    </row>
    <row r="237" spans="2:8" ht="15.75" x14ac:dyDescent="0.25">
      <c r="B237" s="10" t="s">
        <v>158</v>
      </c>
      <c r="C237" s="7" t="s">
        <v>159</v>
      </c>
      <c r="D237" s="7" t="s">
        <v>160</v>
      </c>
      <c r="G237" s="43"/>
      <c r="H237" s="44"/>
    </row>
    <row r="238" spans="2:8" ht="15.75" x14ac:dyDescent="0.25">
      <c r="B238" s="12" t="s">
        <v>22</v>
      </c>
      <c r="C238" s="18">
        <f>3.142*C235^4/4</f>
        <v>4.9093749999999999E-2</v>
      </c>
      <c r="D238" s="7" t="s">
        <v>160</v>
      </c>
      <c r="G238" s="43"/>
      <c r="H238" s="44"/>
    </row>
    <row r="239" spans="2:8" ht="15.75" x14ac:dyDescent="0.25">
      <c r="B239" s="10"/>
      <c r="C239" s="7"/>
      <c r="D239" s="7"/>
      <c r="G239" s="43"/>
      <c r="H239" s="44"/>
    </row>
    <row r="240" spans="2:8" ht="15.75" x14ac:dyDescent="0.25">
      <c r="B240" s="10" t="s">
        <v>161</v>
      </c>
      <c r="C240" s="7"/>
      <c r="D240" s="7"/>
      <c r="G240" s="43"/>
      <c r="H240" s="44"/>
    </row>
    <row r="241" spans="2:8" ht="15.75" x14ac:dyDescent="0.25">
      <c r="B241" s="10" t="s">
        <v>162</v>
      </c>
      <c r="C241" s="7"/>
      <c r="D241" s="7"/>
      <c r="G241" s="43"/>
      <c r="H241" s="44"/>
    </row>
    <row r="242" spans="2:8" ht="15.75" x14ac:dyDescent="0.25">
      <c r="B242" s="10" t="s">
        <v>163</v>
      </c>
      <c r="C242" s="2" t="s">
        <v>164</v>
      </c>
      <c r="D242" s="7" t="s">
        <v>23</v>
      </c>
      <c r="G242" s="43"/>
      <c r="H242" s="44"/>
    </row>
    <row r="243" spans="2:8" ht="15.75" x14ac:dyDescent="0.25">
      <c r="B243" s="12" t="s">
        <v>26</v>
      </c>
      <c r="C243" s="11">
        <f>C226*C230^2*(C230+C229)/(3*C228*C238)</f>
        <v>2.0977926059249179E-2</v>
      </c>
      <c r="D243" s="7" t="s">
        <v>23</v>
      </c>
      <c r="G243" s="43"/>
      <c r="H243" s="44"/>
    </row>
    <row r="244" spans="2:8" ht="15.75" x14ac:dyDescent="0.25">
      <c r="B244" s="10"/>
      <c r="C244" s="7"/>
      <c r="D244" s="7"/>
      <c r="G244" s="43"/>
      <c r="H244" s="44"/>
    </row>
    <row r="245" spans="2:8" ht="15.75" x14ac:dyDescent="0.25">
      <c r="B245" s="10" t="s">
        <v>165</v>
      </c>
      <c r="C245" s="7" t="s">
        <v>166</v>
      </c>
      <c r="D245" s="7" t="s">
        <v>29</v>
      </c>
      <c r="G245" s="43"/>
      <c r="H245" s="44"/>
    </row>
    <row r="246" spans="2:8" ht="15.75" x14ac:dyDescent="0.25">
      <c r="B246" s="12" t="s">
        <v>22</v>
      </c>
      <c r="C246" s="14">
        <f>(1/(2*3.142)*((C232/C243)^0.5))</f>
        <v>21.597381874734115</v>
      </c>
      <c r="D246" s="7" t="s">
        <v>29</v>
      </c>
      <c r="G246" s="43"/>
      <c r="H246" s="44"/>
    </row>
    <row r="247" spans="2:8" x14ac:dyDescent="0.2">
      <c r="B247" s="47"/>
      <c r="C247" s="46" t="s">
        <v>167</v>
      </c>
      <c r="D247" s="46"/>
      <c r="G247" s="43"/>
      <c r="H247" s="44"/>
    </row>
    <row r="248" spans="2:8" x14ac:dyDescent="0.2">
      <c r="B248" s="52"/>
      <c r="C248" s="52"/>
      <c r="D248" s="52"/>
      <c r="E248" s="52"/>
      <c r="F248" s="52"/>
      <c r="G248" s="43"/>
      <c r="H248" s="44"/>
    </row>
    <row r="249" spans="2:8" x14ac:dyDescent="0.2">
      <c r="G249" s="43"/>
      <c r="H249" s="44"/>
    </row>
    <row r="250" spans="2:8" ht="15.75" x14ac:dyDescent="0.25">
      <c r="B250" s="2" t="s">
        <v>168</v>
      </c>
      <c r="C250" s="46"/>
      <c r="D250" s="46"/>
      <c r="G250" s="43"/>
      <c r="H250" s="44"/>
    </row>
    <row r="251" spans="2:8" ht="16.5" thickBot="1" x14ac:dyDescent="0.3">
      <c r="B251" s="10" t="s">
        <v>169</v>
      </c>
      <c r="C251" s="9" t="s">
        <v>58</v>
      </c>
      <c r="D251" s="46"/>
      <c r="G251" s="43"/>
      <c r="H251" s="44"/>
    </row>
    <row r="252" spans="2:8" x14ac:dyDescent="0.2">
      <c r="B252" s="47" t="s">
        <v>170</v>
      </c>
      <c r="C252" s="54">
        <v>600</v>
      </c>
      <c r="D252" s="46" t="s">
        <v>78</v>
      </c>
      <c r="G252" s="43"/>
      <c r="H252" s="44"/>
    </row>
    <row r="253" spans="2:8" x14ac:dyDescent="0.2">
      <c r="B253" s="47" t="s">
        <v>171</v>
      </c>
      <c r="C253" s="55">
        <v>30</v>
      </c>
      <c r="D253" s="46" t="s">
        <v>23</v>
      </c>
      <c r="G253" s="43"/>
      <c r="H253" s="44"/>
    </row>
    <row r="254" spans="2:8" x14ac:dyDescent="0.2">
      <c r="B254" s="47" t="s">
        <v>172</v>
      </c>
      <c r="C254" s="55">
        <v>29000000</v>
      </c>
      <c r="D254" s="46" t="s">
        <v>151</v>
      </c>
      <c r="G254" s="43"/>
      <c r="H254" s="44"/>
    </row>
    <row r="255" spans="2:8" ht="15.75" thickBot="1" x14ac:dyDescent="0.25">
      <c r="B255" s="47" t="s">
        <v>173</v>
      </c>
      <c r="C255" s="65">
        <v>4</v>
      </c>
      <c r="D255" s="46" t="s">
        <v>160</v>
      </c>
      <c r="G255" s="43"/>
      <c r="H255" s="44"/>
    </row>
    <row r="256" spans="2:8" ht="15.75" x14ac:dyDescent="0.25">
      <c r="B256" s="47"/>
      <c r="C256" s="9" t="s">
        <v>16</v>
      </c>
      <c r="D256" s="46"/>
      <c r="G256" s="43"/>
      <c r="H256" s="44"/>
    </row>
    <row r="257" spans="2:8" ht="15.75" x14ac:dyDescent="0.25">
      <c r="B257" s="10" t="s">
        <v>174</v>
      </c>
      <c r="C257" s="7" t="s">
        <v>175</v>
      </c>
      <c r="D257" s="7" t="s">
        <v>23</v>
      </c>
      <c r="G257" s="43"/>
      <c r="H257" s="44"/>
    </row>
    <row r="258" spans="2:8" ht="15.75" x14ac:dyDescent="0.25">
      <c r="B258" s="10" t="s">
        <v>176</v>
      </c>
      <c r="C258" s="11">
        <f>C252*C253^3/(3*C254*C255)</f>
        <v>4.6551724137931037E-2</v>
      </c>
      <c r="D258" s="7" t="s">
        <v>23</v>
      </c>
      <c r="G258" s="43"/>
      <c r="H258" s="44"/>
    </row>
    <row r="259" spans="2:8" ht="15.75" x14ac:dyDescent="0.25">
      <c r="B259" s="10" t="s">
        <v>177</v>
      </c>
      <c r="C259" s="7" t="s">
        <v>178</v>
      </c>
      <c r="D259" s="7" t="s">
        <v>130</v>
      </c>
      <c r="G259" s="43"/>
      <c r="H259" s="44"/>
    </row>
    <row r="260" spans="2:8" ht="15.75" x14ac:dyDescent="0.25">
      <c r="B260" s="10" t="s">
        <v>179</v>
      </c>
      <c r="C260" s="19">
        <f>3*C254*C255/(C253^3)</f>
        <v>12888.888888888889</v>
      </c>
      <c r="D260" s="7" t="s">
        <v>130</v>
      </c>
      <c r="G260" s="43"/>
      <c r="H260" s="44"/>
    </row>
    <row r="261" spans="2:8" ht="15.75" x14ac:dyDescent="0.25">
      <c r="B261" s="10" t="s">
        <v>180</v>
      </c>
      <c r="C261" s="7" t="s">
        <v>181</v>
      </c>
      <c r="G261" s="43"/>
      <c r="H261" s="44"/>
    </row>
    <row r="262" spans="2:8" ht="15.75" x14ac:dyDescent="0.25">
      <c r="B262" s="10" t="s">
        <v>182</v>
      </c>
      <c r="C262" s="19">
        <f>(1/(2*3.1416))*(386.4/C258)</f>
        <v>1321.0536739948504</v>
      </c>
      <c r="D262" s="7" t="s">
        <v>29</v>
      </c>
      <c r="G262" s="43"/>
      <c r="H262" s="44"/>
    </row>
    <row r="263" spans="2:8" ht="16.5" thickBot="1" x14ac:dyDescent="0.3">
      <c r="B263" s="10" t="s">
        <v>183</v>
      </c>
      <c r="C263" s="9" t="s">
        <v>11</v>
      </c>
      <c r="D263" s="46"/>
      <c r="G263" s="43"/>
      <c r="H263" s="44"/>
    </row>
    <row r="264" spans="2:8" x14ac:dyDescent="0.2">
      <c r="B264" s="47" t="s">
        <v>184</v>
      </c>
      <c r="C264" s="54">
        <v>450</v>
      </c>
      <c r="D264" s="46" t="s">
        <v>130</v>
      </c>
      <c r="G264" s="43"/>
      <c r="H264" s="44"/>
    </row>
    <row r="265" spans="2:8" x14ac:dyDescent="0.2">
      <c r="B265" s="47" t="s">
        <v>171</v>
      </c>
      <c r="C265" s="55">
        <v>4</v>
      </c>
      <c r="D265" s="46" t="s">
        <v>23</v>
      </c>
      <c r="G265" s="43"/>
      <c r="H265" s="44"/>
    </row>
    <row r="266" spans="2:8" x14ac:dyDescent="0.2">
      <c r="B266" s="47" t="s">
        <v>172</v>
      </c>
      <c r="C266" s="55">
        <v>29000000</v>
      </c>
      <c r="D266" s="46" t="s">
        <v>151</v>
      </c>
      <c r="G266" s="43"/>
      <c r="H266" s="44"/>
    </row>
    <row r="267" spans="2:8" ht="15.75" thickBot="1" x14ac:dyDescent="0.25">
      <c r="B267" s="47" t="s">
        <v>173</v>
      </c>
      <c r="C267" s="65">
        <v>2</v>
      </c>
      <c r="D267" s="46" t="s">
        <v>160</v>
      </c>
      <c r="G267" s="43"/>
      <c r="H267" s="44"/>
    </row>
    <row r="268" spans="2:8" ht="15.75" x14ac:dyDescent="0.25">
      <c r="B268" s="47"/>
      <c r="C268" s="9" t="s">
        <v>16</v>
      </c>
      <c r="D268" s="46"/>
      <c r="G268" s="43"/>
      <c r="H268" s="44"/>
    </row>
    <row r="269" spans="2:8" ht="15.75" x14ac:dyDescent="0.25">
      <c r="B269" s="10" t="s">
        <v>174</v>
      </c>
      <c r="C269" s="7" t="s">
        <v>185</v>
      </c>
      <c r="D269" s="7" t="s">
        <v>23</v>
      </c>
      <c r="G269" s="43"/>
      <c r="H269" s="44"/>
    </row>
    <row r="270" spans="2:8" ht="15.75" x14ac:dyDescent="0.25">
      <c r="B270" s="10" t="s">
        <v>176</v>
      </c>
      <c r="C270" s="11">
        <f>C264*C265^4/(3*C266*C267)</f>
        <v>6.6206896551724138E-4</v>
      </c>
      <c r="D270" s="7" t="s">
        <v>23</v>
      </c>
      <c r="G270" s="43"/>
      <c r="H270" s="44"/>
    </row>
    <row r="271" spans="2:8" ht="15.75" x14ac:dyDescent="0.25">
      <c r="B271" s="10" t="s">
        <v>177</v>
      </c>
      <c r="C271" s="7" t="s">
        <v>186</v>
      </c>
      <c r="D271" s="7" t="s">
        <v>130</v>
      </c>
      <c r="G271" s="43"/>
      <c r="H271" s="44"/>
    </row>
    <row r="272" spans="2:8" ht="15.75" x14ac:dyDescent="0.25">
      <c r="B272" s="10" t="s">
        <v>180</v>
      </c>
      <c r="C272" s="7" t="s">
        <v>181</v>
      </c>
      <c r="G272" s="43"/>
      <c r="H272" s="44"/>
    </row>
    <row r="273" spans="2:8" ht="15.75" x14ac:dyDescent="0.25">
      <c r="B273" s="10" t="s">
        <v>182</v>
      </c>
      <c r="C273" s="19">
        <f>(1/(2*3.1416))*(386.4/C270)</f>
        <v>92886.586452762931</v>
      </c>
      <c r="D273" s="7" t="s">
        <v>29</v>
      </c>
      <c r="G273" s="43"/>
      <c r="H273" s="44"/>
    </row>
    <row r="274" spans="2:8" x14ac:dyDescent="0.2">
      <c r="G274" s="43"/>
      <c r="H274" s="44"/>
    </row>
    <row r="275" spans="2:8" ht="16.5" thickBot="1" x14ac:dyDescent="0.3">
      <c r="B275" s="10" t="s">
        <v>187</v>
      </c>
      <c r="C275" s="9" t="s">
        <v>11</v>
      </c>
      <c r="D275" s="46"/>
      <c r="G275" s="43"/>
      <c r="H275" s="44"/>
    </row>
    <row r="276" spans="2:8" x14ac:dyDescent="0.2">
      <c r="B276" s="47" t="s">
        <v>188</v>
      </c>
      <c r="C276" s="54">
        <v>400</v>
      </c>
      <c r="D276" s="46" t="s">
        <v>189</v>
      </c>
      <c r="G276" s="43"/>
      <c r="H276" s="44"/>
    </row>
    <row r="277" spans="2:8" x14ac:dyDescent="0.2">
      <c r="B277" s="47" t="s">
        <v>171</v>
      </c>
      <c r="C277" s="55">
        <v>60</v>
      </c>
      <c r="D277" s="46" t="s">
        <v>23</v>
      </c>
      <c r="G277" s="43"/>
      <c r="H277" s="44"/>
    </row>
    <row r="278" spans="2:8" x14ac:dyDescent="0.2">
      <c r="B278" s="47" t="s">
        <v>172</v>
      </c>
      <c r="C278" s="55">
        <v>29000000</v>
      </c>
      <c r="D278" s="46" t="s">
        <v>151</v>
      </c>
      <c r="G278" s="43"/>
      <c r="H278" s="44"/>
    </row>
    <row r="279" spans="2:8" ht="15.75" thickBot="1" x14ac:dyDescent="0.25">
      <c r="B279" s="47" t="s">
        <v>173</v>
      </c>
      <c r="C279" s="65">
        <v>3</v>
      </c>
      <c r="D279" s="46" t="s">
        <v>160</v>
      </c>
      <c r="G279" s="43"/>
      <c r="H279" s="44"/>
    </row>
    <row r="280" spans="2:8" ht="15.75" x14ac:dyDescent="0.25">
      <c r="B280" s="47"/>
      <c r="C280" s="9" t="s">
        <v>16</v>
      </c>
      <c r="D280" s="46"/>
      <c r="G280" s="43"/>
      <c r="H280" s="44"/>
    </row>
    <row r="281" spans="2:8" ht="15.75" x14ac:dyDescent="0.25">
      <c r="B281" s="10" t="s">
        <v>174</v>
      </c>
      <c r="C281" s="7" t="s">
        <v>190</v>
      </c>
      <c r="D281" s="7" t="s">
        <v>23</v>
      </c>
      <c r="G281" s="43"/>
      <c r="H281" s="44"/>
    </row>
    <row r="282" spans="2:8" ht="15.75" x14ac:dyDescent="0.25">
      <c r="B282" s="10" t="s">
        <v>176</v>
      </c>
      <c r="C282" s="24">
        <f>C276*C277^3/(48*C278*C279)</f>
        <v>2.0689655172413793E-2</v>
      </c>
      <c r="D282" s="7" t="s">
        <v>23</v>
      </c>
      <c r="G282" s="43"/>
      <c r="H282" s="44"/>
    </row>
    <row r="283" spans="2:8" ht="15.75" x14ac:dyDescent="0.25">
      <c r="B283" s="10" t="s">
        <v>177</v>
      </c>
      <c r="C283" s="7" t="s">
        <v>191</v>
      </c>
      <c r="D283" s="7" t="s">
        <v>130</v>
      </c>
      <c r="G283" s="43"/>
      <c r="H283" s="44"/>
    </row>
    <row r="284" spans="2:8" ht="15.75" x14ac:dyDescent="0.25">
      <c r="B284" s="10" t="s">
        <v>179</v>
      </c>
      <c r="C284" s="7">
        <f>48*C278*C279/(C277^3)</f>
        <v>19333.333333333332</v>
      </c>
      <c r="D284" s="7" t="s">
        <v>130</v>
      </c>
      <c r="G284" s="43"/>
      <c r="H284" s="44"/>
    </row>
    <row r="285" spans="2:8" ht="15.75" x14ac:dyDescent="0.25">
      <c r="B285" s="10" t="s">
        <v>180</v>
      </c>
      <c r="C285" s="7" t="s">
        <v>181</v>
      </c>
      <c r="G285" s="43"/>
      <c r="H285" s="44"/>
    </row>
    <row r="286" spans="2:8" ht="15.75" x14ac:dyDescent="0.25">
      <c r="B286" s="10" t="s">
        <v>182</v>
      </c>
      <c r="C286" s="19">
        <f>(1/(2*3.1416))*(386.4/C282)</f>
        <v>2972.3707664884137</v>
      </c>
      <c r="D286" s="7" t="s">
        <v>29</v>
      </c>
      <c r="G286" s="43"/>
      <c r="H286" s="44"/>
    </row>
    <row r="287" spans="2:8" ht="16.5" thickBot="1" x14ac:dyDescent="0.3">
      <c r="B287" s="10" t="s">
        <v>192</v>
      </c>
      <c r="C287" s="9" t="s">
        <v>11</v>
      </c>
      <c r="D287" s="46"/>
      <c r="G287" s="43"/>
      <c r="H287" s="44"/>
    </row>
    <row r="288" spans="2:8" ht="15.75" x14ac:dyDescent="0.25">
      <c r="B288" s="47" t="s">
        <v>184</v>
      </c>
      <c r="C288" s="54">
        <v>500</v>
      </c>
      <c r="D288" s="46" t="s">
        <v>130</v>
      </c>
      <c r="E288" s="7" t="s">
        <v>0</v>
      </c>
      <c r="F288" s="7" t="s">
        <v>0</v>
      </c>
      <c r="G288" s="43"/>
      <c r="H288" s="44"/>
    </row>
    <row r="289" spans="2:8" x14ac:dyDescent="0.2">
      <c r="B289" s="47" t="s">
        <v>171</v>
      </c>
      <c r="C289" s="55">
        <v>40</v>
      </c>
      <c r="D289" s="46" t="s">
        <v>23</v>
      </c>
      <c r="G289" s="43"/>
      <c r="H289" s="44"/>
    </row>
    <row r="290" spans="2:8" x14ac:dyDescent="0.2">
      <c r="B290" s="47" t="s">
        <v>172</v>
      </c>
      <c r="C290" s="55">
        <v>29000000</v>
      </c>
      <c r="D290" s="46" t="s">
        <v>151</v>
      </c>
      <c r="G290" s="43"/>
      <c r="H290" s="44"/>
    </row>
    <row r="291" spans="2:8" ht="15.75" thickBot="1" x14ac:dyDescent="0.25">
      <c r="B291" s="47" t="s">
        <v>173</v>
      </c>
      <c r="C291" s="65">
        <v>2</v>
      </c>
      <c r="D291" s="46" t="s">
        <v>160</v>
      </c>
      <c r="G291" s="43"/>
      <c r="H291" s="44"/>
    </row>
    <row r="292" spans="2:8" ht="15.75" x14ac:dyDescent="0.25">
      <c r="B292" s="47"/>
      <c r="C292" s="9" t="s">
        <v>16</v>
      </c>
      <c r="D292" s="46"/>
      <c r="G292" s="43"/>
      <c r="H292" s="44"/>
    </row>
    <row r="293" spans="2:8" ht="15.75" x14ac:dyDescent="0.25">
      <c r="B293" s="10" t="s">
        <v>174</v>
      </c>
      <c r="C293" s="7" t="s">
        <v>193</v>
      </c>
      <c r="D293" s="7" t="s">
        <v>23</v>
      </c>
      <c r="G293" s="43"/>
      <c r="H293" s="44"/>
    </row>
    <row r="294" spans="2:8" ht="15.75" x14ac:dyDescent="0.25">
      <c r="B294" s="10" t="s">
        <v>176</v>
      </c>
      <c r="C294" s="11">
        <f>5*C288*C289^4/(384*C290*C291)</f>
        <v>0.28735632183908044</v>
      </c>
      <c r="D294" s="7" t="s">
        <v>23</v>
      </c>
      <c r="G294" s="43"/>
      <c r="H294" s="44"/>
    </row>
    <row r="295" spans="2:8" ht="15.75" x14ac:dyDescent="0.25">
      <c r="B295" s="10" t="s">
        <v>177</v>
      </c>
      <c r="C295" s="7" t="s">
        <v>194</v>
      </c>
      <c r="D295" s="7" t="s">
        <v>130</v>
      </c>
      <c r="G295" s="43"/>
      <c r="H295" s="44"/>
    </row>
    <row r="296" spans="2:8" ht="15.75" x14ac:dyDescent="0.25">
      <c r="B296" s="10" t="s">
        <v>179</v>
      </c>
      <c r="C296" s="19">
        <f>384*C290*C291/(5*C289^3)</f>
        <v>69600</v>
      </c>
      <c r="D296" s="7" t="s">
        <v>130</v>
      </c>
      <c r="G296" s="43"/>
      <c r="H296" s="44"/>
    </row>
    <row r="297" spans="2:8" ht="15.75" x14ac:dyDescent="0.25">
      <c r="B297" s="10" t="s">
        <v>180</v>
      </c>
      <c r="C297" s="7" t="s">
        <v>181</v>
      </c>
      <c r="G297" s="43"/>
      <c r="H297" s="44"/>
    </row>
    <row r="298" spans="2:8" ht="15.75" x14ac:dyDescent="0.25">
      <c r="B298" s="10" t="s">
        <v>182</v>
      </c>
      <c r="C298" s="19">
        <f>(1/(2*3.1416))*(386.4/C294)</f>
        <v>214.01069518716579</v>
      </c>
      <c r="D298" s="7" t="s">
        <v>29</v>
      </c>
      <c r="G298" s="43"/>
      <c r="H298" s="44"/>
    </row>
    <row r="299" spans="2:8" x14ac:dyDescent="0.2">
      <c r="G299" s="43"/>
      <c r="H299" s="44"/>
    </row>
    <row r="300" spans="2:8" x14ac:dyDescent="0.2">
      <c r="G300" s="43"/>
      <c r="H300" s="44"/>
    </row>
    <row r="301" spans="2:8" ht="16.5" thickBot="1" x14ac:dyDescent="0.3">
      <c r="B301" s="10" t="s">
        <v>195</v>
      </c>
      <c r="C301" s="9" t="s">
        <v>11</v>
      </c>
      <c r="D301" s="46"/>
      <c r="G301" s="43"/>
      <c r="H301" s="44"/>
    </row>
    <row r="302" spans="2:8" x14ac:dyDescent="0.2">
      <c r="B302" s="47" t="s">
        <v>188</v>
      </c>
      <c r="C302" s="54">
        <v>700</v>
      </c>
      <c r="D302" s="46" t="s">
        <v>78</v>
      </c>
      <c r="G302" s="43"/>
      <c r="H302" s="44"/>
    </row>
    <row r="303" spans="2:8" x14ac:dyDescent="0.2">
      <c r="B303" s="47" t="s">
        <v>171</v>
      </c>
      <c r="C303" s="55">
        <v>80</v>
      </c>
      <c r="D303" s="46" t="s">
        <v>23</v>
      </c>
      <c r="G303" s="43"/>
      <c r="H303" s="44"/>
    </row>
    <row r="304" spans="2:8" x14ac:dyDescent="0.2">
      <c r="B304" s="47" t="s">
        <v>172</v>
      </c>
      <c r="C304" s="55">
        <v>29000000</v>
      </c>
      <c r="D304" s="46" t="s">
        <v>151</v>
      </c>
      <c r="G304" s="43"/>
      <c r="H304" s="44"/>
    </row>
    <row r="305" spans="2:8" ht="15.75" thickBot="1" x14ac:dyDescent="0.25">
      <c r="B305" s="47" t="s">
        <v>173</v>
      </c>
      <c r="C305" s="65">
        <v>2</v>
      </c>
      <c r="D305" s="46" t="s">
        <v>160</v>
      </c>
      <c r="G305" s="43"/>
      <c r="H305" s="44"/>
    </row>
    <row r="306" spans="2:8" ht="15.75" x14ac:dyDescent="0.25">
      <c r="B306" s="47"/>
      <c r="C306" s="9" t="s">
        <v>16</v>
      </c>
      <c r="D306" s="46"/>
      <c r="G306" s="43"/>
      <c r="H306" s="44"/>
    </row>
    <row r="307" spans="2:8" ht="15.75" x14ac:dyDescent="0.25">
      <c r="B307" s="10" t="s">
        <v>174</v>
      </c>
      <c r="C307" s="7" t="s">
        <v>196</v>
      </c>
      <c r="D307" s="7" t="s">
        <v>23</v>
      </c>
      <c r="G307" s="43"/>
      <c r="H307" s="44"/>
    </row>
    <row r="308" spans="2:8" ht="15.75" x14ac:dyDescent="0.25">
      <c r="B308" s="10" t="s">
        <v>176</v>
      </c>
      <c r="C308" s="11">
        <f>C302*C303^3/(192*C304*C305)</f>
        <v>3.2183908045977011E-2</v>
      </c>
      <c r="D308" s="7" t="s">
        <v>23</v>
      </c>
      <c r="G308" s="43"/>
      <c r="H308" s="44"/>
    </row>
    <row r="309" spans="2:8" ht="15.75" x14ac:dyDescent="0.25">
      <c r="B309" s="10" t="s">
        <v>177</v>
      </c>
      <c r="C309" s="7" t="s">
        <v>197</v>
      </c>
      <c r="D309" s="7" t="s">
        <v>130</v>
      </c>
      <c r="G309" s="43"/>
      <c r="H309" s="44"/>
    </row>
    <row r="310" spans="2:8" ht="15.75" x14ac:dyDescent="0.25">
      <c r="B310" s="10" t="s">
        <v>179</v>
      </c>
      <c r="C310" s="7">
        <f>192*C304*C305/(C303^3)</f>
        <v>21750</v>
      </c>
      <c r="D310" s="7" t="s">
        <v>130</v>
      </c>
      <c r="G310" s="43"/>
      <c r="H310" s="44"/>
    </row>
    <row r="311" spans="2:8" ht="15.75" x14ac:dyDescent="0.25">
      <c r="B311" s="10" t="s">
        <v>180</v>
      </c>
      <c r="C311" s="7" t="s">
        <v>181</v>
      </c>
      <c r="G311" s="43"/>
      <c r="H311" s="44"/>
    </row>
    <row r="312" spans="2:8" ht="15.75" x14ac:dyDescent="0.25">
      <c r="B312" s="10" t="s">
        <v>182</v>
      </c>
      <c r="C312" s="19">
        <f>(1/(2*3.1416))*(386.4/C308)</f>
        <v>1910.8097784568374</v>
      </c>
      <c r="D312" s="7" t="s">
        <v>29</v>
      </c>
      <c r="G312" s="43"/>
      <c r="H312" s="44"/>
    </row>
    <row r="313" spans="2:8" ht="16.5" thickBot="1" x14ac:dyDescent="0.3">
      <c r="B313" s="10" t="s">
        <v>198</v>
      </c>
      <c r="C313" s="9" t="s">
        <v>11</v>
      </c>
      <c r="D313" s="46"/>
      <c r="G313" s="43"/>
      <c r="H313" s="44"/>
    </row>
    <row r="314" spans="2:8" x14ac:dyDescent="0.2">
      <c r="B314" s="47" t="s">
        <v>184</v>
      </c>
      <c r="C314" s="54">
        <v>600</v>
      </c>
      <c r="D314" s="46" t="s">
        <v>130</v>
      </c>
      <c r="G314" s="43"/>
      <c r="H314" s="44"/>
    </row>
    <row r="315" spans="2:8" x14ac:dyDescent="0.2">
      <c r="B315" s="47" t="s">
        <v>171</v>
      </c>
      <c r="C315" s="55">
        <v>50</v>
      </c>
      <c r="D315" s="46" t="s">
        <v>23</v>
      </c>
      <c r="G315" s="43"/>
      <c r="H315" s="44"/>
    </row>
    <row r="316" spans="2:8" x14ac:dyDescent="0.2">
      <c r="B316" s="47" t="s">
        <v>172</v>
      </c>
      <c r="C316" s="55">
        <v>29000000</v>
      </c>
      <c r="D316" s="46" t="s">
        <v>151</v>
      </c>
      <c r="G316" s="43"/>
      <c r="H316" s="44"/>
    </row>
    <row r="317" spans="2:8" ht="15.75" thickBot="1" x14ac:dyDescent="0.25">
      <c r="B317" s="47" t="s">
        <v>173</v>
      </c>
      <c r="C317" s="65">
        <v>2</v>
      </c>
      <c r="D317" s="46" t="s">
        <v>160</v>
      </c>
      <c r="G317" s="43"/>
      <c r="H317" s="44"/>
    </row>
    <row r="318" spans="2:8" ht="15.75" x14ac:dyDescent="0.25">
      <c r="B318" s="47"/>
      <c r="C318" s="9" t="s">
        <v>16</v>
      </c>
      <c r="D318" s="46"/>
      <c r="G318" s="43"/>
      <c r="H318" s="44"/>
    </row>
    <row r="319" spans="2:8" ht="15.75" x14ac:dyDescent="0.25">
      <c r="B319" s="10" t="s">
        <v>174</v>
      </c>
      <c r="C319" s="7" t="s">
        <v>199</v>
      </c>
      <c r="D319" s="7" t="s">
        <v>23</v>
      </c>
      <c r="G319" s="43"/>
      <c r="H319" s="44"/>
    </row>
    <row r="320" spans="2:8" ht="15.75" x14ac:dyDescent="0.25">
      <c r="B320" s="10" t="s">
        <v>176</v>
      </c>
      <c r="C320" s="11">
        <f>C314*C315^4/(384*C316*C317)</f>
        <v>0.16837284482758622</v>
      </c>
      <c r="D320" s="7" t="s">
        <v>23</v>
      </c>
      <c r="G320" s="43"/>
      <c r="H320" s="44"/>
    </row>
    <row r="321" spans="2:8" ht="15.75" x14ac:dyDescent="0.25">
      <c r="B321" s="10" t="s">
        <v>177</v>
      </c>
      <c r="C321" s="7" t="s">
        <v>200</v>
      </c>
      <c r="D321" s="7" t="s">
        <v>130</v>
      </c>
      <c r="G321" s="43"/>
      <c r="H321" s="44"/>
    </row>
    <row r="322" spans="2:8" ht="15.75" x14ac:dyDescent="0.25">
      <c r="B322" s="10" t="s">
        <v>179</v>
      </c>
      <c r="C322" s="7">
        <f>384*C316*C317/(C315^3)</f>
        <v>178176</v>
      </c>
      <c r="D322" s="7" t="s">
        <v>130</v>
      </c>
      <c r="G322" s="43"/>
      <c r="H322" s="44"/>
    </row>
    <row r="323" spans="2:8" ht="15.75" x14ac:dyDescent="0.25">
      <c r="B323" s="10" t="s">
        <v>180</v>
      </c>
      <c r="C323" s="7" t="s">
        <v>181</v>
      </c>
      <c r="G323" s="43"/>
      <c r="H323" s="44"/>
    </row>
    <row r="324" spans="2:8" ht="15.75" x14ac:dyDescent="0.25">
      <c r="B324" s="10" t="s">
        <v>182</v>
      </c>
      <c r="C324" s="19">
        <f>(1/(2*3.1416))*(386.4/C320)</f>
        <v>365.2449197860962</v>
      </c>
      <c r="D324" s="7" t="s">
        <v>29</v>
      </c>
      <c r="G324" s="43"/>
      <c r="H324" s="44"/>
    </row>
    <row r="325" spans="2:8" x14ac:dyDescent="0.2">
      <c r="B325" s="52"/>
      <c r="C325" s="52"/>
      <c r="D325" s="52"/>
      <c r="E325" s="52"/>
      <c r="F325" s="52"/>
      <c r="G325" s="43"/>
      <c r="H325" s="44"/>
    </row>
    <row r="326" spans="2:8" ht="15.75" x14ac:dyDescent="0.25">
      <c r="B326" s="2" t="s">
        <v>201</v>
      </c>
      <c r="C326" s="46"/>
      <c r="D326" s="46"/>
      <c r="G326" s="43"/>
      <c r="H326" s="44"/>
    </row>
    <row r="327" spans="2:8" ht="15.75" x14ac:dyDescent="0.25">
      <c r="B327" s="10" t="s">
        <v>202</v>
      </c>
      <c r="C327" s="2" t="s">
        <v>203</v>
      </c>
      <c r="D327" s="46"/>
      <c r="G327" s="43"/>
      <c r="H327" s="44"/>
    </row>
    <row r="328" spans="2:8" ht="15.75" x14ac:dyDescent="0.25">
      <c r="B328" s="23" t="s">
        <v>204</v>
      </c>
      <c r="C328" s="2" t="s">
        <v>205</v>
      </c>
      <c r="D328" s="46"/>
      <c r="G328" s="43"/>
      <c r="H328" s="44"/>
    </row>
    <row r="329" spans="2:8" ht="15.75" x14ac:dyDescent="0.25">
      <c r="B329" s="47" t="s">
        <v>206</v>
      </c>
      <c r="C329" s="2" t="s">
        <v>207</v>
      </c>
      <c r="D329" s="46"/>
      <c r="G329" s="43"/>
      <c r="H329" s="44"/>
    </row>
    <row r="330" spans="2:8" ht="16.5" thickBot="1" x14ac:dyDescent="0.3">
      <c r="B330" s="47"/>
      <c r="C330" s="2" t="s">
        <v>208</v>
      </c>
      <c r="G330" s="43"/>
      <c r="H330" s="44"/>
    </row>
    <row r="331" spans="2:8" ht="16.5" thickBot="1" x14ac:dyDescent="0.3">
      <c r="B331" s="47"/>
      <c r="C331" s="25" t="s">
        <v>209</v>
      </c>
      <c r="D331" s="26" t="s">
        <v>205</v>
      </c>
      <c r="E331" s="27" t="s">
        <v>207</v>
      </c>
      <c r="G331" s="43"/>
      <c r="H331" s="44"/>
    </row>
    <row r="332" spans="2:8" ht="15.75" x14ac:dyDescent="0.25">
      <c r="B332" s="47"/>
      <c r="C332" s="28">
        <v>1</v>
      </c>
      <c r="D332" s="29">
        <v>19.7</v>
      </c>
      <c r="E332" s="28">
        <v>36</v>
      </c>
      <c r="G332" s="43"/>
      <c r="H332" s="44"/>
    </row>
    <row r="333" spans="2:8" ht="15.75" x14ac:dyDescent="0.25">
      <c r="B333" s="47"/>
      <c r="C333" s="30">
        <v>0.8</v>
      </c>
      <c r="D333" s="31">
        <v>16.2</v>
      </c>
      <c r="E333" s="30">
        <v>29.9</v>
      </c>
      <c r="G333" s="43"/>
      <c r="H333" s="44"/>
    </row>
    <row r="334" spans="2:8" ht="15.75" x14ac:dyDescent="0.25">
      <c r="B334" s="47"/>
      <c r="C334" s="30">
        <v>0.6</v>
      </c>
      <c r="D334" s="31">
        <v>13.4</v>
      </c>
      <c r="E334" s="30">
        <v>25.9</v>
      </c>
      <c r="G334" s="43"/>
      <c r="H334" s="44"/>
    </row>
    <row r="335" spans="2:8" ht="15.75" x14ac:dyDescent="0.25">
      <c r="B335" s="47"/>
      <c r="C335" s="30">
        <v>0.4</v>
      </c>
      <c r="D335" s="31">
        <v>11.5</v>
      </c>
      <c r="E335" s="30">
        <v>23.6</v>
      </c>
      <c r="G335" s="43"/>
      <c r="H335" s="44"/>
    </row>
    <row r="336" spans="2:8" ht="15.75" x14ac:dyDescent="0.25">
      <c r="B336" s="47"/>
      <c r="C336" s="30">
        <v>0.2</v>
      </c>
      <c r="D336" s="31">
        <v>10.3</v>
      </c>
      <c r="E336" s="30">
        <v>22.6</v>
      </c>
      <c r="G336" s="43"/>
      <c r="H336" s="44"/>
    </row>
    <row r="337" spans="2:8" ht="16.5" thickBot="1" x14ac:dyDescent="0.3">
      <c r="B337" s="47"/>
      <c r="C337" s="32">
        <v>0</v>
      </c>
      <c r="D337" s="33">
        <v>9.8699999999999992</v>
      </c>
      <c r="E337" s="32">
        <v>22.4</v>
      </c>
      <c r="G337" s="43"/>
      <c r="H337" s="44"/>
    </row>
    <row r="338" spans="2:8" ht="15.75" x14ac:dyDescent="0.25">
      <c r="B338" s="2" t="s">
        <v>210</v>
      </c>
      <c r="C338" s="7"/>
      <c r="D338" s="46"/>
      <c r="G338" s="43"/>
      <c r="H338" s="44"/>
    </row>
    <row r="339" spans="2:8" ht="16.5" thickBot="1" x14ac:dyDescent="0.3">
      <c r="C339" s="9" t="s">
        <v>11</v>
      </c>
      <c r="D339" s="46"/>
      <c r="G339" s="43"/>
      <c r="H339" s="44"/>
    </row>
    <row r="340" spans="2:8" x14ac:dyDescent="0.2">
      <c r="B340" s="47" t="s">
        <v>211</v>
      </c>
      <c r="C340" s="66">
        <v>29000000</v>
      </c>
      <c r="D340" s="46" t="s">
        <v>212</v>
      </c>
      <c r="G340" s="43"/>
      <c r="H340" s="44"/>
    </row>
    <row r="341" spans="2:8" ht="15.75" x14ac:dyDescent="0.25">
      <c r="B341" s="47" t="s">
        <v>213</v>
      </c>
      <c r="C341" s="55">
        <v>0.5</v>
      </c>
      <c r="D341" s="46" t="s">
        <v>23</v>
      </c>
      <c r="F341" s="7" t="s">
        <v>0</v>
      </c>
      <c r="G341" s="43"/>
      <c r="H341" s="44" t="s">
        <v>0</v>
      </c>
    </row>
    <row r="342" spans="2:8" x14ac:dyDescent="0.2">
      <c r="B342" s="47" t="s">
        <v>214</v>
      </c>
      <c r="C342" s="55">
        <v>0.3</v>
      </c>
      <c r="D342" s="46"/>
      <c r="G342" s="43"/>
      <c r="H342" s="44"/>
    </row>
    <row r="343" spans="2:8" x14ac:dyDescent="0.2">
      <c r="B343" s="47" t="s">
        <v>215</v>
      </c>
      <c r="C343" s="55">
        <v>36</v>
      </c>
      <c r="D343" s="46" t="s">
        <v>23</v>
      </c>
      <c r="G343" s="43"/>
      <c r="H343" s="44"/>
    </row>
    <row r="344" spans="2:8" x14ac:dyDescent="0.2">
      <c r="B344" s="47" t="s">
        <v>216</v>
      </c>
      <c r="C344" s="67">
        <v>45.009407999999993</v>
      </c>
      <c r="D344" s="46" t="s">
        <v>23</v>
      </c>
      <c r="G344" s="43"/>
      <c r="H344" s="44"/>
    </row>
    <row r="345" spans="2:8" x14ac:dyDescent="0.2">
      <c r="B345" s="47" t="s">
        <v>217</v>
      </c>
      <c r="C345" s="55">
        <v>16.2</v>
      </c>
      <c r="D345" s="46"/>
      <c r="G345" s="43"/>
      <c r="H345" s="44"/>
    </row>
    <row r="346" spans="2:8" ht="15.75" thickBot="1" x14ac:dyDescent="0.25">
      <c r="B346" s="47" t="s">
        <v>218</v>
      </c>
      <c r="C346" s="60">
        <v>50</v>
      </c>
      <c r="D346" s="46" t="s">
        <v>219</v>
      </c>
      <c r="G346" s="43"/>
      <c r="H346" s="44"/>
    </row>
    <row r="347" spans="2:8" ht="15.75" x14ac:dyDescent="0.25">
      <c r="B347" s="47"/>
      <c r="C347" s="9" t="s">
        <v>16</v>
      </c>
      <c r="D347" s="46"/>
      <c r="G347" s="43"/>
      <c r="H347" s="44"/>
    </row>
    <row r="348" spans="2:8" ht="15.75" x14ac:dyDescent="0.25">
      <c r="B348" s="10" t="s">
        <v>220</v>
      </c>
      <c r="C348" s="13">
        <f>C343/C344</f>
        <v>0.79983278162645477</v>
      </c>
      <c r="D348" s="7"/>
      <c r="G348" s="43"/>
      <c r="H348" s="44"/>
    </row>
    <row r="349" spans="2:8" ht="15.75" x14ac:dyDescent="0.25">
      <c r="B349" s="10" t="s">
        <v>221</v>
      </c>
      <c r="C349" s="7" t="s">
        <v>222</v>
      </c>
      <c r="D349" s="7"/>
      <c r="G349" s="43"/>
      <c r="H349" s="44"/>
    </row>
    <row r="350" spans="2:8" ht="15.75" x14ac:dyDescent="0.25">
      <c r="B350" s="10" t="s">
        <v>223</v>
      </c>
      <c r="C350" s="19">
        <f>C340*C341^3/(12*(1-C342^2))</f>
        <v>331959.70695970696</v>
      </c>
      <c r="D350" s="7"/>
      <c r="G350" s="43"/>
      <c r="H350" s="44"/>
    </row>
    <row r="351" spans="2:8" ht="15.75" x14ac:dyDescent="0.25">
      <c r="B351" s="10" t="s">
        <v>19</v>
      </c>
      <c r="C351" s="7">
        <v>3.1419999999999999</v>
      </c>
      <c r="D351" s="7"/>
      <c r="G351" s="43"/>
      <c r="H351" s="44"/>
    </row>
    <row r="352" spans="2:8" ht="15.75" x14ac:dyDescent="0.25">
      <c r="B352" s="10" t="s">
        <v>224</v>
      </c>
      <c r="C352" s="7">
        <v>386.4</v>
      </c>
      <c r="D352" s="7" t="s">
        <v>38</v>
      </c>
      <c r="G352" s="43"/>
      <c r="H352" s="44"/>
    </row>
    <row r="353" spans="2:8" ht="15.75" x14ac:dyDescent="0.25">
      <c r="B353" s="10" t="s">
        <v>225</v>
      </c>
      <c r="C353" s="7" t="s">
        <v>203</v>
      </c>
      <c r="D353" s="7"/>
      <c r="G353" s="43"/>
      <c r="H353" s="44"/>
    </row>
    <row r="354" spans="2:8" ht="15.75" x14ac:dyDescent="0.25">
      <c r="B354" s="10" t="s">
        <v>226</v>
      </c>
      <c r="C354" s="11">
        <f>(C345/(2*C351))*((C350*C352)/(C346*C343^4))</f>
        <v>3.9375068383926863</v>
      </c>
      <c r="D354" s="7" t="s">
        <v>29</v>
      </c>
      <c r="G354" s="43"/>
      <c r="H354" s="44"/>
    </row>
    <row r="355" spans="2:8" x14ac:dyDescent="0.2">
      <c r="B355" s="50"/>
      <c r="C355" s="51"/>
      <c r="D355" s="51"/>
      <c r="E355" s="52"/>
      <c r="F355" s="52"/>
      <c r="G355" s="43"/>
      <c r="H355" s="44"/>
    </row>
    <row r="356" spans="2:8" x14ac:dyDescent="0.2">
      <c r="B356" s="47"/>
      <c r="C356" s="46"/>
      <c r="D356" s="46"/>
      <c r="G356" s="43"/>
      <c r="H356" s="44"/>
    </row>
    <row r="357" spans="2:8" ht="16.5" thickBot="1" x14ac:dyDescent="0.3">
      <c r="B357" s="2" t="s">
        <v>227</v>
      </c>
      <c r="C357" s="9" t="s">
        <v>11</v>
      </c>
      <c r="D357" s="46"/>
      <c r="G357" s="43"/>
      <c r="H357" s="44"/>
    </row>
    <row r="358" spans="2:8" x14ac:dyDescent="0.2">
      <c r="B358" s="47" t="s">
        <v>218</v>
      </c>
      <c r="C358" s="54">
        <v>50</v>
      </c>
      <c r="D358" s="46" t="s">
        <v>219</v>
      </c>
      <c r="G358" s="43"/>
      <c r="H358" s="44"/>
    </row>
    <row r="359" spans="2:8" x14ac:dyDescent="0.2">
      <c r="B359" s="47" t="s">
        <v>211</v>
      </c>
      <c r="C359" s="68">
        <v>29000000</v>
      </c>
      <c r="D359" s="46" t="s">
        <v>219</v>
      </c>
      <c r="G359" s="43"/>
      <c r="H359" s="44"/>
    </row>
    <row r="360" spans="2:8" x14ac:dyDescent="0.2">
      <c r="B360" s="47" t="s">
        <v>213</v>
      </c>
      <c r="C360" s="55">
        <v>0.5</v>
      </c>
      <c r="D360" s="46"/>
      <c r="G360" s="43"/>
      <c r="H360" s="44"/>
    </row>
    <row r="361" spans="2:8" x14ac:dyDescent="0.2">
      <c r="B361" s="47" t="s">
        <v>214</v>
      </c>
      <c r="C361" s="55">
        <v>0.3</v>
      </c>
      <c r="D361" s="46"/>
      <c r="G361" s="43"/>
      <c r="H361" s="44"/>
    </row>
    <row r="362" spans="2:8" x14ac:dyDescent="0.2">
      <c r="B362" s="47" t="s">
        <v>228</v>
      </c>
      <c r="C362" s="55">
        <v>36</v>
      </c>
      <c r="D362" s="46" t="s">
        <v>23</v>
      </c>
      <c r="G362" s="43"/>
      <c r="H362" s="44"/>
    </row>
    <row r="363" spans="2:8" x14ac:dyDescent="0.2">
      <c r="B363" s="47" t="s">
        <v>229</v>
      </c>
      <c r="C363" s="55">
        <v>4.99</v>
      </c>
      <c r="D363" s="46"/>
      <c r="G363" s="43"/>
      <c r="H363" s="44"/>
    </row>
    <row r="364" spans="2:8" ht="15.75" thickBot="1" x14ac:dyDescent="0.25">
      <c r="B364" s="47" t="s">
        <v>230</v>
      </c>
      <c r="C364" s="60">
        <v>10.199999999999999</v>
      </c>
      <c r="D364" s="46"/>
      <c r="G364" s="43"/>
      <c r="H364" s="44"/>
    </row>
    <row r="365" spans="2:8" ht="15.75" x14ac:dyDescent="0.25">
      <c r="B365" s="47"/>
      <c r="C365" s="9" t="s">
        <v>16</v>
      </c>
      <c r="D365" s="46"/>
      <c r="G365" s="43"/>
      <c r="H365" s="44"/>
    </row>
    <row r="366" spans="2:8" ht="15.75" x14ac:dyDescent="0.25">
      <c r="B366" s="10" t="s">
        <v>19</v>
      </c>
      <c r="C366" s="7">
        <v>3.1419999999999999</v>
      </c>
      <c r="D366" s="7"/>
      <c r="G366" s="43"/>
      <c r="H366" s="44"/>
    </row>
    <row r="367" spans="2:8" ht="15.75" x14ac:dyDescent="0.25">
      <c r="B367" s="10" t="s">
        <v>231</v>
      </c>
      <c r="C367" s="7">
        <v>386.4</v>
      </c>
      <c r="D367" s="7" t="s">
        <v>38</v>
      </c>
      <c r="G367" s="43"/>
      <c r="H367" s="44"/>
    </row>
    <row r="368" spans="2:8" ht="15.75" x14ac:dyDescent="0.25">
      <c r="B368" s="10" t="s">
        <v>221</v>
      </c>
      <c r="C368" s="7" t="s">
        <v>222</v>
      </c>
      <c r="D368" s="7"/>
      <c r="G368" s="43"/>
      <c r="H368" s="44"/>
    </row>
    <row r="369" spans="2:8" ht="15.75" x14ac:dyDescent="0.25">
      <c r="B369" s="10" t="s">
        <v>223</v>
      </c>
      <c r="C369" s="19">
        <f>C359*C360^3/(12*(1-C361^2))</f>
        <v>331959.70695970696</v>
      </c>
      <c r="D369" s="7"/>
      <c r="G369" s="43"/>
      <c r="H369" s="44"/>
    </row>
    <row r="370" spans="2:8" x14ac:dyDescent="0.2">
      <c r="B370" s="47"/>
      <c r="C370" s="46"/>
      <c r="D370" s="46"/>
      <c r="G370" s="43"/>
      <c r="H370" s="44"/>
    </row>
    <row r="371" spans="2:8" ht="15.75" x14ac:dyDescent="0.25">
      <c r="B371" s="10" t="s">
        <v>232</v>
      </c>
      <c r="C371" s="7" t="s">
        <v>233</v>
      </c>
      <c r="D371" s="46"/>
      <c r="G371" s="43"/>
      <c r="H371" s="44"/>
    </row>
    <row r="372" spans="2:8" ht="15.75" x14ac:dyDescent="0.25">
      <c r="B372" s="10" t="s">
        <v>226</v>
      </c>
      <c r="C372" s="34">
        <f>(C363/(2*C366))*(C369*C367)/(C358*C362^4)</f>
        <v>1.2128493286160187</v>
      </c>
      <c r="D372" s="7" t="s">
        <v>29</v>
      </c>
      <c r="G372" s="43"/>
      <c r="H372" s="44"/>
    </row>
    <row r="373" spans="2:8" x14ac:dyDescent="0.2">
      <c r="B373" s="47"/>
      <c r="C373" s="46"/>
      <c r="D373" s="46"/>
      <c r="G373" s="43"/>
      <c r="H373" s="44"/>
    </row>
    <row r="374" spans="2:8" ht="15.75" x14ac:dyDescent="0.25">
      <c r="B374" s="10" t="s">
        <v>234</v>
      </c>
      <c r="C374" s="7" t="s">
        <v>233</v>
      </c>
      <c r="D374" s="46"/>
      <c r="G374" s="43"/>
      <c r="H374" s="44"/>
    </row>
    <row r="375" spans="2:8" ht="15.75" x14ac:dyDescent="0.25">
      <c r="B375" s="10" t="s">
        <v>226</v>
      </c>
      <c r="C375" s="34">
        <f>(C364/(2*C366))*(C369*C367)/(C358*C362^4)</f>
        <v>2.4791709723213207</v>
      </c>
      <c r="D375" s="7" t="s">
        <v>29</v>
      </c>
      <c r="G375" s="43"/>
      <c r="H375" s="44"/>
    </row>
    <row r="376" spans="2:8" x14ac:dyDescent="0.2">
      <c r="G376" s="43"/>
      <c r="H376" s="44"/>
    </row>
    <row r="377" spans="2:8" x14ac:dyDescent="0.2">
      <c r="B377" s="52"/>
      <c r="C377" s="52"/>
      <c r="D377" s="52"/>
      <c r="E377" s="52"/>
      <c r="F377" s="52"/>
      <c r="G377" s="43"/>
      <c r="H377" s="44"/>
    </row>
    <row r="378" spans="2:8" x14ac:dyDescent="0.2">
      <c r="B378" s="47"/>
      <c r="C378" s="46"/>
      <c r="D378" s="46"/>
      <c r="G378" s="43"/>
      <c r="H378" s="44"/>
    </row>
    <row r="379" spans="2:8" ht="15.75" x14ac:dyDescent="0.25">
      <c r="B379" s="2" t="s">
        <v>235</v>
      </c>
      <c r="C379" s="46"/>
      <c r="D379" s="46"/>
      <c r="G379" s="43"/>
      <c r="H379" s="44"/>
    </row>
    <row r="380" spans="2:8" x14ac:dyDescent="0.2">
      <c r="B380" s="47"/>
      <c r="C380" s="46"/>
      <c r="D380" s="46"/>
      <c r="G380" s="43"/>
      <c r="H380" s="44"/>
    </row>
    <row r="381" spans="2:8" ht="15.75" x14ac:dyDescent="0.25">
      <c r="B381" s="4" t="s">
        <v>236</v>
      </c>
      <c r="C381" s="46"/>
      <c r="D381" s="46"/>
      <c r="G381" s="43"/>
      <c r="H381" s="44"/>
    </row>
    <row r="382" spans="2:8" x14ac:dyDescent="0.2">
      <c r="B382" s="45" t="s">
        <v>237</v>
      </c>
      <c r="C382" s="46"/>
      <c r="D382" s="46"/>
      <c r="G382" s="43"/>
      <c r="H382" s="44"/>
    </row>
    <row r="383" spans="2:8" x14ac:dyDescent="0.2">
      <c r="B383" s="45" t="s">
        <v>238</v>
      </c>
      <c r="C383" s="46"/>
      <c r="D383" s="46"/>
      <c r="G383" s="43"/>
      <c r="H383" s="44"/>
    </row>
    <row r="384" spans="2:8" x14ac:dyDescent="0.2">
      <c r="B384" s="45" t="s">
        <v>239</v>
      </c>
      <c r="C384" s="46"/>
      <c r="D384" s="46"/>
      <c r="G384" s="43"/>
      <c r="H384" s="44"/>
    </row>
    <row r="385" spans="2:8" x14ac:dyDescent="0.2">
      <c r="B385" s="45" t="s">
        <v>240</v>
      </c>
      <c r="C385" s="46"/>
      <c r="D385" s="46"/>
      <c r="G385" s="43"/>
      <c r="H385" s="44"/>
    </row>
    <row r="386" spans="2:8" x14ac:dyDescent="0.2">
      <c r="C386" s="46"/>
      <c r="D386" s="46"/>
      <c r="G386" s="43"/>
      <c r="H386" s="44"/>
    </row>
    <row r="387" spans="2:8" ht="15.75" x14ac:dyDescent="0.25">
      <c r="B387" s="10" t="s">
        <v>241</v>
      </c>
      <c r="C387" s="46"/>
      <c r="D387" s="46"/>
      <c r="G387" s="43"/>
      <c r="H387" s="44"/>
    </row>
    <row r="388" spans="2:8" ht="15.75" x14ac:dyDescent="0.25">
      <c r="B388" s="10"/>
      <c r="C388" s="46"/>
      <c r="D388" s="46"/>
      <c r="G388" s="43"/>
      <c r="H388" s="44"/>
    </row>
    <row r="389" spans="2:8" ht="15.75" x14ac:dyDescent="0.25">
      <c r="B389" s="10" t="s">
        <v>242</v>
      </c>
      <c r="C389" s="46"/>
      <c r="D389" s="46"/>
      <c r="G389" s="43"/>
      <c r="H389" s="44"/>
    </row>
    <row r="390" spans="2:8" x14ac:dyDescent="0.2">
      <c r="B390" s="47"/>
      <c r="C390" s="46"/>
      <c r="D390" s="46"/>
      <c r="G390" s="43"/>
      <c r="H390" s="44"/>
    </row>
    <row r="391" spans="2:8" x14ac:dyDescent="0.2">
      <c r="B391" s="52"/>
      <c r="C391" s="52"/>
      <c r="D391" s="52"/>
      <c r="E391" s="52"/>
      <c r="F391" s="52"/>
      <c r="G391" s="43"/>
      <c r="H391" s="44"/>
    </row>
    <row r="392" spans="2:8" ht="15.75" x14ac:dyDescent="0.25">
      <c r="C392" s="7"/>
      <c r="D392" s="46"/>
      <c r="G392" s="43"/>
      <c r="H392" s="44"/>
    </row>
    <row r="393" spans="2:8" ht="15.75" x14ac:dyDescent="0.25">
      <c r="B393" s="4" t="s">
        <v>243</v>
      </c>
      <c r="G393" s="43"/>
      <c r="H393" s="44"/>
    </row>
    <row r="394" spans="2:8" x14ac:dyDescent="0.2">
      <c r="B394" s="45" t="s">
        <v>244</v>
      </c>
      <c r="G394" s="43"/>
      <c r="H394" s="44"/>
    </row>
    <row r="395" spans="2:8" x14ac:dyDescent="0.2">
      <c r="B395" s="45" t="s">
        <v>245</v>
      </c>
      <c r="G395" s="43"/>
      <c r="H395" s="44"/>
    </row>
    <row r="396" spans="2:8" x14ac:dyDescent="0.2">
      <c r="B396" s="45"/>
      <c r="C396" s="46"/>
      <c r="D396" s="46"/>
      <c r="G396" s="43"/>
      <c r="H396" s="44"/>
    </row>
    <row r="397" spans="2:8" x14ac:dyDescent="0.2">
      <c r="B397" s="45" t="s">
        <v>246</v>
      </c>
      <c r="C397" s="46"/>
      <c r="D397" s="46"/>
      <c r="G397" s="43"/>
      <c r="H397" s="44"/>
    </row>
    <row r="398" spans="2:8" x14ac:dyDescent="0.2">
      <c r="B398" s="45" t="s">
        <v>247</v>
      </c>
      <c r="C398" s="46"/>
      <c r="D398" s="46"/>
      <c r="G398" s="43"/>
      <c r="H398" s="44"/>
    </row>
    <row r="399" spans="2:8" x14ac:dyDescent="0.2">
      <c r="C399" s="46"/>
      <c r="D399" s="46"/>
      <c r="G399" s="43"/>
      <c r="H399" s="44"/>
    </row>
    <row r="400" spans="2:8" ht="15.75" x14ac:dyDescent="0.25">
      <c r="B400" s="2" t="s">
        <v>248</v>
      </c>
      <c r="C400" s="46"/>
      <c r="D400" s="46"/>
      <c r="G400" s="43"/>
      <c r="H400" s="44"/>
    </row>
    <row r="401" spans="2:8" ht="15.75" x14ac:dyDescent="0.25">
      <c r="B401" s="2"/>
      <c r="C401" s="46"/>
      <c r="D401" s="46"/>
      <c r="G401" s="43"/>
      <c r="H401" s="44"/>
    </row>
    <row r="402" spans="2:8" ht="15.75" x14ac:dyDescent="0.25">
      <c r="B402" s="2" t="s">
        <v>249</v>
      </c>
      <c r="C402" s="46"/>
      <c r="D402" s="46"/>
      <c r="G402" s="43"/>
      <c r="H402" s="44"/>
    </row>
    <row r="403" spans="2:8" x14ac:dyDescent="0.2">
      <c r="C403" s="46"/>
      <c r="D403" s="46"/>
      <c r="G403" s="43"/>
      <c r="H403" s="44"/>
    </row>
    <row r="404" spans="2:8" x14ac:dyDescent="0.2">
      <c r="C404" s="46"/>
      <c r="D404" s="46"/>
      <c r="G404" s="43"/>
      <c r="H404" s="44"/>
    </row>
    <row r="405" spans="2:8" x14ac:dyDescent="0.2">
      <c r="C405" s="46"/>
      <c r="D405" s="46"/>
      <c r="G405" s="43"/>
      <c r="H405" s="44"/>
    </row>
    <row r="406" spans="2:8" x14ac:dyDescent="0.2">
      <c r="C406" s="46"/>
      <c r="D406" s="46"/>
      <c r="G406" s="43"/>
      <c r="H406" s="44"/>
    </row>
    <row r="407" spans="2:8" x14ac:dyDescent="0.2">
      <c r="C407" s="46"/>
      <c r="D407" s="46"/>
      <c r="G407" s="43"/>
      <c r="H407" s="44"/>
    </row>
    <row r="408" spans="2:8" x14ac:dyDescent="0.2">
      <c r="C408" s="46"/>
      <c r="D408" s="46"/>
      <c r="G408" s="43"/>
      <c r="H408" s="44"/>
    </row>
    <row r="409" spans="2:8" x14ac:dyDescent="0.2">
      <c r="C409" s="46"/>
      <c r="D409" s="46"/>
      <c r="G409" s="43"/>
      <c r="H409" s="44"/>
    </row>
    <row r="410" spans="2:8" x14ac:dyDescent="0.2">
      <c r="G410" s="43"/>
      <c r="H410" s="44"/>
    </row>
    <row r="411" spans="2:8" x14ac:dyDescent="0.2">
      <c r="B411" s="47"/>
      <c r="C411" s="46"/>
      <c r="D411" s="46"/>
      <c r="G411" s="43"/>
      <c r="H411" s="44"/>
    </row>
    <row r="412" spans="2:8" x14ac:dyDescent="0.2">
      <c r="B412" s="47"/>
      <c r="C412" s="46"/>
      <c r="D412" s="46"/>
      <c r="G412" s="43"/>
      <c r="H412" s="44"/>
    </row>
    <row r="413" spans="2:8" x14ac:dyDescent="0.2">
      <c r="B413" s="47"/>
      <c r="C413" s="46"/>
      <c r="D413" s="46"/>
      <c r="G413" s="43"/>
      <c r="H413" s="44"/>
    </row>
    <row r="414" spans="2:8" x14ac:dyDescent="0.2">
      <c r="B414" s="47"/>
      <c r="C414" s="46"/>
      <c r="D414" s="46"/>
      <c r="G414" s="43"/>
      <c r="H414" s="44"/>
    </row>
    <row r="415" spans="2:8" x14ac:dyDescent="0.2">
      <c r="B415" s="47"/>
      <c r="C415" s="46"/>
      <c r="D415" s="46"/>
      <c r="G415" s="43"/>
      <c r="H415" s="44"/>
    </row>
    <row r="416" spans="2:8" x14ac:dyDescent="0.2">
      <c r="B416" s="47"/>
      <c r="C416" s="46"/>
      <c r="D416" s="46"/>
      <c r="G416" s="43"/>
      <c r="H416" s="44"/>
    </row>
    <row r="417" spans="2:8" x14ac:dyDescent="0.2">
      <c r="B417" s="47"/>
      <c r="C417" s="46"/>
      <c r="D417" s="46"/>
      <c r="G417" s="43"/>
      <c r="H417" s="44"/>
    </row>
    <row r="418" spans="2:8" x14ac:dyDescent="0.2">
      <c r="B418" s="45" t="s">
        <v>250</v>
      </c>
      <c r="C418" s="46"/>
      <c r="D418" s="46"/>
      <c r="G418" s="43"/>
      <c r="H418" s="44"/>
    </row>
    <row r="419" spans="2:8" x14ac:dyDescent="0.2">
      <c r="B419" s="45" t="s">
        <v>251</v>
      </c>
      <c r="C419" s="46"/>
      <c r="D419" s="46"/>
      <c r="G419" s="43"/>
      <c r="H419" s="44"/>
    </row>
    <row r="420" spans="2:8" x14ac:dyDescent="0.2">
      <c r="B420" s="45" t="s">
        <v>252</v>
      </c>
      <c r="C420" s="46"/>
      <c r="D420" s="46"/>
      <c r="G420" s="43"/>
      <c r="H420" s="44"/>
    </row>
    <row r="421" spans="2:8" x14ac:dyDescent="0.2">
      <c r="B421" s="45" t="s">
        <v>253</v>
      </c>
      <c r="C421" s="46"/>
      <c r="D421" s="46"/>
      <c r="G421" s="43"/>
      <c r="H421" s="44"/>
    </row>
    <row r="422" spans="2:8" x14ac:dyDescent="0.2">
      <c r="B422" s="47"/>
      <c r="C422" s="46"/>
      <c r="D422" s="46"/>
      <c r="G422" s="43"/>
      <c r="H422" s="44"/>
    </row>
    <row r="423" spans="2:8" ht="16.5" thickBot="1" x14ac:dyDescent="0.3">
      <c r="B423" s="47"/>
      <c r="C423" s="9" t="s">
        <v>11</v>
      </c>
      <c r="D423" s="7"/>
      <c r="E423" s="35" t="s">
        <v>254</v>
      </c>
      <c r="G423" s="43"/>
      <c r="H423" s="44"/>
    </row>
    <row r="424" spans="2:8" x14ac:dyDescent="0.2">
      <c r="B424" s="47" t="s">
        <v>255</v>
      </c>
      <c r="C424" s="54">
        <v>10</v>
      </c>
      <c r="D424" s="46" t="s">
        <v>23</v>
      </c>
      <c r="E424" s="36">
        <v>12</v>
      </c>
      <c r="G424" s="43"/>
      <c r="H424" s="44"/>
    </row>
    <row r="425" spans="2:8" x14ac:dyDescent="0.2">
      <c r="B425" s="47" t="s">
        <v>256</v>
      </c>
      <c r="C425" s="55">
        <v>16</v>
      </c>
      <c r="D425" s="46" t="s">
        <v>23</v>
      </c>
      <c r="E425" s="36">
        <v>18</v>
      </c>
      <c r="G425" s="43"/>
      <c r="H425" s="44"/>
    </row>
    <row r="426" spans="2:8" x14ac:dyDescent="0.2">
      <c r="B426" s="47" t="s">
        <v>257</v>
      </c>
      <c r="C426" s="55">
        <v>14</v>
      </c>
      <c r="D426" s="46" t="s">
        <v>23</v>
      </c>
      <c r="E426" s="36">
        <v>12</v>
      </c>
      <c r="G426" s="43"/>
      <c r="H426" s="44"/>
    </row>
    <row r="427" spans="2:8" x14ac:dyDescent="0.2">
      <c r="B427" s="47" t="s">
        <v>258</v>
      </c>
      <c r="C427" s="55">
        <v>30</v>
      </c>
      <c r="D427" s="46" t="s">
        <v>23</v>
      </c>
      <c r="E427" s="36">
        <v>36</v>
      </c>
      <c r="G427" s="43"/>
      <c r="H427" s="44"/>
    </row>
    <row r="428" spans="2:8" x14ac:dyDescent="0.2">
      <c r="B428" s="47" t="s">
        <v>259</v>
      </c>
      <c r="C428" s="55">
        <v>450</v>
      </c>
      <c r="D428" s="46" t="s">
        <v>60</v>
      </c>
      <c r="E428" s="36">
        <v>570</v>
      </c>
      <c r="G428" s="43"/>
      <c r="H428" s="44"/>
    </row>
    <row r="429" spans="2:8" ht="15.75" thickBot="1" x14ac:dyDescent="0.25">
      <c r="B429" s="47" t="s">
        <v>260</v>
      </c>
      <c r="C429" s="60">
        <v>2.5</v>
      </c>
      <c r="D429" s="46" t="s">
        <v>23</v>
      </c>
      <c r="E429" s="36">
        <v>3.96</v>
      </c>
      <c r="G429" s="43"/>
      <c r="H429" s="44"/>
    </row>
    <row r="430" spans="2:8" ht="15.75" x14ac:dyDescent="0.25">
      <c r="B430" s="10" t="s">
        <v>261</v>
      </c>
      <c r="C430" s="9" t="s">
        <v>16</v>
      </c>
      <c r="D430" s="46"/>
      <c r="G430" s="43"/>
      <c r="H430" s="44"/>
    </row>
    <row r="431" spans="2:8" ht="15.75" x14ac:dyDescent="0.25">
      <c r="B431" s="10" t="s">
        <v>262</v>
      </c>
      <c r="C431" s="7" t="s">
        <v>263</v>
      </c>
      <c r="D431" s="46"/>
      <c r="G431" s="43"/>
      <c r="H431" s="44"/>
    </row>
    <row r="432" spans="2:8" ht="15.75" x14ac:dyDescent="0.25">
      <c r="B432" s="10" t="s">
        <v>264</v>
      </c>
      <c r="C432" s="7" t="s">
        <v>265</v>
      </c>
      <c r="D432" s="46"/>
      <c r="G432" s="43"/>
      <c r="H432" s="44"/>
    </row>
    <row r="433" spans="2:8" ht="15.75" x14ac:dyDescent="0.25">
      <c r="B433" s="10" t="s">
        <v>266</v>
      </c>
      <c r="C433" s="7">
        <f>C428*C429*C425/(C426*(C425+C427))</f>
        <v>27.950310559006212</v>
      </c>
      <c r="D433" s="7" t="s">
        <v>60</v>
      </c>
      <c r="G433" s="43"/>
      <c r="H433" s="44"/>
    </row>
    <row r="434" spans="2:8" ht="15.75" x14ac:dyDescent="0.25">
      <c r="B434" s="10" t="s">
        <v>267</v>
      </c>
      <c r="C434" s="7"/>
      <c r="D434" s="46"/>
      <c r="G434" s="43"/>
      <c r="H434" s="44"/>
    </row>
    <row r="435" spans="2:8" ht="15.75" x14ac:dyDescent="0.25">
      <c r="B435" s="10" t="s">
        <v>268</v>
      </c>
      <c r="C435" s="7">
        <v>0</v>
      </c>
      <c r="D435" s="46"/>
      <c r="G435" s="43"/>
      <c r="H435" s="44"/>
    </row>
    <row r="436" spans="2:8" ht="15.75" x14ac:dyDescent="0.25">
      <c r="B436" s="10" t="s">
        <v>269</v>
      </c>
      <c r="C436" s="7" t="s">
        <v>270</v>
      </c>
      <c r="D436" s="46"/>
      <c r="G436" s="43"/>
      <c r="H436" s="44"/>
    </row>
    <row r="437" spans="2:8" ht="15.75" x14ac:dyDescent="0.25">
      <c r="B437" s="10" t="s">
        <v>271</v>
      </c>
      <c r="C437" s="37" t="s">
        <v>272</v>
      </c>
      <c r="D437" s="46"/>
      <c r="G437" s="43"/>
      <c r="H437" s="44"/>
    </row>
    <row r="438" spans="2:8" ht="15.75" x14ac:dyDescent="0.25">
      <c r="B438" s="10" t="s">
        <v>273</v>
      </c>
      <c r="C438" s="7">
        <f>((-C433*C426)+(C428*C429))/C424</f>
        <v>73.369565217391298</v>
      </c>
      <c r="D438" s="7" t="s">
        <v>60</v>
      </c>
      <c r="G438" s="43"/>
      <c r="H438" s="44"/>
    </row>
    <row r="439" spans="2:8" x14ac:dyDescent="0.2">
      <c r="B439" s="47"/>
      <c r="C439" s="46"/>
      <c r="D439" s="46"/>
      <c r="G439" s="43"/>
      <c r="H439" s="44"/>
    </row>
    <row r="440" spans="2:8" x14ac:dyDescent="0.2">
      <c r="B440" s="52"/>
      <c r="C440" s="52"/>
      <c r="D440" s="52"/>
      <c r="E440" s="52"/>
      <c r="F440" s="52"/>
      <c r="G440" s="43"/>
      <c r="H440" s="44"/>
    </row>
    <row r="441" spans="2:8" x14ac:dyDescent="0.2">
      <c r="G441" s="43"/>
      <c r="H441" s="44"/>
    </row>
    <row r="442" spans="2:8" ht="15.75" x14ac:dyDescent="0.25">
      <c r="B442" s="2" t="s">
        <v>274</v>
      </c>
      <c r="C442" s="46"/>
      <c r="D442" s="46"/>
      <c r="G442" s="43"/>
      <c r="H442" s="44"/>
    </row>
    <row r="443" spans="2:8" x14ac:dyDescent="0.2">
      <c r="B443" s="47"/>
      <c r="C443" s="46"/>
      <c r="D443" s="46"/>
      <c r="G443" s="43"/>
      <c r="H443" s="44"/>
    </row>
    <row r="444" spans="2:8" x14ac:dyDescent="0.2">
      <c r="B444" s="47"/>
      <c r="C444" s="46"/>
      <c r="D444" s="46"/>
      <c r="G444" s="43"/>
      <c r="H444" s="44"/>
    </row>
    <row r="445" spans="2:8" x14ac:dyDescent="0.2">
      <c r="B445" s="47"/>
      <c r="C445" s="46"/>
      <c r="D445" s="46"/>
      <c r="G445" s="43"/>
      <c r="H445" s="44"/>
    </row>
    <row r="446" spans="2:8" x14ac:dyDescent="0.2">
      <c r="B446" s="47"/>
      <c r="C446" s="46"/>
      <c r="D446" s="46"/>
      <c r="G446" s="43"/>
      <c r="H446" s="44"/>
    </row>
    <row r="447" spans="2:8" x14ac:dyDescent="0.2">
      <c r="B447" s="47"/>
      <c r="C447" s="46"/>
      <c r="D447" s="46"/>
      <c r="G447" s="43"/>
      <c r="H447" s="44"/>
    </row>
    <row r="448" spans="2:8" x14ac:dyDescent="0.2">
      <c r="B448" s="47"/>
      <c r="C448" s="46"/>
      <c r="D448" s="46"/>
      <c r="G448" s="43"/>
      <c r="H448" s="44"/>
    </row>
    <row r="449" spans="2:8" x14ac:dyDescent="0.2">
      <c r="B449" s="45" t="s">
        <v>275</v>
      </c>
      <c r="C449" s="46"/>
      <c r="D449" s="46"/>
      <c r="G449" s="43"/>
      <c r="H449" s="44"/>
    </row>
    <row r="450" spans="2:8" x14ac:dyDescent="0.2">
      <c r="B450" s="45" t="s">
        <v>276</v>
      </c>
      <c r="C450" s="46"/>
      <c r="D450" s="46"/>
      <c r="G450" s="43"/>
      <c r="H450" s="44"/>
    </row>
    <row r="451" spans="2:8" x14ac:dyDescent="0.2">
      <c r="B451" s="45" t="s">
        <v>277</v>
      </c>
      <c r="C451" s="46"/>
      <c r="D451" s="46"/>
      <c r="G451" s="43"/>
      <c r="H451" s="44"/>
    </row>
    <row r="452" spans="2:8" x14ac:dyDescent="0.2">
      <c r="B452" s="45" t="s">
        <v>278</v>
      </c>
      <c r="C452" s="46"/>
      <c r="D452" s="46"/>
      <c r="G452" s="43"/>
      <c r="H452" s="44"/>
    </row>
    <row r="453" spans="2:8" x14ac:dyDescent="0.2">
      <c r="B453" s="45" t="s">
        <v>279</v>
      </c>
      <c r="C453" s="46"/>
      <c r="D453" s="46"/>
      <c r="G453" s="43"/>
      <c r="H453" s="44"/>
    </row>
    <row r="454" spans="2:8" x14ac:dyDescent="0.2">
      <c r="G454" s="43"/>
      <c r="H454" s="44"/>
    </row>
    <row r="455" spans="2:8" x14ac:dyDescent="0.2">
      <c r="G455" s="43"/>
      <c r="H455" s="44"/>
    </row>
    <row r="456" spans="2:8" ht="16.5" thickBot="1" x14ac:dyDescent="0.3">
      <c r="B456" s="47"/>
      <c r="C456" s="9" t="s">
        <v>11</v>
      </c>
      <c r="D456" s="46"/>
      <c r="G456" s="43"/>
      <c r="H456" s="44"/>
    </row>
    <row r="457" spans="2:8" x14ac:dyDescent="0.2">
      <c r="B457" s="47" t="s">
        <v>34</v>
      </c>
      <c r="C457" s="54">
        <v>360</v>
      </c>
      <c r="D457" s="46" t="s">
        <v>35</v>
      </c>
      <c r="G457" s="43"/>
      <c r="H457" s="44"/>
    </row>
    <row r="458" spans="2:8" x14ac:dyDescent="0.2">
      <c r="B458" s="47" t="s">
        <v>280</v>
      </c>
      <c r="C458" s="55">
        <v>80</v>
      </c>
      <c r="D458" s="46" t="s">
        <v>60</v>
      </c>
      <c r="G458" s="43"/>
      <c r="H458" s="44"/>
    </row>
    <row r="459" spans="2:8" x14ac:dyDescent="0.2">
      <c r="B459" s="47" t="s">
        <v>281</v>
      </c>
      <c r="C459" s="55" t="s">
        <v>282</v>
      </c>
      <c r="D459" s="46"/>
      <c r="G459" s="43"/>
      <c r="H459" s="44"/>
    </row>
    <row r="460" spans="2:8" x14ac:dyDescent="0.2">
      <c r="B460" s="47" t="s">
        <v>283</v>
      </c>
      <c r="C460" s="55" t="s">
        <v>284</v>
      </c>
      <c r="D460" s="46"/>
      <c r="G460" s="43"/>
      <c r="H460" s="44"/>
    </row>
    <row r="461" spans="2:8" x14ac:dyDescent="0.2">
      <c r="B461" s="23" t="s">
        <v>285</v>
      </c>
      <c r="C461" s="55" t="s">
        <v>286</v>
      </c>
      <c r="D461" s="46"/>
      <c r="G461" s="43"/>
      <c r="H461" s="44"/>
    </row>
    <row r="462" spans="2:8" x14ac:dyDescent="0.2">
      <c r="B462" s="47"/>
      <c r="C462" s="55">
        <v>0.05</v>
      </c>
      <c r="D462" s="46"/>
      <c r="G462" s="43"/>
      <c r="H462" s="44"/>
    </row>
    <row r="463" spans="2:8" ht="15.75" thickBot="1" x14ac:dyDescent="0.25">
      <c r="B463" s="47" t="s">
        <v>287</v>
      </c>
      <c r="C463" s="60">
        <v>0.25</v>
      </c>
      <c r="D463" s="46" t="s">
        <v>23</v>
      </c>
      <c r="G463" s="43"/>
      <c r="H463" s="44"/>
    </row>
    <row r="464" spans="2:8" ht="15.75" x14ac:dyDescent="0.25">
      <c r="B464" s="47"/>
      <c r="C464" s="9" t="s">
        <v>16</v>
      </c>
      <c r="D464" s="46"/>
      <c r="G464" s="43"/>
      <c r="H464" s="44"/>
    </row>
    <row r="465" spans="2:8" ht="15.75" x14ac:dyDescent="0.25">
      <c r="B465" s="10" t="s">
        <v>288</v>
      </c>
      <c r="C465" s="7" t="s">
        <v>289</v>
      </c>
      <c r="D465" s="7" t="s">
        <v>0</v>
      </c>
      <c r="G465" s="43"/>
      <c r="H465" s="44"/>
    </row>
    <row r="466" spans="2:8" ht="15.75" x14ac:dyDescent="0.25">
      <c r="B466" s="10" t="s">
        <v>290</v>
      </c>
      <c r="C466" s="7">
        <f>2*3.142*C457/60</f>
        <v>37.703999999999994</v>
      </c>
      <c r="D466" s="7" t="s">
        <v>291</v>
      </c>
      <c r="G466" s="43"/>
      <c r="H466" s="44"/>
    </row>
    <row r="467" spans="2:8" ht="15.75" x14ac:dyDescent="0.25">
      <c r="B467" s="10" t="s">
        <v>292</v>
      </c>
      <c r="C467" s="7">
        <v>386.4</v>
      </c>
      <c r="D467" s="7" t="s">
        <v>38</v>
      </c>
      <c r="G467" s="43"/>
      <c r="H467" s="44"/>
    </row>
    <row r="468" spans="2:8" ht="15.75" x14ac:dyDescent="0.25">
      <c r="B468" s="10" t="s">
        <v>98</v>
      </c>
      <c r="C468" s="7" t="s">
        <v>293</v>
      </c>
      <c r="D468" s="7"/>
      <c r="G468" s="43"/>
      <c r="H468" s="44"/>
    </row>
    <row r="469" spans="2:8" ht="15.75" x14ac:dyDescent="0.25">
      <c r="B469" s="10" t="s">
        <v>294</v>
      </c>
      <c r="C469" s="18">
        <f>C458/C467</f>
        <v>0.20703933747412009</v>
      </c>
      <c r="D469" s="7" t="s">
        <v>27</v>
      </c>
      <c r="G469" s="43"/>
      <c r="H469" s="44"/>
    </row>
    <row r="470" spans="2:8" ht="15.75" x14ac:dyDescent="0.25">
      <c r="B470" s="10" t="s">
        <v>295</v>
      </c>
      <c r="C470" s="7" t="s">
        <v>296</v>
      </c>
      <c r="D470" s="7" t="s">
        <v>0</v>
      </c>
      <c r="G470" s="43"/>
      <c r="H470" s="44"/>
    </row>
    <row r="471" spans="2:8" ht="15.75" x14ac:dyDescent="0.25">
      <c r="B471" s="10" t="s">
        <v>297</v>
      </c>
      <c r="C471" s="7" t="s">
        <v>298</v>
      </c>
      <c r="D471" s="7" t="s">
        <v>0</v>
      </c>
      <c r="G471" s="43"/>
      <c r="H471" s="44"/>
    </row>
    <row r="472" spans="2:8" ht="15.75" x14ac:dyDescent="0.25">
      <c r="B472" s="10" t="s">
        <v>299</v>
      </c>
      <c r="C472" s="14">
        <f>C469*C466^2</f>
        <v>294.32538633540361</v>
      </c>
      <c r="D472" s="7" t="s">
        <v>300</v>
      </c>
      <c r="G472" s="43"/>
      <c r="H472" s="44"/>
    </row>
    <row r="473" spans="2:8" ht="15.75" x14ac:dyDescent="0.25">
      <c r="B473" s="10" t="s">
        <v>96</v>
      </c>
      <c r="C473" s="7" t="s">
        <v>301</v>
      </c>
      <c r="D473" s="7" t="s">
        <v>0</v>
      </c>
      <c r="G473" s="43"/>
      <c r="H473" s="44"/>
    </row>
    <row r="474" spans="2:8" ht="15.75" x14ac:dyDescent="0.25">
      <c r="B474" s="10" t="s">
        <v>302</v>
      </c>
      <c r="C474" s="14">
        <f>C472/2</f>
        <v>147.1626931677018</v>
      </c>
      <c r="D474" s="7" t="s">
        <v>300</v>
      </c>
      <c r="G474" s="43"/>
      <c r="H474" s="44"/>
    </row>
    <row r="475" spans="2:8" ht="15.75" x14ac:dyDescent="0.25">
      <c r="B475" s="10" t="s">
        <v>303</v>
      </c>
      <c r="C475" s="7" t="s">
        <v>304</v>
      </c>
      <c r="G475" s="43"/>
      <c r="H475" s="44"/>
    </row>
    <row r="476" spans="2:8" ht="15.75" x14ac:dyDescent="0.25">
      <c r="B476" s="10" t="s">
        <v>305</v>
      </c>
      <c r="C476" s="13">
        <f>2*(C472*C469)^0.5</f>
        <v>15.612422360248445</v>
      </c>
      <c r="G476" s="43"/>
      <c r="H476" s="44"/>
    </row>
    <row r="477" spans="2:8" ht="15.75" x14ac:dyDescent="0.25">
      <c r="B477" s="10" t="s">
        <v>306</v>
      </c>
      <c r="C477" s="7" t="s">
        <v>307</v>
      </c>
      <c r="D477" s="7"/>
      <c r="G477" s="43"/>
      <c r="H477" s="44"/>
    </row>
    <row r="478" spans="2:8" ht="15.75" x14ac:dyDescent="0.25">
      <c r="B478" s="10" t="s">
        <v>308</v>
      </c>
      <c r="C478" s="11">
        <f>C476*C462</f>
        <v>0.78062111801242229</v>
      </c>
      <c r="D478" s="7"/>
      <c r="G478" s="43"/>
      <c r="H478" s="44"/>
    </row>
    <row r="479" spans="2:8" ht="15.75" x14ac:dyDescent="0.25">
      <c r="B479" s="10" t="s">
        <v>309</v>
      </c>
      <c r="C479" s="7" t="s">
        <v>310</v>
      </c>
      <c r="D479" s="7" t="s">
        <v>78</v>
      </c>
      <c r="G479" s="43"/>
      <c r="H479" s="44"/>
    </row>
    <row r="480" spans="2:8" ht="15.75" x14ac:dyDescent="0.25">
      <c r="B480" s="10" t="s">
        <v>311</v>
      </c>
      <c r="C480" s="7" t="s">
        <v>312</v>
      </c>
      <c r="D480" s="7" t="s">
        <v>78</v>
      </c>
      <c r="G480" s="43"/>
      <c r="H480" s="44"/>
    </row>
    <row r="481" spans="2:8" ht="15.75" x14ac:dyDescent="0.25">
      <c r="B481" s="10" t="s">
        <v>313</v>
      </c>
      <c r="C481" s="7" t="s">
        <v>314</v>
      </c>
      <c r="D481" s="7" t="s">
        <v>23</v>
      </c>
      <c r="G481" s="43"/>
      <c r="H481" s="44"/>
    </row>
    <row r="482" spans="2:8" ht="15.75" x14ac:dyDescent="0.25">
      <c r="B482" s="10" t="s">
        <v>315</v>
      </c>
      <c r="C482" s="7" t="s">
        <v>312</v>
      </c>
      <c r="D482" s="7"/>
      <c r="G482" s="43"/>
      <c r="H482" s="44"/>
    </row>
    <row r="483" spans="2:8" ht="15.75" x14ac:dyDescent="0.25">
      <c r="B483" s="10" t="s">
        <v>316</v>
      </c>
      <c r="C483" s="13">
        <f>C478*C466*C463</f>
        <v>7.3581346583850911</v>
      </c>
      <c r="D483" s="7" t="s">
        <v>78</v>
      </c>
      <c r="E483" s="41" t="s">
        <v>0</v>
      </c>
      <c r="G483" s="43"/>
      <c r="H483" s="44"/>
    </row>
    <row r="484" spans="2:8" x14ac:dyDescent="0.2">
      <c r="G484" s="43"/>
      <c r="H484" s="44"/>
    </row>
    <row r="485" spans="2:8" x14ac:dyDescent="0.2">
      <c r="B485" s="52"/>
      <c r="C485" s="52"/>
      <c r="D485" s="52"/>
      <c r="E485" s="52"/>
      <c r="F485" s="52"/>
      <c r="G485" s="43"/>
      <c r="H485" s="44"/>
    </row>
    <row r="486" spans="2:8" x14ac:dyDescent="0.2">
      <c r="G486" s="43"/>
      <c r="H486" s="44"/>
    </row>
    <row r="487" spans="2:8" x14ac:dyDescent="0.2">
      <c r="C487" s="46"/>
      <c r="D487" s="46"/>
      <c r="G487" s="43"/>
      <c r="H487" s="44"/>
    </row>
    <row r="488" spans="2:8" x14ac:dyDescent="0.2">
      <c r="B488" s="47"/>
      <c r="C488" s="46"/>
      <c r="D488" s="46"/>
      <c r="G488" s="43"/>
      <c r="H488" s="44"/>
    </row>
    <row r="489" spans="2:8" ht="15.75" x14ac:dyDescent="0.25">
      <c r="B489" s="2" t="s">
        <v>317</v>
      </c>
      <c r="C489" s="46"/>
      <c r="D489" s="46"/>
      <c r="G489" s="43"/>
      <c r="H489" s="44"/>
    </row>
    <row r="490" spans="2:8" x14ac:dyDescent="0.2">
      <c r="B490" s="45" t="s">
        <v>318</v>
      </c>
      <c r="C490" s="46"/>
      <c r="D490" s="46"/>
      <c r="G490" s="43"/>
      <c r="H490" s="44"/>
    </row>
    <row r="491" spans="2:8" x14ac:dyDescent="0.2">
      <c r="B491" s="45" t="s">
        <v>319</v>
      </c>
      <c r="C491" s="46"/>
      <c r="D491" s="46"/>
      <c r="G491" s="43"/>
      <c r="H491" s="44"/>
    </row>
    <row r="492" spans="2:8" x14ac:dyDescent="0.2">
      <c r="B492" s="45" t="s">
        <v>320</v>
      </c>
      <c r="C492" s="46"/>
      <c r="D492" s="46"/>
      <c r="G492" s="43"/>
      <c r="H492" s="44"/>
    </row>
    <row r="493" spans="2:8" x14ac:dyDescent="0.2">
      <c r="B493" s="45" t="s">
        <v>321</v>
      </c>
      <c r="C493" s="46"/>
      <c r="D493" s="46"/>
      <c r="G493" s="43"/>
      <c r="H493" s="44"/>
    </row>
    <row r="494" spans="2:8" ht="15.75" x14ac:dyDescent="0.25">
      <c r="C494" s="46"/>
      <c r="D494" s="46"/>
      <c r="F494" s="7" t="s">
        <v>0</v>
      </c>
      <c r="G494" s="43"/>
      <c r="H494" s="44"/>
    </row>
    <row r="495" spans="2:8" x14ac:dyDescent="0.2">
      <c r="B495" s="45" t="s">
        <v>322</v>
      </c>
      <c r="C495" s="46"/>
      <c r="D495" s="46"/>
      <c r="G495" s="43"/>
      <c r="H495" s="44"/>
    </row>
    <row r="496" spans="2:8" x14ac:dyDescent="0.2">
      <c r="B496" s="45" t="s">
        <v>323</v>
      </c>
      <c r="C496" s="46"/>
      <c r="D496" s="46"/>
      <c r="G496" s="43"/>
      <c r="H496" s="44"/>
    </row>
    <row r="497" spans="2:8" x14ac:dyDescent="0.2">
      <c r="G497" s="43"/>
      <c r="H497" s="44"/>
    </row>
    <row r="498" spans="2:8" x14ac:dyDescent="0.2">
      <c r="G498" s="43"/>
      <c r="H498" s="44"/>
    </row>
    <row r="499" spans="2:8" ht="15.75" x14ac:dyDescent="0.25">
      <c r="B499" s="4" t="s">
        <v>324</v>
      </c>
      <c r="G499" s="43"/>
      <c r="H499" s="44"/>
    </row>
    <row r="500" spans="2:8" ht="15.75" x14ac:dyDescent="0.25">
      <c r="B500" s="2" t="s">
        <v>325</v>
      </c>
      <c r="C500" s="46"/>
      <c r="D500" s="46"/>
      <c r="G500" s="43"/>
      <c r="H500" s="44"/>
    </row>
    <row r="501" spans="2:8" ht="16.5" thickBot="1" x14ac:dyDescent="0.3">
      <c r="B501" s="2" t="s">
        <v>326</v>
      </c>
      <c r="C501" s="9" t="s">
        <v>11</v>
      </c>
      <c r="D501" s="46"/>
      <c r="G501" s="43"/>
      <c r="H501" s="44"/>
    </row>
    <row r="502" spans="2:8" x14ac:dyDescent="0.2">
      <c r="B502" s="47" t="s">
        <v>327</v>
      </c>
      <c r="C502" s="54">
        <v>200</v>
      </c>
      <c r="D502" s="46" t="s">
        <v>60</v>
      </c>
      <c r="G502" s="43"/>
      <c r="H502" s="44"/>
    </row>
    <row r="503" spans="2:8" x14ac:dyDescent="0.2">
      <c r="B503" s="47" t="s">
        <v>328</v>
      </c>
      <c r="C503" s="55">
        <v>4</v>
      </c>
      <c r="D503" s="46"/>
      <c r="G503" s="43"/>
      <c r="H503" s="44"/>
    </row>
    <row r="504" spans="2:8" x14ac:dyDescent="0.2">
      <c r="B504" s="47" t="s">
        <v>329</v>
      </c>
      <c r="C504" s="69">
        <v>0.8</v>
      </c>
      <c r="D504" s="46"/>
      <c r="G504" s="43"/>
      <c r="H504" s="44"/>
    </row>
    <row r="505" spans="2:8" ht="15.75" thickBot="1" x14ac:dyDescent="0.25">
      <c r="B505" s="47" t="s">
        <v>330</v>
      </c>
      <c r="C505" s="60">
        <v>1080</v>
      </c>
      <c r="D505" s="46" t="s">
        <v>35</v>
      </c>
      <c r="G505" s="43"/>
      <c r="H505" s="44"/>
    </row>
    <row r="506" spans="2:8" ht="15.75" x14ac:dyDescent="0.25">
      <c r="B506" s="47"/>
      <c r="C506" s="9" t="s">
        <v>16</v>
      </c>
      <c r="D506" s="46"/>
      <c r="G506" s="43"/>
      <c r="H506" s="44"/>
    </row>
    <row r="507" spans="2:8" ht="15.75" x14ac:dyDescent="0.25">
      <c r="B507" s="10" t="s">
        <v>331</v>
      </c>
      <c r="C507" s="7" t="s">
        <v>332</v>
      </c>
      <c r="D507" s="7" t="s">
        <v>60</v>
      </c>
      <c r="G507" s="43"/>
      <c r="H507" s="44"/>
    </row>
    <row r="508" spans="2:8" ht="15.75" x14ac:dyDescent="0.25">
      <c r="B508" s="10" t="s">
        <v>333</v>
      </c>
      <c r="C508" s="7">
        <f>C502/C503</f>
        <v>50</v>
      </c>
      <c r="D508" s="7"/>
      <c r="G508" s="43"/>
      <c r="H508" s="44"/>
    </row>
    <row r="509" spans="2:8" ht="15.75" x14ac:dyDescent="0.25">
      <c r="B509" s="10" t="s">
        <v>334</v>
      </c>
      <c r="C509" s="7" t="s">
        <v>335</v>
      </c>
      <c r="G509" s="43"/>
      <c r="H509" s="44"/>
    </row>
    <row r="510" spans="2:8" ht="15.75" x14ac:dyDescent="0.25">
      <c r="B510" s="10" t="s">
        <v>336</v>
      </c>
      <c r="C510" s="13">
        <f>1-C504</f>
        <v>0.19999999999999996</v>
      </c>
      <c r="D510" s="46"/>
      <c r="G510" s="43"/>
      <c r="H510" s="44"/>
    </row>
    <row r="511" spans="2:8" ht="15.75" x14ac:dyDescent="0.25">
      <c r="B511" s="10" t="s">
        <v>337</v>
      </c>
      <c r="C511" s="7">
        <f>C505/60</f>
        <v>18</v>
      </c>
      <c r="D511" s="7" t="s">
        <v>338</v>
      </c>
      <c r="G511" s="43"/>
      <c r="H511" s="44"/>
    </row>
    <row r="512" spans="2:8" ht="15.75" x14ac:dyDescent="0.25">
      <c r="B512" s="10" t="s">
        <v>334</v>
      </c>
      <c r="C512" s="7" t="s">
        <v>339</v>
      </c>
      <c r="D512" s="46"/>
      <c r="G512" s="43"/>
      <c r="H512" s="44"/>
    </row>
    <row r="513" spans="2:8" ht="15.75" x14ac:dyDescent="0.25">
      <c r="B513" s="10" t="s">
        <v>340</v>
      </c>
      <c r="C513" s="7" t="s">
        <v>341</v>
      </c>
      <c r="D513" s="46"/>
      <c r="G513" s="43"/>
      <c r="H513" s="44"/>
    </row>
    <row r="514" spans="2:8" ht="15.75" x14ac:dyDescent="0.25">
      <c r="B514" s="10" t="s">
        <v>342</v>
      </c>
      <c r="C514" s="13">
        <f>C511/(1+(1/C510))^0.5</f>
        <v>7.3484692283495336</v>
      </c>
      <c r="D514" s="7" t="s">
        <v>29</v>
      </c>
      <c r="G514" s="43"/>
      <c r="H514" s="44"/>
    </row>
    <row r="515" spans="2:8" ht="15.75" x14ac:dyDescent="0.25">
      <c r="B515" s="10" t="s">
        <v>292</v>
      </c>
      <c r="C515" s="7">
        <v>386.4</v>
      </c>
      <c r="D515" s="7" t="s">
        <v>343</v>
      </c>
      <c r="G515" s="43"/>
      <c r="H515" s="44"/>
    </row>
    <row r="516" spans="2:8" ht="15.75" x14ac:dyDescent="0.25">
      <c r="B516" s="10" t="s">
        <v>344</v>
      </c>
      <c r="C516" s="7" t="s">
        <v>345</v>
      </c>
      <c r="D516" s="7"/>
      <c r="G516" s="43"/>
      <c r="H516" s="44"/>
    </row>
    <row r="517" spans="2:8" ht="15.75" x14ac:dyDescent="0.25">
      <c r="B517" s="10" t="s">
        <v>174</v>
      </c>
      <c r="C517" s="7" t="s">
        <v>346</v>
      </c>
      <c r="D517" s="7"/>
      <c r="G517" s="43"/>
      <c r="H517" s="44"/>
    </row>
    <row r="518" spans="2:8" ht="15.75" x14ac:dyDescent="0.25">
      <c r="B518" s="10" t="s">
        <v>347</v>
      </c>
      <c r="C518" s="7" t="s">
        <v>348</v>
      </c>
      <c r="D518" s="7" t="s">
        <v>29</v>
      </c>
      <c r="G518" s="43"/>
      <c r="H518" s="44"/>
    </row>
    <row r="519" spans="2:8" ht="15.75" x14ac:dyDescent="0.25">
      <c r="B519" s="10" t="s">
        <v>349</v>
      </c>
      <c r="C519" s="7" t="s">
        <v>350</v>
      </c>
      <c r="D519" s="7"/>
      <c r="G519" s="43"/>
      <c r="H519" s="44"/>
    </row>
    <row r="520" spans="2:8" ht="15.75" x14ac:dyDescent="0.25">
      <c r="B520" s="10" t="s">
        <v>349</v>
      </c>
      <c r="C520" s="7" t="s">
        <v>351</v>
      </c>
      <c r="D520" s="7"/>
      <c r="G520" s="43"/>
      <c r="H520" s="44"/>
    </row>
    <row r="521" spans="2:8" ht="15.75" x14ac:dyDescent="0.25">
      <c r="B521" s="10" t="s">
        <v>352</v>
      </c>
      <c r="C521" s="7" t="s">
        <v>353</v>
      </c>
      <c r="D521" s="46"/>
      <c r="G521" s="43"/>
      <c r="H521" s="44"/>
    </row>
    <row r="522" spans="2:8" ht="15.75" x14ac:dyDescent="0.25">
      <c r="B522" s="10" t="s">
        <v>176</v>
      </c>
      <c r="C522" s="11">
        <f>(3.128)^2/(C514)^2</f>
        <v>0.18119229629629635</v>
      </c>
      <c r="D522" s="7" t="s">
        <v>23</v>
      </c>
      <c r="G522" s="43"/>
      <c r="H522" s="44"/>
    </row>
    <row r="523" spans="2:8" x14ac:dyDescent="0.2">
      <c r="G523" s="43"/>
      <c r="H523" s="44"/>
    </row>
    <row r="524" spans="2:8" ht="15.75" x14ac:dyDescent="0.25">
      <c r="B524" s="10" t="s">
        <v>354</v>
      </c>
      <c r="C524" s="7">
        <v>10</v>
      </c>
      <c r="G524" s="43"/>
      <c r="H524" s="44"/>
    </row>
    <row r="525" spans="2:8" ht="15.75" x14ac:dyDescent="0.25">
      <c r="B525" s="2" t="s">
        <v>355</v>
      </c>
      <c r="C525" s="7"/>
      <c r="D525" s="46"/>
      <c r="G525" s="43"/>
      <c r="H525" s="44"/>
    </row>
    <row r="526" spans="2:8" x14ac:dyDescent="0.2">
      <c r="G526" s="43"/>
      <c r="H526" s="44"/>
    </row>
    <row r="527" spans="2:8" ht="15.75" x14ac:dyDescent="0.25">
      <c r="B527" s="10" t="s">
        <v>356</v>
      </c>
      <c r="C527" s="7" t="s">
        <v>357</v>
      </c>
      <c r="G527" s="43"/>
      <c r="H527" s="44"/>
    </row>
    <row r="528" spans="2:8" ht="15.75" x14ac:dyDescent="0.25">
      <c r="B528" s="10" t="s">
        <v>358</v>
      </c>
      <c r="C528" s="7" t="s">
        <v>359</v>
      </c>
      <c r="D528" s="46"/>
      <c r="G528" s="43"/>
      <c r="H528" s="44"/>
    </row>
    <row r="529" spans="2:8" ht="15.75" x14ac:dyDescent="0.25">
      <c r="B529" s="10" t="s">
        <v>360</v>
      </c>
      <c r="C529" s="13">
        <f>1/(2*C524)</f>
        <v>0.05</v>
      </c>
      <c r="D529" s="46"/>
      <c r="G529" s="43"/>
      <c r="H529" s="44"/>
    </row>
    <row r="530" spans="2:8" x14ac:dyDescent="0.2">
      <c r="D530" s="46"/>
      <c r="G530" s="43"/>
      <c r="H530" s="44"/>
    </row>
    <row r="531" spans="2:8" x14ac:dyDescent="0.2">
      <c r="B531" s="52"/>
      <c r="C531" s="52"/>
      <c r="D531" s="52"/>
      <c r="E531" s="52"/>
      <c r="F531" s="52"/>
      <c r="G531" s="43"/>
      <c r="H531" s="44"/>
    </row>
    <row r="532" spans="2:8" x14ac:dyDescent="0.2">
      <c r="G532" s="43"/>
      <c r="H532" s="44"/>
    </row>
    <row r="533" spans="2:8" ht="15.75" x14ac:dyDescent="0.25">
      <c r="B533" s="4"/>
      <c r="G533" s="43"/>
      <c r="H533" s="44"/>
    </row>
    <row r="534" spans="2:8" ht="15.75" x14ac:dyDescent="0.25">
      <c r="B534" s="10"/>
      <c r="C534" s="45" t="s">
        <v>495</v>
      </c>
      <c r="D534" s="46"/>
      <c r="G534" s="43"/>
      <c r="H534" s="44"/>
    </row>
    <row r="535" spans="2:8" ht="15.75" x14ac:dyDescent="0.25">
      <c r="B535" s="10"/>
      <c r="C535" s="38"/>
      <c r="D535" s="7"/>
      <c r="G535" s="43"/>
      <c r="H535" s="44"/>
    </row>
    <row r="536" spans="2:8" ht="15.75" x14ac:dyDescent="0.25">
      <c r="B536" s="10"/>
      <c r="C536" s="7"/>
      <c r="D536" s="7"/>
      <c r="G536" s="43"/>
      <c r="H536" s="44"/>
    </row>
    <row r="537" spans="2:8" ht="15.75" x14ac:dyDescent="0.25">
      <c r="B537" s="10"/>
      <c r="C537" s="7"/>
      <c r="D537" s="7"/>
      <c r="G537" s="43"/>
      <c r="H537" s="44"/>
    </row>
    <row r="538" spans="2:8" ht="15.75" x14ac:dyDescent="0.25">
      <c r="B538" s="10"/>
      <c r="C538" s="7"/>
      <c r="D538" s="7"/>
      <c r="G538" s="43"/>
      <c r="H538" s="44"/>
    </row>
    <row r="539" spans="2:8" ht="15.75" x14ac:dyDescent="0.25">
      <c r="B539" s="10"/>
      <c r="C539" s="7"/>
      <c r="D539" s="7"/>
      <c r="G539" s="43"/>
      <c r="H539" s="44"/>
    </row>
    <row r="540" spans="2:8" x14ac:dyDescent="0.2">
      <c r="G540" s="43"/>
      <c r="H540" s="44"/>
    </row>
    <row r="541" spans="2:8" x14ac:dyDescent="0.2">
      <c r="G541" s="43"/>
      <c r="H541" s="44"/>
    </row>
    <row r="542" spans="2:8" x14ac:dyDescent="0.2">
      <c r="G542" s="43"/>
      <c r="H542" s="44"/>
    </row>
    <row r="543" spans="2:8" x14ac:dyDescent="0.2">
      <c r="G543" s="43"/>
      <c r="H543" s="44"/>
    </row>
    <row r="544" spans="2:8" x14ac:dyDescent="0.2">
      <c r="G544" s="43"/>
      <c r="H544" s="44"/>
    </row>
    <row r="545" spans="7:8" x14ac:dyDescent="0.2">
      <c r="G545" s="43"/>
      <c r="H545" s="44"/>
    </row>
    <row r="546" spans="7:8" x14ac:dyDescent="0.2">
      <c r="G546" s="43"/>
      <c r="H546" s="44"/>
    </row>
    <row r="547" spans="7:8" x14ac:dyDescent="0.2">
      <c r="G547" s="43"/>
      <c r="H547" s="44"/>
    </row>
    <row r="548" spans="7:8" x14ac:dyDescent="0.2">
      <c r="G548" s="43"/>
      <c r="H548" s="44"/>
    </row>
    <row r="549" spans="7:8" x14ac:dyDescent="0.2">
      <c r="G549" s="43"/>
      <c r="H549" s="44"/>
    </row>
    <row r="550" spans="7:8" x14ac:dyDescent="0.2">
      <c r="G550" s="43"/>
      <c r="H550" s="44"/>
    </row>
    <row r="551" spans="7:8" x14ac:dyDescent="0.2">
      <c r="G551" s="43"/>
      <c r="H551" s="44"/>
    </row>
    <row r="552" spans="7:8" x14ac:dyDescent="0.2">
      <c r="G552" s="43"/>
      <c r="H552" s="44"/>
    </row>
    <row r="553" spans="7:8" x14ac:dyDescent="0.2">
      <c r="G553" s="43"/>
      <c r="H553" s="44"/>
    </row>
    <row r="554" spans="7:8" x14ac:dyDescent="0.2">
      <c r="G554" s="43"/>
      <c r="H554" s="44"/>
    </row>
    <row r="555" spans="7:8" x14ac:dyDescent="0.2">
      <c r="G555" s="43"/>
      <c r="H555" s="44"/>
    </row>
    <row r="556" spans="7:8" x14ac:dyDescent="0.2">
      <c r="G556" s="43"/>
      <c r="H556" s="44"/>
    </row>
    <row r="557" spans="7:8" x14ac:dyDescent="0.2">
      <c r="G557" s="43"/>
      <c r="H557" s="44"/>
    </row>
    <row r="558" spans="7:8" x14ac:dyDescent="0.2">
      <c r="G558" s="43"/>
      <c r="H558" s="44"/>
    </row>
    <row r="559" spans="7:8" x14ac:dyDescent="0.2">
      <c r="G559" s="43"/>
      <c r="H559" s="44"/>
    </row>
    <row r="560" spans="7:8" x14ac:dyDescent="0.2">
      <c r="G560" s="43"/>
      <c r="H560" s="44"/>
    </row>
    <row r="561" spans="2:8" x14ac:dyDescent="0.2">
      <c r="G561" s="43"/>
      <c r="H561" s="44"/>
    </row>
    <row r="562" spans="2:8" x14ac:dyDescent="0.2">
      <c r="G562" s="43"/>
      <c r="H562" s="44"/>
    </row>
    <row r="563" spans="2:8" x14ac:dyDescent="0.2">
      <c r="G563" s="43"/>
      <c r="H563" s="44"/>
    </row>
    <row r="564" spans="2:8" x14ac:dyDescent="0.2">
      <c r="G564" s="43"/>
      <c r="H564" s="44"/>
    </row>
    <row r="565" spans="2:8" x14ac:dyDescent="0.2">
      <c r="G565" s="43"/>
      <c r="H565" s="44"/>
    </row>
    <row r="566" spans="2:8" x14ac:dyDescent="0.2">
      <c r="G566" s="43"/>
      <c r="H566" s="44"/>
    </row>
    <row r="567" spans="2:8" x14ac:dyDescent="0.2">
      <c r="G567" s="43"/>
      <c r="H567" s="44"/>
    </row>
    <row r="568" spans="2:8" x14ac:dyDescent="0.2">
      <c r="G568" s="43"/>
      <c r="H568" s="44"/>
    </row>
    <row r="569" spans="2:8" x14ac:dyDescent="0.2">
      <c r="G569" s="43"/>
      <c r="H569" s="44"/>
    </row>
    <row r="570" spans="2:8" x14ac:dyDescent="0.2">
      <c r="G570" s="43"/>
      <c r="H570" s="44"/>
    </row>
    <row r="571" spans="2:8" x14ac:dyDescent="0.2">
      <c r="G571" s="43"/>
      <c r="H571" s="44"/>
    </row>
    <row r="572" spans="2:8" x14ac:dyDescent="0.2">
      <c r="G572" s="43"/>
      <c r="H572" s="44"/>
    </row>
    <row r="573" spans="2:8" x14ac:dyDescent="0.2">
      <c r="G573" s="43"/>
      <c r="H573" s="44"/>
    </row>
    <row r="574" spans="2:8" x14ac:dyDescent="0.2">
      <c r="B574" s="72"/>
      <c r="C574" s="72"/>
      <c r="D574" s="72"/>
      <c r="E574" s="72"/>
      <c r="F574" s="72"/>
      <c r="G574" s="43"/>
      <c r="H574" s="44"/>
    </row>
    <row r="575" spans="2:8" x14ac:dyDescent="0.2">
      <c r="G575" s="43"/>
      <c r="H575" s="44"/>
    </row>
    <row r="576" spans="2:8" x14ac:dyDescent="0.2">
      <c r="G576" s="43"/>
      <c r="H576" s="44"/>
    </row>
    <row r="577" spans="2:8" x14ac:dyDescent="0.2">
      <c r="G577" s="43"/>
      <c r="H577" s="44"/>
    </row>
    <row r="578" spans="2:8" x14ac:dyDescent="0.2">
      <c r="G578" s="43"/>
      <c r="H578" s="44"/>
    </row>
    <row r="579" spans="2:8" x14ac:dyDescent="0.2">
      <c r="G579" s="43"/>
      <c r="H579" s="44"/>
    </row>
    <row r="580" spans="2:8" x14ac:dyDescent="0.2">
      <c r="G580" s="43"/>
      <c r="H580" s="44"/>
    </row>
    <row r="581" spans="2:8" x14ac:dyDescent="0.2">
      <c r="G581" s="43"/>
      <c r="H581" s="44"/>
    </row>
    <row r="582" spans="2:8" x14ac:dyDescent="0.2">
      <c r="B582" s="47"/>
      <c r="C582" s="46"/>
      <c r="D582" s="46"/>
      <c r="G582" s="43"/>
      <c r="H582" s="44"/>
    </row>
    <row r="583" spans="2:8" x14ac:dyDescent="0.2">
      <c r="B583" s="47"/>
      <c r="C583" s="46"/>
      <c r="D583" s="46"/>
      <c r="G583" s="43"/>
      <c r="H583" s="44"/>
    </row>
    <row r="584" spans="2:8" ht="15.75" x14ac:dyDescent="0.25">
      <c r="B584" s="47"/>
      <c r="C584" s="46"/>
      <c r="D584" s="46"/>
      <c r="F584" s="7"/>
      <c r="G584" s="43"/>
      <c r="H584" s="44"/>
    </row>
    <row r="585" spans="2:8" x14ac:dyDescent="0.2">
      <c r="B585" s="47"/>
      <c r="C585" s="46"/>
      <c r="D585" s="46"/>
      <c r="G585" s="43"/>
      <c r="H585" s="44"/>
    </row>
    <row r="586" spans="2:8" x14ac:dyDescent="0.2">
      <c r="B586" s="47"/>
      <c r="C586" s="46"/>
      <c r="D586" s="46"/>
      <c r="G586" s="43"/>
      <c r="H586" s="44"/>
    </row>
    <row r="587" spans="2:8" x14ac:dyDescent="0.2">
      <c r="B587" s="47"/>
      <c r="C587" s="46"/>
      <c r="D587" s="46"/>
      <c r="G587" s="43"/>
      <c r="H587" s="44"/>
    </row>
    <row r="588" spans="2:8" x14ac:dyDescent="0.2">
      <c r="B588" s="47"/>
      <c r="C588" s="46"/>
      <c r="D588" s="46"/>
      <c r="G588" s="43"/>
      <c r="H588" s="44"/>
    </row>
    <row r="589" spans="2:8" x14ac:dyDescent="0.2">
      <c r="B589" s="47"/>
      <c r="C589" s="46"/>
      <c r="D589" s="46"/>
      <c r="G589" s="43"/>
      <c r="H589" s="44"/>
    </row>
    <row r="590" spans="2:8" x14ac:dyDescent="0.2">
      <c r="B590" s="47"/>
      <c r="C590" s="46"/>
      <c r="D590" s="46"/>
      <c r="G590" s="43"/>
      <c r="H590" s="44"/>
    </row>
    <row r="591" spans="2:8" x14ac:dyDescent="0.2">
      <c r="B591" s="47"/>
      <c r="C591" s="46"/>
      <c r="D591" s="46"/>
      <c r="G591" s="43"/>
      <c r="H591" s="44"/>
    </row>
    <row r="592" spans="2:8" x14ac:dyDescent="0.2">
      <c r="B592" s="47"/>
      <c r="C592" s="46"/>
      <c r="D592" s="46"/>
      <c r="G592" s="43"/>
      <c r="H592" s="44"/>
    </row>
    <row r="593" spans="2:8" x14ac:dyDescent="0.2">
      <c r="B593" s="47"/>
      <c r="C593" s="46"/>
      <c r="D593" s="46"/>
      <c r="G593" s="43"/>
      <c r="H593" s="44"/>
    </row>
    <row r="594" spans="2:8" x14ac:dyDescent="0.2">
      <c r="B594" s="47"/>
      <c r="C594" s="46"/>
      <c r="D594" s="46"/>
      <c r="G594" s="43"/>
      <c r="H594" s="44"/>
    </row>
    <row r="595" spans="2:8" x14ac:dyDescent="0.2">
      <c r="B595" s="47"/>
      <c r="C595" s="46"/>
      <c r="D595" s="46"/>
      <c r="G595" s="43"/>
      <c r="H595" s="44"/>
    </row>
    <row r="596" spans="2:8" x14ac:dyDescent="0.2">
      <c r="B596" s="47"/>
      <c r="C596" s="46"/>
      <c r="D596" s="46"/>
      <c r="G596" s="43"/>
      <c r="H596" s="44"/>
    </row>
    <row r="597" spans="2:8" x14ac:dyDescent="0.2">
      <c r="B597" s="47"/>
      <c r="C597" s="46"/>
      <c r="D597" s="46"/>
      <c r="G597" s="43"/>
      <c r="H597" s="44"/>
    </row>
    <row r="598" spans="2:8" x14ac:dyDescent="0.2">
      <c r="B598" s="47"/>
      <c r="C598" s="46"/>
      <c r="D598" s="46"/>
      <c r="G598" s="43"/>
      <c r="H598" s="44"/>
    </row>
    <row r="599" spans="2:8" x14ac:dyDescent="0.2">
      <c r="B599" s="47"/>
      <c r="C599" s="46"/>
      <c r="D599" s="46"/>
      <c r="G599" s="43"/>
      <c r="H599" s="44"/>
    </row>
    <row r="600" spans="2:8" ht="15.75" x14ac:dyDescent="0.25">
      <c r="B600" s="47"/>
      <c r="C600" s="46"/>
      <c r="D600" s="46"/>
      <c r="E600" s="7"/>
      <c r="G600" s="43"/>
      <c r="H600" s="44"/>
    </row>
    <row r="601" spans="2:8" x14ac:dyDescent="0.2">
      <c r="B601" s="47"/>
      <c r="C601" s="46"/>
      <c r="D601" s="46"/>
      <c r="G601" s="43"/>
      <c r="H601" s="44"/>
    </row>
    <row r="602" spans="2:8" x14ac:dyDescent="0.2">
      <c r="B602" s="47"/>
      <c r="C602" s="46"/>
      <c r="D602" s="46"/>
      <c r="G602" s="43"/>
      <c r="H602" s="44"/>
    </row>
    <row r="603" spans="2:8" x14ac:dyDescent="0.2">
      <c r="B603" s="47"/>
      <c r="C603" s="46"/>
      <c r="D603" s="46"/>
      <c r="G603" s="43"/>
      <c r="H603" s="44"/>
    </row>
    <row r="604" spans="2:8" x14ac:dyDescent="0.2">
      <c r="B604" s="47"/>
      <c r="C604" s="46"/>
      <c r="D604" s="46"/>
      <c r="G604" s="43"/>
      <c r="H604" s="44"/>
    </row>
    <row r="605" spans="2:8" x14ac:dyDescent="0.2">
      <c r="B605" s="47"/>
      <c r="C605" s="46"/>
      <c r="D605" s="46"/>
      <c r="G605" s="43"/>
      <c r="H605" s="44"/>
    </row>
    <row r="606" spans="2:8" x14ac:dyDescent="0.2">
      <c r="B606" s="47"/>
      <c r="C606" s="46"/>
      <c r="D606" s="46"/>
      <c r="G606" s="43"/>
      <c r="H606" s="44"/>
    </row>
    <row r="607" spans="2:8" x14ac:dyDescent="0.2">
      <c r="B607" s="47"/>
      <c r="C607" s="46"/>
      <c r="D607" s="46"/>
      <c r="G607" s="43"/>
      <c r="H607" s="44"/>
    </row>
    <row r="608" spans="2:8" x14ac:dyDescent="0.2">
      <c r="B608" s="47"/>
      <c r="C608" s="46"/>
      <c r="D608" s="46"/>
      <c r="G608" s="43"/>
      <c r="H608" s="44"/>
    </row>
    <row r="609" spans="2:8" x14ac:dyDescent="0.2">
      <c r="B609" s="47"/>
      <c r="C609" s="46"/>
      <c r="D609" s="46"/>
      <c r="G609" s="43"/>
      <c r="H609" s="44"/>
    </row>
    <row r="610" spans="2:8" x14ac:dyDescent="0.2">
      <c r="B610" s="47"/>
      <c r="C610" s="46"/>
      <c r="D610" s="46"/>
      <c r="G610" s="43"/>
      <c r="H610" s="44"/>
    </row>
    <row r="611" spans="2:8" x14ac:dyDescent="0.2">
      <c r="B611" s="47"/>
      <c r="C611" s="46"/>
      <c r="D611" s="46"/>
      <c r="G611" s="43"/>
      <c r="H611" s="44"/>
    </row>
    <row r="612" spans="2:8" x14ac:dyDescent="0.2">
      <c r="B612" s="47"/>
      <c r="C612" s="46"/>
      <c r="D612" s="46"/>
      <c r="G612" s="43"/>
      <c r="H612" s="44"/>
    </row>
    <row r="613" spans="2:8" x14ac:dyDescent="0.2">
      <c r="B613" s="47"/>
      <c r="C613" s="46"/>
      <c r="D613" s="46"/>
      <c r="G613" s="43"/>
      <c r="H613" s="44"/>
    </row>
    <row r="614" spans="2:8" x14ac:dyDescent="0.2">
      <c r="B614" s="45"/>
      <c r="C614" s="46"/>
      <c r="D614" s="39"/>
      <c r="G614" s="43"/>
      <c r="H614" s="44"/>
    </row>
    <row r="615" spans="2:8" x14ac:dyDescent="0.2">
      <c r="B615" s="40"/>
      <c r="C615" s="46"/>
      <c r="D615" s="46"/>
      <c r="G615" s="43"/>
      <c r="H615" s="44"/>
    </row>
    <row r="616" spans="2:8" x14ac:dyDescent="0.2">
      <c r="B616" s="45"/>
      <c r="C616" s="46"/>
      <c r="D616" s="46"/>
      <c r="G616" s="43"/>
      <c r="H616" s="44"/>
    </row>
    <row r="617" spans="2:8" x14ac:dyDescent="0.2">
      <c r="B617" s="45"/>
      <c r="C617" s="46"/>
      <c r="D617" s="46"/>
      <c r="G617" s="43"/>
      <c r="H617" s="44"/>
    </row>
    <row r="618" spans="2:8" x14ac:dyDescent="0.2">
      <c r="B618" s="45"/>
      <c r="C618" s="46"/>
      <c r="D618" s="46"/>
      <c r="G618" s="43"/>
      <c r="H618" s="44"/>
    </row>
    <row r="619" spans="2:8" x14ac:dyDescent="0.2">
      <c r="B619" s="45"/>
      <c r="C619" s="46"/>
      <c r="D619" s="46"/>
      <c r="G619" s="43"/>
      <c r="H619" s="44"/>
    </row>
    <row r="620" spans="2:8" x14ac:dyDescent="0.2">
      <c r="B620" s="45"/>
      <c r="C620" s="46"/>
      <c r="D620" s="46"/>
      <c r="G620" s="43"/>
      <c r="H620" s="44"/>
    </row>
    <row r="621" spans="2:8" x14ac:dyDescent="0.2">
      <c r="B621" s="45"/>
      <c r="C621" s="46"/>
      <c r="D621" s="46"/>
      <c r="G621" s="43"/>
      <c r="H621" s="44"/>
    </row>
    <row r="622" spans="2:8" x14ac:dyDescent="0.2">
      <c r="C622" s="46"/>
      <c r="D622" s="46"/>
      <c r="G622" s="43"/>
      <c r="H622" s="44"/>
    </row>
    <row r="623" spans="2:8" ht="15.75" x14ac:dyDescent="0.25">
      <c r="B623" s="2"/>
      <c r="C623" s="46"/>
      <c r="D623" s="46"/>
      <c r="G623" s="43"/>
      <c r="H623" s="44"/>
    </row>
    <row r="624" spans="2:8" x14ac:dyDescent="0.2">
      <c r="G624" s="43"/>
      <c r="H624" s="44"/>
    </row>
    <row r="625" spans="7:9" x14ac:dyDescent="0.2">
      <c r="G625" s="43"/>
      <c r="H625" s="44"/>
    </row>
    <row r="626" spans="7:9" x14ac:dyDescent="0.2">
      <c r="H626" s="41"/>
      <c r="I626" s="41"/>
    </row>
    <row r="627" spans="7:9" x14ac:dyDescent="0.2">
      <c r="H627" s="41"/>
      <c r="I627" s="41"/>
    </row>
    <row r="628" spans="7:9" x14ac:dyDescent="0.2">
      <c r="H628" s="41"/>
      <c r="I628" s="41"/>
    </row>
    <row r="629" spans="7:9" x14ac:dyDescent="0.2">
      <c r="H629" s="41"/>
      <c r="I629" s="41"/>
    </row>
    <row r="630" spans="7:9" x14ac:dyDescent="0.2">
      <c r="H630" s="41"/>
      <c r="I630" s="41"/>
    </row>
    <row r="631" spans="7:9" x14ac:dyDescent="0.2">
      <c r="H631" s="41"/>
      <c r="I631" s="41"/>
    </row>
    <row r="632" spans="7:9" x14ac:dyDescent="0.2">
      <c r="G632" s="43"/>
      <c r="H632" s="44"/>
    </row>
    <row r="633" spans="7:9" x14ac:dyDescent="0.2">
      <c r="G633" s="43"/>
      <c r="H633" s="44"/>
    </row>
    <row r="634" spans="7:9" x14ac:dyDescent="0.2">
      <c r="G634" s="43"/>
      <c r="H634" s="44"/>
    </row>
    <row r="635" spans="7:9" x14ac:dyDescent="0.2">
      <c r="G635" s="43"/>
      <c r="H635" s="44"/>
    </row>
    <row r="636" spans="7:9" x14ac:dyDescent="0.2">
      <c r="G636" s="43"/>
      <c r="H636" s="44"/>
    </row>
    <row r="637" spans="7:9" x14ac:dyDescent="0.2">
      <c r="G637" s="43"/>
      <c r="H637" s="44"/>
    </row>
    <row r="638" spans="7:9" x14ac:dyDescent="0.2">
      <c r="G638" s="43"/>
      <c r="H638" s="44"/>
    </row>
    <row r="639" spans="7:9" x14ac:dyDescent="0.2">
      <c r="G639" s="43"/>
      <c r="H639" s="44"/>
    </row>
    <row r="640" spans="7:9" x14ac:dyDescent="0.2">
      <c r="G640" s="43"/>
      <c r="H640" s="44"/>
    </row>
    <row r="641" spans="2:8" x14ac:dyDescent="0.2">
      <c r="G641" s="43"/>
      <c r="H641" s="44"/>
    </row>
    <row r="642" spans="2:8" x14ac:dyDescent="0.2">
      <c r="G642" s="43"/>
      <c r="H642" s="44"/>
    </row>
    <row r="643" spans="2:8" ht="15.75" x14ac:dyDescent="0.25">
      <c r="F643" s="7"/>
      <c r="G643" s="43"/>
      <c r="H643" s="44"/>
    </row>
    <row r="644" spans="2:8" x14ac:dyDescent="0.2">
      <c r="B644" s="47"/>
      <c r="C644" s="46"/>
      <c r="D644" s="46"/>
      <c r="G644" s="43"/>
      <c r="H644" s="44"/>
    </row>
    <row r="645" spans="2:8" x14ac:dyDescent="0.2">
      <c r="B645" s="47"/>
      <c r="C645" s="46"/>
      <c r="D645" s="46"/>
      <c r="G645" s="43"/>
      <c r="H645" s="44"/>
    </row>
    <row r="646" spans="2:8" x14ac:dyDescent="0.2">
      <c r="B646" s="47"/>
      <c r="C646" s="46"/>
      <c r="D646" s="46"/>
      <c r="G646" s="43"/>
      <c r="H646" s="44"/>
    </row>
    <row r="647" spans="2:8" x14ac:dyDescent="0.2">
      <c r="B647" s="47"/>
      <c r="C647" s="46"/>
      <c r="D647" s="46"/>
      <c r="G647" s="43"/>
      <c r="H647" s="44"/>
    </row>
    <row r="648" spans="2:8" x14ac:dyDescent="0.2">
      <c r="B648" s="47"/>
      <c r="C648" s="46"/>
      <c r="D648" s="46"/>
      <c r="G648" s="43"/>
      <c r="H648" s="44"/>
    </row>
    <row r="649" spans="2:8" x14ac:dyDescent="0.2">
      <c r="B649" s="47"/>
      <c r="C649" s="46"/>
      <c r="D649" s="46"/>
      <c r="G649" s="43"/>
      <c r="H649" s="44"/>
    </row>
    <row r="650" spans="2:8" x14ac:dyDescent="0.2">
      <c r="B650" s="47"/>
      <c r="C650" s="46"/>
      <c r="D650" s="46"/>
      <c r="G650" s="43"/>
      <c r="H650" s="44"/>
    </row>
    <row r="651" spans="2:8" x14ac:dyDescent="0.2">
      <c r="B651" s="47"/>
      <c r="C651" s="46"/>
      <c r="D651" s="46"/>
      <c r="G651" s="43"/>
      <c r="H651" s="44"/>
    </row>
    <row r="652" spans="2:8" x14ac:dyDescent="0.2">
      <c r="B652" s="45"/>
      <c r="C652" s="46"/>
      <c r="D652" s="46"/>
      <c r="G652" s="43"/>
      <c r="H652" s="44"/>
    </row>
    <row r="653" spans="2:8" x14ac:dyDescent="0.2">
      <c r="B653" s="47"/>
      <c r="C653" s="46"/>
      <c r="D653" s="46"/>
      <c r="G653" s="43"/>
      <c r="H653" s="44"/>
    </row>
    <row r="654" spans="2:8" x14ac:dyDescent="0.2">
      <c r="B654" s="47"/>
      <c r="C654" s="46"/>
      <c r="D654" s="46"/>
      <c r="G654" s="43"/>
      <c r="H654" s="44"/>
    </row>
    <row r="655" spans="2:8" x14ac:dyDescent="0.2">
      <c r="B655" s="47"/>
      <c r="C655" s="46"/>
      <c r="D655" s="46"/>
      <c r="G655" s="43"/>
      <c r="H655" s="44"/>
    </row>
    <row r="656" spans="2:8" x14ac:dyDescent="0.2">
      <c r="B656" s="47"/>
      <c r="C656" s="46"/>
      <c r="D656" s="46"/>
      <c r="G656" s="43"/>
      <c r="H656" s="44"/>
    </row>
    <row r="657" spans="2:8" x14ac:dyDescent="0.2">
      <c r="B657" s="47"/>
      <c r="C657" s="46"/>
      <c r="D657" s="46"/>
      <c r="G657" s="43"/>
      <c r="H657" s="44"/>
    </row>
    <row r="658" spans="2:8" x14ac:dyDescent="0.2">
      <c r="B658" s="47"/>
      <c r="C658" s="46"/>
      <c r="D658" s="46"/>
      <c r="G658" s="43"/>
      <c r="H658" s="44"/>
    </row>
    <row r="659" spans="2:8" x14ac:dyDescent="0.2">
      <c r="B659" s="47"/>
      <c r="C659" s="46"/>
      <c r="D659" s="46"/>
      <c r="G659" s="43"/>
      <c r="H659" s="44"/>
    </row>
    <row r="660" spans="2:8" x14ac:dyDescent="0.2">
      <c r="B660" s="47"/>
      <c r="C660" s="46"/>
      <c r="D660" s="46"/>
      <c r="G660" s="43"/>
      <c r="H660" s="44"/>
    </row>
    <row r="661" spans="2:8" x14ac:dyDescent="0.2">
      <c r="B661" s="47"/>
      <c r="C661" s="46"/>
      <c r="D661" s="46"/>
      <c r="G661" s="43"/>
      <c r="H661" s="44"/>
    </row>
    <row r="662" spans="2:8" x14ac:dyDescent="0.2">
      <c r="B662" s="47"/>
      <c r="C662" s="46"/>
      <c r="D662" s="46"/>
      <c r="G662" s="43"/>
      <c r="H662" s="44"/>
    </row>
    <row r="663" spans="2:8" x14ac:dyDescent="0.2">
      <c r="B663" s="47"/>
      <c r="C663" s="46"/>
      <c r="D663" s="46"/>
      <c r="G663" s="43"/>
      <c r="H663" s="44"/>
    </row>
    <row r="664" spans="2:8" x14ac:dyDescent="0.2">
      <c r="B664" s="47"/>
      <c r="C664" s="46"/>
      <c r="D664" s="46"/>
      <c r="G664" s="43"/>
      <c r="H664" s="44"/>
    </row>
    <row r="665" spans="2:8" x14ac:dyDescent="0.2">
      <c r="B665" s="47"/>
      <c r="C665" s="46"/>
      <c r="D665" s="46"/>
      <c r="G665" s="43"/>
      <c r="H665" s="44"/>
    </row>
    <row r="666" spans="2:8" ht="15.75" x14ac:dyDescent="0.25">
      <c r="B666" s="47"/>
      <c r="C666" s="46"/>
      <c r="D666" s="46"/>
      <c r="E666" s="10"/>
      <c r="G666" s="43"/>
      <c r="H666" s="44"/>
    </row>
    <row r="667" spans="2:8" x14ac:dyDescent="0.2">
      <c r="B667" s="47"/>
      <c r="C667" s="46"/>
      <c r="D667" s="46"/>
      <c r="G667" s="43"/>
      <c r="H667" s="44"/>
    </row>
    <row r="668" spans="2:8" x14ac:dyDescent="0.2">
      <c r="B668" s="47"/>
      <c r="C668" s="46"/>
      <c r="D668" s="46"/>
      <c r="G668" s="43"/>
      <c r="H668" s="44"/>
    </row>
    <row r="669" spans="2:8" x14ac:dyDescent="0.2">
      <c r="B669" s="47"/>
      <c r="C669" s="46"/>
      <c r="D669" s="46"/>
      <c r="G669" s="43"/>
      <c r="H669" s="44"/>
    </row>
    <row r="670" spans="2:8" x14ac:dyDescent="0.2">
      <c r="G670" s="43"/>
      <c r="H670" s="44"/>
    </row>
    <row r="671" spans="2:8" x14ac:dyDescent="0.2">
      <c r="G671" s="43"/>
      <c r="H671" s="44"/>
    </row>
    <row r="672" spans="2:8" x14ac:dyDescent="0.2">
      <c r="G672" s="43"/>
      <c r="H672" s="44"/>
    </row>
    <row r="673" spans="2:8" x14ac:dyDescent="0.2">
      <c r="G673" s="43"/>
      <c r="H673" s="44"/>
    </row>
    <row r="674" spans="2:8" x14ac:dyDescent="0.2">
      <c r="G674" s="43"/>
      <c r="H674" s="44"/>
    </row>
    <row r="675" spans="2:8" x14ac:dyDescent="0.2">
      <c r="G675" s="43"/>
      <c r="H675" s="44"/>
    </row>
    <row r="676" spans="2:8" x14ac:dyDescent="0.2">
      <c r="B676" s="72"/>
      <c r="C676" s="73"/>
      <c r="D676" s="73"/>
      <c r="E676" s="72"/>
      <c r="F676" s="72"/>
      <c r="G676" s="43"/>
      <c r="H676" s="44"/>
    </row>
    <row r="677" spans="2:8" x14ac:dyDescent="0.2">
      <c r="C677" s="46"/>
      <c r="D677" s="46"/>
      <c r="G677" s="43"/>
      <c r="H677" s="44"/>
    </row>
    <row r="678" spans="2:8" ht="15.75" x14ac:dyDescent="0.25">
      <c r="B678" s="2"/>
      <c r="G678" s="43"/>
      <c r="H678" s="44"/>
    </row>
    <row r="679" spans="2:8" x14ac:dyDescent="0.2">
      <c r="G679" s="43"/>
      <c r="H679" s="44"/>
    </row>
    <row r="680" spans="2:8" x14ac:dyDescent="0.2">
      <c r="G680" s="43"/>
      <c r="H680" s="44"/>
    </row>
    <row r="681" spans="2:8" x14ac:dyDescent="0.2">
      <c r="G681" s="43"/>
      <c r="H681" s="44"/>
    </row>
    <row r="682" spans="2:8" x14ac:dyDescent="0.2">
      <c r="G682" s="43"/>
      <c r="H682" s="44"/>
    </row>
    <row r="683" spans="2:8" x14ac:dyDescent="0.2">
      <c r="G683" s="43"/>
      <c r="H683" s="44"/>
    </row>
    <row r="684" spans="2:8" x14ac:dyDescent="0.2">
      <c r="G684" s="43"/>
      <c r="H684" s="44"/>
    </row>
    <row r="685" spans="2:8" x14ac:dyDescent="0.2">
      <c r="G685" s="43"/>
      <c r="H685" s="44"/>
    </row>
    <row r="686" spans="2:8" x14ac:dyDescent="0.2">
      <c r="G686" s="43"/>
      <c r="H686" s="44"/>
    </row>
    <row r="687" spans="2:8" x14ac:dyDescent="0.2">
      <c r="G687" s="43"/>
      <c r="H687" s="44"/>
    </row>
    <row r="688" spans="2:8" x14ac:dyDescent="0.2">
      <c r="G688" s="43"/>
      <c r="H688" s="44"/>
    </row>
    <row r="689" spans="7:8" x14ac:dyDescent="0.2">
      <c r="G689" s="43"/>
      <c r="H689" s="44"/>
    </row>
    <row r="690" spans="7:8" x14ac:dyDescent="0.2">
      <c r="G690" s="43"/>
      <c r="H690" s="44"/>
    </row>
    <row r="691" spans="7:8" x14ac:dyDescent="0.2">
      <c r="G691" s="43"/>
      <c r="H691" s="44"/>
    </row>
    <row r="692" spans="7:8" x14ac:dyDescent="0.2">
      <c r="G692" s="43"/>
      <c r="H692" s="44"/>
    </row>
    <row r="693" spans="7:8" x14ac:dyDescent="0.2">
      <c r="G693" s="43"/>
      <c r="H693" s="44"/>
    </row>
    <row r="694" spans="7:8" x14ac:dyDescent="0.2">
      <c r="G694" s="43"/>
      <c r="H694" s="44"/>
    </row>
    <row r="695" spans="7:8" x14ac:dyDescent="0.2">
      <c r="G695" s="43"/>
      <c r="H695" s="44"/>
    </row>
    <row r="696" spans="7:8" x14ac:dyDescent="0.2">
      <c r="G696" s="43"/>
      <c r="H696" s="44"/>
    </row>
    <row r="697" spans="7:8" x14ac:dyDescent="0.2">
      <c r="G697" s="43"/>
      <c r="H697" s="44"/>
    </row>
    <row r="698" spans="7:8" x14ac:dyDescent="0.2">
      <c r="G698" s="43"/>
      <c r="H698" s="44"/>
    </row>
    <row r="699" spans="7:8" x14ac:dyDescent="0.2">
      <c r="G699" s="43"/>
      <c r="H699" s="44"/>
    </row>
    <row r="700" spans="7:8" x14ac:dyDescent="0.2">
      <c r="G700" s="43"/>
      <c r="H700" s="44"/>
    </row>
    <row r="701" spans="7:8" x14ac:dyDescent="0.2">
      <c r="G701" s="43"/>
      <c r="H701" s="44"/>
    </row>
    <row r="702" spans="7:8" x14ac:dyDescent="0.2">
      <c r="G702" s="43"/>
      <c r="H702" s="44"/>
    </row>
    <row r="703" spans="7:8" x14ac:dyDescent="0.2">
      <c r="G703" s="43"/>
      <c r="H703" s="44"/>
    </row>
    <row r="704" spans="7:8" x14ac:dyDescent="0.2">
      <c r="G704" s="43"/>
      <c r="H704" s="44"/>
    </row>
    <row r="705" spans="7:8" x14ac:dyDescent="0.2">
      <c r="G705" s="43"/>
      <c r="H705" s="44"/>
    </row>
    <row r="706" spans="7:8" x14ac:dyDescent="0.2">
      <c r="G706" s="43"/>
      <c r="H706" s="44"/>
    </row>
    <row r="707" spans="7:8" x14ac:dyDescent="0.2">
      <c r="G707" s="43"/>
      <c r="H707" s="44"/>
    </row>
    <row r="708" spans="7:8" x14ac:dyDescent="0.2">
      <c r="G708" s="43"/>
      <c r="H708" s="44"/>
    </row>
    <row r="709" spans="7:8" x14ac:dyDescent="0.2">
      <c r="G709" s="43"/>
      <c r="H709" s="44"/>
    </row>
    <row r="710" spans="7:8" x14ac:dyDescent="0.2">
      <c r="G710" s="43"/>
      <c r="H710" s="44"/>
    </row>
    <row r="711" spans="7:8" x14ac:dyDescent="0.2">
      <c r="G711" s="43"/>
      <c r="H711" s="44"/>
    </row>
    <row r="712" spans="7:8" x14ac:dyDescent="0.2">
      <c r="H712" s="44"/>
    </row>
    <row r="713" spans="7:8" x14ac:dyDescent="0.2">
      <c r="H713" s="44"/>
    </row>
  </sheetData>
  <sheetProtection sheet="1" objects="1" scenarios="1" selectLockedCells="1"/>
  <hyperlinks>
    <hyperlink ref="J107" r:id="rId1" xr:uid="{0C57CCE8-D63B-4568-8B8A-524A1D7E62F0}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"/>
  <sheetViews>
    <sheetView workbookViewId="0">
      <selection activeCell="G1" sqref="G1"/>
    </sheetView>
  </sheetViews>
  <sheetFormatPr defaultRowHeight="15" x14ac:dyDescent="0.2"/>
  <cols>
    <col min="1" max="1" width="6.7109375" style="41" customWidth="1"/>
    <col min="2" max="2" width="47.42578125" style="41" customWidth="1"/>
    <col min="3" max="3" width="19.5703125" style="41" customWidth="1"/>
    <col min="4" max="6" width="9.140625" style="41"/>
    <col min="7" max="7" width="35.42578125" style="41" customWidth="1"/>
    <col min="8" max="8" width="12.7109375" style="41" customWidth="1"/>
    <col min="9" max="16384" width="9.140625" style="41"/>
  </cols>
  <sheetData>
    <row r="1" spans="2:12" ht="20.25" x14ac:dyDescent="0.3">
      <c r="B1" s="71" t="s">
        <v>570</v>
      </c>
      <c r="G1" s="43"/>
      <c r="H1" s="43"/>
      <c r="I1" s="43"/>
      <c r="J1" s="43"/>
      <c r="K1" s="43"/>
      <c r="L1" s="43"/>
    </row>
    <row r="2" spans="2:12" x14ac:dyDescent="0.2">
      <c r="G2" s="43"/>
      <c r="H2" s="43"/>
      <c r="I2" s="43"/>
      <c r="J2" s="43"/>
      <c r="K2" s="43"/>
      <c r="L2" s="43"/>
    </row>
    <row r="3" spans="2:12" x14ac:dyDescent="0.2">
      <c r="C3" s="46"/>
      <c r="D3" s="46"/>
      <c r="G3" s="43"/>
      <c r="H3" s="43"/>
      <c r="I3" s="43"/>
      <c r="J3" s="43"/>
      <c r="K3" s="43"/>
      <c r="L3" s="43"/>
    </row>
    <row r="4" spans="2:12" x14ac:dyDescent="0.2">
      <c r="B4" s="45" t="s">
        <v>379</v>
      </c>
      <c r="C4" s="46"/>
      <c r="D4" s="46"/>
      <c r="G4" s="43"/>
      <c r="H4" s="43"/>
      <c r="I4" s="43"/>
      <c r="J4" s="43"/>
      <c r="K4" s="43"/>
      <c r="L4" s="43"/>
    </row>
    <row r="5" spans="2:12" x14ac:dyDescent="0.2">
      <c r="B5" s="45" t="s">
        <v>380</v>
      </c>
      <c r="C5" s="46"/>
      <c r="D5" s="46"/>
      <c r="G5" s="43"/>
      <c r="H5" s="43"/>
      <c r="I5" s="43"/>
      <c r="J5" s="43"/>
      <c r="K5" s="43"/>
      <c r="L5" s="43"/>
    </row>
    <row r="6" spans="2:12" x14ac:dyDescent="0.2">
      <c r="B6" s="47"/>
      <c r="C6" s="46"/>
      <c r="D6" s="46"/>
      <c r="G6" s="43"/>
      <c r="H6" s="43"/>
      <c r="I6" s="43"/>
      <c r="J6" s="43"/>
      <c r="K6" s="43"/>
      <c r="L6" s="43"/>
    </row>
    <row r="7" spans="2:12" x14ac:dyDescent="0.2">
      <c r="B7" s="47"/>
      <c r="C7" s="46"/>
      <c r="D7" s="46"/>
      <c r="G7" s="43"/>
      <c r="H7" s="43"/>
      <c r="I7" s="43"/>
      <c r="J7" s="43"/>
      <c r="K7" s="43"/>
      <c r="L7" s="43"/>
    </row>
    <row r="8" spans="2:12" x14ac:dyDescent="0.2">
      <c r="B8" s="47"/>
      <c r="C8" s="46"/>
      <c r="D8" s="46"/>
      <c r="G8" s="43"/>
      <c r="H8" s="43"/>
      <c r="I8" s="43"/>
      <c r="J8" s="43"/>
      <c r="K8" s="43"/>
      <c r="L8" s="43"/>
    </row>
    <row r="9" spans="2:12" x14ac:dyDescent="0.2">
      <c r="B9" s="47"/>
      <c r="C9" s="46"/>
      <c r="D9" s="46"/>
      <c r="G9" s="43"/>
      <c r="H9" s="43"/>
      <c r="I9" s="43"/>
      <c r="J9" s="43"/>
      <c r="K9" s="43"/>
      <c r="L9" s="43"/>
    </row>
    <row r="10" spans="2:12" x14ac:dyDescent="0.2">
      <c r="B10" s="47"/>
      <c r="C10" s="46"/>
      <c r="D10" s="46"/>
      <c r="G10" s="43"/>
      <c r="H10" s="43"/>
      <c r="I10" s="43"/>
      <c r="J10" s="43"/>
      <c r="K10" s="43"/>
      <c r="L10" s="43"/>
    </row>
    <row r="11" spans="2:12" x14ac:dyDescent="0.2">
      <c r="B11" s="47"/>
      <c r="C11" s="46"/>
      <c r="D11" s="46"/>
      <c r="G11" s="43"/>
      <c r="H11" s="43"/>
      <c r="I11" s="43"/>
      <c r="J11" s="43"/>
      <c r="K11" s="43"/>
      <c r="L11" s="43"/>
    </row>
    <row r="12" spans="2:12" x14ac:dyDescent="0.2">
      <c r="B12" s="47"/>
      <c r="C12" s="46"/>
      <c r="D12" s="46"/>
      <c r="G12" s="43"/>
      <c r="H12" s="43"/>
      <c r="I12" s="43"/>
      <c r="J12" s="43"/>
      <c r="K12" s="43"/>
      <c r="L12" s="43"/>
    </row>
    <row r="13" spans="2:12" x14ac:dyDescent="0.2">
      <c r="B13" s="47"/>
      <c r="C13" s="46"/>
      <c r="D13" s="46"/>
      <c r="G13" s="43"/>
      <c r="H13" s="43"/>
      <c r="I13" s="43"/>
      <c r="J13" s="43"/>
      <c r="K13" s="43"/>
      <c r="L13" s="43"/>
    </row>
    <row r="14" spans="2:12" x14ac:dyDescent="0.2">
      <c r="B14" s="47"/>
      <c r="C14" s="46"/>
      <c r="D14" s="46"/>
      <c r="G14" s="43"/>
      <c r="H14" s="43"/>
      <c r="I14" s="43"/>
      <c r="J14" s="43"/>
      <c r="K14" s="43"/>
      <c r="L14" s="43"/>
    </row>
    <row r="15" spans="2:12" x14ac:dyDescent="0.2">
      <c r="B15" s="47"/>
      <c r="C15" s="46"/>
      <c r="D15" s="46"/>
      <c r="G15" s="43"/>
      <c r="H15" s="43"/>
      <c r="I15" s="43"/>
      <c r="J15" s="43"/>
      <c r="K15" s="43"/>
      <c r="L15" s="43"/>
    </row>
    <row r="16" spans="2:12" x14ac:dyDescent="0.2">
      <c r="B16" s="47"/>
      <c r="C16" s="46"/>
      <c r="D16" s="46"/>
      <c r="G16" s="43"/>
      <c r="H16" s="43"/>
      <c r="I16" s="43"/>
      <c r="J16" s="43"/>
      <c r="K16" s="43"/>
      <c r="L16" s="43"/>
    </row>
    <row r="17" spans="2:12" x14ac:dyDescent="0.2">
      <c r="B17" s="47" t="s">
        <v>381</v>
      </c>
      <c r="C17" s="46"/>
      <c r="D17" s="46"/>
      <c r="G17" s="43"/>
      <c r="H17" s="43"/>
      <c r="I17" s="43"/>
      <c r="J17" s="43"/>
      <c r="K17" s="43"/>
      <c r="L17" s="43"/>
    </row>
    <row r="18" spans="2:12" x14ac:dyDescent="0.2">
      <c r="B18" s="47" t="s">
        <v>382</v>
      </c>
      <c r="C18" s="46"/>
      <c r="D18" s="46"/>
      <c r="G18" s="43"/>
      <c r="H18" s="43"/>
      <c r="I18" s="43"/>
      <c r="J18" s="43"/>
      <c r="K18" s="43"/>
      <c r="L18" s="43"/>
    </row>
    <row r="19" spans="2:12" x14ac:dyDescent="0.2">
      <c r="B19" s="50"/>
      <c r="C19" s="51"/>
      <c r="D19" s="51"/>
      <c r="E19" s="52"/>
      <c r="F19" s="52"/>
      <c r="G19" s="43"/>
      <c r="H19" s="43"/>
      <c r="I19" s="43"/>
      <c r="J19" s="43"/>
      <c r="K19" s="43"/>
      <c r="L19" s="43"/>
    </row>
    <row r="20" spans="2:12" x14ac:dyDescent="0.2">
      <c r="B20" s="47"/>
      <c r="C20" s="46"/>
      <c r="D20" s="46"/>
      <c r="G20" s="43"/>
      <c r="H20" s="43"/>
      <c r="I20" s="43"/>
      <c r="J20" s="43"/>
      <c r="K20" s="43"/>
      <c r="L20" s="43"/>
    </row>
    <row r="21" spans="2:12" ht="18" x14ac:dyDescent="0.25">
      <c r="B21" s="70" t="s">
        <v>383</v>
      </c>
      <c r="C21" s="46"/>
      <c r="D21" s="46"/>
      <c r="G21" s="43"/>
      <c r="H21" s="43"/>
      <c r="I21" s="43"/>
      <c r="J21" s="43"/>
      <c r="K21" s="43"/>
      <c r="L21" s="43"/>
    </row>
    <row r="22" spans="2:12" x14ac:dyDescent="0.2">
      <c r="B22" s="47"/>
      <c r="C22" s="46"/>
      <c r="D22" s="46"/>
      <c r="G22" s="43"/>
      <c r="H22" s="43"/>
      <c r="I22" s="43"/>
      <c r="J22" s="43"/>
      <c r="K22" s="43"/>
      <c r="L22" s="43"/>
    </row>
    <row r="23" spans="2:12" x14ac:dyDescent="0.2">
      <c r="B23" s="47"/>
      <c r="C23" s="46"/>
      <c r="D23" s="46"/>
      <c r="G23" s="43"/>
      <c r="H23" s="43"/>
      <c r="I23" s="43"/>
      <c r="J23" s="43"/>
      <c r="K23" s="43"/>
      <c r="L23" s="43"/>
    </row>
    <row r="24" spans="2:12" x14ac:dyDescent="0.2">
      <c r="B24" s="47"/>
      <c r="C24" s="46"/>
      <c r="D24" s="46"/>
      <c r="G24" s="43"/>
      <c r="H24" s="43"/>
      <c r="I24" s="43"/>
      <c r="J24" s="43"/>
      <c r="K24" s="43"/>
      <c r="L24" s="43"/>
    </row>
    <row r="25" spans="2:12" x14ac:dyDescent="0.2">
      <c r="B25" s="47"/>
      <c r="C25" s="46"/>
      <c r="D25" s="46"/>
      <c r="G25" s="43"/>
      <c r="H25" s="43"/>
      <c r="I25" s="43"/>
      <c r="J25" s="43"/>
      <c r="K25" s="43"/>
      <c r="L25" s="43"/>
    </row>
    <row r="26" spans="2:12" x14ac:dyDescent="0.2">
      <c r="B26" s="47"/>
      <c r="C26" s="46"/>
      <c r="D26" s="46"/>
      <c r="G26" s="43"/>
      <c r="H26" s="43"/>
      <c r="I26" s="43"/>
      <c r="J26" s="43"/>
      <c r="K26" s="43"/>
      <c r="L26" s="43"/>
    </row>
    <row r="27" spans="2:12" x14ac:dyDescent="0.2">
      <c r="B27" s="47"/>
      <c r="C27" s="46"/>
      <c r="D27" s="46"/>
      <c r="G27" s="43"/>
      <c r="H27" s="43"/>
      <c r="I27" s="43"/>
      <c r="J27" s="43"/>
      <c r="K27" s="43"/>
      <c r="L27" s="43"/>
    </row>
    <row r="28" spans="2:12" x14ac:dyDescent="0.2">
      <c r="B28" s="47"/>
      <c r="C28" s="46"/>
      <c r="D28" s="46"/>
      <c r="G28" s="43"/>
      <c r="H28" s="43"/>
      <c r="I28" s="43"/>
      <c r="J28" s="43"/>
      <c r="K28" s="43"/>
      <c r="L28" s="43"/>
    </row>
    <row r="29" spans="2:12" x14ac:dyDescent="0.2">
      <c r="B29" s="47"/>
      <c r="C29" s="46"/>
      <c r="D29" s="46"/>
      <c r="G29" s="43"/>
      <c r="H29" s="43"/>
      <c r="I29" s="43"/>
      <c r="J29" s="43"/>
      <c r="K29" s="43"/>
      <c r="L29" s="43"/>
    </row>
    <row r="30" spans="2:12" x14ac:dyDescent="0.2">
      <c r="B30" s="47"/>
      <c r="C30" s="46"/>
      <c r="D30" s="46"/>
      <c r="G30" s="43"/>
      <c r="H30" s="43"/>
      <c r="I30" s="43"/>
      <c r="J30" s="43"/>
      <c r="K30" s="43"/>
      <c r="L30" s="43"/>
    </row>
    <row r="31" spans="2:12" x14ac:dyDescent="0.2">
      <c r="B31" s="47"/>
      <c r="C31" s="46"/>
      <c r="D31" s="46"/>
      <c r="G31" s="43"/>
      <c r="H31" s="43"/>
      <c r="I31" s="43"/>
      <c r="J31" s="43"/>
      <c r="K31" s="43"/>
      <c r="L31" s="43"/>
    </row>
    <row r="32" spans="2:12" x14ac:dyDescent="0.2">
      <c r="B32" s="45" t="s">
        <v>384</v>
      </c>
      <c r="C32" s="46"/>
      <c r="D32" s="46"/>
      <c r="G32" s="43"/>
      <c r="H32" s="43"/>
      <c r="I32" s="43"/>
      <c r="J32" s="43"/>
      <c r="K32" s="43"/>
      <c r="L32" s="43"/>
    </row>
    <row r="33" spans="2:12" x14ac:dyDescent="0.2">
      <c r="B33" s="45" t="s">
        <v>385</v>
      </c>
      <c r="C33" s="46"/>
      <c r="D33" s="46"/>
      <c r="G33" s="43"/>
      <c r="H33" s="43"/>
      <c r="I33" s="43"/>
      <c r="J33" s="43"/>
      <c r="K33" s="43"/>
      <c r="L33" s="43"/>
    </row>
    <row r="34" spans="2:12" x14ac:dyDescent="0.2">
      <c r="B34" s="45" t="s">
        <v>386</v>
      </c>
      <c r="C34" s="46"/>
      <c r="D34" s="46"/>
      <c r="G34" s="43"/>
      <c r="H34" s="43"/>
      <c r="I34" s="43"/>
      <c r="J34" s="43"/>
      <c r="K34" s="43"/>
      <c r="L34" s="43"/>
    </row>
    <row r="35" spans="2:12" x14ac:dyDescent="0.2">
      <c r="B35" s="46"/>
      <c r="C35" s="46"/>
      <c r="G35" s="43"/>
      <c r="H35" s="43"/>
      <c r="I35" s="43"/>
      <c r="J35" s="43"/>
      <c r="K35" s="43"/>
      <c r="L35" s="43"/>
    </row>
    <row r="36" spans="2:12" x14ac:dyDescent="0.2">
      <c r="B36" s="45" t="s">
        <v>387</v>
      </c>
      <c r="C36" s="46"/>
      <c r="D36" s="46"/>
      <c r="G36" s="43"/>
      <c r="H36" s="43"/>
      <c r="I36" s="43"/>
      <c r="J36" s="43"/>
      <c r="K36" s="43"/>
      <c r="L36" s="43"/>
    </row>
    <row r="37" spans="2:12" x14ac:dyDescent="0.2">
      <c r="B37" s="47"/>
      <c r="C37" s="46"/>
      <c r="D37" s="46"/>
      <c r="G37" s="43"/>
      <c r="H37" s="43"/>
      <c r="I37" s="43"/>
      <c r="J37" s="43"/>
      <c r="K37" s="43"/>
      <c r="L37" s="43"/>
    </row>
    <row r="38" spans="2:12" ht="18" x14ac:dyDescent="0.25">
      <c r="B38" s="105" t="s">
        <v>388</v>
      </c>
      <c r="C38" s="46"/>
      <c r="D38" s="46"/>
      <c r="G38" s="43"/>
      <c r="H38" s="43"/>
      <c r="I38" s="43"/>
      <c r="J38" s="43"/>
      <c r="K38" s="43"/>
      <c r="L38" s="43"/>
    </row>
    <row r="39" spans="2:12" x14ac:dyDescent="0.2">
      <c r="B39" s="47"/>
      <c r="C39" s="46" t="s">
        <v>0</v>
      </c>
      <c r="D39" s="46"/>
      <c r="G39" s="43"/>
      <c r="H39" s="43"/>
      <c r="I39" s="43"/>
      <c r="J39" s="43"/>
      <c r="K39" s="43"/>
      <c r="L39" s="43"/>
    </row>
    <row r="40" spans="2:12" x14ac:dyDescent="0.2">
      <c r="B40" s="47" t="s">
        <v>389</v>
      </c>
      <c r="C40" s="46"/>
      <c r="D40" s="46"/>
      <c r="G40" s="43"/>
      <c r="H40" s="43"/>
      <c r="I40" s="43"/>
      <c r="J40" s="43"/>
      <c r="K40" s="43"/>
      <c r="L40" s="43"/>
    </row>
    <row r="41" spans="2:12" x14ac:dyDescent="0.2">
      <c r="B41" s="47" t="s">
        <v>390</v>
      </c>
      <c r="C41" s="46"/>
      <c r="D41" s="46"/>
      <c r="G41" s="43"/>
      <c r="H41" s="43"/>
      <c r="I41" s="43"/>
      <c r="J41" s="43"/>
      <c r="K41" s="43"/>
      <c r="L41" s="43"/>
    </row>
    <row r="42" spans="2:12" x14ac:dyDescent="0.2">
      <c r="B42" s="47" t="s">
        <v>391</v>
      </c>
      <c r="C42" s="46"/>
      <c r="D42" s="46"/>
      <c r="G42" s="43"/>
      <c r="H42" s="43"/>
      <c r="I42" s="43"/>
      <c r="J42" s="43"/>
      <c r="K42" s="43"/>
      <c r="L42" s="43"/>
    </row>
    <row r="43" spans="2:12" x14ac:dyDescent="0.2">
      <c r="B43" s="47" t="s">
        <v>392</v>
      </c>
      <c r="C43" s="46"/>
      <c r="D43" s="46"/>
      <c r="G43" s="43"/>
      <c r="H43" s="43"/>
      <c r="I43" s="43"/>
      <c r="J43" s="43"/>
      <c r="K43" s="43"/>
      <c r="L43" s="43"/>
    </row>
    <row r="44" spans="2:12" x14ac:dyDescent="0.2">
      <c r="B44" s="47" t="s">
        <v>393</v>
      </c>
      <c r="C44" s="46"/>
      <c r="D44" s="46"/>
      <c r="G44" s="43"/>
      <c r="H44" s="43"/>
      <c r="I44" s="43"/>
      <c r="J44" s="43"/>
      <c r="K44" s="43"/>
      <c r="L44" s="43"/>
    </row>
    <row r="45" spans="2:12" ht="16.5" thickBot="1" x14ac:dyDescent="0.3">
      <c r="B45" s="47"/>
      <c r="C45" s="9" t="s">
        <v>11</v>
      </c>
      <c r="D45" s="46"/>
      <c r="G45" s="43"/>
      <c r="H45" s="43"/>
      <c r="I45" s="43"/>
      <c r="J45" s="43"/>
      <c r="K45" s="43"/>
      <c r="L45" s="43"/>
    </row>
    <row r="46" spans="2:12" x14ac:dyDescent="0.2">
      <c r="B46" s="47" t="s">
        <v>394</v>
      </c>
      <c r="C46" s="54">
        <v>12</v>
      </c>
      <c r="D46" s="46" t="s">
        <v>395</v>
      </c>
      <c r="G46" s="43"/>
      <c r="H46" s="43"/>
      <c r="I46" s="43"/>
      <c r="J46" s="43"/>
      <c r="K46" s="43"/>
      <c r="L46" s="43"/>
    </row>
    <row r="47" spans="2:12" x14ac:dyDescent="0.2">
      <c r="B47" s="47" t="s">
        <v>396</v>
      </c>
      <c r="C47" s="55">
        <v>1.7999999999999999E-2</v>
      </c>
      <c r="D47" s="46" t="s">
        <v>397</v>
      </c>
      <c r="G47" s="43"/>
      <c r="H47" s="43"/>
      <c r="I47" s="43"/>
      <c r="J47" s="43"/>
      <c r="K47" s="43"/>
      <c r="L47" s="43"/>
    </row>
    <row r="48" spans="2:12" x14ac:dyDescent="0.2">
      <c r="B48" s="47" t="s">
        <v>292</v>
      </c>
      <c r="C48" s="55">
        <v>386.4</v>
      </c>
      <c r="D48" s="46" t="s">
        <v>398</v>
      </c>
      <c r="G48" s="43"/>
      <c r="H48" s="43"/>
      <c r="I48" s="43"/>
      <c r="J48" s="43"/>
      <c r="K48" s="43"/>
      <c r="L48" s="43"/>
    </row>
    <row r="49" spans="2:12" ht="15.75" thickBot="1" x14ac:dyDescent="0.25">
      <c r="B49" s="47" t="s">
        <v>399</v>
      </c>
      <c r="C49" s="60">
        <v>20</v>
      </c>
      <c r="D49" s="46" t="s">
        <v>29</v>
      </c>
      <c r="G49" s="43"/>
      <c r="H49" s="43"/>
      <c r="I49" s="43"/>
      <c r="J49" s="43"/>
      <c r="K49" s="43"/>
      <c r="L49" s="43"/>
    </row>
    <row r="50" spans="2:12" x14ac:dyDescent="0.2">
      <c r="B50" s="47"/>
      <c r="C50" s="46"/>
      <c r="D50" s="46"/>
      <c r="G50" s="43"/>
      <c r="H50" s="43"/>
      <c r="I50" s="43"/>
      <c r="J50" s="43"/>
      <c r="K50" s="43"/>
      <c r="L50" s="43"/>
    </row>
    <row r="51" spans="2:12" ht="15.75" x14ac:dyDescent="0.25">
      <c r="B51" s="47"/>
      <c r="C51" s="9" t="s">
        <v>16</v>
      </c>
      <c r="D51" s="46"/>
      <c r="G51" s="43"/>
      <c r="H51" s="43"/>
      <c r="I51" s="43"/>
      <c r="J51" s="43"/>
      <c r="K51" s="43"/>
      <c r="L51" s="43"/>
    </row>
    <row r="52" spans="2:12" ht="15.75" x14ac:dyDescent="0.25">
      <c r="B52" s="10" t="s">
        <v>400</v>
      </c>
      <c r="C52" s="7" t="s">
        <v>401</v>
      </c>
      <c r="D52" s="7"/>
      <c r="G52" s="43"/>
      <c r="H52" s="43"/>
      <c r="I52" s="43"/>
      <c r="J52" s="43"/>
      <c r="K52" s="43"/>
      <c r="L52" s="43"/>
    </row>
    <row r="53" spans="2:12" ht="15.75" x14ac:dyDescent="0.25">
      <c r="B53" s="10" t="s">
        <v>402</v>
      </c>
      <c r="C53" s="13">
        <f>(2*C48*C46*C47)/3.142</f>
        <v>53.126925525143207</v>
      </c>
      <c r="D53" s="7" t="s">
        <v>398</v>
      </c>
      <c r="G53" s="43"/>
      <c r="H53" s="43"/>
      <c r="I53" s="43"/>
      <c r="J53" s="43"/>
      <c r="K53" s="43"/>
      <c r="L53" s="43"/>
    </row>
    <row r="54" spans="2:12" ht="15.75" x14ac:dyDescent="0.25">
      <c r="B54" s="10" t="s">
        <v>403</v>
      </c>
      <c r="C54" s="7" t="s">
        <v>404</v>
      </c>
      <c r="D54" s="7"/>
      <c r="G54" s="43"/>
      <c r="H54" s="43"/>
      <c r="I54" s="43"/>
      <c r="J54" s="43"/>
      <c r="K54" s="43"/>
      <c r="L54" s="43"/>
    </row>
    <row r="55" spans="2:12" ht="15.75" x14ac:dyDescent="0.25">
      <c r="B55" s="10" t="s">
        <v>405</v>
      </c>
      <c r="C55" s="14">
        <f>C53*(2*3.142*C49)/C48</f>
        <v>17.279999999999994</v>
      </c>
      <c r="D55" s="7" t="s">
        <v>406</v>
      </c>
      <c r="G55" s="43"/>
      <c r="H55" s="43"/>
      <c r="I55" s="43"/>
      <c r="J55" s="43"/>
      <c r="K55" s="43"/>
      <c r="L55" s="43"/>
    </row>
    <row r="56" spans="2:12" ht="15.75" x14ac:dyDescent="0.25">
      <c r="B56" s="10" t="s">
        <v>407</v>
      </c>
      <c r="C56" s="7" t="s">
        <v>408</v>
      </c>
      <c r="D56" s="7"/>
      <c r="G56" s="43"/>
      <c r="H56" s="43"/>
      <c r="I56" s="43"/>
      <c r="J56" s="43"/>
      <c r="K56" s="43"/>
      <c r="L56" s="43"/>
    </row>
    <row r="57" spans="2:12" ht="15.75" x14ac:dyDescent="0.25">
      <c r="B57" s="10" t="s">
        <v>409</v>
      </c>
      <c r="C57" s="11">
        <f>C53/(2*3.142*C49)</f>
        <v>0.42271583008548069</v>
      </c>
      <c r="D57" s="7" t="s">
        <v>23</v>
      </c>
      <c r="G57" s="43"/>
      <c r="H57" s="43"/>
      <c r="I57" s="43"/>
      <c r="J57" s="43"/>
      <c r="K57" s="43"/>
      <c r="L57" s="43"/>
    </row>
    <row r="58" spans="2:12" ht="15.75" x14ac:dyDescent="0.25">
      <c r="B58" s="10"/>
      <c r="C58" s="7"/>
      <c r="D58" s="7"/>
      <c r="G58" s="43"/>
      <c r="H58" s="43"/>
      <c r="I58" s="43"/>
      <c r="J58" s="43"/>
      <c r="K58" s="43"/>
      <c r="L58" s="43"/>
    </row>
    <row r="59" spans="2:12" ht="15.75" x14ac:dyDescent="0.25">
      <c r="B59" s="10" t="s">
        <v>410</v>
      </c>
      <c r="C59" s="2" t="s">
        <v>411</v>
      </c>
      <c r="D59" s="7"/>
      <c r="G59" s="43"/>
      <c r="H59" s="43"/>
      <c r="I59" s="43"/>
      <c r="J59" s="43"/>
      <c r="K59" s="43"/>
      <c r="L59" s="43"/>
    </row>
    <row r="60" spans="2:12" ht="15.75" x14ac:dyDescent="0.25">
      <c r="B60" s="10" t="s">
        <v>121</v>
      </c>
      <c r="C60" s="7" t="s">
        <v>412</v>
      </c>
      <c r="D60" s="4"/>
      <c r="G60" s="43"/>
      <c r="H60" s="43"/>
      <c r="I60" s="43"/>
      <c r="J60" s="43"/>
      <c r="K60" s="43"/>
      <c r="L60" s="43"/>
    </row>
    <row r="61" spans="2:12" x14ac:dyDescent="0.2">
      <c r="B61" s="47"/>
      <c r="C61" s="46"/>
      <c r="G61" s="43"/>
      <c r="H61" s="43"/>
      <c r="I61" s="43"/>
      <c r="J61" s="43"/>
      <c r="K61" s="43"/>
      <c r="L61" s="43"/>
    </row>
    <row r="62" spans="2:12" ht="18" x14ac:dyDescent="0.25">
      <c r="B62" s="70" t="s">
        <v>413</v>
      </c>
      <c r="C62" s="46"/>
      <c r="G62" s="43"/>
      <c r="H62" s="43"/>
      <c r="I62" s="43"/>
      <c r="J62" s="43"/>
      <c r="K62" s="43"/>
      <c r="L62" s="43"/>
    </row>
    <row r="63" spans="2:12" ht="15.75" x14ac:dyDescent="0.25">
      <c r="B63" s="2" t="s">
        <v>414</v>
      </c>
      <c r="C63" s="7"/>
      <c r="G63" s="43"/>
      <c r="H63" s="43"/>
      <c r="I63" s="43"/>
      <c r="J63" s="43"/>
      <c r="K63" s="43"/>
      <c r="L63" s="43"/>
    </row>
    <row r="64" spans="2:12" ht="15.75" x14ac:dyDescent="0.25">
      <c r="B64" s="2" t="s">
        <v>415</v>
      </c>
      <c r="C64" s="7"/>
      <c r="G64" s="43"/>
      <c r="H64" s="43"/>
      <c r="I64" s="43"/>
      <c r="J64" s="43"/>
      <c r="K64" s="43"/>
      <c r="L64" s="43"/>
    </row>
    <row r="65" spans="2:12" ht="15.75" x14ac:dyDescent="0.25">
      <c r="B65" s="10" t="s">
        <v>416</v>
      </c>
      <c r="C65" s="2" t="s">
        <v>417</v>
      </c>
      <c r="G65" s="43"/>
      <c r="H65" s="43"/>
      <c r="I65" s="43"/>
      <c r="J65" s="43"/>
      <c r="K65" s="43"/>
      <c r="L65" s="43"/>
    </row>
    <row r="66" spans="2:12" ht="15.75" x14ac:dyDescent="0.25">
      <c r="B66" s="10" t="s">
        <v>418</v>
      </c>
      <c r="C66" s="2" t="s">
        <v>419</v>
      </c>
      <c r="G66" s="43"/>
      <c r="H66" s="43"/>
      <c r="I66" s="43"/>
      <c r="J66" s="43"/>
      <c r="K66" s="43"/>
      <c r="L66" s="43"/>
    </row>
    <row r="67" spans="2:12" ht="15.75" x14ac:dyDescent="0.25">
      <c r="B67" s="10" t="s">
        <v>221</v>
      </c>
      <c r="C67" s="2" t="s">
        <v>420</v>
      </c>
      <c r="G67" s="43"/>
      <c r="H67" s="43"/>
      <c r="I67" s="43"/>
      <c r="J67" s="43"/>
      <c r="K67" s="43"/>
      <c r="L67" s="43"/>
    </row>
    <row r="68" spans="2:12" ht="15.75" x14ac:dyDescent="0.25">
      <c r="B68" s="10" t="s">
        <v>315</v>
      </c>
      <c r="C68" s="2" t="s">
        <v>421</v>
      </c>
      <c r="G68" s="43"/>
      <c r="H68" s="43"/>
      <c r="I68" s="43"/>
      <c r="J68" s="43"/>
      <c r="K68" s="43"/>
      <c r="L68" s="43"/>
    </row>
    <row r="69" spans="2:12" ht="15.75" x14ac:dyDescent="0.25">
      <c r="B69" s="10" t="s">
        <v>96</v>
      </c>
      <c r="C69" s="2" t="s">
        <v>422</v>
      </c>
      <c r="G69" s="43"/>
      <c r="H69" s="43"/>
      <c r="I69" s="43"/>
      <c r="J69" s="43"/>
      <c r="K69" s="43"/>
      <c r="L69" s="43"/>
    </row>
    <row r="70" spans="2:12" x14ac:dyDescent="0.2">
      <c r="G70" s="43"/>
      <c r="H70" s="43"/>
      <c r="I70" s="43"/>
      <c r="J70" s="43"/>
      <c r="K70" s="43"/>
      <c r="L70" s="43"/>
    </row>
    <row r="71" spans="2:12" x14ac:dyDescent="0.2">
      <c r="B71" s="47"/>
      <c r="C71" s="46"/>
      <c r="D71" s="46"/>
      <c r="G71" s="43"/>
      <c r="H71" s="43"/>
      <c r="I71" s="43"/>
      <c r="J71" s="43"/>
      <c r="K71" s="43"/>
      <c r="L71" s="43"/>
    </row>
    <row r="72" spans="2:12" ht="18.75" thickBot="1" x14ac:dyDescent="0.3">
      <c r="B72" s="105" t="s">
        <v>423</v>
      </c>
      <c r="C72" s="45"/>
      <c r="D72" s="46"/>
      <c r="G72" s="43"/>
      <c r="H72" s="43"/>
      <c r="I72" s="43"/>
      <c r="J72" s="43"/>
      <c r="K72" s="43"/>
      <c r="L72" s="43"/>
    </row>
    <row r="73" spans="2:12" ht="15.75" thickBot="1" x14ac:dyDescent="0.25">
      <c r="B73" s="106" t="s">
        <v>424</v>
      </c>
      <c r="C73" s="107"/>
      <c r="D73" s="107"/>
      <c r="E73" s="108"/>
      <c r="F73" s="108"/>
      <c r="G73" s="109"/>
      <c r="H73" s="43"/>
      <c r="I73" s="43"/>
      <c r="J73" s="43"/>
      <c r="K73" s="43"/>
      <c r="L73" s="43"/>
    </row>
    <row r="74" spans="2:12" x14ac:dyDescent="0.2">
      <c r="B74" s="47"/>
      <c r="C74" s="46"/>
      <c r="D74" s="46"/>
      <c r="G74" s="43"/>
      <c r="H74" s="43"/>
      <c r="I74" s="43"/>
      <c r="J74" s="43"/>
      <c r="K74" s="43"/>
      <c r="L74" s="43"/>
    </row>
    <row r="75" spans="2:12" ht="16.5" thickBot="1" x14ac:dyDescent="0.3">
      <c r="B75" s="10" t="s">
        <v>0</v>
      </c>
      <c r="C75" s="9" t="s">
        <v>11</v>
      </c>
      <c r="D75" s="46"/>
      <c r="G75" s="43"/>
      <c r="H75" s="43"/>
      <c r="I75" s="43"/>
      <c r="J75" s="43"/>
      <c r="K75" s="43"/>
      <c r="L75" s="43"/>
    </row>
    <row r="76" spans="2:12" x14ac:dyDescent="0.2">
      <c r="B76" s="47" t="s">
        <v>425</v>
      </c>
      <c r="C76" s="62">
        <v>13.267982176957354</v>
      </c>
      <c r="D76" s="46" t="s">
        <v>60</v>
      </c>
      <c r="G76" s="43"/>
      <c r="H76" s="43"/>
      <c r="I76" s="43"/>
      <c r="J76" s="43"/>
      <c r="K76" s="43"/>
      <c r="L76" s="43"/>
    </row>
    <row r="77" spans="2:12" x14ac:dyDescent="0.2">
      <c r="B77" s="47" t="s">
        <v>426</v>
      </c>
      <c r="C77" s="55">
        <v>4</v>
      </c>
      <c r="D77" s="46"/>
      <c r="G77" s="43"/>
      <c r="H77" s="43"/>
      <c r="I77" s="43"/>
      <c r="J77" s="43"/>
      <c r="K77" s="43"/>
      <c r="L77" s="43"/>
    </row>
    <row r="78" spans="2:12" ht="15.75" x14ac:dyDescent="0.25">
      <c r="B78" s="47" t="s">
        <v>568</v>
      </c>
      <c r="C78" s="55">
        <v>50</v>
      </c>
      <c r="D78" s="46" t="s">
        <v>395</v>
      </c>
      <c r="G78" s="43"/>
      <c r="H78" s="43"/>
      <c r="I78" s="43"/>
      <c r="J78" s="43"/>
      <c r="K78" s="43"/>
      <c r="L78" s="43"/>
    </row>
    <row r="79" spans="2:12" x14ac:dyDescent="0.2">
      <c r="B79" s="47" t="s">
        <v>427</v>
      </c>
      <c r="C79" s="55">
        <v>3.0000000000000001E-3</v>
      </c>
      <c r="D79" s="46" t="s">
        <v>397</v>
      </c>
      <c r="G79" s="43"/>
      <c r="H79" s="43"/>
      <c r="I79" s="43"/>
      <c r="J79" s="43"/>
      <c r="K79" s="43"/>
      <c r="L79" s="43"/>
    </row>
    <row r="80" spans="2:12" x14ac:dyDescent="0.2">
      <c r="B80" s="47" t="s">
        <v>428</v>
      </c>
      <c r="C80" s="55">
        <v>1.4</v>
      </c>
      <c r="D80" s="46" t="s">
        <v>23</v>
      </c>
      <c r="G80" s="43"/>
      <c r="H80" s="43"/>
      <c r="I80" s="43"/>
      <c r="J80" s="43"/>
      <c r="K80" s="43"/>
      <c r="L80" s="43"/>
    </row>
    <row r="81" spans="2:12" ht="15.75" x14ac:dyDescent="0.25">
      <c r="B81" s="47" t="s">
        <v>429</v>
      </c>
      <c r="C81" s="55">
        <v>0</v>
      </c>
      <c r="D81" s="46" t="s">
        <v>130</v>
      </c>
      <c r="E81" s="2" t="s">
        <v>430</v>
      </c>
      <c r="G81" s="43"/>
      <c r="H81" s="43"/>
      <c r="I81" s="43"/>
      <c r="J81" s="43"/>
      <c r="K81" s="43"/>
      <c r="L81" s="43"/>
    </row>
    <row r="82" spans="2:12" x14ac:dyDescent="0.2">
      <c r="B82" s="47" t="s">
        <v>431</v>
      </c>
      <c r="C82" s="55">
        <v>0</v>
      </c>
      <c r="D82" s="46" t="s">
        <v>130</v>
      </c>
      <c r="E82" s="104" t="s">
        <v>432</v>
      </c>
      <c r="G82" s="43"/>
      <c r="H82" s="43"/>
      <c r="I82" s="43"/>
      <c r="J82" s="43"/>
      <c r="K82" s="43"/>
      <c r="L82" s="43"/>
    </row>
    <row r="83" spans="2:12" x14ac:dyDescent="0.2">
      <c r="B83" s="47" t="s">
        <v>433</v>
      </c>
      <c r="C83" s="55">
        <v>133</v>
      </c>
      <c r="D83" s="46" t="s">
        <v>130</v>
      </c>
      <c r="E83" s="104" t="s">
        <v>432</v>
      </c>
      <c r="G83" s="43"/>
      <c r="H83" s="43"/>
      <c r="I83" s="43"/>
      <c r="J83" s="43"/>
      <c r="K83" s="43"/>
      <c r="L83" s="43"/>
    </row>
    <row r="84" spans="2:12" x14ac:dyDescent="0.2">
      <c r="B84" s="47" t="s">
        <v>434</v>
      </c>
      <c r="C84" s="55">
        <v>133</v>
      </c>
      <c r="D84" s="46" t="s">
        <v>130</v>
      </c>
      <c r="E84" s="104" t="s">
        <v>432</v>
      </c>
      <c r="G84" s="43"/>
      <c r="H84" s="43"/>
      <c r="I84" s="43"/>
      <c r="J84" s="43"/>
      <c r="K84" s="43"/>
      <c r="L84" s="43"/>
    </row>
    <row r="85" spans="2:12" ht="15.75" thickBot="1" x14ac:dyDescent="0.25">
      <c r="B85" s="47" t="s">
        <v>435</v>
      </c>
      <c r="C85" s="60">
        <v>10</v>
      </c>
      <c r="D85" s="46" t="s">
        <v>395</v>
      </c>
      <c r="G85" s="43"/>
      <c r="H85" s="43"/>
      <c r="I85" s="43"/>
      <c r="J85" s="43"/>
      <c r="K85" s="43"/>
      <c r="L85" s="43"/>
    </row>
    <row r="86" spans="2:12" ht="15.75" x14ac:dyDescent="0.25">
      <c r="B86" s="47"/>
      <c r="C86" s="46"/>
      <c r="D86" s="46"/>
      <c r="F86" s="7" t="s">
        <v>0</v>
      </c>
      <c r="G86" s="43"/>
      <c r="H86" s="43"/>
      <c r="I86" s="43"/>
      <c r="J86" s="43"/>
      <c r="K86" s="43"/>
      <c r="L86" s="43"/>
    </row>
    <row r="87" spans="2:12" ht="15.75" x14ac:dyDescent="0.25">
      <c r="B87" s="47"/>
      <c r="C87" s="9" t="s">
        <v>16</v>
      </c>
      <c r="D87" s="46"/>
      <c r="G87" s="43"/>
      <c r="H87" s="43"/>
      <c r="I87" s="43"/>
      <c r="J87" s="43"/>
      <c r="K87" s="43"/>
      <c r="L87" s="43"/>
    </row>
    <row r="88" spans="2:12" ht="15.75" x14ac:dyDescent="0.25">
      <c r="B88" s="10" t="s">
        <v>436</v>
      </c>
      <c r="C88" s="7" t="s">
        <v>332</v>
      </c>
      <c r="D88" s="7" t="s">
        <v>60</v>
      </c>
      <c r="G88" s="43"/>
      <c r="H88" s="43"/>
      <c r="I88" s="43"/>
      <c r="J88" s="43"/>
      <c r="K88" s="43"/>
      <c r="L88" s="43"/>
    </row>
    <row r="89" spans="2:12" ht="15.75" x14ac:dyDescent="0.25">
      <c r="B89" s="10" t="s">
        <v>437</v>
      </c>
      <c r="C89" s="11">
        <f>C76/C77</f>
        <v>3.3169955442393384</v>
      </c>
      <c r="D89" s="7" t="s">
        <v>60</v>
      </c>
      <c r="G89" s="43"/>
      <c r="H89" s="43"/>
      <c r="I89" s="43"/>
      <c r="J89" s="43"/>
      <c r="K89" s="43"/>
      <c r="L89" s="43"/>
    </row>
    <row r="90" spans="2:12" ht="15.75" x14ac:dyDescent="0.25">
      <c r="B90" s="10" t="s">
        <v>438</v>
      </c>
      <c r="C90" s="7" t="s">
        <v>439</v>
      </c>
      <c r="D90" s="7"/>
      <c r="G90" s="43"/>
      <c r="H90" s="43"/>
      <c r="I90" s="43"/>
      <c r="J90" s="43"/>
      <c r="K90" s="43"/>
      <c r="L90" s="43"/>
    </row>
    <row r="91" spans="2:12" ht="15.75" x14ac:dyDescent="0.25">
      <c r="B91" s="10" t="s">
        <v>440</v>
      </c>
      <c r="C91" s="13">
        <f>100*C85/C78</f>
        <v>20</v>
      </c>
      <c r="D91" s="7" t="s">
        <v>441</v>
      </c>
      <c r="G91" s="43"/>
      <c r="H91" s="43"/>
      <c r="I91" s="43"/>
      <c r="J91" s="43"/>
      <c r="K91" s="43"/>
      <c r="L91" s="43"/>
    </row>
    <row r="92" spans="2:12" ht="15.75" x14ac:dyDescent="0.25">
      <c r="B92" s="10"/>
      <c r="C92" s="7"/>
      <c r="D92" s="7"/>
      <c r="G92" s="43"/>
      <c r="H92" s="43"/>
      <c r="I92" s="43"/>
      <c r="J92" s="43"/>
      <c r="K92" s="43"/>
      <c r="L92" s="43"/>
    </row>
    <row r="93" spans="2:12" ht="15.75" x14ac:dyDescent="0.25">
      <c r="B93" s="10" t="s">
        <v>442</v>
      </c>
      <c r="C93" s="7" t="s">
        <v>443</v>
      </c>
      <c r="D93" s="7"/>
      <c r="G93" s="43"/>
      <c r="H93" s="43"/>
      <c r="I93" s="43"/>
      <c r="J93" s="43"/>
      <c r="K93" s="43"/>
      <c r="L93" s="43"/>
    </row>
    <row r="94" spans="2:12" ht="15.75" x14ac:dyDescent="0.25">
      <c r="B94" s="10" t="s">
        <v>444</v>
      </c>
      <c r="C94" s="18">
        <f>1-C91/100</f>
        <v>0.8</v>
      </c>
      <c r="D94" s="7"/>
      <c r="G94" s="43"/>
      <c r="H94" s="43"/>
      <c r="I94" s="43"/>
      <c r="J94" s="43"/>
      <c r="K94" s="43"/>
      <c r="L94" s="43"/>
    </row>
    <row r="95" spans="2:12" x14ac:dyDescent="0.2">
      <c r="G95" s="43"/>
      <c r="H95" s="43"/>
      <c r="I95" s="43"/>
      <c r="J95" s="43"/>
      <c r="K95" s="43"/>
      <c r="L95" s="43"/>
    </row>
    <row r="96" spans="2:12" x14ac:dyDescent="0.2">
      <c r="B96" s="47"/>
      <c r="C96" s="46"/>
      <c r="D96" s="46"/>
      <c r="G96" s="43"/>
      <c r="H96" s="43"/>
      <c r="I96" s="43"/>
      <c r="J96" s="43"/>
      <c r="K96" s="43"/>
      <c r="L96" s="43"/>
    </row>
    <row r="97" spans="1:12" x14ac:dyDescent="0.2">
      <c r="B97" s="47"/>
      <c r="C97" s="46"/>
      <c r="D97" s="46"/>
      <c r="G97" s="43"/>
      <c r="H97" s="43"/>
      <c r="I97" s="43"/>
      <c r="J97" s="43"/>
      <c r="K97" s="43"/>
      <c r="L97" s="43"/>
    </row>
    <row r="98" spans="1:12" x14ac:dyDescent="0.2">
      <c r="B98" s="47"/>
      <c r="C98" s="46"/>
      <c r="D98" s="46"/>
      <c r="G98" s="43"/>
      <c r="H98" s="43"/>
      <c r="I98" s="43"/>
      <c r="J98" s="43"/>
      <c r="K98" s="43"/>
      <c r="L98" s="43"/>
    </row>
    <row r="99" spans="1:12" x14ac:dyDescent="0.2">
      <c r="B99" s="47"/>
      <c r="C99" s="46"/>
      <c r="D99" s="46"/>
      <c r="G99" s="43"/>
      <c r="H99" s="43"/>
      <c r="I99" s="43"/>
      <c r="J99" s="43"/>
      <c r="K99" s="43"/>
      <c r="L99" s="43"/>
    </row>
    <row r="100" spans="1:12" x14ac:dyDescent="0.2">
      <c r="B100" s="45" t="s">
        <v>445</v>
      </c>
      <c r="C100" s="46"/>
      <c r="D100" s="46"/>
      <c r="G100" s="43"/>
      <c r="H100" s="43"/>
      <c r="I100" s="43"/>
      <c r="J100" s="43"/>
      <c r="K100" s="43"/>
      <c r="L100" s="43"/>
    </row>
    <row r="101" spans="1:12" ht="15.75" thickBot="1" x14ac:dyDescent="0.25">
      <c r="B101" s="45" t="s">
        <v>446</v>
      </c>
      <c r="C101" s="46"/>
      <c r="D101" s="46"/>
      <c r="G101" s="43"/>
      <c r="H101" s="43"/>
      <c r="I101" s="43"/>
      <c r="J101" s="43"/>
      <c r="K101" s="43"/>
      <c r="L101" s="43"/>
    </row>
    <row r="102" spans="1:12" ht="15.75" thickBot="1" x14ac:dyDescent="0.25">
      <c r="A102" s="110"/>
      <c r="B102" s="111" t="s">
        <v>447</v>
      </c>
      <c r="C102" s="46"/>
      <c r="D102" s="46"/>
      <c r="G102" s="43"/>
      <c r="H102" s="43"/>
      <c r="I102" s="43"/>
      <c r="J102" s="43"/>
      <c r="K102" s="43"/>
      <c r="L102" s="43"/>
    </row>
    <row r="103" spans="1:12" x14ac:dyDescent="0.2">
      <c r="B103" s="45" t="s">
        <v>448</v>
      </c>
      <c r="C103" s="46"/>
      <c r="D103" s="46"/>
      <c r="G103" s="43"/>
      <c r="H103" s="43"/>
      <c r="I103" s="43"/>
      <c r="J103" s="43"/>
      <c r="K103" s="43"/>
      <c r="L103" s="43"/>
    </row>
    <row r="104" spans="1:12" x14ac:dyDescent="0.2">
      <c r="B104" s="45" t="s">
        <v>449</v>
      </c>
      <c r="C104" s="46"/>
      <c r="D104" s="46"/>
      <c r="G104" s="43"/>
      <c r="H104" s="43"/>
      <c r="I104" s="43"/>
      <c r="J104" s="43"/>
      <c r="K104" s="43"/>
      <c r="L104" s="43"/>
    </row>
    <row r="105" spans="1:12" x14ac:dyDescent="0.2">
      <c r="B105" s="45"/>
      <c r="C105" s="46"/>
      <c r="D105" s="46"/>
      <c r="G105" s="43"/>
      <c r="H105" s="43"/>
      <c r="I105" s="43"/>
      <c r="J105" s="43"/>
      <c r="K105" s="43"/>
      <c r="L105" s="43"/>
    </row>
    <row r="106" spans="1:12" x14ac:dyDescent="0.2">
      <c r="B106" s="45" t="s">
        <v>450</v>
      </c>
      <c r="C106" s="46"/>
      <c r="D106" s="46"/>
      <c r="G106" s="43"/>
      <c r="H106" s="43"/>
      <c r="I106" s="43"/>
      <c r="J106" s="43"/>
      <c r="K106" s="43"/>
      <c r="L106" s="43"/>
    </row>
    <row r="107" spans="1:12" x14ac:dyDescent="0.2">
      <c r="B107" s="45" t="s">
        <v>451</v>
      </c>
      <c r="C107" s="46"/>
      <c r="D107" s="46"/>
      <c r="G107" s="43"/>
      <c r="H107" s="43"/>
      <c r="I107" s="43"/>
      <c r="J107" s="43"/>
      <c r="K107" s="43"/>
      <c r="L107" s="43"/>
    </row>
    <row r="108" spans="1:12" x14ac:dyDescent="0.2">
      <c r="B108" s="45" t="s">
        <v>452</v>
      </c>
      <c r="C108" s="46"/>
      <c r="D108" s="46"/>
      <c r="G108" s="43"/>
      <c r="H108" s="43"/>
      <c r="I108" s="43"/>
      <c r="J108" s="43"/>
      <c r="K108" s="43"/>
      <c r="L108" s="43"/>
    </row>
    <row r="109" spans="1:12" x14ac:dyDescent="0.2">
      <c r="B109" s="45"/>
      <c r="C109" s="46"/>
      <c r="D109" s="46"/>
      <c r="G109" s="43"/>
      <c r="H109" s="43"/>
      <c r="I109" s="43"/>
      <c r="J109" s="43"/>
      <c r="K109" s="43"/>
      <c r="L109" s="43"/>
    </row>
    <row r="110" spans="1:12" x14ac:dyDescent="0.2">
      <c r="B110" s="45" t="s">
        <v>453</v>
      </c>
      <c r="C110" s="46"/>
      <c r="D110" s="46"/>
      <c r="G110" s="43"/>
      <c r="H110" s="43"/>
      <c r="I110" s="43"/>
      <c r="J110" s="43"/>
      <c r="K110" s="43"/>
      <c r="L110" s="43"/>
    </row>
    <row r="111" spans="1:12" x14ac:dyDescent="0.2">
      <c r="B111" s="45" t="s">
        <v>454</v>
      </c>
      <c r="C111" s="46"/>
      <c r="D111" s="46"/>
      <c r="G111" s="43"/>
      <c r="H111" s="43"/>
      <c r="I111" s="43"/>
      <c r="J111" s="43"/>
      <c r="K111" s="43"/>
      <c r="L111" s="43"/>
    </row>
    <row r="112" spans="1:12" x14ac:dyDescent="0.2">
      <c r="B112" s="45" t="s">
        <v>455</v>
      </c>
      <c r="C112" s="46"/>
      <c r="D112" s="46"/>
      <c r="G112" s="43"/>
      <c r="H112" s="43"/>
      <c r="I112" s="43"/>
      <c r="J112" s="43"/>
      <c r="K112" s="43"/>
      <c r="L112" s="43"/>
    </row>
    <row r="113" spans="2:12" x14ac:dyDescent="0.2">
      <c r="B113" s="47"/>
      <c r="C113" s="46"/>
      <c r="D113" s="46"/>
      <c r="G113" s="43"/>
      <c r="H113" s="43"/>
      <c r="I113" s="43"/>
      <c r="J113" s="43"/>
      <c r="K113" s="43"/>
      <c r="L113" s="43"/>
    </row>
    <row r="114" spans="2:12" ht="15.75" x14ac:dyDescent="0.25">
      <c r="B114" s="2" t="s">
        <v>456</v>
      </c>
      <c r="C114" s="46"/>
      <c r="D114" s="46"/>
      <c r="G114" s="43"/>
      <c r="H114" s="43"/>
      <c r="I114" s="43"/>
      <c r="J114" s="43"/>
      <c r="K114" s="43"/>
      <c r="L114" s="43"/>
    </row>
    <row r="115" spans="2:12" ht="15.75" x14ac:dyDescent="0.25">
      <c r="B115" s="47"/>
      <c r="C115" s="103" t="s">
        <v>457</v>
      </c>
      <c r="D115" s="46"/>
      <c r="G115" s="43"/>
      <c r="H115" s="43"/>
      <c r="I115" s="43"/>
      <c r="J115" s="43"/>
      <c r="K115" s="43"/>
      <c r="L115" s="43"/>
    </row>
    <row r="116" spans="2:12" ht="15.75" x14ac:dyDescent="0.25">
      <c r="B116" s="10" t="s">
        <v>458</v>
      </c>
      <c r="C116" s="7">
        <v>386</v>
      </c>
      <c r="D116" s="7" t="s">
        <v>38</v>
      </c>
      <c r="G116" s="43"/>
      <c r="H116" s="43"/>
      <c r="I116" s="43"/>
      <c r="J116" s="43"/>
      <c r="K116" s="43"/>
      <c r="L116" s="43"/>
    </row>
    <row r="117" spans="2:12" ht="15.75" x14ac:dyDescent="0.25">
      <c r="B117" s="10" t="s">
        <v>459</v>
      </c>
      <c r="C117" s="7" t="s">
        <v>460</v>
      </c>
      <c r="D117" s="7"/>
      <c r="G117" s="43"/>
      <c r="H117" s="43"/>
      <c r="I117" s="43"/>
      <c r="J117" s="43"/>
      <c r="K117" s="43"/>
      <c r="L117" s="43"/>
    </row>
    <row r="118" spans="2:12" ht="15.75" x14ac:dyDescent="0.25">
      <c r="B118" s="10" t="s">
        <v>342</v>
      </c>
      <c r="C118" s="14">
        <f>3.13*((C83/C89)^0.5)</f>
        <v>19.819729090879299</v>
      </c>
      <c r="D118" s="7" t="s">
        <v>29</v>
      </c>
      <c r="G118" s="43"/>
      <c r="H118" s="43"/>
      <c r="I118" s="43"/>
      <c r="J118" s="43"/>
      <c r="K118" s="43"/>
      <c r="L118" s="43"/>
    </row>
    <row r="119" spans="2:12" ht="15.75" x14ac:dyDescent="0.25">
      <c r="B119" s="10" t="s">
        <v>461</v>
      </c>
      <c r="C119" s="7" t="s">
        <v>462</v>
      </c>
      <c r="D119" s="7"/>
      <c r="G119" s="43"/>
      <c r="H119" s="43"/>
      <c r="I119" s="43"/>
      <c r="J119" s="43"/>
      <c r="K119" s="43"/>
      <c r="L119" s="43"/>
    </row>
    <row r="120" spans="2:12" ht="15.75" x14ac:dyDescent="0.25">
      <c r="B120" s="10" t="s">
        <v>463</v>
      </c>
      <c r="C120" s="14">
        <f>1/(2*C79)</f>
        <v>166.66666666666666</v>
      </c>
      <c r="D120" s="7" t="s">
        <v>29</v>
      </c>
      <c r="G120" s="43"/>
      <c r="H120" s="43"/>
      <c r="I120" s="43"/>
      <c r="J120" s="43"/>
      <c r="K120" s="43"/>
      <c r="L120" s="43"/>
    </row>
    <row r="121" spans="2:12" ht="15.75" x14ac:dyDescent="0.25">
      <c r="B121" s="10"/>
      <c r="C121" s="7"/>
      <c r="D121" s="7"/>
      <c r="G121" s="43"/>
      <c r="H121" s="43"/>
      <c r="I121" s="43"/>
      <c r="J121" s="43"/>
      <c r="K121" s="43"/>
      <c r="L121" s="43"/>
    </row>
    <row r="122" spans="2:12" ht="15.75" x14ac:dyDescent="0.25">
      <c r="B122" s="10" t="s">
        <v>464</v>
      </c>
      <c r="C122" s="7"/>
      <c r="D122" s="7"/>
      <c r="G122" s="43"/>
      <c r="H122" s="43"/>
      <c r="I122" s="43"/>
      <c r="J122" s="43"/>
      <c r="K122" s="43"/>
      <c r="L122" s="43"/>
    </row>
    <row r="123" spans="2:12" ht="15.75" x14ac:dyDescent="0.25">
      <c r="B123" s="10" t="s">
        <v>465</v>
      </c>
      <c r="C123" s="7" t="s">
        <v>466</v>
      </c>
      <c r="D123" s="7"/>
      <c r="E123" s="46" t="s">
        <v>0</v>
      </c>
      <c r="G123" s="43"/>
      <c r="H123" s="43"/>
      <c r="I123" s="43"/>
      <c r="J123" s="43"/>
      <c r="K123" s="43"/>
      <c r="L123" s="43"/>
    </row>
    <row r="124" spans="2:12" ht="15.75" x14ac:dyDescent="0.25">
      <c r="B124" s="10" t="s">
        <v>467</v>
      </c>
      <c r="C124" s="14">
        <f>C89*(2*3.142*C120)/(C116)</f>
        <v>9</v>
      </c>
      <c r="D124" s="7" t="s">
        <v>395</v>
      </c>
      <c r="G124" s="43"/>
      <c r="H124" s="43"/>
      <c r="I124" s="43"/>
      <c r="J124" s="43"/>
      <c r="K124" s="43"/>
      <c r="L124" s="43"/>
    </row>
    <row r="125" spans="2:12" ht="15.75" x14ac:dyDescent="0.25">
      <c r="B125" s="10"/>
      <c r="C125" s="7"/>
      <c r="D125" s="7"/>
      <c r="G125" s="43"/>
      <c r="H125" s="43"/>
      <c r="I125" s="43"/>
      <c r="J125" s="43"/>
      <c r="K125" s="43"/>
      <c r="L125" s="43"/>
    </row>
    <row r="126" spans="2:12" ht="15.75" x14ac:dyDescent="0.25">
      <c r="B126" s="10" t="s">
        <v>468</v>
      </c>
      <c r="C126" s="7" t="s">
        <v>469</v>
      </c>
      <c r="D126" s="7"/>
      <c r="G126" s="43"/>
      <c r="H126" s="43"/>
      <c r="I126" s="43"/>
      <c r="J126" s="43"/>
      <c r="K126" s="43"/>
      <c r="L126" s="43"/>
    </row>
    <row r="127" spans="2:12" ht="15.75" x14ac:dyDescent="0.25">
      <c r="B127" s="10" t="s">
        <v>470</v>
      </c>
      <c r="C127" s="19">
        <f>(2*3.142*C118)^2*(C89/C116)</f>
        <v>133.29853123712743</v>
      </c>
      <c r="D127" s="7" t="s">
        <v>15</v>
      </c>
      <c r="G127" s="43"/>
      <c r="H127" s="43"/>
      <c r="I127" s="43"/>
      <c r="J127" s="43"/>
      <c r="K127" s="43"/>
      <c r="L127" s="43"/>
    </row>
    <row r="128" spans="2:12" ht="15.75" x14ac:dyDescent="0.25">
      <c r="B128" s="10"/>
      <c r="C128" s="7"/>
      <c r="D128" s="7"/>
      <c r="G128" s="43"/>
      <c r="H128" s="43"/>
      <c r="I128" s="43"/>
      <c r="J128" s="43"/>
      <c r="K128" s="43"/>
      <c r="L128" s="43"/>
    </row>
    <row r="129" spans="2:12" ht="15.75" x14ac:dyDescent="0.25">
      <c r="B129" s="10" t="s">
        <v>471</v>
      </c>
      <c r="C129" s="7" t="s">
        <v>472</v>
      </c>
      <c r="D129" s="7"/>
      <c r="G129" s="43"/>
      <c r="H129" s="43"/>
      <c r="I129" s="43"/>
      <c r="J129" s="43"/>
      <c r="K129" s="43"/>
      <c r="L129" s="43"/>
    </row>
    <row r="130" spans="2:12" ht="15.75" x14ac:dyDescent="0.25">
      <c r="B130" s="10" t="s">
        <v>473</v>
      </c>
      <c r="C130" s="14">
        <f>3.13*((C127/C89)^0.5)</f>
        <v>19.841960262892048</v>
      </c>
      <c r="D130" s="7" t="s">
        <v>29</v>
      </c>
      <c r="G130" s="43"/>
      <c r="H130" s="43"/>
      <c r="I130" s="43"/>
      <c r="J130" s="43"/>
      <c r="K130" s="43"/>
      <c r="L130" s="43"/>
    </row>
    <row r="131" spans="2:12" ht="15.75" x14ac:dyDescent="0.25">
      <c r="B131" s="10"/>
      <c r="C131" s="7"/>
      <c r="D131" s="7"/>
      <c r="G131" s="43"/>
      <c r="H131" s="43"/>
      <c r="I131" s="43"/>
      <c r="J131" s="43"/>
      <c r="K131" s="43"/>
      <c r="L131" s="43"/>
    </row>
    <row r="132" spans="2:12" ht="15.75" x14ac:dyDescent="0.25">
      <c r="B132" s="10" t="s">
        <v>474</v>
      </c>
      <c r="C132" s="7" t="s">
        <v>475</v>
      </c>
      <c r="D132" s="7"/>
      <c r="G132" s="43"/>
      <c r="H132" s="43"/>
      <c r="I132" s="43"/>
      <c r="J132" s="43"/>
      <c r="K132" s="43"/>
      <c r="L132" s="43"/>
    </row>
    <row r="133" spans="2:12" ht="15.75" x14ac:dyDescent="0.25">
      <c r="B133" s="10" t="s">
        <v>476</v>
      </c>
      <c r="C133" s="13">
        <f>(C124*C116)/((2*3.142*C118)^2)</f>
        <v>0.22395565518308685</v>
      </c>
      <c r="D133" s="7" t="s">
        <v>23</v>
      </c>
      <c r="G133" s="43"/>
      <c r="H133" s="43"/>
      <c r="I133" s="43"/>
      <c r="J133" s="43"/>
      <c r="K133" s="43"/>
      <c r="L133" s="43"/>
    </row>
    <row r="134" spans="2:12" ht="15.75" x14ac:dyDescent="0.25">
      <c r="B134" s="10"/>
      <c r="C134" s="7"/>
      <c r="D134" s="7"/>
      <c r="G134" s="43"/>
      <c r="H134" s="43"/>
      <c r="I134" s="43"/>
      <c r="J134" s="43"/>
      <c r="K134" s="43"/>
      <c r="L134" s="43"/>
    </row>
    <row r="135" spans="2:12" ht="15.75" x14ac:dyDescent="0.25">
      <c r="B135" s="10" t="s">
        <v>477</v>
      </c>
      <c r="C135" s="7" t="s">
        <v>478</v>
      </c>
      <c r="D135" s="7"/>
      <c r="G135" s="43"/>
      <c r="H135" s="43"/>
      <c r="I135" s="43"/>
      <c r="J135" s="43"/>
      <c r="K135" s="43"/>
      <c r="L135" s="43"/>
    </row>
    <row r="136" spans="2:12" ht="15.75" x14ac:dyDescent="0.25">
      <c r="B136" s="10" t="s">
        <v>479</v>
      </c>
      <c r="C136" s="14">
        <f>2*C116*C78*C79/3.142</f>
        <v>36.855506047103759</v>
      </c>
      <c r="D136" s="7" t="s">
        <v>480</v>
      </c>
      <c r="G136" s="43"/>
      <c r="H136" s="43"/>
      <c r="I136" s="43"/>
      <c r="J136" s="43"/>
      <c r="K136" s="43"/>
      <c r="L136" s="43"/>
    </row>
    <row r="137" spans="2:12" ht="15.75" x14ac:dyDescent="0.25">
      <c r="B137" s="47"/>
      <c r="C137" s="46"/>
      <c r="D137" s="46"/>
      <c r="F137" s="7" t="s">
        <v>0</v>
      </c>
      <c r="G137" s="43"/>
      <c r="H137" s="43"/>
      <c r="I137" s="43"/>
      <c r="J137" s="43"/>
      <c r="K137" s="43"/>
      <c r="L137" s="43"/>
    </row>
    <row r="138" spans="2:12" x14ac:dyDescent="0.2">
      <c r="B138" s="47"/>
      <c r="C138" s="46"/>
      <c r="D138" s="46"/>
      <c r="G138" s="43"/>
      <c r="H138" s="43"/>
      <c r="I138" s="43"/>
      <c r="J138" s="43"/>
      <c r="K138" s="43"/>
      <c r="L138" s="43"/>
    </row>
    <row r="139" spans="2:12" x14ac:dyDescent="0.2">
      <c r="B139" s="47"/>
      <c r="C139" s="46"/>
      <c r="D139" s="46"/>
      <c r="G139" s="43"/>
      <c r="H139" s="43"/>
      <c r="I139" s="43"/>
      <c r="J139" s="43"/>
      <c r="K139" s="43"/>
      <c r="L139" s="43"/>
    </row>
    <row r="140" spans="2:12" x14ac:dyDescent="0.2">
      <c r="B140" s="47"/>
      <c r="C140" s="46"/>
      <c r="D140" s="46"/>
      <c r="G140" s="43"/>
      <c r="H140" s="43"/>
      <c r="I140" s="43"/>
      <c r="J140" s="43"/>
      <c r="K140" s="43"/>
      <c r="L140" s="43"/>
    </row>
    <row r="141" spans="2:12" x14ac:dyDescent="0.2">
      <c r="B141" s="47"/>
      <c r="C141" s="46"/>
      <c r="D141" s="46"/>
      <c r="G141" s="43"/>
      <c r="H141" s="43"/>
      <c r="I141" s="43"/>
      <c r="J141" s="43"/>
      <c r="K141" s="43"/>
      <c r="L141" s="43"/>
    </row>
    <row r="142" spans="2:12" x14ac:dyDescent="0.2">
      <c r="B142" s="47"/>
      <c r="C142" s="46"/>
      <c r="D142" s="46"/>
      <c r="G142" s="43"/>
      <c r="H142" s="43"/>
      <c r="I142" s="43"/>
      <c r="J142" s="43"/>
      <c r="K142" s="43"/>
      <c r="L142" s="43"/>
    </row>
    <row r="143" spans="2:12" x14ac:dyDescent="0.2">
      <c r="B143" s="47"/>
      <c r="C143" s="46"/>
      <c r="D143" s="46"/>
      <c r="G143" s="43"/>
      <c r="H143" s="43"/>
      <c r="I143" s="43"/>
      <c r="J143" s="43"/>
      <c r="K143" s="43"/>
      <c r="L143" s="43"/>
    </row>
    <row r="144" spans="2:12" x14ac:dyDescent="0.2">
      <c r="B144" s="47"/>
      <c r="C144" s="46"/>
      <c r="D144" s="46"/>
      <c r="G144" s="43"/>
      <c r="H144" s="43"/>
      <c r="I144" s="43"/>
      <c r="J144" s="43"/>
      <c r="K144" s="43"/>
      <c r="L144" s="43"/>
    </row>
    <row r="145" spans="2:12" ht="15.75" x14ac:dyDescent="0.25">
      <c r="B145" s="10"/>
      <c r="C145" s="46"/>
      <c r="D145" s="7"/>
      <c r="G145" s="43"/>
      <c r="H145" s="43"/>
      <c r="I145" s="43"/>
      <c r="J145" s="43"/>
      <c r="K145" s="43"/>
      <c r="L145" s="43"/>
    </row>
    <row r="146" spans="2:12" x14ac:dyDescent="0.2">
      <c r="B146" s="47"/>
      <c r="C146" s="46"/>
      <c r="D146" s="46"/>
      <c r="G146" s="43"/>
      <c r="H146" s="43"/>
      <c r="I146" s="43"/>
      <c r="J146" s="43"/>
      <c r="K146" s="43"/>
      <c r="L146" s="43"/>
    </row>
    <row r="147" spans="2:12" x14ac:dyDescent="0.2">
      <c r="B147" s="47"/>
      <c r="C147" s="46"/>
      <c r="D147" s="46"/>
      <c r="G147" s="43"/>
      <c r="H147" s="43"/>
      <c r="I147" s="43"/>
      <c r="J147" s="43"/>
      <c r="K147" s="43"/>
      <c r="L147" s="43"/>
    </row>
    <row r="148" spans="2:12" x14ac:dyDescent="0.2">
      <c r="B148" s="47"/>
      <c r="C148" s="46"/>
      <c r="D148" s="46"/>
      <c r="G148" s="43"/>
      <c r="H148" s="43"/>
      <c r="I148" s="43"/>
      <c r="J148" s="43"/>
      <c r="K148" s="43"/>
      <c r="L148" s="43"/>
    </row>
    <row r="149" spans="2:12" x14ac:dyDescent="0.2">
      <c r="B149" s="47"/>
      <c r="C149" s="46"/>
      <c r="D149" s="46"/>
      <c r="G149" s="43"/>
      <c r="H149" s="43"/>
      <c r="I149" s="43"/>
      <c r="J149" s="43"/>
      <c r="K149" s="43"/>
      <c r="L149" s="43"/>
    </row>
    <row r="150" spans="2:12" x14ac:dyDescent="0.2">
      <c r="B150" s="47"/>
      <c r="C150" s="46"/>
      <c r="D150" s="46"/>
      <c r="G150" s="43"/>
      <c r="H150" s="43"/>
      <c r="I150" s="43"/>
      <c r="J150" s="43"/>
      <c r="K150" s="43"/>
      <c r="L150" s="43"/>
    </row>
    <row r="151" spans="2:12" x14ac:dyDescent="0.2">
      <c r="B151" s="47"/>
      <c r="C151" s="46"/>
      <c r="D151" s="46"/>
      <c r="G151" s="43"/>
      <c r="H151" s="43"/>
      <c r="I151" s="43"/>
      <c r="J151" s="43"/>
      <c r="K151" s="43"/>
      <c r="L151" s="43"/>
    </row>
    <row r="152" spans="2:12" x14ac:dyDescent="0.2">
      <c r="B152" s="47"/>
      <c r="C152" s="46"/>
      <c r="D152" s="46"/>
      <c r="G152" s="43"/>
      <c r="H152" s="43"/>
      <c r="I152" s="43"/>
      <c r="J152" s="43"/>
      <c r="K152" s="43"/>
      <c r="L152" s="43"/>
    </row>
    <row r="153" spans="2:12" x14ac:dyDescent="0.2">
      <c r="B153" s="47"/>
      <c r="C153" s="46"/>
      <c r="D153" s="46"/>
      <c r="G153" s="43"/>
      <c r="H153" s="43"/>
      <c r="I153" s="43"/>
      <c r="J153" s="43"/>
      <c r="K153" s="43"/>
      <c r="L153" s="43"/>
    </row>
    <row r="154" spans="2:12" x14ac:dyDescent="0.2">
      <c r="B154" s="47"/>
      <c r="C154" s="46"/>
      <c r="D154" s="46"/>
      <c r="G154" s="43"/>
      <c r="H154" s="43"/>
      <c r="I154" s="43"/>
      <c r="J154" s="43"/>
      <c r="K154" s="43"/>
      <c r="L154" s="43"/>
    </row>
    <row r="155" spans="2:12" x14ac:dyDescent="0.2">
      <c r="B155" s="47"/>
      <c r="C155" s="46"/>
      <c r="D155" s="46"/>
      <c r="G155" s="43"/>
      <c r="H155" s="43"/>
      <c r="I155" s="43"/>
      <c r="J155" s="43"/>
      <c r="K155" s="43"/>
      <c r="L155" s="43"/>
    </row>
    <row r="156" spans="2:12" x14ac:dyDescent="0.2">
      <c r="B156" s="47"/>
      <c r="C156" s="46"/>
      <c r="D156" s="46"/>
      <c r="G156" s="43"/>
      <c r="H156" s="43"/>
      <c r="I156" s="43"/>
      <c r="J156" s="43"/>
      <c r="K156" s="43"/>
      <c r="L156" s="43"/>
    </row>
    <row r="157" spans="2:12" x14ac:dyDescent="0.2">
      <c r="B157" s="47"/>
      <c r="C157" s="46"/>
      <c r="D157" s="46"/>
      <c r="G157" s="43"/>
      <c r="H157" s="43"/>
      <c r="I157" s="43"/>
      <c r="J157" s="43"/>
      <c r="K157" s="43"/>
      <c r="L157" s="43"/>
    </row>
    <row r="158" spans="2:12" x14ac:dyDescent="0.2">
      <c r="B158" s="47"/>
      <c r="C158" s="46"/>
      <c r="D158" s="46"/>
      <c r="G158" s="43"/>
      <c r="H158" s="43"/>
      <c r="I158" s="43"/>
      <c r="J158" s="43"/>
      <c r="K158" s="43"/>
      <c r="L158" s="43"/>
    </row>
    <row r="159" spans="2:12" x14ac:dyDescent="0.2">
      <c r="B159" s="47"/>
      <c r="C159" s="46"/>
      <c r="D159" s="46"/>
      <c r="G159" s="43"/>
      <c r="H159" s="43"/>
      <c r="I159" s="43"/>
      <c r="J159" s="43"/>
      <c r="K159" s="43"/>
      <c r="L159" s="43"/>
    </row>
    <row r="160" spans="2:12" x14ac:dyDescent="0.2">
      <c r="B160" s="47"/>
      <c r="C160" s="46"/>
      <c r="D160" s="46"/>
      <c r="G160" s="43"/>
      <c r="H160" s="43"/>
      <c r="I160" s="43"/>
      <c r="J160" s="43"/>
      <c r="K160" s="43"/>
      <c r="L160" s="43"/>
    </row>
    <row r="161" spans="2:12" x14ac:dyDescent="0.2">
      <c r="B161" s="47"/>
      <c r="C161" s="46"/>
      <c r="D161" s="46"/>
      <c r="G161" s="43"/>
      <c r="H161" s="43"/>
      <c r="I161" s="43"/>
      <c r="J161" s="43"/>
      <c r="K161" s="43"/>
      <c r="L161" s="43"/>
    </row>
    <row r="162" spans="2:12" x14ac:dyDescent="0.2">
      <c r="B162" s="47"/>
      <c r="C162" s="46"/>
      <c r="D162" s="46"/>
      <c r="G162" s="43"/>
      <c r="H162" s="43"/>
      <c r="I162" s="43"/>
      <c r="J162" s="43"/>
      <c r="K162" s="43"/>
      <c r="L162" s="43"/>
    </row>
    <row r="163" spans="2:12" x14ac:dyDescent="0.2">
      <c r="B163" s="47"/>
      <c r="C163" s="46"/>
      <c r="D163" s="46"/>
      <c r="G163" s="43"/>
      <c r="H163" s="43"/>
      <c r="I163" s="43"/>
      <c r="J163" s="43"/>
      <c r="K163" s="43"/>
      <c r="L163" s="43"/>
    </row>
    <row r="164" spans="2:12" x14ac:dyDescent="0.2">
      <c r="B164" s="47"/>
      <c r="C164" s="46"/>
      <c r="D164" s="46"/>
      <c r="G164" s="43"/>
      <c r="H164" s="43"/>
      <c r="I164" s="43"/>
      <c r="J164" s="43"/>
      <c r="K164" s="43"/>
      <c r="L164" s="43"/>
    </row>
    <row r="165" spans="2:12" x14ac:dyDescent="0.2">
      <c r="B165" s="47"/>
      <c r="C165" s="46"/>
      <c r="D165" s="46"/>
      <c r="G165" s="43"/>
      <c r="H165" s="43"/>
      <c r="I165" s="43"/>
      <c r="J165" s="43"/>
      <c r="K165" s="43"/>
      <c r="L165" s="43"/>
    </row>
    <row r="166" spans="2:12" x14ac:dyDescent="0.2">
      <c r="B166" s="47"/>
      <c r="C166" s="46"/>
      <c r="D166" s="46"/>
      <c r="G166" s="43"/>
      <c r="H166" s="43"/>
      <c r="I166" s="43"/>
      <c r="J166" s="43"/>
      <c r="K166" s="43"/>
      <c r="L166" s="43"/>
    </row>
    <row r="167" spans="2:12" x14ac:dyDescent="0.2">
      <c r="B167" s="47"/>
      <c r="C167" s="46"/>
      <c r="D167" s="46"/>
      <c r="G167" s="43"/>
      <c r="H167" s="43"/>
      <c r="I167" s="43"/>
      <c r="J167" s="43"/>
      <c r="K167" s="43"/>
      <c r="L167" s="43"/>
    </row>
    <row r="168" spans="2:12" x14ac:dyDescent="0.2">
      <c r="B168" s="47"/>
      <c r="C168" s="46"/>
      <c r="D168" s="46"/>
      <c r="G168" s="43"/>
      <c r="H168" s="43"/>
      <c r="I168" s="43"/>
      <c r="J168" s="43"/>
      <c r="K168" s="43"/>
      <c r="L168" s="43"/>
    </row>
    <row r="169" spans="2:12" x14ac:dyDescent="0.2">
      <c r="B169" s="47"/>
      <c r="C169" s="46"/>
      <c r="D169" s="46"/>
      <c r="G169" s="43"/>
      <c r="H169" s="43"/>
      <c r="I169" s="43"/>
      <c r="J169" s="43"/>
      <c r="K169" s="43"/>
      <c r="L169" s="43"/>
    </row>
    <row r="170" spans="2:12" x14ac:dyDescent="0.2">
      <c r="B170" s="47"/>
      <c r="C170" s="46"/>
      <c r="D170" s="46"/>
      <c r="G170" s="43"/>
      <c r="H170" s="43"/>
      <c r="I170" s="43"/>
      <c r="J170" s="43"/>
      <c r="K170" s="43"/>
      <c r="L170" s="43"/>
    </row>
    <row r="171" spans="2:12" x14ac:dyDescent="0.2">
      <c r="B171" s="47"/>
      <c r="C171" s="46"/>
      <c r="D171" s="46"/>
      <c r="G171" s="43"/>
      <c r="H171" s="43"/>
      <c r="I171" s="43"/>
      <c r="J171" s="43"/>
      <c r="K171" s="43"/>
      <c r="L171" s="43"/>
    </row>
    <row r="172" spans="2:12" x14ac:dyDescent="0.2">
      <c r="B172" s="47"/>
      <c r="C172" s="46"/>
      <c r="D172" s="46"/>
      <c r="G172" s="43"/>
      <c r="H172" s="43"/>
      <c r="I172" s="43"/>
      <c r="J172" s="43"/>
      <c r="K172" s="43"/>
      <c r="L172" s="43"/>
    </row>
    <row r="173" spans="2:12" x14ac:dyDescent="0.2">
      <c r="B173" s="47"/>
      <c r="C173" s="46"/>
      <c r="D173" s="46"/>
      <c r="G173" s="43"/>
      <c r="H173" s="43"/>
      <c r="I173" s="43"/>
      <c r="J173" s="43"/>
      <c r="K173" s="43"/>
      <c r="L173" s="43"/>
    </row>
    <row r="174" spans="2:12" x14ac:dyDescent="0.2">
      <c r="B174" s="47"/>
      <c r="C174" s="46"/>
      <c r="D174" s="46"/>
      <c r="G174" s="43"/>
      <c r="H174" s="43"/>
      <c r="I174" s="43"/>
      <c r="J174" s="43"/>
      <c r="K174" s="43"/>
      <c r="L174" s="43"/>
    </row>
    <row r="175" spans="2:12" x14ac:dyDescent="0.2">
      <c r="B175" s="47"/>
      <c r="C175" s="46"/>
      <c r="D175" s="46"/>
      <c r="G175" s="43"/>
      <c r="H175" s="43"/>
      <c r="I175" s="43"/>
      <c r="J175" s="43"/>
      <c r="K175" s="43"/>
      <c r="L175" s="43"/>
    </row>
    <row r="176" spans="2:12" x14ac:dyDescent="0.2">
      <c r="B176" s="47"/>
      <c r="C176" s="46"/>
      <c r="D176" s="46"/>
      <c r="G176" s="43"/>
      <c r="H176" s="43"/>
      <c r="I176" s="43"/>
      <c r="J176" s="43"/>
      <c r="K176" s="43"/>
      <c r="L176" s="43"/>
    </row>
    <row r="177" spans="2:12" x14ac:dyDescent="0.2">
      <c r="B177" s="47"/>
      <c r="C177" s="46"/>
      <c r="D177" s="46"/>
      <c r="G177" s="43"/>
      <c r="H177" s="43"/>
      <c r="I177" s="43"/>
      <c r="J177" s="43"/>
      <c r="K177" s="43"/>
      <c r="L177" s="43"/>
    </row>
    <row r="178" spans="2:12" x14ac:dyDescent="0.2">
      <c r="B178" s="47"/>
      <c r="C178" s="46"/>
      <c r="D178" s="46"/>
      <c r="G178" s="43"/>
      <c r="H178" s="43"/>
      <c r="I178" s="43"/>
      <c r="J178" s="43"/>
      <c r="K178" s="43"/>
      <c r="L178" s="43"/>
    </row>
    <row r="179" spans="2:12" x14ac:dyDescent="0.2">
      <c r="B179" s="47"/>
      <c r="C179" s="46"/>
      <c r="D179" s="46"/>
      <c r="G179" s="43"/>
      <c r="H179" s="43"/>
      <c r="I179" s="43"/>
      <c r="J179" s="43"/>
      <c r="K179" s="43"/>
      <c r="L179" s="43"/>
    </row>
    <row r="180" spans="2:12" x14ac:dyDescent="0.2">
      <c r="B180" s="47"/>
      <c r="C180" s="46"/>
      <c r="D180" s="46"/>
      <c r="G180" s="43"/>
      <c r="H180" s="43"/>
      <c r="I180" s="43"/>
      <c r="J180" s="43"/>
      <c r="K180" s="43"/>
      <c r="L180" s="43"/>
    </row>
    <row r="181" spans="2:12" x14ac:dyDescent="0.2">
      <c r="B181" s="47"/>
      <c r="C181" s="46"/>
      <c r="D181" s="46"/>
      <c r="G181" s="43"/>
      <c r="H181" s="43"/>
      <c r="I181" s="43"/>
      <c r="J181" s="43"/>
      <c r="K181" s="43"/>
      <c r="L181" s="43"/>
    </row>
    <row r="182" spans="2:12" x14ac:dyDescent="0.2">
      <c r="B182" s="47"/>
      <c r="C182" s="46"/>
      <c r="D182" s="46"/>
      <c r="G182" s="43"/>
      <c r="H182" s="43"/>
      <c r="I182" s="43"/>
      <c r="J182" s="43"/>
      <c r="K182" s="43"/>
      <c r="L182" s="43"/>
    </row>
    <row r="183" spans="2:12" x14ac:dyDescent="0.2">
      <c r="B183" s="47"/>
      <c r="C183" s="46"/>
      <c r="D183" s="46"/>
      <c r="G183" s="43"/>
      <c r="H183" s="43"/>
      <c r="I183" s="43"/>
      <c r="J183" s="43"/>
      <c r="K183" s="43"/>
      <c r="L183" s="43"/>
    </row>
    <row r="184" spans="2:12" x14ac:dyDescent="0.2">
      <c r="B184" s="47"/>
      <c r="C184" s="46"/>
      <c r="D184" s="46"/>
      <c r="G184" s="43"/>
      <c r="H184" s="43"/>
      <c r="I184" s="43"/>
      <c r="J184" s="43"/>
      <c r="K184" s="43"/>
      <c r="L184" s="43"/>
    </row>
    <row r="185" spans="2:12" x14ac:dyDescent="0.2">
      <c r="C185" s="46"/>
      <c r="D185" s="46"/>
      <c r="G185" s="43"/>
      <c r="H185" s="43"/>
      <c r="I185" s="43"/>
      <c r="J185" s="43"/>
      <c r="K185" s="43"/>
      <c r="L185" s="43"/>
    </row>
    <row r="186" spans="2:12" x14ac:dyDescent="0.2">
      <c r="C186" s="46"/>
      <c r="D186" s="46"/>
      <c r="G186" s="43"/>
      <c r="H186" s="43"/>
      <c r="I186" s="43"/>
      <c r="J186" s="43"/>
      <c r="K186" s="43"/>
      <c r="L186" s="43"/>
    </row>
    <row r="187" spans="2:12" ht="18" x14ac:dyDescent="0.25">
      <c r="B187" s="112" t="s">
        <v>481</v>
      </c>
      <c r="C187" s="113"/>
      <c r="D187" s="46"/>
      <c r="G187" s="43"/>
      <c r="H187" s="43"/>
      <c r="I187" s="43"/>
      <c r="J187" s="43"/>
      <c r="K187" s="43"/>
      <c r="L187" s="43"/>
    </row>
    <row r="188" spans="2:12" x14ac:dyDescent="0.2">
      <c r="B188" s="47"/>
      <c r="G188" s="43"/>
      <c r="H188" s="43"/>
      <c r="I188" s="43"/>
      <c r="J188" s="43"/>
      <c r="K188" s="43"/>
      <c r="L188" s="43"/>
    </row>
    <row r="189" spans="2:12" ht="15.75" x14ac:dyDescent="0.25">
      <c r="B189" s="2"/>
      <c r="C189" s="41" t="s">
        <v>495</v>
      </c>
      <c r="G189" s="43"/>
      <c r="H189" s="43"/>
      <c r="I189" s="43"/>
      <c r="J189" s="43"/>
      <c r="K189" s="43"/>
      <c r="L189" s="43"/>
    </row>
    <row r="190" spans="2:12" x14ac:dyDescent="0.2">
      <c r="G190" s="43"/>
      <c r="H190" s="43"/>
      <c r="I190" s="43"/>
      <c r="J190" s="43"/>
      <c r="K190" s="43"/>
      <c r="L190" s="43"/>
    </row>
  </sheetData>
  <sheetProtection sheet="1" objects="1" scenarios="1" selectLockedCells="1"/>
  <hyperlinks>
    <hyperlink ref="B73" r:id="rId1" xr:uid="{00000000-0004-0000-0100-000000000000}"/>
    <hyperlink ref="B102" r:id="rId2" xr:uid="{00000000-0004-0000-0100-000001000000}"/>
  </hyperlinks>
  <pageMargins left="0.7" right="0.7" top="0.75" bottom="0.75" header="0.3" footer="0.3"/>
  <pageSetup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4F2C-593F-4742-81CA-CF2B1C2A7B21}">
  <dimension ref="B1:S149"/>
  <sheetViews>
    <sheetView workbookViewId="0">
      <selection activeCell="I13" sqref="I13"/>
    </sheetView>
  </sheetViews>
  <sheetFormatPr defaultRowHeight="15" x14ac:dyDescent="0.25"/>
  <cols>
    <col min="1" max="1" width="6.7109375" customWidth="1"/>
  </cols>
  <sheetData>
    <row r="1" spans="2:10" ht="20.25" x14ac:dyDescent="0.3">
      <c r="B1" s="74" t="s">
        <v>494</v>
      </c>
    </row>
    <row r="4" spans="2:10" ht="18" x14ac:dyDescent="0.25">
      <c r="C4" s="75" t="s">
        <v>486</v>
      </c>
    </row>
    <row r="5" spans="2:10" ht="15.75" x14ac:dyDescent="0.25">
      <c r="C5" s="41"/>
      <c r="G5" s="41"/>
      <c r="H5" s="41"/>
      <c r="I5" s="41"/>
      <c r="J5" s="41"/>
    </row>
    <row r="6" spans="2:10" ht="15.75" x14ac:dyDescent="0.25">
      <c r="C6" s="41"/>
      <c r="F6" s="10" t="s">
        <v>361</v>
      </c>
      <c r="G6" s="45" t="s">
        <v>362</v>
      </c>
      <c r="H6" s="46"/>
      <c r="I6" s="41"/>
      <c r="J6" s="41"/>
    </row>
    <row r="7" spans="2:10" ht="15.75" x14ac:dyDescent="0.25">
      <c r="C7" s="41"/>
      <c r="F7" s="10" t="s">
        <v>363</v>
      </c>
      <c r="G7" s="38" t="s">
        <v>364</v>
      </c>
      <c r="H7" s="7"/>
      <c r="I7" s="41"/>
      <c r="J7" s="41"/>
    </row>
    <row r="9" spans="2:10" ht="15.75" x14ac:dyDescent="0.25">
      <c r="C9" s="2" t="s">
        <v>365</v>
      </c>
      <c r="G9" s="7"/>
      <c r="H9" s="7"/>
      <c r="I9" s="41"/>
      <c r="J9" s="41"/>
    </row>
    <row r="10" spans="2:10" ht="15.75" x14ac:dyDescent="0.25">
      <c r="C10" s="2" t="s">
        <v>366</v>
      </c>
      <c r="G10" s="7"/>
      <c r="H10" s="7"/>
      <c r="I10" s="41"/>
      <c r="J10" s="41"/>
    </row>
    <row r="11" spans="2:10" ht="15.75" x14ac:dyDescent="0.25">
      <c r="C11" s="41"/>
      <c r="F11" s="10" t="s">
        <v>367</v>
      </c>
      <c r="G11" s="7">
        <v>0.27500000000000002</v>
      </c>
      <c r="H11" s="7" t="s">
        <v>23</v>
      </c>
      <c r="I11" s="41" t="s">
        <v>368</v>
      </c>
      <c r="J11" s="41"/>
    </row>
    <row r="12" spans="2:10" ht="15.75" x14ac:dyDescent="0.25">
      <c r="C12" s="41"/>
      <c r="F12" s="10" t="s">
        <v>369</v>
      </c>
      <c r="G12" s="7">
        <v>7.2</v>
      </c>
      <c r="H12" s="7" t="s">
        <v>29</v>
      </c>
      <c r="I12" s="41"/>
      <c r="J12" s="41"/>
    </row>
    <row r="13" spans="2:10" ht="15.75" x14ac:dyDescent="0.25">
      <c r="C13" s="41"/>
      <c r="D13" s="41"/>
      <c r="E13" s="41"/>
      <c r="F13" s="41"/>
      <c r="G13" s="41"/>
      <c r="H13" s="41"/>
      <c r="I13" s="43"/>
    </row>
    <row r="14" spans="2:10" ht="15.75" x14ac:dyDescent="0.25">
      <c r="C14" s="41"/>
      <c r="D14" s="41"/>
      <c r="E14" s="41"/>
      <c r="F14" s="41"/>
      <c r="G14" s="41"/>
      <c r="H14" s="41"/>
      <c r="I14" s="43"/>
    </row>
    <row r="15" spans="2:10" ht="15.75" x14ac:dyDescent="0.25">
      <c r="C15" s="41"/>
      <c r="D15" s="41"/>
      <c r="E15" s="41"/>
      <c r="F15" s="41"/>
      <c r="G15" s="41"/>
      <c r="H15" s="41"/>
      <c r="I15" s="43"/>
    </row>
    <row r="16" spans="2:10" ht="15.75" x14ac:dyDescent="0.25">
      <c r="C16" s="41"/>
      <c r="D16" s="41"/>
      <c r="E16" s="41"/>
      <c r="F16" s="41"/>
      <c r="G16" s="41"/>
      <c r="H16" s="41"/>
      <c r="I16" s="43"/>
    </row>
    <row r="17" spans="3:19" ht="15.75" x14ac:dyDescent="0.25">
      <c r="C17" s="41"/>
      <c r="D17" s="41"/>
      <c r="E17" s="41"/>
      <c r="F17" s="41"/>
      <c r="G17" s="41"/>
      <c r="H17" s="41"/>
      <c r="I17" s="43"/>
    </row>
    <row r="18" spans="3:19" ht="15.75" x14ac:dyDescent="0.25">
      <c r="C18" s="41"/>
      <c r="D18" s="41"/>
      <c r="E18" s="41"/>
      <c r="F18" s="41"/>
      <c r="G18" s="41"/>
      <c r="H18" s="41"/>
      <c r="I18" s="43"/>
      <c r="M18" s="45" t="s">
        <v>445</v>
      </c>
      <c r="N18" s="46"/>
      <c r="O18" s="46"/>
      <c r="P18" s="41"/>
      <c r="Q18" s="41"/>
      <c r="R18" s="41"/>
      <c r="S18" s="43"/>
    </row>
    <row r="19" spans="3:19" ht="16.5" thickBot="1" x14ac:dyDescent="0.3">
      <c r="C19" s="41"/>
      <c r="D19" s="41"/>
      <c r="E19" s="41"/>
      <c r="F19" s="41"/>
      <c r="G19" s="41"/>
      <c r="H19" s="41"/>
      <c r="I19" s="43"/>
      <c r="M19" s="45" t="s">
        <v>446</v>
      </c>
      <c r="N19" s="46"/>
      <c r="O19" s="46"/>
      <c r="P19" s="41"/>
      <c r="Q19" s="41"/>
      <c r="R19" s="41"/>
      <c r="S19" s="43"/>
    </row>
    <row r="20" spans="3:19" ht="16.5" thickBot="1" x14ac:dyDescent="0.3">
      <c r="C20" s="41"/>
      <c r="D20" s="41"/>
      <c r="E20" s="41"/>
      <c r="F20" s="41"/>
      <c r="G20" s="41"/>
      <c r="H20" s="41"/>
      <c r="I20" s="43"/>
      <c r="M20" s="111" t="s">
        <v>447</v>
      </c>
      <c r="N20" s="46"/>
      <c r="O20" s="46"/>
      <c r="P20" s="41"/>
      <c r="Q20" s="41"/>
      <c r="R20" s="41"/>
      <c r="S20" s="43"/>
    </row>
    <row r="21" spans="3:19" ht="15.75" x14ac:dyDescent="0.25">
      <c r="C21" s="41"/>
      <c r="D21" s="41"/>
      <c r="E21" s="41"/>
      <c r="F21" s="41"/>
      <c r="G21" s="41"/>
      <c r="H21" s="41"/>
      <c r="I21" s="43"/>
      <c r="M21" s="45" t="s">
        <v>448</v>
      </c>
      <c r="N21" s="46"/>
      <c r="O21" s="46"/>
      <c r="P21" s="41"/>
      <c r="Q21" s="41"/>
      <c r="S21" s="43"/>
    </row>
    <row r="22" spans="3:19" ht="15.75" x14ac:dyDescent="0.25">
      <c r="C22" s="41"/>
      <c r="D22" s="41"/>
      <c r="E22" s="41"/>
      <c r="F22" s="41"/>
      <c r="G22" s="41"/>
      <c r="H22" s="41"/>
      <c r="I22" s="43"/>
      <c r="M22" s="45" t="s">
        <v>449</v>
      </c>
      <c r="N22" s="46"/>
      <c r="O22" s="46"/>
      <c r="P22" s="41"/>
      <c r="Q22" s="41"/>
      <c r="S22" s="43"/>
    </row>
    <row r="23" spans="3:19" ht="15.75" x14ac:dyDescent="0.25">
      <c r="C23" s="41"/>
      <c r="D23" s="41"/>
      <c r="E23" s="41"/>
      <c r="F23" s="41"/>
      <c r="G23" s="41"/>
      <c r="H23" s="41"/>
      <c r="I23" s="43"/>
      <c r="M23" s="45"/>
      <c r="N23" s="46"/>
      <c r="O23" s="46"/>
      <c r="P23" s="41"/>
      <c r="Q23" s="41"/>
      <c r="S23" s="43"/>
    </row>
    <row r="24" spans="3:19" ht="15.75" x14ac:dyDescent="0.25">
      <c r="C24" s="41"/>
      <c r="D24" s="41"/>
      <c r="E24" s="41"/>
      <c r="F24" s="41"/>
      <c r="G24" s="41"/>
      <c r="H24" s="41"/>
      <c r="I24" s="43"/>
      <c r="M24" s="45" t="s">
        <v>450</v>
      </c>
      <c r="N24" s="46"/>
      <c r="O24" s="46"/>
      <c r="P24" s="41"/>
      <c r="Q24" s="41"/>
      <c r="S24" s="43"/>
    </row>
    <row r="25" spans="3:19" ht="15.75" x14ac:dyDescent="0.25">
      <c r="C25" s="41"/>
      <c r="D25" s="41"/>
      <c r="E25" s="41"/>
      <c r="F25" s="41"/>
      <c r="G25" s="41"/>
      <c r="H25" s="41"/>
      <c r="I25" s="43"/>
      <c r="M25" s="45" t="s">
        <v>451</v>
      </c>
      <c r="N25" s="46"/>
      <c r="O25" s="46"/>
      <c r="P25" s="41"/>
      <c r="Q25" s="41"/>
      <c r="S25" s="43"/>
    </row>
    <row r="26" spans="3:19" ht="15.75" x14ac:dyDescent="0.25">
      <c r="C26" s="41"/>
      <c r="D26" s="41"/>
      <c r="E26" s="41"/>
      <c r="F26" s="41"/>
      <c r="G26" s="41"/>
      <c r="H26" s="41"/>
      <c r="I26" s="43"/>
      <c r="M26" s="45" t="s">
        <v>452</v>
      </c>
      <c r="N26" s="46"/>
      <c r="O26" s="46"/>
      <c r="P26" s="41"/>
      <c r="Q26" s="41"/>
      <c r="S26" s="43"/>
    </row>
    <row r="27" spans="3:19" ht="15.75" x14ac:dyDescent="0.25">
      <c r="C27" s="41"/>
      <c r="D27" s="41"/>
      <c r="E27" s="41"/>
      <c r="F27" s="41"/>
      <c r="G27" s="41"/>
      <c r="H27" s="41"/>
      <c r="I27" s="43"/>
      <c r="M27" s="45"/>
      <c r="N27" s="46"/>
      <c r="O27" s="46"/>
      <c r="P27" s="41"/>
      <c r="Q27" s="41"/>
      <c r="S27" s="43"/>
    </row>
    <row r="28" spans="3:19" ht="15.75" x14ac:dyDescent="0.25">
      <c r="C28" s="41"/>
      <c r="D28" s="41"/>
      <c r="E28" s="41"/>
      <c r="F28" s="41"/>
      <c r="G28" s="41"/>
      <c r="H28" s="41"/>
      <c r="I28" s="43"/>
      <c r="M28" s="45" t="s">
        <v>453</v>
      </c>
      <c r="N28" s="46"/>
      <c r="O28" s="46"/>
      <c r="P28" s="41"/>
      <c r="Q28" s="41"/>
      <c r="S28" s="43"/>
    </row>
    <row r="29" spans="3:19" ht="15.75" x14ac:dyDescent="0.25">
      <c r="C29" s="41"/>
      <c r="D29" s="41"/>
      <c r="E29" s="41"/>
      <c r="F29" s="41"/>
      <c r="G29" s="41"/>
      <c r="H29" s="41"/>
      <c r="I29" s="43"/>
      <c r="M29" s="45" t="s">
        <v>454</v>
      </c>
      <c r="N29" s="46"/>
      <c r="O29" s="46"/>
      <c r="P29" s="41"/>
      <c r="Q29" s="41"/>
      <c r="S29" s="43"/>
    </row>
    <row r="30" spans="3:19" ht="15.75" x14ac:dyDescent="0.25">
      <c r="C30" s="41"/>
      <c r="D30" s="41"/>
      <c r="E30" s="41"/>
      <c r="F30" s="41"/>
      <c r="G30" s="41"/>
      <c r="H30" s="41"/>
      <c r="I30" s="43"/>
      <c r="M30" s="45" t="s">
        <v>455</v>
      </c>
      <c r="N30" s="46"/>
      <c r="O30" s="46"/>
      <c r="P30" s="41"/>
      <c r="Q30" s="41"/>
      <c r="S30" s="43"/>
    </row>
    <row r="31" spans="3:19" ht="15.75" x14ac:dyDescent="0.25">
      <c r="C31" s="41"/>
      <c r="D31" s="41"/>
      <c r="E31" s="41"/>
      <c r="F31" s="41"/>
      <c r="G31" s="41"/>
      <c r="H31" s="41"/>
      <c r="I31" s="43"/>
      <c r="M31" s="47"/>
      <c r="N31" s="46"/>
      <c r="O31" s="46"/>
      <c r="P31" s="41"/>
      <c r="Q31" s="41"/>
      <c r="S31" s="43"/>
    </row>
    <row r="32" spans="3:19" ht="15.75" x14ac:dyDescent="0.25">
      <c r="C32" s="41"/>
      <c r="D32" s="41"/>
      <c r="E32" s="41"/>
      <c r="F32" s="41"/>
      <c r="G32" s="41"/>
      <c r="H32" s="41"/>
      <c r="I32" s="43"/>
      <c r="S32" s="43"/>
    </row>
    <row r="33" spans="2:19" ht="15.75" x14ac:dyDescent="0.25">
      <c r="C33" s="41"/>
      <c r="D33" s="41"/>
      <c r="E33" s="41"/>
      <c r="F33" s="41"/>
      <c r="G33" s="41"/>
      <c r="H33" s="41"/>
      <c r="I33" s="43"/>
      <c r="S33" s="43"/>
    </row>
    <row r="34" spans="2:19" ht="15.75" x14ac:dyDescent="0.25">
      <c r="C34" s="41"/>
      <c r="D34" s="41"/>
      <c r="E34" s="41"/>
      <c r="F34" s="41"/>
      <c r="G34" s="41"/>
      <c r="H34" s="41"/>
      <c r="I34" s="43"/>
      <c r="S34" s="43"/>
    </row>
    <row r="35" spans="2:19" ht="15.75" x14ac:dyDescent="0.25">
      <c r="C35" s="41"/>
      <c r="D35" s="41"/>
      <c r="E35" s="41"/>
      <c r="F35" s="41"/>
      <c r="G35" s="41"/>
      <c r="H35" s="41"/>
      <c r="I35" s="43"/>
    </row>
    <row r="36" spans="2:19" ht="15.75" x14ac:dyDescent="0.25">
      <c r="C36" s="41"/>
      <c r="D36" s="41"/>
      <c r="E36" s="41"/>
      <c r="F36" s="41"/>
      <c r="G36" s="41"/>
      <c r="H36" s="41"/>
      <c r="I36" s="43"/>
    </row>
    <row r="37" spans="2:19" ht="15.75" x14ac:dyDescent="0.25">
      <c r="C37" s="41"/>
      <c r="D37" s="41"/>
      <c r="E37" s="41"/>
      <c r="F37" s="41"/>
      <c r="G37" s="41"/>
      <c r="H37" s="41"/>
      <c r="I37" s="43"/>
    </row>
    <row r="38" spans="2:19" ht="15.75" x14ac:dyDescent="0.25">
      <c r="C38" s="41"/>
      <c r="D38" s="41"/>
      <c r="E38" s="41"/>
      <c r="F38" s="41"/>
      <c r="G38" s="41"/>
      <c r="H38" s="41"/>
      <c r="I38" s="43"/>
    </row>
    <row r="39" spans="2:19" ht="15.75" x14ac:dyDescent="0.25">
      <c r="C39" s="41"/>
      <c r="D39" s="41"/>
      <c r="E39" s="41"/>
      <c r="F39" s="41"/>
      <c r="G39" s="41"/>
      <c r="H39" s="41"/>
      <c r="I39" s="43"/>
    </row>
    <row r="40" spans="2:19" ht="15.75" x14ac:dyDescent="0.25">
      <c r="C40" s="41"/>
      <c r="D40" s="41"/>
      <c r="E40" s="41"/>
      <c r="F40" s="41"/>
      <c r="G40" s="41"/>
      <c r="H40" s="41"/>
      <c r="I40" s="43"/>
    </row>
    <row r="41" spans="2:19" ht="15.75" x14ac:dyDescent="0.25">
      <c r="C41" s="41"/>
      <c r="D41" s="41"/>
      <c r="E41" s="41"/>
      <c r="F41" s="41"/>
      <c r="G41" s="41"/>
      <c r="H41" s="41"/>
      <c r="I41" s="43"/>
    </row>
    <row r="42" spans="2:19" ht="15.75" x14ac:dyDescent="0.25">
      <c r="C42" s="41"/>
      <c r="D42" s="41"/>
      <c r="E42" s="41"/>
      <c r="F42" s="41"/>
      <c r="G42" s="41"/>
      <c r="H42" s="41"/>
      <c r="I42" s="43"/>
    </row>
    <row r="43" spans="2:19" ht="15.75" x14ac:dyDescent="0.25">
      <c r="C43" s="41"/>
      <c r="D43" s="41"/>
      <c r="E43" s="41"/>
      <c r="F43" s="41"/>
      <c r="G43" s="41"/>
      <c r="H43" s="41"/>
      <c r="I43" s="43"/>
    </row>
    <row r="44" spans="2:19" ht="15.75" x14ac:dyDescent="0.25">
      <c r="C44" s="41"/>
      <c r="D44" s="41"/>
      <c r="E44" s="41"/>
      <c r="F44" s="41"/>
      <c r="G44" s="41"/>
      <c r="H44" s="41"/>
      <c r="I44" s="43"/>
    </row>
    <row r="45" spans="2:19" ht="15.75" x14ac:dyDescent="0.25">
      <c r="C45" s="41"/>
      <c r="D45" s="41"/>
      <c r="E45" s="41"/>
      <c r="F45" s="41"/>
      <c r="G45" s="41"/>
      <c r="H45" s="41"/>
      <c r="I45" s="43"/>
    </row>
    <row r="46" spans="2:19" ht="15.75" x14ac:dyDescent="0.25">
      <c r="C46" s="41"/>
      <c r="D46" s="41"/>
      <c r="E46" s="41"/>
      <c r="F46" s="41"/>
      <c r="G46" s="41"/>
      <c r="H46" s="41"/>
      <c r="I46" s="43"/>
    </row>
    <row r="47" spans="2:19" ht="15.75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</row>
    <row r="48" spans="2:19" ht="15.75" x14ac:dyDescent="0.25">
      <c r="C48" s="41"/>
      <c r="D48" s="41"/>
      <c r="E48" s="41"/>
      <c r="F48" s="41"/>
      <c r="G48" s="41"/>
      <c r="H48" s="41"/>
      <c r="I48" s="43"/>
    </row>
    <row r="49" spans="3:16" ht="15.75" x14ac:dyDescent="0.25">
      <c r="C49" s="41"/>
      <c r="D49" s="41"/>
      <c r="E49" s="41"/>
      <c r="F49" s="41"/>
      <c r="G49" s="41"/>
      <c r="H49" s="41"/>
      <c r="I49" s="43"/>
    </row>
    <row r="50" spans="3:16" ht="15.75" x14ac:dyDescent="0.25">
      <c r="C50" s="41"/>
      <c r="D50" s="41"/>
      <c r="E50" s="41"/>
      <c r="F50" s="41"/>
      <c r="G50" s="41"/>
      <c r="H50" s="41"/>
      <c r="I50" s="43"/>
    </row>
    <row r="51" spans="3:16" ht="15.75" x14ac:dyDescent="0.25">
      <c r="C51" s="41"/>
      <c r="D51" s="41"/>
      <c r="E51" s="41"/>
      <c r="F51" s="41"/>
      <c r="G51" s="41"/>
      <c r="H51" s="41"/>
      <c r="I51" s="43"/>
    </row>
    <row r="52" spans="3:16" ht="15.75" x14ac:dyDescent="0.25">
      <c r="C52" s="41"/>
      <c r="D52" s="41"/>
      <c r="E52" s="41"/>
      <c r="F52" s="41"/>
      <c r="G52" s="41"/>
      <c r="H52" s="41"/>
      <c r="I52" s="43"/>
    </row>
    <row r="53" spans="3:16" ht="15.75" x14ac:dyDescent="0.25">
      <c r="C53" s="41"/>
      <c r="D53" s="41"/>
      <c r="E53" s="41"/>
      <c r="F53" s="41"/>
      <c r="G53" s="41"/>
      <c r="H53" s="41"/>
      <c r="I53" s="43"/>
    </row>
    <row r="54" spans="3:16" ht="18" x14ac:dyDescent="0.25">
      <c r="C54" s="41"/>
      <c r="D54" s="41"/>
      <c r="E54" s="41"/>
      <c r="F54" s="41"/>
      <c r="G54" s="41"/>
      <c r="H54" s="41"/>
      <c r="I54" s="43"/>
      <c r="O54" s="112" t="s">
        <v>481</v>
      </c>
      <c r="P54" s="113"/>
    </row>
    <row r="55" spans="3:16" ht="15.75" x14ac:dyDescent="0.25">
      <c r="C55" s="41"/>
      <c r="D55" s="47"/>
      <c r="E55" s="46"/>
      <c r="F55" s="46"/>
      <c r="G55" s="41"/>
      <c r="H55" s="41"/>
      <c r="I55" s="43"/>
    </row>
    <row r="56" spans="3:16" ht="15.75" x14ac:dyDescent="0.25">
      <c r="C56" s="41"/>
      <c r="D56" s="47"/>
      <c r="E56" s="46"/>
      <c r="F56" s="46"/>
      <c r="G56" s="41"/>
      <c r="H56" s="41"/>
      <c r="I56" s="43"/>
    </row>
    <row r="57" spans="3:16" ht="15.75" x14ac:dyDescent="0.25">
      <c r="C57" s="41"/>
      <c r="D57" s="47"/>
      <c r="E57" s="46"/>
      <c r="F57" s="46"/>
      <c r="G57" s="41"/>
      <c r="H57" s="7" t="s">
        <v>0</v>
      </c>
      <c r="I57" s="43"/>
    </row>
    <row r="58" spans="3:16" ht="15.75" x14ac:dyDescent="0.25">
      <c r="C58" s="41"/>
      <c r="D58" s="47"/>
      <c r="E58" s="46"/>
      <c r="F58" s="46"/>
      <c r="G58" s="41"/>
      <c r="H58" s="41"/>
      <c r="I58" s="43"/>
    </row>
    <row r="59" spans="3:16" ht="15.75" x14ac:dyDescent="0.25">
      <c r="C59" s="41"/>
      <c r="D59" s="47"/>
      <c r="E59" s="46"/>
      <c r="F59" s="46"/>
      <c r="G59" s="41"/>
      <c r="H59" s="41"/>
      <c r="I59" s="43"/>
    </row>
    <row r="60" spans="3:16" ht="15.75" x14ac:dyDescent="0.25">
      <c r="C60" s="41"/>
      <c r="D60" s="47"/>
      <c r="E60" s="46"/>
      <c r="F60" s="46"/>
      <c r="G60" s="41"/>
      <c r="H60" s="41"/>
      <c r="I60" s="43"/>
    </row>
    <row r="61" spans="3:16" ht="15.75" x14ac:dyDescent="0.25">
      <c r="C61" s="41"/>
      <c r="D61" s="47"/>
      <c r="E61" s="46"/>
      <c r="F61" s="46"/>
      <c r="G61" s="41"/>
      <c r="H61" s="41"/>
      <c r="I61" s="43"/>
    </row>
    <row r="62" spans="3:16" ht="15.75" x14ac:dyDescent="0.25">
      <c r="C62" s="41"/>
      <c r="D62" s="47"/>
      <c r="E62" s="46"/>
      <c r="F62" s="46"/>
      <c r="G62" s="41"/>
      <c r="H62" s="41"/>
      <c r="I62" s="43"/>
    </row>
    <row r="63" spans="3:16" ht="15.75" x14ac:dyDescent="0.25">
      <c r="C63" s="41"/>
      <c r="D63" s="47"/>
      <c r="E63" s="46"/>
      <c r="F63" s="46"/>
      <c r="G63" s="41"/>
      <c r="H63" s="41"/>
      <c r="I63" s="43"/>
    </row>
    <row r="64" spans="3:16" ht="15.75" x14ac:dyDescent="0.25">
      <c r="C64" s="41"/>
      <c r="D64" s="47"/>
      <c r="E64" s="46"/>
      <c r="F64" s="46"/>
      <c r="G64" s="41"/>
      <c r="H64" s="41"/>
      <c r="I64" s="43"/>
    </row>
    <row r="65" spans="3:9" ht="15.75" x14ac:dyDescent="0.25">
      <c r="C65" s="41"/>
      <c r="D65" s="47"/>
      <c r="E65" s="46"/>
      <c r="F65" s="46"/>
      <c r="G65" s="41"/>
      <c r="H65" s="41"/>
      <c r="I65" s="43"/>
    </row>
    <row r="66" spans="3:9" ht="15.75" x14ac:dyDescent="0.25">
      <c r="C66" s="41"/>
      <c r="D66" s="47"/>
      <c r="E66" s="46"/>
      <c r="F66" s="46"/>
      <c r="G66" s="41"/>
      <c r="H66" s="41"/>
      <c r="I66" s="43"/>
    </row>
    <row r="67" spans="3:9" ht="15.75" x14ac:dyDescent="0.25">
      <c r="C67" s="41"/>
      <c r="D67" s="47"/>
      <c r="E67" s="46"/>
      <c r="F67" s="46"/>
      <c r="G67" s="41"/>
      <c r="H67" s="41"/>
      <c r="I67" s="43"/>
    </row>
    <row r="68" spans="3:9" ht="15.75" x14ac:dyDescent="0.25">
      <c r="C68" s="41"/>
      <c r="D68" s="47"/>
      <c r="E68" s="46"/>
      <c r="F68" s="46"/>
      <c r="G68" s="41"/>
      <c r="H68" s="41"/>
      <c r="I68" s="43"/>
    </row>
    <row r="69" spans="3:9" ht="15.75" x14ac:dyDescent="0.25">
      <c r="C69" s="41"/>
      <c r="D69" s="47"/>
      <c r="E69" s="46"/>
      <c r="F69" s="46"/>
      <c r="G69" s="41"/>
      <c r="H69" s="41"/>
      <c r="I69" s="43"/>
    </row>
    <row r="70" spans="3:9" ht="15.75" x14ac:dyDescent="0.25">
      <c r="C70" s="41"/>
      <c r="D70" s="47"/>
      <c r="E70" s="46"/>
      <c r="F70" s="46"/>
      <c r="G70" s="41"/>
      <c r="H70" s="41"/>
      <c r="I70" s="43"/>
    </row>
    <row r="71" spans="3:9" ht="15.75" x14ac:dyDescent="0.25">
      <c r="C71" s="41"/>
      <c r="D71" s="47"/>
      <c r="E71" s="46"/>
      <c r="F71" s="46"/>
      <c r="G71" s="41"/>
      <c r="H71" s="41"/>
      <c r="I71" s="43"/>
    </row>
    <row r="72" spans="3:9" ht="15.75" x14ac:dyDescent="0.25">
      <c r="C72" s="41"/>
      <c r="D72" s="47"/>
      <c r="E72" s="46"/>
      <c r="F72" s="46"/>
      <c r="G72" s="41"/>
      <c r="H72" s="41"/>
      <c r="I72" s="43"/>
    </row>
    <row r="73" spans="3:9" ht="15.75" x14ac:dyDescent="0.25">
      <c r="C73" s="41"/>
      <c r="D73" s="47"/>
      <c r="E73" s="46"/>
      <c r="F73" s="46"/>
      <c r="G73" s="7" t="s">
        <v>0</v>
      </c>
      <c r="H73" s="41"/>
      <c r="I73" s="43"/>
    </row>
    <row r="74" spans="3:9" ht="15.75" x14ac:dyDescent="0.25">
      <c r="C74" s="41"/>
      <c r="D74" s="47"/>
      <c r="E74" s="46"/>
      <c r="F74" s="46"/>
      <c r="G74" s="41"/>
      <c r="H74" s="41"/>
      <c r="I74" s="43"/>
    </row>
    <row r="75" spans="3:9" ht="15.75" x14ac:dyDescent="0.25">
      <c r="C75" s="41"/>
      <c r="D75" s="47"/>
      <c r="E75" s="46"/>
      <c r="F75" s="46"/>
      <c r="G75" s="41"/>
      <c r="H75" s="41"/>
      <c r="I75" s="43"/>
    </row>
    <row r="76" spans="3:9" ht="15.75" x14ac:dyDescent="0.25">
      <c r="C76" s="41"/>
      <c r="D76" s="47"/>
      <c r="E76" s="46"/>
      <c r="F76" s="46"/>
      <c r="G76" s="41"/>
      <c r="H76" s="41"/>
      <c r="I76" s="43"/>
    </row>
    <row r="77" spans="3:9" ht="15.75" x14ac:dyDescent="0.25">
      <c r="C77" s="41"/>
      <c r="D77" s="47"/>
      <c r="E77" s="46"/>
      <c r="F77" s="46"/>
      <c r="G77" s="41"/>
      <c r="H77" s="41"/>
      <c r="I77" s="43"/>
    </row>
    <row r="78" spans="3:9" ht="15.75" x14ac:dyDescent="0.25">
      <c r="C78" s="41"/>
      <c r="D78" s="47"/>
      <c r="E78" s="46"/>
      <c r="F78" s="46"/>
      <c r="G78" s="41"/>
      <c r="H78" s="41"/>
      <c r="I78" s="43"/>
    </row>
    <row r="79" spans="3:9" ht="15.75" x14ac:dyDescent="0.25">
      <c r="C79" s="41"/>
      <c r="D79" s="47"/>
      <c r="E79" s="46"/>
      <c r="F79" s="46"/>
      <c r="G79" s="41"/>
      <c r="H79" s="41"/>
      <c r="I79" s="43"/>
    </row>
    <row r="80" spans="3:9" ht="15.75" x14ac:dyDescent="0.25">
      <c r="C80" s="41"/>
      <c r="D80" s="47"/>
      <c r="E80" s="46"/>
      <c r="F80" s="46"/>
      <c r="G80" s="41"/>
      <c r="H80" s="41"/>
      <c r="I80" s="43"/>
    </row>
    <row r="81" spans="3:9" ht="15.75" x14ac:dyDescent="0.25">
      <c r="C81" s="41"/>
      <c r="D81" s="47"/>
      <c r="E81" s="46"/>
      <c r="F81" s="46"/>
      <c r="G81" s="41"/>
      <c r="H81" s="41"/>
      <c r="I81" s="43"/>
    </row>
    <row r="82" spans="3:9" ht="15.75" x14ac:dyDescent="0.25">
      <c r="C82" s="41"/>
      <c r="D82" s="47"/>
      <c r="E82" s="46"/>
      <c r="F82" s="46"/>
      <c r="G82" s="41"/>
      <c r="H82" s="41"/>
      <c r="I82" s="43"/>
    </row>
    <row r="83" spans="3:9" ht="15.75" x14ac:dyDescent="0.25">
      <c r="C83" s="41"/>
      <c r="D83" s="47"/>
      <c r="E83" s="46"/>
      <c r="F83" s="46"/>
      <c r="G83" s="41"/>
      <c r="H83" s="41"/>
      <c r="I83" s="43"/>
    </row>
    <row r="84" spans="3:9" ht="15.75" x14ac:dyDescent="0.25">
      <c r="C84" s="41"/>
      <c r="D84" s="47"/>
      <c r="E84" s="46"/>
      <c r="F84" s="46"/>
      <c r="G84" s="41"/>
      <c r="H84" s="41"/>
      <c r="I84" s="43"/>
    </row>
    <row r="85" spans="3:9" ht="15.75" x14ac:dyDescent="0.25">
      <c r="C85" s="41"/>
      <c r="D85" s="47"/>
      <c r="E85" s="46"/>
      <c r="F85" s="46"/>
      <c r="G85" s="41"/>
      <c r="H85" s="41"/>
      <c r="I85" s="43"/>
    </row>
    <row r="86" spans="3:9" ht="15.75" x14ac:dyDescent="0.25">
      <c r="C86" s="41"/>
      <c r="D86" s="47"/>
      <c r="E86" s="46"/>
      <c r="F86" s="46"/>
      <c r="G86" s="41"/>
      <c r="H86" s="41"/>
      <c r="I86" s="43"/>
    </row>
    <row r="87" spans="3:9" ht="15.75" x14ac:dyDescent="0.25">
      <c r="G87" s="41" t="s">
        <v>0</v>
      </c>
      <c r="H87" s="41"/>
      <c r="I87" s="43"/>
    </row>
    <row r="88" spans="3:9" ht="15.75" x14ac:dyDescent="0.25">
      <c r="C88" s="41"/>
      <c r="D88" s="45" t="s">
        <v>370</v>
      </c>
      <c r="E88" s="46"/>
      <c r="F88" s="39"/>
      <c r="G88" s="41"/>
      <c r="H88" s="41"/>
      <c r="I88" s="43"/>
    </row>
    <row r="89" spans="3:9" ht="15.75" x14ac:dyDescent="0.25">
      <c r="D89" s="3"/>
      <c r="E89" s="45"/>
      <c r="F89" s="40" t="s">
        <v>371</v>
      </c>
    </row>
    <row r="91" spans="3:9" ht="15.75" x14ac:dyDescent="0.25">
      <c r="C91" s="41"/>
      <c r="D91" s="45" t="s">
        <v>372</v>
      </c>
      <c r="E91" s="46"/>
      <c r="F91" s="46"/>
      <c r="G91" s="41"/>
      <c r="H91" s="41"/>
      <c r="I91" s="43"/>
    </row>
    <row r="92" spans="3:9" ht="15.75" x14ac:dyDescent="0.25">
      <c r="C92" s="41"/>
      <c r="D92" s="45" t="s">
        <v>373</v>
      </c>
      <c r="E92" s="46"/>
      <c r="F92" s="46"/>
      <c r="G92" s="41"/>
      <c r="H92" s="41"/>
      <c r="I92" s="43"/>
    </row>
    <row r="93" spans="3:9" ht="15.75" x14ac:dyDescent="0.25">
      <c r="C93" s="41"/>
      <c r="D93" s="45" t="s">
        <v>374</v>
      </c>
      <c r="E93" s="46"/>
      <c r="F93" s="46"/>
      <c r="G93" s="41"/>
      <c r="H93" s="41"/>
      <c r="I93" s="43"/>
    </row>
    <row r="94" spans="3:9" ht="15.75" x14ac:dyDescent="0.25">
      <c r="C94" s="41"/>
      <c r="D94" s="45" t="s">
        <v>375</v>
      </c>
      <c r="E94" s="46"/>
      <c r="F94" s="46"/>
      <c r="G94" s="41"/>
      <c r="H94" s="41"/>
      <c r="I94" s="43"/>
    </row>
    <row r="95" spans="3:9" ht="15.75" x14ac:dyDescent="0.25">
      <c r="C95" s="41"/>
      <c r="D95" s="45" t="s">
        <v>376</v>
      </c>
      <c r="E95" s="46"/>
      <c r="F95" s="46"/>
      <c r="G95" s="41"/>
      <c r="H95" s="41"/>
      <c r="I95" s="43"/>
    </row>
    <row r="96" spans="3:9" ht="15.75" x14ac:dyDescent="0.25">
      <c r="C96" s="41"/>
      <c r="D96" s="45" t="s">
        <v>377</v>
      </c>
      <c r="E96" s="46"/>
      <c r="F96" s="46"/>
      <c r="G96" s="41"/>
      <c r="H96" s="41"/>
      <c r="I96" s="43"/>
    </row>
    <row r="97" spans="3:9" ht="15.75" x14ac:dyDescent="0.25">
      <c r="C97" s="41"/>
      <c r="D97" s="41"/>
      <c r="E97" s="46"/>
      <c r="F97" s="46"/>
      <c r="G97" s="41"/>
      <c r="H97" s="41"/>
      <c r="I97" s="43"/>
    </row>
    <row r="98" spans="3:9" ht="15.75" x14ac:dyDescent="0.25">
      <c r="C98" s="41"/>
      <c r="D98" s="2"/>
      <c r="E98" s="46"/>
      <c r="F98" s="46"/>
      <c r="G98" s="41"/>
      <c r="H98" s="41"/>
      <c r="I98" s="43"/>
    </row>
    <row r="99" spans="3:9" ht="15.75" x14ac:dyDescent="0.25">
      <c r="C99" s="41"/>
      <c r="D99" s="41"/>
      <c r="E99" s="41"/>
      <c r="F99" s="41"/>
      <c r="G99" s="41"/>
      <c r="H99" s="41"/>
      <c r="I99" s="43"/>
    </row>
    <row r="100" spans="3:9" ht="15.75" x14ac:dyDescent="0.25">
      <c r="C100" s="41"/>
      <c r="D100" s="41"/>
      <c r="E100" s="41"/>
      <c r="F100" s="41"/>
      <c r="G100" s="41"/>
      <c r="H100" s="41"/>
      <c r="I100" s="43"/>
    </row>
    <row r="101" spans="3:9" ht="15.75" x14ac:dyDescent="0.25">
      <c r="C101" s="41"/>
      <c r="D101" s="41"/>
      <c r="E101" s="41"/>
      <c r="F101" s="41"/>
      <c r="G101" s="41"/>
      <c r="H101" s="41"/>
      <c r="I101" s="43"/>
    </row>
    <row r="102" spans="3:9" ht="15.75" x14ac:dyDescent="0.25">
      <c r="C102" s="41"/>
      <c r="D102" s="41"/>
      <c r="E102" s="41"/>
      <c r="F102" s="41"/>
      <c r="G102" s="41"/>
      <c r="H102" s="41"/>
      <c r="I102" s="43"/>
    </row>
    <row r="103" spans="3:9" ht="15.75" x14ac:dyDescent="0.25">
      <c r="C103" s="41"/>
      <c r="D103" s="41"/>
      <c r="E103" s="41"/>
      <c r="F103" s="41"/>
      <c r="G103" s="41"/>
      <c r="H103" s="41"/>
      <c r="I103" s="43"/>
    </row>
    <row r="104" spans="3:9" ht="15.75" x14ac:dyDescent="0.25">
      <c r="C104" s="41"/>
      <c r="D104" s="41"/>
      <c r="E104" s="41"/>
      <c r="F104" s="41"/>
      <c r="G104" s="41"/>
      <c r="H104" s="41"/>
      <c r="I104" s="43"/>
    </row>
    <row r="105" spans="3:9" ht="15.75" x14ac:dyDescent="0.25">
      <c r="C105" s="41"/>
      <c r="D105" s="41"/>
      <c r="E105" s="41"/>
      <c r="F105" s="41"/>
      <c r="G105" s="41"/>
      <c r="H105" s="41"/>
      <c r="I105" s="43"/>
    </row>
    <row r="106" spans="3:9" ht="15.75" x14ac:dyDescent="0.25">
      <c r="C106" s="41"/>
      <c r="D106" s="41"/>
      <c r="E106" s="41"/>
      <c r="F106" s="41"/>
      <c r="G106" s="41"/>
      <c r="H106" s="41"/>
      <c r="I106" s="43"/>
    </row>
    <row r="107" spans="3:9" ht="15.75" x14ac:dyDescent="0.25">
      <c r="C107" s="41"/>
      <c r="D107" s="41"/>
      <c r="E107" s="41"/>
      <c r="F107" s="41"/>
      <c r="G107" s="41"/>
      <c r="H107" s="41"/>
      <c r="I107" s="43"/>
    </row>
    <row r="108" spans="3:9" ht="15.75" x14ac:dyDescent="0.25">
      <c r="C108" s="41"/>
      <c r="D108" s="41"/>
      <c r="E108" s="41"/>
      <c r="F108" s="41"/>
      <c r="G108" s="41"/>
      <c r="H108" s="41"/>
      <c r="I108" s="43"/>
    </row>
    <row r="109" spans="3:9" ht="15.75" x14ac:dyDescent="0.25">
      <c r="C109" s="41"/>
      <c r="D109" s="41"/>
      <c r="E109" s="41"/>
      <c r="F109" s="41"/>
      <c r="G109" s="41"/>
      <c r="H109" s="41"/>
      <c r="I109" s="43"/>
    </row>
    <row r="110" spans="3:9" ht="15.75" x14ac:dyDescent="0.25">
      <c r="C110" s="41"/>
      <c r="D110" s="41"/>
      <c r="E110" s="41"/>
      <c r="F110" s="41"/>
      <c r="G110" s="41"/>
      <c r="H110" s="41"/>
      <c r="I110" s="43"/>
    </row>
    <row r="111" spans="3:9" ht="15.75" x14ac:dyDescent="0.25">
      <c r="C111" s="41"/>
      <c r="D111" s="41"/>
      <c r="E111" s="41"/>
      <c r="F111" s="41"/>
      <c r="G111" s="41"/>
      <c r="H111" s="41"/>
      <c r="I111" s="43"/>
    </row>
    <row r="112" spans="3:9" ht="15.75" x14ac:dyDescent="0.25">
      <c r="C112" s="41"/>
      <c r="D112" s="41"/>
      <c r="E112" s="41"/>
      <c r="F112" s="41"/>
      <c r="G112" s="41"/>
      <c r="H112" s="7" t="s">
        <v>0</v>
      </c>
      <c r="I112" s="43"/>
    </row>
    <row r="113" spans="3:9" ht="15.75" x14ac:dyDescent="0.25">
      <c r="C113" s="41"/>
      <c r="D113" s="47"/>
      <c r="E113" s="46"/>
      <c r="F113" s="46"/>
      <c r="G113" s="41"/>
      <c r="H113" s="41"/>
      <c r="I113" s="43"/>
    </row>
    <row r="114" spans="3:9" ht="15.75" x14ac:dyDescent="0.25">
      <c r="C114" s="41"/>
      <c r="D114" s="47"/>
      <c r="E114" s="46"/>
      <c r="F114" s="46"/>
      <c r="G114" s="41"/>
      <c r="H114" s="41"/>
      <c r="I114" s="43"/>
    </row>
    <row r="115" spans="3:9" ht="15.75" x14ac:dyDescent="0.25">
      <c r="C115" s="41"/>
      <c r="D115" s="47"/>
      <c r="E115" s="46"/>
      <c r="F115" s="46"/>
      <c r="G115" s="41"/>
      <c r="H115" s="41"/>
      <c r="I115" s="43"/>
    </row>
    <row r="116" spans="3:9" ht="15.75" x14ac:dyDescent="0.25">
      <c r="C116" s="41"/>
      <c r="D116" s="47"/>
      <c r="E116" s="46"/>
      <c r="F116" s="46"/>
      <c r="G116" s="41"/>
      <c r="H116" s="41"/>
      <c r="I116" s="43"/>
    </row>
    <row r="117" spans="3:9" ht="15.75" x14ac:dyDescent="0.25">
      <c r="C117" s="41"/>
      <c r="D117" s="47"/>
      <c r="E117" s="46"/>
      <c r="F117" s="46"/>
      <c r="G117" s="41"/>
      <c r="H117" s="41"/>
      <c r="I117" s="43"/>
    </row>
    <row r="118" spans="3:9" ht="15.75" x14ac:dyDescent="0.25">
      <c r="C118" s="41"/>
      <c r="D118" s="47"/>
      <c r="E118" s="46"/>
      <c r="F118" s="46"/>
      <c r="G118" s="41"/>
      <c r="H118" s="41"/>
      <c r="I118" s="43"/>
    </row>
    <row r="119" spans="3:9" ht="15.75" x14ac:dyDescent="0.25">
      <c r="C119" s="41"/>
      <c r="D119" s="47"/>
      <c r="E119" s="46"/>
      <c r="F119" s="46"/>
      <c r="G119" s="41"/>
      <c r="H119" s="41"/>
      <c r="I119" s="43"/>
    </row>
    <row r="120" spans="3:9" ht="15.75" x14ac:dyDescent="0.25">
      <c r="C120" s="41"/>
      <c r="D120" s="47"/>
      <c r="E120" s="46"/>
      <c r="F120" s="46"/>
      <c r="G120" s="41"/>
      <c r="H120" s="41"/>
      <c r="I120" s="43"/>
    </row>
    <row r="121" spans="3:9" ht="15.75" x14ac:dyDescent="0.25">
      <c r="C121" s="41"/>
      <c r="D121" s="45" t="s">
        <v>378</v>
      </c>
      <c r="E121" s="46"/>
      <c r="F121" s="46"/>
      <c r="G121" s="41"/>
      <c r="H121" s="41"/>
      <c r="I121" s="43"/>
    </row>
    <row r="122" spans="3:9" ht="15.75" x14ac:dyDescent="0.25">
      <c r="C122" s="41"/>
      <c r="D122" s="47"/>
      <c r="E122" s="46"/>
      <c r="F122" s="46"/>
      <c r="G122" s="41"/>
      <c r="H122" s="41"/>
      <c r="I122" s="43"/>
    </row>
    <row r="123" spans="3:9" ht="15.75" x14ac:dyDescent="0.25">
      <c r="C123" s="41"/>
      <c r="D123" s="47"/>
      <c r="E123" s="46"/>
      <c r="F123" s="46"/>
      <c r="G123" s="41"/>
      <c r="H123" s="41"/>
      <c r="I123" s="43"/>
    </row>
    <row r="124" spans="3:9" ht="15.75" x14ac:dyDescent="0.25">
      <c r="C124" s="41"/>
      <c r="D124" s="47"/>
      <c r="E124" s="46"/>
      <c r="F124" s="46"/>
      <c r="G124" s="41"/>
      <c r="H124" s="41"/>
      <c r="I124" s="43"/>
    </row>
    <row r="125" spans="3:9" ht="15.75" x14ac:dyDescent="0.25">
      <c r="C125" s="41"/>
      <c r="D125" s="47"/>
      <c r="E125" s="46"/>
      <c r="F125" s="46"/>
      <c r="G125" s="41"/>
      <c r="H125" s="41"/>
      <c r="I125" s="43"/>
    </row>
    <row r="126" spans="3:9" ht="15.75" x14ac:dyDescent="0.25">
      <c r="C126" s="41"/>
      <c r="D126" s="47"/>
      <c r="E126" s="46"/>
      <c r="F126" s="46"/>
      <c r="G126" s="41"/>
      <c r="H126" s="41"/>
      <c r="I126" s="43"/>
    </row>
    <row r="127" spans="3:9" ht="15.75" x14ac:dyDescent="0.25">
      <c r="C127" s="41"/>
      <c r="D127" s="47"/>
      <c r="E127" s="46"/>
      <c r="F127" s="46"/>
      <c r="G127" s="41"/>
      <c r="H127" s="41"/>
      <c r="I127" s="43"/>
    </row>
    <row r="128" spans="3:9" ht="15.75" x14ac:dyDescent="0.25">
      <c r="C128" s="41"/>
      <c r="D128" s="47"/>
      <c r="E128" s="46"/>
      <c r="F128" s="46"/>
      <c r="G128" s="41"/>
      <c r="H128" s="41"/>
      <c r="I128" s="43"/>
    </row>
    <row r="129" spans="3:9" ht="15.75" x14ac:dyDescent="0.25">
      <c r="C129" s="41"/>
      <c r="D129" s="47"/>
      <c r="E129" s="46"/>
      <c r="F129" s="46"/>
      <c r="G129" s="41"/>
      <c r="H129" s="41"/>
      <c r="I129" s="43"/>
    </row>
    <row r="130" spans="3:9" ht="15.75" x14ac:dyDescent="0.25">
      <c r="C130" s="41"/>
      <c r="D130" s="47"/>
      <c r="E130" s="46"/>
      <c r="F130" s="46"/>
      <c r="G130" s="41"/>
      <c r="H130" s="41"/>
      <c r="I130" s="43"/>
    </row>
    <row r="131" spans="3:9" ht="15.75" x14ac:dyDescent="0.25">
      <c r="C131" s="41"/>
      <c r="D131" s="47"/>
      <c r="E131" s="46"/>
      <c r="F131" s="46"/>
      <c r="G131" s="41"/>
      <c r="H131" s="41"/>
      <c r="I131" s="43"/>
    </row>
    <row r="132" spans="3:9" ht="15.75" x14ac:dyDescent="0.25">
      <c r="C132" s="41"/>
      <c r="D132" s="47"/>
      <c r="E132" s="46"/>
      <c r="F132" s="46"/>
      <c r="G132" s="41"/>
      <c r="H132" s="41"/>
      <c r="I132" s="43"/>
    </row>
    <row r="133" spans="3:9" ht="15.75" x14ac:dyDescent="0.25">
      <c r="C133" s="41"/>
      <c r="D133" s="47"/>
      <c r="E133" s="46"/>
      <c r="F133" s="46"/>
      <c r="G133" s="41"/>
      <c r="H133" s="41"/>
      <c r="I133" s="43"/>
    </row>
    <row r="134" spans="3:9" ht="15.75" x14ac:dyDescent="0.25">
      <c r="C134" s="41"/>
      <c r="D134" s="47"/>
      <c r="E134" s="46"/>
      <c r="F134" s="46"/>
      <c r="G134" s="41"/>
      <c r="H134" s="41"/>
      <c r="I134" s="43"/>
    </row>
    <row r="135" spans="3:9" ht="15.75" x14ac:dyDescent="0.25">
      <c r="C135" s="41"/>
      <c r="D135" s="47"/>
      <c r="E135" s="46"/>
      <c r="F135" s="46"/>
      <c r="G135" s="10" t="s">
        <v>0</v>
      </c>
      <c r="H135" s="41"/>
      <c r="I135" s="43"/>
    </row>
    <row r="136" spans="3:9" ht="15.75" x14ac:dyDescent="0.25">
      <c r="C136" s="41"/>
      <c r="D136" s="47"/>
      <c r="E136" s="46"/>
      <c r="F136" s="46"/>
      <c r="G136" s="41"/>
      <c r="H136" s="41"/>
      <c r="I136" s="43"/>
    </row>
    <row r="137" spans="3:9" ht="15.75" x14ac:dyDescent="0.25">
      <c r="C137" s="41"/>
      <c r="D137" s="47"/>
      <c r="E137" s="46"/>
      <c r="F137" s="46"/>
      <c r="G137" s="41"/>
      <c r="H137" s="41"/>
      <c r="I137" s="43"/>
    </row>
    <row r="138" spans="3:9" ht="15.75" x14ac:dyDescent="0.25">
      <c r="C138" s="41"/>
      <c r="D138" s="47"/>
      <c r="E138" s="46"/>
      <c r="F138" s="46"/>
      <c r="G138" s="41"/>
      <c r="H138" s="41"/>
      <c r="I138" s="43"/>
    </row>
    <row r="139" spans="3:9" ht="15.75" x14ac:dyDescent="0.25">
      <c r="C139" s="41"/>
      <c r="D139" s="41"/>
      <c r="E139" s="41"/>
      <c r="F139" s="41"/>
      <c r="G139" s="41"/>
      <c r="H139" s="41"/>
      <c r="I139" s="43"/>
    </row>
    <row r="140" spans="3:9" ht="15.75" x14ac:dyDescent="0.25">
      <c r="C140" s="41"/>
      <c r="D140" s="41"/>
      <c r="E140" s="41"/>
      <c r="F140" s="41"/>
      <c r="G140" s="41"/>
      <c r="H140" s="41"/>
      <c r="I140" s="43"/>
    </row>
    <row r="141" spans="3:9" ht="15.75" x14ac:dyDescent="0.25">
      <c r="C141" s="41"/>
      <c r="D141" s="41"/>
      <c r="E141" s="41"/>
      <c r="F141" s="41"/>
      <c r="G141" s="41"/>
      <c r="H141" s="41"/>
      <c r="I141" s="43"/>
    </row>
    <row r="142" spans="3:9" ht="15.75" x14ac:dyDescent="0.25">
      <c r="C142" s="41"/>
      <c r="D142" s="41"/>
      <c r="E142" s="41"/>
      <c r="F142" s="41"/>
      <c r="G142" s="41"/>
      <c r="H142" s="41"/>
      <c r="I142" s="43"/>
    </row>
    <row r="143" spans="3:9" ht="15.75" x14ac:dyDescent="0.25">
      <c r="C143" s="41"/>
      <c r="D143" s="41"/>
      <c r="E143" s="41"/>
      <c r="F143" s="41"/>
      <c r="G143" s="41"/>
      <c r="H143" s="41"/>
      <c r="I143" s="43"/>
    </row>
    <row r="144" spans="3:9" ht="15.75" x14ac:dyDescent="0.25">
      <c r="C144" s="41"/>
      <c r="D144" s="41"/>
      <c r="E144" s="41"/>
      <c r="F144" s="41"/>
      <c r="G144" s="41"/>
      <c r="H144" s="41"/>
      <c r="I144" s="43"/>
    </row>
    <row r="145" spans="2:11" ht="15.75" x14ac:dyDescent="0.25">
      <c r="D145" s="72"/>
      <c r="E145" s="73"/>
      <c r="F145" s="73"/>
      <c r="G145" s="72"/>
      <c r="H145" s="72"/>
      <c r="I145" s="43"/>
    </row>
    <row r="146" spans="2:11" ht="15.75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</row>
    <row r="149" spans="2:11" ht="18" x14ac:dyDescent="0.25">
      <c r="G149" s="114" t="s">
        <v>495</v>
      </c>
    </row>
  </sheetData>
  <sheetProtection sheet="1" objects="1" scenarios="1" selectLockedCells="1"/>
  <hyperlinks>
    <hyperlink ref="F89" r:id="rId1" xr:uid="{93597E90-FEAC-4F55-8A30-50727DE7C710}"/>
    <hyperlink ref="G7" r:id="rId2" xr:uid="{DF0F136A-F44E-495A-83C6-6C843567B7A6}"/>
    <hyperlink ref="M20" r:id="rId3" xr:uid="{F08FDAB0-5408-466D-971A-70928148D498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8D3C-83D2-4ADE-BD3B-8CFB7D0F547F}">
  <dimension ref="A1:R57"/>
  <sheetViews>
    <sheetView workbookViewId="0">
      <selection activeCell="K1" sqref="K1"/>
    </sheetView>
  </sheetViews>
  <sheetFormatPr defaultRowHeight="15" x14ac:dyDescent="0.25"/>
  <cols>
    <col min="1" max="1" width="5" customWidth="1"/>
    <col min="2" max="2" width="20.42578125" customWidth="1"/>
    <col min="3" max="3" width="15.42578125" customWidth="1"/>
    <col min="4" max="4" width="11.5703125" customWidth="1"/>
    <col min="5" max="5" width="12.28515625" customWidth="1"/>
    <col min="7" max="7" width="11.85546875" customWidth="1"/>
    <col min="11" max="11" width="20.5703125" customWidth="1"/>
  </cols>
  <sheetData>
    <row r="1" spans="1:18" ht="20.25" x14ac:dyDescent="0.3">
      <c r="A1" s="77"/>
      <c r="B1" s="71" t="s">
        <v>515</v>
      </c>
      <c r="C1" s="77"/>
      <c r="D1" s="2"/>
      <c r="E1" s="87"/>
      <c r="F1" s="7" t="s">
        <v>0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15.75" x14ac:dyDescent="0.25">
      <c r="A2" s="77"/>
      <c r="B2" s="8"/>
      <c r="C2" s="77"/>
      <c r="D2" s="77"/>
      <c r="E2" s="77"/>
      <c r="F2" s="77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15.75" x14ac:dyDescent="0.25">
      <c r="A3" s="77"/>
      <c r="B3" s="77"/>
      <c r="C3" s="77"/>
      <c r="D3" s="77"/>
      <c r="E3" s="77"/>
      <c r="F3" s="77"/>
      <c r="G3" s="77"/>
      <c r="H3" s="77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.75" x14ac:dyDescent="0.25">
      <c r="A4" s="77"/>
      <c r="B4" s="2" t="s">
        <v>516</v>
      </c>
      <c r="C4" s="41"/>
      <c r="D4" s="47"/>
      <c r="E4" s="41"/>
      <c r="F4" s="41"/>
      <c r="G4" s="41"/>
      <c r="H4" s="41"/>
      <c r="I4" s="43"/>
      <c r="J4" s="43"/>
      <c r="K4" s="43"/>
      <c r="L4" s="43"/>
      <c r="M4" s="43"/>
      <c r="N4" s="43"/>
      <c r="O4" s="43"/>
      <c r="P4" s="43"/>
      <c r="Q4" s="43"/>
      <c r="R4" s="76"/>
    </row>
    <row r="5" spans="1:18" ht="15.75" x14ac:dyDescent="0.25">
      <c r="A5" s="77"/>
      <c r="B5" s="10" t="s">
        <v>517</v>
      </c>
      <c r="C5" s="41" t="s">
        <v>518</v>
      </c>
      <c r="D5" s="47"/>
      <c r="E5" s="41"/>
      <c r="F5" s="41"/>
      <c r="G5" s="41"/>
      <c r="H5" s="41"/>
      <c r="I5" s="43"/>
      <c r="J5" s="43"/>
      <c r="K5" s="43"/>
      <c r="L5" s="43"/>
      <c r="M5" s="43"/>
      <c r="N5" s="43"/>
      <c r="O5" s="43"/>
      <c r="P5" s="43"/>
      <c r="Q5" s="43"/>
      <c r="R5" s="76"/>
    </row>
    <row r="6" spans="1:18" ht="15.75" x14ac:dyDescent="0.25">
      <c r="A6" s="77"/>
      <c r="B6" s="10" t="s">
        <v>519</v>
      </c>
      <c r="C6" s="41" t="s">
        <v>520</v>
      </c>
      <c r="D6" s="41"/>
      <c r="E6" s="41"/>
      <c r="F6" s="41"/>
      <c r="G6" s="41"/>
      <c r="H6" s="41"/>
      <c r="I6" s="43"/>
      <c r="J6" s="43"/>
      <c r="K6" s="43"/>
      <c r="L6" s="43"/>
      <c r="M6" s="43"/>
      <c r="N6" s="43"/>
      <c r="O6" s="43"/>
      <c r="P6" s="43"/>
      <c r="Q6" s="43"/>
      <c r="R6" s="76"/>
    </row>
    <row r="7" spans="1:18" ht="15.75" x14ac:dyDescent="0.25">
      <c r="A7" s="77"/>
      <c r="B7" s="10" t="s">
        <v>521</v>
      </c>
      <c r="C7" s="41" t="s">
        <v>522</v>
      </c>
      <c r="D7" s="41"/>
      <c r="E7" s="41"/>
      <c r="F7" s="41"/>
      <c r="G7" s="41"/>
      <c r="H7" s="41"/>
      <c r="I7" s="43"/>
      <c r="J7" s="43"/>
      <c r="K7" s="43"/>
      <c r="L7" s="43"/>
      <c r="M7" s="43"/>
      <c r="N7" s="43"/>
      <c r="O7" s="43"/>
      <c r="P7" s="43"/>
      <c r="Q7" s="43"/>
      <c r="R7" s="76"/>
    </row>
    <row r="8" spans="1:18" ht="15.75" x14ac:dyDescent="0.25">
      <c r="A8" s="77"/>
      <c r="B8" s="10" t="s">
        <v>523</v>
      </c>
      <c r="C8" s="41" t="s">
        <v>512</v>
      </c>
      <c r="D8" s="41"/>
      <c r="E8" s="41"/>
      <c r="F8" s="41"/>
      <c r="G8" s="41"/>
      <c r="H8" s="41"/>
      <c r="I8" s="43"/>
      <c r="J8" s="43"/>
      <c r="K8" s="43"/>
      <c r="L8" s="43"/>
      <c r="M8" s="43"/>
      <c r="N8" s="43"/>
      <c r="O8" s="43"/>
      <c r="P8" s="43"/>
      <c r="Q8" s="43"/>
      <c r="R8" s="76"/>
    </row>
    <row r="9" spans="1:18" ht="15.75" x14ac:dyDescent="0.25">
      <c r="A9" s="77"/>
      <c r="B9" s="2" t="s">
        <v>524</v>
      </c>
      <c r="C9" s="41"/>
      <c r="D9" s="41"/>
      <c r="E9" s="41" t="s">
        <v>525</v>
      </c>
      <c r="F9" s="88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76"/>
    </row>
    <row r="10" spans="1:18" ht="15.75" x14ac:dyDescent="0.25">
      <c r="A10" s="77"/>
      <c r="B10" s="10" t="s">
        <v>526</v>
      </c>
      <c r="C10" s="41" t="s">
        <v>518</v>
      </c>
      <c r="D10" s="41"/>
      <c r="E10" s="5" t="s">
        <v>527</v>
      </c>
      <c r="F10" s="43"/>
      <c r="G10" s="43"/>
      <c r="H10" s="43"/>
      <c r="I10" s="5" t="s">
        <v>528</v>
      </c>
      <c r="J10" s="43"/>
      <c r="K10" s="43"/>
      <c r="L10" s="43"/>
      <c r="M10" s="43"/>
      <c r="N10" s="43"/>
      <c r="O10" s="43"/>
      <c r="P10" s="43"/>
      <c r="Q10" s="43"/>
      <c r="R10" s="76"/>
    </row>
    <row r="11" spans="1:18" ht="15.75" x14ac:dyDescent="0.25">
      <c r="A11" s="77"/>
      <c r="B11" s="10" t="s">
        <v>529</v>
      </c>
      <c r="C11" s="41" t="s">
        <v>520</v>
      </c>
      <c r="D11" s="41"/>
      <c r="E11" s="89"/>
      <c r="F11" s="5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76"/>
    </row>
    <row r="12" spans="1:18" ht="15.75" x14ac:dyDescent="0.25">
      <c r="A12" s="77"/>
      <c r="B12" s="10" t="s">
        <v>530</v>
      </c>
      <c r="C12" s="41" t="s">
        <v>531</v>
      </c>
      <c r="D12" s="41"/>
      <c r="E12" s="90"/>
      <c r="F12" s="91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89"/>
    </row>
    <row r="13" spans="1:18" ht="15.75" x14ac:dyDescent="0.25">
      <c r="A13" s="77"/>
      <c r="B13" s="6" t="s">
        <v>532</v>
      </c>
      <c r="C13" s="41"/>
      <c r="D13" s="41"/>
      <c r="E13" s="89"/>
      <c r="F13" s="5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89"/>
    </row>
    <row r="14" spans="1:18" ht="15.75" x14ac:dyDescent="0.25">
      <c r="A14" s="77"/>
      <c r="B14" s="41"/>
      <c r="C14" s="41"/>
      <c r="D14" s="41"/>
      <c r="E14" s="90"/>
      <c r="F14" s="9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89"/>
    </row>
    <row r="15" spans="1:18" ht="15.75" x14ac:dyDescent="0.25">
      <c r="A15" s="77"/>
      <c r="B15" s="41"/>
      <c r="C15" s="43"/>
      <c r="D15" s="41"/>
      <c r="E15" s="41"/>
      <c r="F15" s="41"/>
      <c r="G15" s="41"/>
      <c r="H15" s="41"/>
      <c r="I15" s="41"/>
      <c r="J15" s="43"/>
      <c r="K15" s="43"/>
      <c r="L15" s="43"/>
      <c r="M15" s="43"/>
      <c r="N15" s="43"/>
      <c r="O15" s="43"/>
      <c r="P15" s="43"/>
      <c r="Q15" s="43"/>
      <c r="R15" s="89"/>
    </row>
    <row r="16" spans="1:18" ht="15.75" x14ac:dyDescent="0.25">
      <c r="A16" s="77"/>
      <c r="B16" s="41" t="s">
        <v>533</v>
      </c>
      <c r="C16" s="43"/>
      <c r="D16" s="41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89"/>
    </row>
    <row r="17" spans="1:18" ht="15.75" x14ac:dyDescent="0.25">
      <c r="A17" s="77"/>
      <c r="B17" s="43"/>
      <c r="C17" s="43" t="s">
        <v>534</v>
      </c>
      <c r="D17" s="41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89"/>
    </row>
    <row r="18" spans="1:18" ht="15.75" x14ac:dyDescent="0.25">
      <c r="A18" s="77"/>
      <c r="B18" s="43"/>
      <c r="C18" s="43" t="s">
        <v>535</v>
      </c>
      <c r="D18" s="41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6"/>
    </row>
    <row r="19" spans="1:18" ht="15.75" x14ac:dyDescent="0.25">
      <c r="A19" s="77"/>
      <c r="B19" s="4"/>
      <c r="C19" s="43"/>
      <c r="D19" s="41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6"/>
    </row>
    <row r="20" spans="1:18" ht="15.75" x14ac:dyDescent="0.25">
      <c r="A20" s="77"/>
      <c r="B20" s="2"/>
      <c r="C20" s="43"/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6"/>
    </row>
    <row r="21" spans="1:18" ht="15.75" x14ac:dyDescent="0.25">
      <c r="A21" s="77"/>
      <c r="B21" s="2"/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6"/>
    </row>
    <row r="22" spans="1:18" ht="15.75" x14ac:dyDescent="0.25">
      <c r="A22" s="77"/>
      <c r="B22" s="41"/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6"/>
    </row>
    <row r="23" spans="1:18" ht="15.75" x14ac:dyDescent="0.25">
      <c r="A23" s="77"/>
      <c r="B23" s="43"/>
      <c r="C23" s="43"/>
      <c r="D23" s="41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6"/>
    </row>
    <row r="24" spans="1:18" ht="15.75" x14ac:dyDescent="0.25">
      <c r="A24" s="77"/>
      <c r="B24" s="41"/>
      <c r="C24" s="41"/>
      <c r="D24" s="41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6"/>
    </row>
    <row r="25" spans="1:18" ht="15.75" x14ac:dyDescent="0.25">
      <c r="A25" s="77"/>
      <c r="B25" s="41"/>
      <c r="C25" s="41"/>
      <c r="D25" s="4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6"/>
    </row>
    <row r="26" spans="1:18" ht="15.75" x14ac:dyDescent="0.25">
      <c r="A26" s="77"/>
      <c r="B26" s="41"/>
      <c r="C26" s="41"/>
      <c r="D26" s="41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6"/>
    </row>
    <row r="27" spans="1:18" ht="15.75" x14ac:dyDescent="0.25">
      <c r="A27" s="77"/>
      <c r="B27" s="41"/>
      <c r="C27" s="41"/>
      <c r="D27" s="41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6"/>
    </row>
    <row r="28" spans="1:18" ht="15.75" x14ac:dyDescent="0.25">
      <c r="A28" s="77"/>
      <c r="B28" s="41"/>
      <c r="C28" s="41"/>
      <c r="D28" s="4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6"/>
    </row>
    <row r="29" spans="1:18" ht="15.75" x14ac:dyDescent="0.25">
      <c r="A29" s="77"/>
      <c r="B29" s="41"/>
      <c r="C29" s="41"/>
      <c r="D29" s="41"/>
      <c r="E29" s="43"/>
      <c r="F29" s="43"/>
      <c r="G29" s="43"/>
      <c r="H29" s="43"/>
      <c r="I29" s="83" t="s">
        <v>536</v>
      </c>
      <c r="J29" s="83" t="s">
        <v>537</v>
      </c>
      <c r="K29" s="43"/>
      <c r="L29" s="43"/>
      <c r="M29" s="43"/>
      <c r="N29" s="43"/>
      <c r="O29" s="43"/>
      <c r="P29" s="43"/>
      <c r="Q29" s="43"/>
      <c r="R29" s="76"/>
    </row>
    <row r="30" spans="1:18" ht="15.75" x14ac:dyDescent="0.25">
      <c r="A30" s="77"/>
      <c r="B30" s="41"/>
      <c r="C30" s="41"/>
      <c r="D30" s="41"/>
      <c r="E30" s="43"/>
      <c r="F30" s="43"/>
      <c r="G30" s="43"/>
      <c r="H30" s="43"/>
      <c r="I30" s="61">
        <v>1</v>
      </c>
      <c r="J30" s="15">
        <v>10</v>
      </c>
      <c r="K30" s="43"/>
      <c r="L30" s="43"/>
      <c r="M30" s="43"/>
      <c r="N30" s="43"/>
      <c r="O30" s="43"/>
      <c r="P30" s="43"/>
      <c r="Q30" s="43"/>
      <c r="R30" s="76"/>
    </row>
    <row r="31" spans="1:18" ht="15.75" x14ac:dyDescent="0.25">
      <c r="A31" s="77"/>
      <c r="B31" s="41"/>
      <c r="C31" s="41"/>
      <c r="D31" s="41"/>
      <c r="E31" s="43"/>
      <c r="F31" s="5" t="s">
        <v>538</v>
      </c>
      <c r="G31" s="43"/>
      <c r="H31" s="43"/>
      <c r="I31" s="61">
        <v>2</v>
      </c>
      <c r="J31" s="15">
        <v>6</v>
      </c>
      <c r="K31" s="43"/>
      <c r="L31" s="43"/>
      <c r="M31" s="43"/>
      <c r="N31" s="43"/>
      <c r="O31" s="43"/>
      <c r="P31" s="43"/>
      <c r="Q31" s="43"/>
      <c r="R31" s="77"/>
    </row>
    <row r="32" spans="1:18" ht="15.75" x14ac:dyDescent="0.25">
      <c r="A32" s="77"/>
      <c r="B32" s="4" t="s">
        <v>539</v>
      </c>
      <c r="C32" s="77"/>
      <c r="D32" s="77"/>
      <c r="E32" s="76"/>
      <c r="F32" s="78" t="s">
        <v>540</v>
      </c>
      <c r="G32" s="93">
        <v>10</v>
      </c>
      <c r="H32" s="43" t="s">
        <v>541</v>
      </c>
      <c r="I32" s="61">
        <v>3</v>
      </c>
      <c r="J32" s="5" t="s">
        <v>542</v>
      </c>
      <c r="K32" s="43"/>
      <c r="L32" s="43"/>
      <c r="M32" s="43"/>
      <c r="N32" s="43"/>
      <c r="O32" s="43"/>
      <c r="P32" s="43"/>
      <c r="Q32" s="43"/>
      <c r="R32" s="77"/>
    </row>
    <row r="33" spans="1:18" ht="16.5" thickBot="1" x14ac:dyDescent="0.3">
      <c r="A33" s="77"/>
      <c r="B33" s="45"/>
      <c r="C33" s="9" t="s">
        <v>58</v>
      </c>
      <c r="D33" s="41"/>
      <c r="E33" s="76"/>
      <c r="F33" s="78" t="s">
        <v>543</v>
      </c>
      <c r="G33" s="93">
        <v>6</v>
      </c>
      <c r="H33" s="43" t="s">
        <v>544</v>
      </c>
      <c r="I33" s="61">
        <v>4</v>
      </c>
      <c r="J33" s="5" t="s">
        <v>535</v>
      </c>
      <c r="K33" s="43"/>
      <c r="L33" s="43"/>
      <c r="M33" s="43"/>
      <c r="N33" s="43"/>
      <c r="O33" s="43"/>
      <c r="P33" s="43"/>
      <c r="Q33" s="43"/>
      <c r="R33" s="77"/>
    </row>
    <row r="34" spans="1:18" ht="16.5" thickBot="1" x14ac:dyDescent="0.3">
      <c r="A34" s="77"/>
      <c r="B34" s="10" t="s">
        <v>545</v>
      </c>
      <c r="C34" s="94">
        <v>10</v>
      </c>
      <c r="D34" s="4" t="s">
        <v>541</v>
      </c>
      <c r="E34" s="76"/>
      <c r="F34" s="95" t="s">
        <v>546</v>
      </c>
      <c r="G34" s="16" t="s">
        <v>547</v>
      </c>
      <c r="H34" s="41"/>
      <c r="I34" s="61">
        <v>5</v>
      </c>
      <c r="J34" s="5" t="s">
        <v>548</v>
      </c>
      <c r="K34" s="43"/>
      <c r="L34" s="43"/>
      <c r="M34" s="43"/>
      <c r="N34" s="43"/>
      <c r="O34" s="43"/>
      <c r="P34" s="43"/>
      <c r="Q34" s="43"/>
      <c r="R34" s="77"/>
    </row>
    <row r="35" spans="1:18" ht="16.5" thickBot="1" x14ac:dyDescent="0.3">
      <c r="A35" s="77"/>
      <c r="B35" s="10" t="s">
        <v>549</v>
      </c>
      <c r="C35" s="96">
        <v>6</v>
      </c>
      <c r="D35" s="4" t="s">
        <v>541</v>
      </c>
      <c r="E35" s="43"/>
      <c r="F35" s="95" t="s">
        <v>22</v>
      </c>
      <c r="G35" s="97">
        <f>C35/C34</f>
        <v>0.6</v>
      </c>
      <c r="H35" s="41" t="s">
        <v>550</v>
      </c>
      <c r="I35" s="61">
        <v>6</v>
      </c>
      <c r="J35" s="5" t="s">
        <v>551</v>
      </c>
      <c r="K35" s="43"/>
      <c r="L35" s="43"/>
      <c r="M35" s="43"/>
      <c r="N35" s="43"/>
      <c r="O35" s="43"/>
      <c r="P35" s="43"/>
      <c r="Q35" s="43"/>
      <c r="R35" s="77"/>
    </row>
    <row r="36" spans="1:18" ht="15.75" x14ac:dyDescent="0.25">
      <c r="A36" s="77"/>
      <c r="B36" s="47"/>
      <c r="C36" s="9" t="s">
        <v>16</v>
      </c>
      <c r="D36" s="41"/>
      <c r="E36" s="43"/>
      <c r="F36" s="95" t="s">
        <v>552</v>
      </c>
      <c r="G36" s="16" t="s">
        <v>553</v>
      </c>
      <c r="H36" s="41"/>
      <c r="I36" s="61">
        <v>7</v>
      </c>
      <c r="J36" s="15">
        <v>2</v>
      </c>
      <c r="K36" s="43"/>
      <c r="L36" s="43"/>
      <c r="M36" s="43"/>
      <c r="N36" s="43"/>
      <c r="O36" s="43"/>
      <c r="P36" s="43"/>
      <c r="Q36" s="43"/>
      <c r="R36" s="77"/>
    </row>
    <row r="37" spans="1:18" ht="16.5" thickBot="1" x14ac:dyDescent="0.3">
      <c r="A37" s="77"/>
      <c r="B37" s="10" t="s">
        <v>554</v>
      </c>
      <c r="C37" s="2" t="s">
        <v>555</v>
      </c>
      <c r="D37" s="4"/>
      <c r="E37" s="43"/>
      <c r="F37" s="47" t="s">
        <v>22</v>
      </c>
      <c r="G37" s="98">
        <f>ATAN(C35/C34)</f>
        <v>0.54041950027058416</v>
      </c>
      <c r="H37" s="41" t="s">
        <v>487</v>
      </c>
      <c r="I37" s="61">
        <v>8</v>
      </c>
      <c r="J37" s="5" t="s">
        <v>512</v>
      </c>
      <c r="K37" s="43"/>
      <c r="L37" s="43"/>
      <c r="M37" s="43"/>
      <c r="N37" s="43"/>
      <c r="O37" s="43"/>
      <c r="P37" s="43"/>
      <c r="Q37" s="43"/>
      <c r="R37" s="77"/>
    </row>
    <row r="38" spans="1:18" ht="16.5" thickBot="1" x14ac:dyDescent="0.3">
      <c r="A38" s="77"/>
      <c r="B38" s="12" t="s">
        <v>22</v>
      </c>
      <c r="C38" s="99">
        <f>( C34^2 + C35^2 )^(1/2)</f>
        <v>11.661903789690601</v>
      </c>
      <c r="D38" s="4" t="s">
        <v>541</v>
      </c>
      <c r="E38" s="43"/>
      <c r="F38" s="95" t="s">
        <v>556</v>
      </c>
      <c r="G38" s="6" t="s">
        <v>557</v>
      </c>
      <c r="H38" s="45" t="s">
        <v>488</v>
      </c>
      <c r="I38" s="61">
        <v>9</v>
      </c>
      <c r="J38" s="93">
        <v>10</v>
      </c>
      <c r="K38" s="43"/>
      <c r="L38" s="43"/>
      <c r="M38" s="43"/>
      <c r="N38" s="43"/>
      <c r="O38" s="43"/>
      <c r="P38" s="43"/>
      <c r="Q38" s="43"/>
      <c r="R38" s="77"/>
    </row>
    <row r="39" spans="1:18" ht="16.5" thickBot="1" x14ac:dyDescent="0.3">
      <c r="A39" s="77"/>
      <c r="B39" s="10" t="s">
        <v>558</v>
      </c>
      <c r="C39" s="4" t="s">
        <v>559</v>
      </c>
      <c r="D39" s="4"/>
      <c r="E39" s="43"/>
      <c r="F39" s="95" t="s">
        <v>552</v>
      </c>
      <c r="G39" s="100" t="s">
        <v>560</v>
      </c>
      <c r="H39" s="41"/>
      <c r="I39" s="61">
        <v>10</v>
      </c>
      <c r="J39" s="93">
        <v>6</v>
      </c>
      <c r="K39" s="43"/>
      <c r="L39" s="43"/>
      <c r="M39" s="43"/>
      <c r="N39" s="43"/>
      <c r="O39" s="43"/>
      <c r="P39" s="43"/>
      <c r="Q39" s="43"/>
      <c r="R39" s="77"/>
    </row>
    <row r="40" spans="1:18" ht="16.5" thickBot="1" x14ac:dyDescent="0.3">
      <c r="A40" s="77"/>
      <c r="B40" s="10" t="s">
        <v>22</v>
      </c>
      <c r="C40" s="101">
        <f>57.3 * ATAN(C35 / C34)</f>
        <v>30.966037365504469</v>
      </c>
      <c r="D40" s="4" t="s">
        <v>561</v>
      </c>
      <c r="E40" s="43"/>
      <c r="F40" s="47" t="s">
        <v>22</v>
      </c>
      <c r="G40" s="100">
        <f>57.3*G37</f>
        <v>30.966037365504469</v>
      </c>
      <c r="H40" s="41" t="s">
        <v>488</v>
      </c>
      <c r="I40" s="43"/>
      <c r="J40" s="43"/>
      <c r="K40" s="43"/>
      <c r="L40" s="43"/>
      <c r="M40" s="43"/>
      <c r="N40" s="43"/>
      <c r="O40" s="43"/>
      <c r="P40" s="43"/>
      <c r="Q40" s="43"/>
      <c r="R40" s="77"/>
    </row>
    <row r="41" spans="1:18" ht="15.75" x14ac:dyDescent="0.25">
      <c r="A41" s="77"/>
      <c r="B41" s="41"/>
      <c r="C41" s="41"/>
      <c r="D41" s="4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77"/>
    </row>
    <row r="42" spans="1:18" ht="15.75" x14ac:dyDescent="0.25">
      <c r="A42" s="77"/>
      <c r="B42" s="4" t="s">
        <v>562</v>
      </c>
      <c r="C42" s="41"/>
      <c r="D42" s="47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77"/>
    </row>
    <row r="43" spans="1:18" ht="15.75" x14ac:dyDescent="0.25">
      <c r="A43" s="77"/>
      <c r="B43" s="16" t="s">
        <v>563</v>
      </c>
      <c r="C43" s="41"/>
      <c r="D43" s="47"/>
      <c r="E43" s="5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77"/>
    </row>
    <row r="44" spans="1:18" ht="15.75" x14ac:dyDescent="0.25">
      <c r="A44" s="77"/>
      <c r="B44" s="16" t="s">
        <v>564</v>
      </c>
      <c r="C44" s="41"/>
      <c r="D44" s="47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77"/>
    </row>
    <row r="45" spans="1:18" ht="15.75" x14ac:dyDescent="0.25">
      <c r="A45" s="77"/>
      <c r="B45" s="16" t="s">
        <v>565</v>
      </c>
      <c r="C45" s="41"/>
      <c r="D45" s="47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77"/>
    </row>
    <row r="46" spans="1:18" ht="15.75" x14ac:dyDescent="0.25">
      <c r="A46" s="77"/>
      <c r="B46" s="16" t="s">
        <v>566</v>
      </c>
      <c r="C46" s="41"/>
      <c r="D46" s="1"/>
      <c r="E46" s="43"/>
      <c r="F46" s="43"/>
      <c r="G46" s="78"/>
      <c r="H46" s="15"/>
      <c r="I46" s="43"/>
      <c r="J46" s="43"/>
      <c r="K46" s="43"/>
      <c r="L46" s="43"/>
      <c r="M46" s="43"/>
      <c r="N46" s="43"/>
      <c r="O46" s="43"/>
      <c r="P46" s="43"/>
      <c r="Q46" s="43"/>
      <c r="R46" s="77"/>
    </row>
    <row r="47" spans="1:18" ht="15.75" x14ac:dyDescent="0.25">
      <c r="A47" s="77"/>
      <c r="B47" s="41"/>
      <c r="C47" s="41"/>
      <c r="D47" s="41"/>
      <c r="E47" s="43"/>
      <c r="F47" s="43"/>
      <c r="G47" s="78"/>
      <c r="H47" s="15"/>
      <c r="I47" s="43"/>
      <c r="J47" s="43"/>
      <c r="K47" s="43"/>
      <c r="L47" s="43"/>
      <c r="M47" s="43"/>
      <c r="N47" s="43"/>
      <c r="O47" s="43"/>
      <c r="P47" s="43"/>
      <c r="Q47" s="43"/>
      <c r="R47" s="77"/>
    </row>
    <row r="48" spans="1:18" ht="15.75" x14ac:dyDescent="0.25">
      <c r="A48" s="77"/>
      <c r="B48" s="41"/>
      <c r="C48" s="41"/>
      <c r="D48" s="47"/>
      <c r="E48" s="44"/>
      <c r="F48" s="102"/>
      <c r="G48" s="5"/>
      <c r="H48" s="15"/>
      <c r="I48" s="43"/>
      <c r="J48" s="43"/>
      <c r="K48" s="43"/>
      <c r="L48" s="43"/>
      <c r="M48" s="43"/>
      <c r="N48" s="43"/>
      <c r="O48" s="43"/>
      <c r="P48" s="43"/>
      <c r="Q48" s="43"/>
      <c r="R48" s="77"/>
    </row>
    <row r="49" spans="1:18" ht="15.75" x14ac:dyDescent="0.25">
      <c r="A49" s="77"/>
      <c r="B49" s="41"/>
      <c r="C49" s="41"/>
      <c r="D49" s="4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77"/>
    </row>
    <row r="50" spans="1:18" ht="15.75" x14ac:dyDescent="0.25">
      <c r="A50" s="77"/>
      <c r="B50" s="41"/>
      <c r="C50" s="41"/>
      <c r="D50" s="41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77"/>
    </row>
    <row r="51" spans="1:18" ht="15.75" x14ac:dyDescent="0.25">
      <c r="A51" s="77"/>
      <c r="B51" s="41"/>
      <c r="C51" s="41"/>
      <c r="D51" s="41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77"/>
    </row>
    <row r="52" spans="1:18" ht="15.75" x14ac:dyDescent="0.25">
      <c r="A52" s="77"/>
      <c r="B52" s="41"/>
      <c r="C52" s="41"/>
      <c r="D52" s="41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77"/>
    </row>
    <row r="53" spans="1:18" ht="15.75" x14ac:dyDescent="0.25">
      <c r="A53" s="77"/>
      <c r="B53" s="41"/>
      <c r="C53" s="41"/>
      <c r="D53" s="41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77"/>
    </row>
    <row r="54" spans="1:18" ht="15.75" x14ac:dyDescent="0.25">
      <c r="A54" s="77"/>
      <c r="B54" s="41"/>
      <c r="C54" s="41"/>
      <c r="D54" s="41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77"/>
    </row>
    <row r="55" spans="1:18" ht="15.75" x14ac:dyDescent="0.25">
      <c r="A55" s="77"/>
      <c r="B55" s="41"/>
      <c r="C55" s="41"/>
      <c r="D55" s="47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77"/>
    </row>
    <row r="56" spans="1:18" ht="15.75" x14ac:dyDescent="0.25">
      <c r="A56" s="77"/>
      <c r="B56" s="6" t="s">
        <v>567</v>
      </c>
      <c r="C56" s="41"/>
      <c r="D56" s="47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77"/>
    </row>
    <row r="57" spans="1:18" ht="15.75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</row>
  </sheetData>
  <sheetProtection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VIBRATION</vt:lpstr>
      <vt:lpstr>SHOCK LOAD</vt:lpstr>
      <vt:lpstr>MATERIALS</vt:lpstr>
      <vt:lpstr>MATH TOOLS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Robert Andrew</dc:creator>
  <cp:lastModifiedBy>John Andrew</cp:lastModifiedBy>
  <cp:lastPrinted>2011-09-19T12:45:17Z</cp:lastPrinted>
  <dcterms:created xsi:type="dcterms:W3CDTF">2011-05-31T14:01:07Z</dcterms:created>
  <dcterms:modified xsi:type="dcterms:W3CDTF">2022-12-10T14:01:40Z</dcterms:modified>
</cp:coreProperties>
</file>