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E:\Machine Design Calculations\"/>
    </mc:Choice>
  </mc:AlternateContent>
  <xr:revisionPtr revIDLastSave="0" documentId="13_ncr:1_{ED5C66DF-984F-4D0C-BCA4-6BF17963F42F}" xr6:coauthVersionLast="47" xr6:coauthVersionMax="47" xr10:uidLastSave="{00000000-0000-0000-0000-000000000000}"/>
  <bookViews>
    <workbookView xWindow="-110" yWindow="-110" windowWidth="19420" windowHeight="10420" xr2:uid="{00000000-000D-0000-FFFF-FFFF00000000}"/>
  </bookViews>
  <sheets>
    <sheet name="Cover" sheetId="12" r:id="rId1"/>
    <sheet name="1 Machines" sheetId="11" r:id="rId2"/>
    <sheet name="2 Stress" sheetId="1" r:id="rId3"/>
    <sheet name="3 Shaft" sheetId="7" r:id="rId4"/>
    <sheet name="4 Coupling" sheetId="6" r:id="rId5"/>
    <sheet name="5 Actuator" sheetId="5" r:id="rId6"/>
    <sheet name="6 Brake" sheetId="4" r:id="rId7"/>
    <sheet name="7 V-Belt" sheetId="8" r:id="rId8"/>
    <sheet name="8 Gear-Belt" sheetId="13" r:id="rId9"/>
    <sheet name="9 Gears" sheetId="9" r:id="rId10"/>
    <sheet name="10 Goal Seek" sheetId="3" r:id="rId11"/>
  </sheets>
  <definedNames>
    <definedName name="solver_adj" localSheetId="10" hidden="1">'10 Goal Seek'!$F$453:$F$457</definedName>
    <definedName name="solver_cvg" localSheetId="10" hidden="1">0.0001</definedName>
    <definedName name="solver_drv" localSheetId="10" hidden="1">1</definedName>
    <definedName name="solver_est" localSheetId="10" hidden="1">1</definedName>
    <definedName name="solver_itr" localSheetId="10" hidden="1">100</definedName>
    <definedName name="solver_lhs1" localSheetId="10" hidden="1">'10 Goal Seek'!$C$453:$C$457</definedName>
    <definedName name="solver_lin" localSheetId="10" hidden="1">2</definedName>
    <definedName name="solver_neg" localSheetId="10" hidden="1">2</definedName>
    <definedName name="solver_num" localSheetId="10" hidden="1">1</definedName>
    <definedName name="solver_nwt" localSheetId="10" hidden="1">1</definedName>
    <definedName name="solver_pre" localSheetId="10" hidden="1">0.000001</definedName>
    <definedName name="solver_rel1" localSheetId="10" hidden="1">2</definedName>
    <definedName name="solver_rhs1" localSheetId="10" hidden="1">'10 Goal Seek'!$D$453:$D$457</definedName>
    <definedName name="solver_scl" localSheetId="10" hidden="1">2</definedName>
    <definedName name="solver_sho" localSheetId="10" hidden="1">2</definedName>
    <definedName name="solver_tim" localSheetId="10" hidden="1">100</definedName>
    <definedName name="solver_tol" localSheetId="10" hidden="1">0.05</definedName>
    <definedName name="solver_typ" localSheetId="10" hidden="1">1</definedName>
    <definedName name="solver_val" localSheetId="10" hidden="1">0</definedName>
  </definedNames>
  <calcPr calcId="191029"/>
</workbook>
</file>

<file path=xl/calcChain.xml><?xml version="1.0" encoding="utf-8"?>
<calcChain xmlns="http://schemas.openxmlformats.org/spreadsheetml/2006/main">
  <c r="B289" i="1" l="1"/>
  <c r="B287" i="1"/>
  <c r="B285" i="1"/>
  <c r="B258" i="1" l="1"/>
  <c r="B259" i="1" s="1"/>
  <c r="B261" i="1" s="1"/>
  <c r="B252" i="1"/>
  <c r="B250" i="1"/>
  <c r="B254" i="1" l="1"/>
  <c r="D284" i="9"/>
  <c r="D280" i="9"/>
  <c r="F279" i="9"/>
  <c r="D279" i="9"/>
  <c r="F278" i="9"/>
  <c r="D278" i="9"/>
  <c r="D273" i="9"/>
  <c r="D272" i="9"/>
  <c r="D283" i="9" s="1"/>
  <c r="D268" i="9"/>
  <c r="D269" i="9" s="1"/>
  <c r="D276" i="9" s="1"/>
  <c r="D277" i="9" s="1"/>
  <c r="D267" i="9"/>
  <c r="D274" i="9" s="1"/>
  <c r="D275" i="9" l="1"/>
  <c r="D282" i="9"/>
  <c r="D270" i="9"/>
  <c r="D271" i="9" s="1"/>
  <c r="J31" i="9" l="1"/>
  <c r="D31" i="9"/>
  <c r="D436" i="9"/>
  <c r="D434" i="9"/>
  <c r="D437" i="9"/>
  <c r="D435" i="9"/>
  <c r="D32" i="9"/>
  <c r="J32" i="9"/>
  <c r="D30" i="9"/>
  <c r="J30" i="9"/>
  <c r="J29" i="9"/>
  <c r="J40" i="9" s="1"/>
  <c r="J28" i="9"/>
  <c r="J35" i="9" s="1"/>
  <c r="J41" i="9"/>
  <c r="J38" i="9" l="1"/>
  <c r="J36" i="9"/>
  <c r="J37" i="9" s="1"/>
  <c r="J39" i="9" s="1"/>
  <c r="J34" i="9"/>
  <c r="J33" i="9"/>
  <c r="D102" i="9" l="1"/>
  <c r="D28" i="9"/>
  <c r="D104" i="9"/>
  <c r="D106" i="9" l="1"/>
  <c r="D108" i="9" s="1"/>
  <c r="D112" i="9" s="1"/>
  <c r="D110" i="9"/>
  <c r="C466" i="9"/>
  <c r="D433" i="9"/>
  <c r="C418" i="9"/>
  <c r="C451" i="9" s="1"/>
  <c r="C416" i="9"/>
  <c r="C414" i="9"/>
  <c r="C412" i="9"/>
  <c r="C410" i="9"/>
  <c r="C371" i="9"/>
  <c r="C363" i="9"/>
  <c r="C345" i="9"/>
  <c r="C335" i="9"/>
  <c r="C324" i="9"/>
  <c r="C315" i="9"/>
  <c r="C304" i="9"/>
  <c r="C302" i="9"/>
  <c r="C211" i="9"/>
  <c r="C206" i="9"/>
  <c r="C200" i="9"/>
  <c r="C189" i="9"/>
  <c r="C165" i="9"/>
  <c r="C167" i="9" s="1"/>
  <c r="C148" i="9"/>
  <c r="C140" i="9"/>
  <c r="C61" i="9"/>
  <c r="C63" i="9" s="1"/>
  <c r="C57" i="9"/>
  <c r="D41" i="9"/>
  <c r="D29" i="9"/>
  <c r="D38" i="9"/>
  <c r="C421" i="9" l="1"/>
  <c r="C423" i="9"/>
  <c r="C448" i="9" s="1"/>
  <c r="C457" i="9" s="1"/>
  <c r="D443" i="9"/>
  <c r="C458" i="9"/>
  <c r="C470" i="9" s="1"/>
  <c r="C306" i="9"/>
  <c r="C419" i="9"/>
  <c r="D33" i="9"/>
  <c r="D35" i="9"/>
  <c r="C450" i="9"/>
  <c r="C455" i="9" s="1"/>
  <c r="D40" i="9"/>
  <c r="C69" i="9"/>
  <c r="D34" i="9"/>
  <c r="D36" i="9"/>
  <c r="D37" i="9" s="1"/>
  <c r="D39" i="9" s="1"/>
  <c r="C59" i="9"/>
  <c r="C65" i="9" s="1"/>
  <c r="C67" i="9" s="1"/>
  <c r="C142" i="9"/>
  <c r="C144" i="9" s="1"/>
  <c r="C150" i="9" s="1"/>
  <c r="C146" i="9"/>
  <c r="D438" i="9"/>
  <c r="D440" i="9"/>
  <c r="D444" i="9"/>
  <c r="D439" i="9"/>
  <c r="D441" i="9"/>
  <c r="N240" i="8"/>
  <c r="L243" i="8"/>
  <c r="L245" i="8" s="1"/>
  <c r="H209" i="8"/>
  <c r="H211" i="8" s="1"/>
  <c r="C453" i="9" l="1"/>
  <c r="D442" i="9"/>
  <c r="C464" i="9"/>
  <c r="C460" i="9"/>
  <c r="C462" i="9" s="1"/>
  <c r="C468" i="9"/>
  <c r="C152" i="9"/>
  <c r="E69" i="9"/>
  <c r="B72" i="8"/>
  <c r="B67" i="8"/>
  <c r="B69" i="8"/>
  <c r="B70" i="8" s="1"/>
  <c r="B60" i="13" l="1"/>
  <c r="B55" i="13"/>
  <c r="B56" i="13" s="1"/>
  <c r="B212" i="8" l="1"/>
  <c r="B221" i="8"/>
  <c r="B157" i="8"/>
  <c r="B179" i="8"/>
  <c r="B187" i="8"/>
  <c r="B592" i="1"/>
  <c r="B75" i="1"/>
  <c r="C75" i="1" s="1"/>
  <c r="B206" i="8" l="1"/>
  <c r="B208" i="8" s="1"/>
  <c r="B181" i="8"/>
  <c r="I44" i="3"/>
  <c r="I42" i="3"/>
  <c r="I46" i="3" s="1"/>
  <c r="I50" i="3" l="1"/>
  <c r="I51" i="3" s="1"/>
  <c r="I48" i="3"/>
  <c r="B391" i="7"/>
  <c r="B389" i="7"/>
  <c r="B458" i="1"/>
  <c r="B87" i="6"/>
  <c r="B89" i="6" s="1"/>
  <c r="B76" i="6"/>
  <c r="B74" i="6"/>
  <c r="B75" i="6" s="1"/>
  <c r="B136" i="6"/>
  <c r="B132" i="6"/>
  <c r="B460" i="1"/>
  <c r="B297" i="7"/>
  <c r="B310" i="7"/>
  <c r="B312" i="7" s="1"/>
  <c r="B364" i="7"/>
  <c r="B590" i="1"/>
  <c r="B618" i="1" s="1"/>
  <c r="B610" i="1"/>
  <c r="B609" i="1"/>
  <c r="B510" i="1"/>
  <c r="B516" i="1" s="1"/>
  <c r="B148" i="1"/>
  <c r="B151" i="1" s="1"/>
  <c r="B153" i="1" s="1"/>
  <c r="B155" i="1" s="1"/>
  <c r="B406" i="7"/>
  <c r="B415" i="7" s="1"/>
  <c r="B407" i="7"/>
  <c r="B409" i="7" s="1"/>
  <c r="B243" i="7"/>
  <c r="B271" i="7" s="1"/>
  <c r="B272" i="7" s="1"/>
  <c r="B244" i="7"/>
  <c r="B217" i="7"/>
  <c r="B221" i="7" s="1"/>
  <c r="B219" i="7"/>
  <c r="B144" i="7"/>
  <c r="B188" i="7" s="1"/>
  <c r="B189" i="7" s="1"/>
  <c r="B118" i="7"/>
  <c r="B122" i="7" s="1"/>
  <c r="B145" i="7"/>
  <c r="B120" i="7"/>
  <c r="B27" i="4"/>
  <c r="B612" i="1"/>
  <c r="B512" i="1"/>
  <c r="B528" i="1"/>
  <c r="B111" i="1"/>
  <c r="B113" i="1" s="1"/>
  <c r="B442" i="1"/>
  <c r="B444" i="1" s="1"/>
  <c r="B440" i="1"/>
  <c r="B407" i="1"/>
  <c r="B409" i="1" s="1"/>
  <c r="E560" i="1"/>
  <c r="E561" i="1"/>
  <c r="E559" i="1"/>
  <c r="E480" i="1"/>
  <c r="E472" i="1"/>
  <c r="C490" i="1" s="1"/>
  <c r="D535" i="1"/>
  <c r="E535" i="1"/>
  <c r="B542" i="1" s="1"/>
  <c r="D536" i="1"/>
  <c r="E536" i="1"/>
  <c r="D537" i="1"/>
  <c r="E537" i="1"/>
  <c r="C569" i="1"/>
  <c r="E474" i="1"/>
  <c r="B481" i="1" s="1"/>
  <c r="D481" i="1" s="1"/>
  <c r="E473" i="1"/>
  <c r="B480" i="1" s="1"/>
  <c r="D480" i="1" s="1"/>
  <c r="E479" i="1"/>
  <c r="E481" i="1"/>
  <c r="C565" i="1"/>
  <c r="D559" i="1"/>
  <c r="D560" i="1"/>
  <c r="D561" i="1"/>
  <c r="E542" i="1"/>
  <c r="E543" i="1"/>
  <c r="E544" i="1"/>
  <c r="B77" i="1"/>
  <c r="B79" i="1" s="1"/>
  <c r="B81" i="1" s="1"/>
  <c r="B321" i="1"/>
  <c r="B328" i="1" s="1"/>
  <c r="B323" i="1"/>
  <c r="B330" i="1" s="1"/>
  <c r="B348" i="1" s="1"/>
  <c r="B325" i="1"/>
  <c r="B353" i="1" s="1"/>
  <c r="D472" i="1"/>
  <c r="D473" i="1"/>
  <c r="D474" i="1"/>
  <c r="B389" i="1"/>
  <c r="B184" i="1"/>
  <c r="B186" i="1" s="1"/>
  <c r="B188" i="1" s="1"/>
  <c r="B190" i="1" s="1"/>
  <c r="B326" i="7"/>
  <c r="B328" i="7" s="1"/>
  <c r="B338" i="7"/>
  <c r="B340" i="7" s="1"/>
  <c r="B366" i="7"/>
  <c r="B350" i="7"/>
  <c r="B352" i="7" s="1"/>
  <c r="B50" i="5"/>
  <c r="C43" i="3"/>
  <c r="C47" i="3" s="1"/>
  <c r="B85" i="6"/>
  <c r="B453" i="7"/>
  <c r="C45" i="3"/>
  <c r="B210" i="8"/>
  <c r="B213" i="8"/>
  <c r="B214" i="8" s="1"/>
  <c r="B79" i="4"/>
  <c r="B81" i="4" s="1"/>
  <c r="B66" i="4"/>
  <c r="B68" i="4" s="1"/>
  <c r="B71" i="4"/>
  <c r="B73" i="4" s="1"/>
  <c r="B100" i="5"/>
  <c r="B65" i="5"/>
  <c r="B67" i="5" s="1"/>
  <c r="B70" i="5" s="1"/>
  <c r="B167" i="6"/>
  <c r="B170" i="6" s="1"/>
  <c r="B173" i="6" s="1"/>
  <c r="B134" i="6"/>
  <c r="B129" i="6"/>
  <c r="B405" i="1"/>
  <c r="B437" i="7"/>
  <c r="B430" i="7"/>
  <c r="B423" i="7"/>
  <c r="B151" i="6"/>
  <c r="B149" i="6"/>
  <c r="B64" i="6"/>
  <c r="B61" i="6"/>
  <c r="B206" i="6"/>
  <c r="B222" i="6" s="1"/>
  <c r="B208" i="6"/>
  <c r="B210" i="6"/>
  <c r="B212" i="6"/>
  <c r="B214" i="6"/>
  <c r="B544" i="1"/>
  <c r="B335" i="1"/>
  <c r="B543" i="1"/>
  <c r="C481" i="1" l="1"/>
  <c r="D538" i="1"/>
  <c r="E562" i="1"/>
  <c r="C567" i="1" s="1"/>
  <c r="B219" i="6"/>
  <c r="B596" i="1"/>
  <c r="B616" i="1"/>
  <c r="B346" i="1"/>
  <c r="B350" i="1" s="1"/>
  <c r="B332" i="1"/>
  <c r="B338" i="1" s="1"/>
  <c r="B216" i="6"/>
  <c r="D475" i="1"/>
  <c r="E545" i="1"/>
  <c r="C544" i="1"/>
  <c r="B153" i="6"/>
  <c r="B76" i="4"/>
  <c r="B391" i="1"/>
  <c r="B394" i="1"/>
  <c r="D396" i="1" s="1"/>
  <c r="D562" i="1"/>
  <c r="B185" i="8"/>
  <c r="B188" i="8" s="1"/>
  <c r="B190" i="8" s="1"/>
  <c r="B191" i="8" s="1"/>
  <c r="B192" i="8" s="1"/>
  <c r="B196" i="8" s="1"/>
  <c r="B202" i="8" s="1"/>
  <c r="B217" i="8" s="1"/>
  <c r="B219" i="8" s="1"/>
  <c r="B223" i="8" s="1"/>
  <c r="B183" i="8"/>
  <c r="B71" i="5"/>
  <c r="B74" i="5" s="1"/>
  <c r="B75" i="5" s="1"/>
  <c r="B85" i="5" s="1"/>
  <c r="C51" i="3"/>
  <c r="C52" i="3" s="1"/>
  <c r="D542" i="1"/>
  <c r="B448" i="1"/>
  <c r="B247" i="7"/>
  <c r="B249" i="7" s="1"/>
  <c r="B256" i="7" s="1"/>
  <c r="B265" i="7" s="1"/>
  <c r="B411" i="7"/>
  <c r="C49" i="3"/>
  <c r="B393" i="7"/>
  <c r="B314" i="7"/>
  <c r="B315" i="7" s="1"/>
  <c r="B413" i="7"/>
  <c r="B148" i="7"/>
  <c r="B167" i="7"/>
  <c r="B252" i="7"/>
  <c r="B254" i="7" s="1"/>
  <c r="B514" i="1"/>
  <c r="B594" i="1"/>
  <c r="B446" i="1"/>
  <c r="C479" i="1"/>
  <c r="B479" i="1"/>
  <c r="D479" i="1" s="1"/>
  <c r="D482" i="1" s="1"/>
  <c r="D543" i="1"/>
  <c r="C542" i="1"/>
  <c r="E482" i="1"/>
  <c r="B411" i="1"/>
  <c r="B614" i="1"/>
  <c r="B119" i="1"/>
  <c r="B115" i="1"/>
  <c r="D544" i="1"/>
  <c r="C480" i="1"/>
  <c r="B413" i="1"/>
  <c r="C543" i="1"/>
  <c r="C545" i="1" l="1"/>
  <c r="C550" i="1" s="1"/>
  <c r="C552" i="1" s="1"/>
  <c r="D545" i="1"/>
  <c r="C548" i="1" s="1"/>
  <c r="B340" i="1"/>
  <c r="B342" i="1" s="1"/>
  <c r="B396" i="1"/>
  <c r="B194" i="8"/>
  <c r="B200" i="8" s="1"/>
  <c r="B80" i="5"/>
  <c r="B78" i="5"/>
  <c r="B400" i="1"/>
  <c r="C482" i="1"/>
  <c r="C488" i="1" s="1"/>
  <c r="C486" i="1"/>
  <c r="B150" i="7"/>
  <c r="B169" i="7" s="1"/>
  <c r="B178" i="7" s="1"/>
  <c r="B153" i="7"/>
  <c r="B258" i="7"/>
  <c r="B260" i="7" s="1"/>
  <c r="B263" i="7" s="1"/>
  <c r="B398" i="1"/>
  <c r="B358" i="1"/>
  <c r="B356" i="1"/>
  <c r="B82" i="5" l="1"/>
  <c r="B171" i="7"/>
  <c r="B173" i="7" s="1"/>
  <c r="B176" i="7" s="1"/>
  <c r="B155" i="7"/>
  <c r="B164" i="7" s="1"/>
  <c r="B183" i="7" s="1"/>
  <c r="B360" i="1"/>
  <c r="B157" i="7" l="1"/>
  <c r="B159" i="7" s="1"/>
  <c r="B162" i="7" s="1"/>
  <c r="B181" i="7" s="1"/>
  <c r="F1" i="1"/>
</calcChain>
</file>

<file path=xl/sharedStrings.xml><?xml version="1.0" encoding="utf-8"?>
<sst xmlns="http://schemas.openxmlformats.org/spreadsheetml/2006/main" count="2569" uniqueCount="1172">
  <si>
    <t>Two machine components, shown above,  are subjected to loads P at each end.</t>
  </si>
  <si>
    <t>The force P is resisted by internal stress S which is not uniform.</t>
  </si>
  <si>
    <t>At the hole diameter D and the fillet radius R stress is 3 times the average value.</t>
  </si>
  <si>
    <t>This is true for tension +P and compression -P.</t>
  </si>
  <si>
    <t>Material modulus of elasticity,  E =</t>
  </si>
  <si>
    <t>Combined shock and fatigue factor,  Ks =</t>
  </si>
  <si>
    <t xml:space="preserve">                Material</t>
  </si>
  <si>
    <t>ASTM A-36 (Mild Steel)</t>
  </si>
  <si>
    <t>Maximum shear stress,  Sxy =</t>
  </si>
  <si>
    <t>Maximum direct stress,  Smax =</t>
  </si>
  <si>
    <t>Safety factor, SF =</t>
  </si>
  <si>
    <t>Sa / Smax</t>
  </si>
  <si>
    <t>S / E</t>
  </si>
  <si>
    <t>See table above.</t>
  </si>
  <si>
    <t>I and C Sections</t>
  </si>
  <si>
    <t>E x 10^6 lbf/in^2</t>
  </si>
  <si>
    <t>ASTM A47-52 Malleable Cast Iron</t>
  </si>
  <si>
    <t>Section outside diameter,  D =</t>
  </si>
  <si>
    <t>Section inside diameter,  d =</t>
  </si>
  <si>
    <t>π*( D^2 - d^2 )/ 4</t>
  </si>
  <si>
    <t>π*D^2 / 4</t>
  </si>
  <si>
    <t xml:space="preserve">H / A  </t>
  </si>
  <si>
    <t>Bending stress,  Fb =</t>
  </si>
  <si>
    <t>AT POINT "A"</t>
  </si>
  <si>
    <t>Direct stress due to, "V",  Fy =</t>
  </si>
  <si>
    <t>T1 =</t>
  </si>
  <si>
    <t>L1 =</t>
  </si>
  <si>
    <t>L2 =</t>
  </si>
  <si>
    <t>L3 =</t>
  </si>
  <si>
    <t>Power transmitted by V-Belt,  HP =</t>
  </si>
  <si>
    <t>Shaft torque,  T =</t>
  </si>
  <si>
    <t>HP * 63000 / N</t>
  </si>
  <si>
    <t>T1 - T2 =</t>
  </si>
  <si>
    <t>D1 =</t>
  </si>
  <si>
    <t>T / (D2 / 2)</t>
  </si>
  <si>
    <t>T2 / T1 = B =</t>
  </si>
  <si>
    <t>Su =</t>
  </si>
  <si>
    <t>Sy =</t>
  </si>
  <si>
    <t>Kb =</t>
  </si>
  <si>
    <t>T / (D1 / 2)</t>
  </si>
  <si>
    <t>Ft * Tan( A )</t>
  </si>
  <si>
    <t>Kt*12*33000*HP / (2*π*N)</t>
  </si>
  <si>
    <t>18% * Su</t>
  </si>
  <si>
    <t>30% * Sy</t>
  </si>
  <si>
    <t>Allowable stress based on Su,  Sau =</t>
  </si>
  <si>
    <t>Allowable stress based on Sy,  Say =</t>
  </si>
  <si>
    <t>V1 =</t>
  </si>
  <si>
    <t>V4 =</t>
  </si>
  <si>
    <t>Vertical Forces</t>
  </si>
  <si>
    <t>H2 =Ft =</t>
  </si>
  <si>
    <t>V2 = Fs =</t>
  </si>
  <si>
    <t>Horizontal Forces</t>
  </si>
  <si>
    <t>B * T2</t>
  </si>
  <si>
    <t>-( T / (D2 / 2) ) / (1 - B)</t>
  </si>
  <si>
    <t>Spur gear pressure angle, (14 or 20 deg) B =</t>
  </si>
  <si>
    <t>V3 =</t>
  </si>
  <si>
    <t>T1 / T2 =</t>
  </si>
  <si>
    <t>V2 + V3 - V4</t>
  </si>
  <si>
    <t>Vertical Moments</t>
  </si>
  <si>
    <t>Mv2 =</t>
  </si>
  <si>
    <t>V1 * L1</t>
  </si>
  <si>
    <t>lbf-in</t>
  </si>
  <si>
    <t>Mv3 =</t>
  </si>
  <si>
    <t>V4 * L3</t>
  </si>
  <si>
    <t>( (V4*(L2 + L3)) - (V2*L1) ) / L2</t>
  </si>
  <si>
    <t>H4 =</t>
  </si>
  <si>
    <t xml:space="preserve">(T1 + T2) * Cos( A ) </t>
  </si>
  <si>
    <t>V-Pulley  weight, Wp =</t>
  </si>
  <si>
    <t>( (T1 + T2) * Sin( A ) )-Wp</t>
  </si>
  <si>
    <t>lbs</t>
  </si>
  <si>
    <t>H3 =</t>
  </si>
  <si>
    <t>( (H4*(L2 + L3)) + (H2*L1) ) / L2</t>
  </si>
  <si>
    <t>H1 =</t>
  </si>
  <si>
    <t>H2 - H3 + H4</t>
  </si>
  <si>
    <t>Mh2 =</t>
  </si>
  <si>
    <t>Mh3 =</t>
  </si>
  <si>
    <t>H1 * L1</t>
  </si>
  <si>
    <t>H4 * L3</t>
  </si>
  <si>
    <t>Horizontal Moments</t>
  </si>
  <si>
    <t>Resultant Moments</t>
  </si>
  <si>
    <t>Mr2 =</t>
  </si>
  <si>
    <t>(Mv2^2 + Mh2^2)^0.5</t>
  </si>
  <si>
    <t>Mr3 =</t>
  </si>
  <si>
    <t>(Mv3^2 + Mh3^2)^0.5</t>
  </si>
  <si>
    <t>ASME Code for shaft with keyway,  D^3 =</t>
  </si>
  <si>
    <t>(16 / (π*Sa) ) * ( (Kb*Mb)^2 + ( Kt*T)^2 )^0.5</t>
  </si>
  <si>
    <t>Larger of: Mr2 &amp; Mr3 = Mb =</t>
  </si>
  <si>
    <t>Allowable shear stress based on Su,  Ss =</t>
  </si>
  <si>
    <t>75% * Sau</t>
  </si>
  <si>
    <t>Lowest of Sau, Say, &amp; Ss:  Sa =</t>
  </si>
  <si>
    <t xml:space="preserve">ASME Code Shaft Allowable Stress </t>
  </si>
  <si>
    <t>Shaft Material Ultimate &amp; Yield Stresses</t>
  </si>
  <si>
    <t>Shaft Power &amp; Geometry</t>
  </si>
  <si>
    <t>Calculate Shaft Diameter</t>
  </si>
  <si>
    <t xml:space="preserve">Left side shaft diameter, SD1 = </t>
  </si>
  <si>
    <t xml:space="preserve">Right side shaft diameter, SD3 = </t>
  </si>
  <si>
    <t xml:space="preserve">Center shaft diameter, SD2 = </t>
  </si>
  <si>
    <t>Torsional shear stress,  Sxy =</t>
  </si>
  <si>
    <t>AT POINT "B"</t>
  </si>
  <si>
    <t>Max shear stress at B,  Sxy(max) =</t>
  </si>
  <si>
    <t>Max shear stress,  Sxy =</t>
  </si>
  <si>
    <t>=</t>
  </si>
  <si>
    <t>F1 =</t>
  </si>
  <si>
    <t>F2 =</t>
  </si>
  <si>
    <t xml:space="preserve"> Outside fiber bending stress, So =</t>
  </si>
  <si>
    <t xml:space="preserve">(Fx+Fy)/2 - [ ((Fx-Fy)/2)^2 + Sxy^2 )^0.5 ] </t>
  </si>
  <si>
    <t xml:space="preserve">(Fx+Fy)/2 + [ ((Fx-Fy)/2)^2 + Sxy^2 )^0.5 ] </t>
  </si>
  <si>
    <t xml:space="preserve">(Fx+Fy)/2 - [ ((Fx-Fy)/2)/2)^2 + Sxy^2 )^0.5 ] </t>
  </si>
  <si>
    <t>Max normal stress at point A,  F1 =</t>
  </si>
  <si>
    <t>Min normal stress at point A,  F2 =</t>
  </si>
  <si>
    <t>Max shear stress at point A,  Sxy =</t>
  </si>
  <si>
    <t>a =</t>
  </si>
  <si>
    <t>Power Shaft with: Torque T, Vertical Load V, &amp; Horizontal Load H</t>
  </si>
  <si>
    <t>Shaft material shear modulus,  G =</t>
  </si>
  <si>
    <t>Kt =</t>
  </si>
  <si>
    <t>Shear stress concentration factor,  k =</t>
  </si>
  <si>
    <t>As shown below,  + P =</t>
  </si>
  <si>
    <t>K*Ks*P / A</t>
  </si>
  <si>
    <t>Stress concentration factor,  K =</t>
  </si>
  <si>
    <t>Applied motor shaft torque,  Ta =</t>
  </si>
  <si>
    <t>Shaft torsion deflection angle,  a =</t>
  </si>
  <si>
    <t>Cantilever shaft  bending deflection</t>
  </si>
  <si>
    <t>Square shaft breadth = height,  B =</t>
  </si>
  <si>
    <t>B^4 / 6</t>
  </si>
  <si>
    <t>B^4 / 12</t>
  </si>
  <si>
    <t>Allowable shaft torque,  Ts =</t>
  </si>
  <si>
    <t xml:space="preserve">Ultimate tensile stress design factor,  ku = </t>
  </si>
  <si>
    <t>1.0 HP =</t>
  </si>
  <si>
    <t>Note:</t>
  </si>
  <si>
    <t xml:space="preserve">Coupling Design Shear Stress = </t>
  </si>
  <si>
    <t>Shaft material yield stress, Fy =</t>
  </si>
  <si>
    <t>1. Shaft Torsion Shear Strength</t>
  </si>
  <si>
    <t>2. Square Key Torsion Shear Strength</t>
  </si>
  <si>
    <t>Maximum diameter interference,  δ =</t>
  </si>
  <si>
    <t>Shear stress concentration factor,  Ks =</t>
  </si>
  <si>
    <t>Fs*A / (Kt*Ks)</t>
  </si>
  <si>
    <t>Total coupling bolts torque capacity,  Tb =</t>
  </si>
  <si>
    <t>Multiple pitch number (n) refers to single (n=1), double (n=2), triple (n=3) pitch screw.</t>
  </si>
  <si>
    <t>Force W will cause the screw to rotate (overhaul) if, (-Tan (Ah) + Ft/ Cos (An)) is negative.</t>
  </si>
  <si>
    <t>Calculation</t>
  </si>
  <si>
    <t>Nut length,  L =</t>
  </si>
  <si>
    <t>W / (2*π*L*Rm*H*TPI)</t>
  </si>
  <si>
    <t>Right shoe maximum shoe pressure,  Pmr =</t>
  </si>
  <si>
    <t>Left shoe maximum shoe pressure,  Pml =</t>
  </si>
  <si>
    <t>Sheave groove angle,  A  =</t>
  </si>
  <si>
    <t>Note: Excel requires degrees to be converted to radians.  Degrees x .01745 = Radians</t>
  </si>
  <si>
    <t>Circular pitch radius,  R = CP / 2 =</t>
  </si>
  <si>
    <t>Worm to wheel center distance,  C =</t>
  </si>
  <si>
    <r>
      <t>Circular pitch</t>
    </r>
    <r>
      <rPr>
        <sz val="10"/>
        <rFont val="Arial"/>
        <family val="2"/>
      </rPr>
      <t xml:space="preserve"> (CP) is the pitch circle arc length  </t>
    </r>
  </si>
  <si>
    <t>Bending shock &amp; fatigue factor, Km =</t>
  </si>
  <si>
    <t xml:space="preserve"> between a point on one tooth and the corresponding</t>
  </si>
  <si>
    <r>
      <t>Diametral pitch</t>
    </r>
    <r>
      <rPr>
        <sz val="10"/>
        <rFont val="Arial"/>
        <family val="2"/>
      </rPr>
      <t xml:space="preserve"> (P) is the number of teeth per inch </t>
    </r>
  </si>
  <si>
    <t>of pitch circle diameter.</t>
  </si>
  <si>
    <t>The smaller of Cs and Cp governs design.</t>
  </si>
  <si>
    <t>e^(f2*A2/ Sin(90/2))</t>
  </si>
  <si>
    <t>Sheave capacity  Cs =</t>
  </si>
  <si>
    <t>Pulley capacity,  Cp =</t>
  </si>
  <si>
    <t>(T2-T1)*V / 550</t>
  </si>
  <si>
    <t>Horsepower per belt,  HPb =</t>
  </si>
  <si>
    <t>HP / HPb</t>
  </si>
  <si>
    <t>belts</t>
  </si>
  <si>
    <t>(T1-W*V^2/g)/(Csp)+ (W*V^2/g)</t>
  </si>
  <si>
    <r>
      <t>Enter value of applied moment M</t>
    </r>
    <r>
      <rPr>
        <b/>
        <vertAlign val="subscript"/>
        <sz val="12"/>
        <rFont val="Arial"/>
        <family val="2"/>
      </rPr>
      <t>MAX</t>
    </r>
    <r>
      <rPr>
        <b/>
        <sz val="12"/>
        <rFont val="Arial"/>
        <family val="2"/>
      </rPr>
      <t xml:space="preserve"> from above: </t>
    </r>
  </si>
  <si>
    <t>Beam load from above, P =</t>
  </si>
  <si>
    <t>P*L^3 / (3*E*I)</t>
  </si>
  <si>
    <t>P*a^3 * b^3 / (3*E*I*L^3)</t>
  </si>
  <si>
    <t>P*a^2 * b^2 / (3*E*I*L)</t>
  </si>
  <si>
    <t>Shaft Design Torque from above,  Td =</t>
  </si>
  <si>
    <t>B*H*(B^2 + H^2)/ 12</t>
  </si>
  <si>
    <t>Excel's Goal Seek Example</t>
  </si>
  <si>
    <r>
      <t xml:space="preserve">Use Excel's, "Goal Seek" in the duplicate example below to calculate a new shaft diameter </t>
    </r>
    <r>
      <rPr>
        <b/>
        <sz val="10"/>
        <rFont val="Arial"/>
        <family val="2"/>
      </rPr>
      <t>D</t>
    </r>
    <r>
      <rPr>
        <sz val="10"/>
        <rFont val="Arial"/>
        <family val="2"/>
      </rPr>
      <t xml:space="preserve"> that will </t>
    </r>
  </si>
  <si>
    <r>
      <t>Answer:</t>
    </r>
    <r>
      <rPr>
        <sz val="10"/>
        <rFont val="Arial"/>
        <family val="2"/>
      </rPr>
      <t xml:space="preserve"> 0.612 inch diameter.</t>
    </r>
  </si>
  <si>
    <t>Shear stress for shafts,  St =</t>
  </si>
  <si>
    <r>
      <t xml:space="preserve">Pick the "To value" box and type, </t>
    </r>
    <r>
      <rPr>
        <b/>
        <sz val="10"/>
        <color indexed="10"/>
        <rFont val="Arial"/>
        <family val="2"/>
      </rPr>
      <t>12000</t>
    </r>
  </si>
  <si>
    <t>Pick the, "By changing cell" box and pick the shaft</t>
  </si>
  <si>
    <r>
      <t xml:space="preserve">Click, </t>
    </r>
    <r>
      <rPr>
        <b/>
        <sz val="10"/>
        <rFont val="Arial"/>
        <family val="2"/>
      </rPr>
      <t>OK</t>
    </r>
  </si>
  <si>
    <r>
      <t xml:space="preserve">The shaft torsion stress St will is set at </t>
    </r>
    <r>
      <rPr>
        <b/>
        <sz val="10"/>
        <rFont val="Arial"/>
        <family val="2"/>
      </rPr>
      <t>12000</t>
    </r>
    <r>
      <rPr>
        <sz val="10"/>
        <rFont val="Arial"/>
        <family val="2"/>
      </rPr>
      <t xml:space="preserve"> lbf/in^2 </t>
    </r>
  </si>
  <si>
    <r>
      <t xml:space="preserve">the shaft diameter D has changed from </t>
    </r>
    <r>
      <rPr>
        <b/>
        <sz val="10"/>
        <rFont val="Arial"/>
        <family val="2"/>
      </rPr>
      <t>0.500</t>
    </r>
    <r>
      <rPr>
        <sz val="10"/>
        <rFont val="Arial"/>
        <family val="2"/>
      </rPr>
      <t xml:space="preserve"> to </t>
    </r>
    <r>
      <rPr>
        <b/>
        <sz val="10"/>
        <rFont val="Arial"/>
        <family val="2"/>
      </rPr>
      <t>0.612</t>
    </r>
    <r>
      <rPr>
        <sz val="10"/>
        <rFont val="Arial"/>
        <family val="2"/>
      </rPr>
      <t xml:space="preserve"> </t>
    </r>
  </si>
  <si>
    <r>
      <t xml:space="preserve">reduce the above torsion stress of </t>
    </r>
    <r>
      <rPr>
        <b/>
        <sz val="10"/>
        <color indexed="10"/>
        <rFont val="Arial"/>
        <family val="2"/>
      </rPr>
      <t>22005</t>
    </r>
    <r>
      <rPr>
        <sz val="10"/>
        <rFont val="Arial"/>
        <family val="2"/>
      </rPr>
      <t xml:space="preserve"> lbf/in^2 to </t>
    </r>
    <r>
      <rPr>
        <b/>
        <sz val="10"/>
        <color indexed="10"/>
        <rFont val="Arial"/>
        <family val="2"/>
      </rPr>
      <t>12000</t>
    </r>
    <r>
      <rPr>
        <sz val="10"/>
        <rFont val="Arial"/>
        <family val="2"/>
      </rPr>
      <t xml:space="preserve">  lbf/in^2, keeping the same 5 hp motor. </t>
    </r>
  </si>
  <si>
    <t>Caliper mean radius,  Rd =</t>
  </si>
  <si>
    <t>Number of calipers,  N =</t>
  </si>
  <si>
    <t>Clamping force,  F =</t>
  </si>
  <si>
    <r>
      <t xml:space="preserve">Coefficient of friction,  </t>
    </r>
    <r>
      <rPr>
        <sz val="10"/>
        <rFont val="Arial"/>
        <family val="2"/>
      </rPr>
      <t>μ</t>
    </r>
    <r>
      <rPr>
        <sz val="10"/>
        <rFont val="Arial"/>
        <family val="2"/>
      </rPr>
      <t xml:space="preserve"> =</t>
    </r>
  </si>
  <si>
    <t>2*μ*F*N*Rm</t>
  </si>
  <si>
    <r>
      <t>Shear stress due to Td,  S</t>
    </r>
    <r>
      <rPr>
        <b/>
        <vertAlign val="subscript"/>
        <sz val="10"/>
        <rFont val="Arial"/>
        <family val="2"/>
      </rPr>
      <t>T</t>
    </r>
    <r>
      <rPr>
        <b/>
        <sz val="10"/>
        <rFont val="Arial"/>
        <family val="2"/>
      </rPr>
      <t xml:space="preserve"> =</t>
    </r>
  </si>
  <si>
    <t xml:space="preserve">Drive Shaft Torque Twist Angle </t>
  </si>
  <si>
    <t xml:space="preserve">Power Shaft Torque </t>
  </si>
  <si>
    <t>Shaft Design Torque,  Td =</t>
  </si>
  <si>
    <t>Tight side V-belt allowable tension,  T1  =</t>
  </si>
  <si>
    <t>Driven sheave pitch diameter,  D2 =</t>
  </si>
  <si>
    <t>D2 =</t>
  </si>
  <si>
    <t>T*(D / 2) / J</t>
  </si>
  <si>
    <t>-M*c / I</t>
  </si>
  <si>
    <t>1 / Pd</t>
  </si>
  <si>
    <t>1.157 / Pd</t>
  </si>
  <si>
    <t>2.157 / Pd</t>
  </si>
  <si>
    <t>.157 / Pd</t>
  </si>
  <si>
    <t>Spread Sheet Method:</t>
  </si>
  <si>
    <t>1. Type in values for the input data.</t>
  </si>
  <si>
    <t>2. Enter.</t>
  </si>
  <si>
    <r>
      <t xml:space="preserve">3. </t>
    </r>
    <r>
      <rPr>
        <b/>
        <sz val="10"/>
        <color indexed="10"/>
        <rFont val="Arial"/>
        <family val="2"/>
      </rPr>
      <t>Answer:  X = will be calculated.</t>
    </r>
  </si>
  <si>
    <t xml:space="preserve"> </t>
  </si>
  <si>
    <t>lbs/in^2</t>
  </si>
  <si>
    <t>in^4</t>
  </si>
  <si>
    <t xml:space="preserve">in </t>
  </si>
  <si>
    <t>in-lbf</t>
  </si>
  <si>
    <t>Answer:  Fb =</t>
  </si>
  <si>
    <t>Shaft length,  L =</t>
  </si>
  <si>
    <t>Material shear modulus,  G =</t>
  </si>
  <si>
    <t>in</t>
  </si>
  <si>
    <t>psi</t>
  </si>
  <si>
    <t>radians</t>
  </si>
  <si>
    <t>Motor shaft torque,  Tm =</t>
  </si>
  <si>
    <t>Motor Shaft Torque</t>
  </si>
  <si>
    <t>degrees</t>
  </si>
  <si>
    <t>Motor Power,  HP =</t>
  </si>
  <si>
    <t>Shaft speed,  N =</t>
  </si>
  <si>
    <t>rpm</t>
  </si>
  <si>
    <t>hp</t>
  </si>
  <si>
    <t>Answer:  Tm =</t>
  </si>
  <si>
    <t>Section polar moment of inertia,  J =</t>
  </si>
  <si>
    <t>Round solid shaft diameter,  D =</t>
  </si>
  <si>
    <t>J =</t>
  </si>
  <si>
    <t>lb/in^2</t>
  </si>
  <si>
    <t>Di =</t>
  </si>
  <si>
    <t>Rectangular shaft breadth,  B =</t>
  </si>
  <si>
    <t>Height,  H =</t>
  </si>
  <si>
    <t>Maximum shear stress,  Fs =</t>
  </si>
  <si>
    <t>M*c / I</t>
  </si>
  <si>
    <t>Modulus of elasticity,  E =</t>
  </si>
  <si>
    <t>lbf</t>
  </si>
  <si>
    <t>-W*L^3 / (3*E*I)</t>
  </si>
  <si>
    <t>in*lbf</t>
  </si>
  <si>
    <t>Design Stress</t>
  </si>
  <si>
    <t>.</t>
  </si>
  <si>
    <t>See input above:</t>
  </si>
  <si>
    <t>Power Screw Torque</t>
  </si>
  <si>
    <t>Angle of Wrap An</t>
  </si>
  <si>
    <t xml:space="preserve">V-Belt Drive </t>
  </si>
  <si>
    <t>Strength of Gear Teeth</t>
  </si>
  <si>
    <t>The stress calculated above does not include stress concentration or dynamic loading.</t>
  </si>
  <si>
    <t>Gear Tooth Dynamic Load</t>
  </si>
  <si>
    <t>Worm Circular Pitch,  Pc</t>
  </si>
  <si>
    <t>Poisson's Ratio, Rp = 0.3 =</t>
  </si>
  <si>
    <t>Enter values for applied moment at a beam section, c, Izz and Kb. Bending stress will  be calculated.</t>
  </si>
  <si>
    <t>This is the end of this work sheet.</t>
  </si>
  <si>
    <t>Section moment of inertia,  I =</t>
  </si>
  <si>
    <t>Applied moment at x,  M =</t>
  </si>
  <si>
    <t>Max bending stress,  Fb =</t>
  </si>
  <si>
    <t>Deflection location,  x =</t>
  </si>
  <si>
    <t>Torque shock load factor,  Kt =</t>
  </si>
  <si>
    <t>Answer: Design Torque,  Td =</t>
  </si>
  <si>
    <t>Td*L / (J*G)</t>
  </si>
  <si>
    <t>Kt*Ta</t>
  </si>
  <si>
    <t xml:space="preserve">    </t>
  </si>
  <si>
    <t>Bending moment shock load factor,  Km =</t>
  </si>
  <si>
    <t>Shaft transverse load,  W =</t>
  </si>
  <si>
    <t>in-lbs</t>
  </si>
  <si>
    <t>Moment at,  x =</t>
  </si>
  <si>
    <t>Design moment at x,  Md =</t>
  </si>
  <si>
    <t xml:space="preserve"> Moment at x,  Mx =</t>
  </si>
  <si>
    <t>Km*Mx</t>
  </si>
  <si>
    <t>W*x</t>
  </si>
  <si>
    <t>c =</t>
  </si>
  <si>
    <t>B*H^3 / 12</t>
  </si>
  <si>
    <t>B</t>
  </si>
  <si>
    <t>ΣA =</t>
  </si>
  <si>
    <t>ΣA*h^2 + ΣIcg</t>
  </si>
  <si>
    <t>Shaft diameter,  D =</t>
  </si>
  <si>
    <t xml:space="preserve">Step 1. </t>
  </si>
  <si>
    <t xml:space="preserve">Step 2. </t>
  </si>
  <si>
    <t xml:space="preserve">Step 3. </t>
  </si>
  <si>
    <t xml:space="preserve">Step 4. </t>
  </si>
  <si>
    <t xml:space="preserve">Step 5. </t>
  </si>
  <si>
    <t xml:space="preserve">Step 6. </t>
  </si>
  <si>
    <t>lbf/in^2</t>
  </si>
  <si>
    <t>Pre-load in each bolt,  P =</t>
  </si>
  <si>
    <t>Outer contact diameter,  Do =</t>
  </si>
  <si>
    <t>Inner contact diameter,  Di =</t>
  </si>
  <si>
    <t>Coefficient of friction,  f =</t>
  </si>
  <si>
    <t>(2/3)*(Ro^3-Ri^3)/(Ro^2-Ri^2)</t>
  </si>
  <si>
    <t>Axial force,  Fa =</t>
  </si>
  <si>
    <t>Number of bolts,  Nb =</t>
  </si>
  <si>
    <t>P*Nb</t>
  </si>
  <si>
    <t>Fa =</t>
  </si>
  <si>
    <t>Coupling friction torque capacity,  Tf =</t>
  </si>
  <si>
    <t>Fa*f*Rf*n</t>
  </si>
  <si>
    <t>Number of pairs of friction surfaces,  n =</t>
  </si>
  <si>
    <t>Coupling friction radius,  Rf =</t>
  </si>
  <si>
    <t>Answer:  Tf =</t>
  </si>
  <si>
    <t>Assume half of bolts are effective due differences in bolt holes and bolt diameters.</t>
  </si>
  <si>
    <t>Shear strength per bolt,  Pb =</t>
  </si>
  <si>
    <t>Bolt allowable shear stress,  Fs =</t>
  </si>
  <si>
    <t>Bolt circle diameter,  Dc =</t>
  </si>
  <si>
    <t>Answer:  Pb =</t>
  </si>
  <si>
    <t>Pb*(Dc/2)*(Nb / 2)</t>
  </si>
  <si>
    <t>Answer:  Tb =</t>
  </si>
  <si>
    <t>Shaft diameter, Ds =</t>
  </si>
  <si>
    <t>Answer:  Rf =</t>
  </si>
  <si>
    <t>π*D^4 / 32</t>
  </si>
  <si>
    <t>Key shear strength,  Pk =</t>
  </si>
  <si>
    <t>Bending deflection at x = 0,  Y =</t>
  </si>
  <si>
    <t>Cantilever bend'g deflection at x,  Yx =</t>
  </si>
  <si>
    <t>π*(Do^4 - Di^4) / 32</t>
  </si>
  <si>
    <t>12*33000*HP / (2*π*N)</t>
  </si>
  <si>
    <t>Principal stress,  F1 =</t>
  </si>
  <si>
    <t>Principal stress,  F2 =</t>
  </si>
  <si>
    <t>( ATAN(2*Sxy / (Fy - Fx) ) / 2</t>
  </si>
  <si>
    <t>Principal plane angle, A =</t>
  </si>
  <si>
    <t>Refer to the diagram above:</t>
  </si>
  <si>
    <r>
      <t>Pitch</t>
    </r>
    <r>
      <rPr>
        <sz val="10"/>
        <rFont val="Arial"/>
        <family val="2"/>
      </rPr>
      <t xml:space="preserve"> (P) is the distance from a point on one thread to the corresponding point on the next thread.</t>
    </r>
  </si>
  <si>
    <r>
      <t>Lead</t>
    </r>
    <r>
      <rPr>
        <sz val="10"/>
        <rFont val="Arial"/>
        <family val="2"/>
      </rPr>
      <t xml:space="preserve"> (n*P) is the distance a nut advances each complete revolution.</t>
    </r>
  </si>
  <si>
    <t>Thread friction coefficient,  Ft =</t>
  </si>
  <si>
    <t>Screw outside diameter,  D =</t>
  </si>
  <si>
    <t>threads/in</t>
  </si>
  <si>
    <t>Bearing friction coefficient,  Fb =</t>
  </si>
  <si>
    <t>Acme thread depth,  H =</t>
  </si>
  <si>
    <t>0.5*(1/ TPI )+0.01</t>
  </si>
  <si>
    <t>Thread mean radius,  Rm =</t>
  </si>
  <si>
    <t>(D - H) / 2</t>
  </si>
  <si>
    <t>Rm =</t>
  </si>
  <si>
    <t>Answer:  H =</t>
  </si>
  <si>
    <t>n*(1/ TPI ) / (2*π*Rm)</t>
  </si>
  <si>
    <t>Answer:  Tan (Ah) =</t>
  </si>
  <si>
    <t>Answer:  Ah =</t>
  </si>
  <si>
    <t>Thread normal force angle,  Tan (An) =</t>
  </si>
  <si>
    <t>Tan (At)*Cos (Ah)</t>
  </si>
  <si>
    <t>Answer:  Tan (An) =</t>
  </si>
  <si>
    <t>Answer:  An =</t>
  </si>
  <si>
    <t>Thread helix angle,  Tan (Ah) =</t>
  </si>
  <si>
    <t>Screw thread turns per inch,  TPI =</t>
  </si>
  <si>
    <t>* These loads may be applied gradually, suddenly, and repeatedly.</t>
  </si>
  <si>
    <t>* The average applied design stress must be multiplied by a stress concentration factor K.</t>
  </si>
  <si>
    <t>Thread multiple pitch lead number,  n =</t>
  </si>
  <si>
    <t>Power screw torque,   T =</t>
  </si>
  <si>
    <t>Load to be raised by power screw,  W =</t>
  </si>
  <si>
    <t>X =</t>
  </si>
  <si>
    <t>Y =</t>
  </si>
  <si>
    <t>W*(Rm*( X / Y) + Fb*Rb)</t>
  </si>
  <si>
    <t>Bearing mean radius,  Rb =</t>
  </si>
  <si>
    <t>(Tan (Ah) + Ft/ Cos (An))</t>
  </si>
  <si>
    <t>(1- Ft*Tan (Ah)/ Cos (An))</t>
  </si>
  <si>
    <t>Answer:  T =</t>
  </si>
  <si>
    <t>This is the end of this worksheet.</t>
  </si>
  <si>
    <t xml:space="preserve"> A*B</t>
  </si>
  <si>
    <t xml:space="preserve"> 2 * 3</t>
  </si>
  <si>
    <t>X^n</t>
  </si>
  <si>
    <t>2^3</t>
  </si>
  <si>
    <t>A / B</t>
  </si>
  <si>
    <t>3 / 2</t>
  </si>
  <si>
    <t>A + B =</t>
  </si>
  <si>
    <t xml:space="preserve"> A + B</t>
  </si>
  <si>
    <t>2 + 3 =</t>
  </si>
  <si>
    <t xml:space="preserve"> 2 + 3</t>
  </si>
  <si>
    <t>Stress (tension +) (compression -), S =</t>
  </si>
  <si>
    <t>Extension (+), Compression ( - ),  X =</t>
  </si>
  <si>
    <t>Transverse (contraction +) (expansion -) =</t>
  </si>
  <si>
    <t>Bending stress will be calculated.</t>
  </si>
  <si>
    <t>Max moment stress,  Sm =</t>
  </si>
  <si>
    <r>
      <t>Cantilever, M</t>
    </r>
    <r>
      <rPr>
        <b/>
        <vertAlign val="subscript"/>
        <sz val="10"/>
        <rFont val="Arial"/>
        <family val="2"/>
      </rPr>
      <t>MAX</t>
    </r>
    <r>
      <rPr>
        <b/>
        <sz val="10"/>
        <rFont val="Arial"/>
        <family val="2"/>
      </rPr>
      <t xml:space="preserve"> at B = </t>
    </r>
  </si>
  <si>
    <r>
      <t>Applied moment from above,  M</t>
    </r>
    <r>
      <rPr>
        <vertAlign val="subscript"/>
        <sz val="10"/>
        <rFont val="Arial"/>
        <family val="2"/>
      </rPr>
      <t>MAX</t>
    </r>
    <r>
      <rPr>
        <sz val="10"/>
        <rFont val="Arial"/>
        <family val="2"/>
      </rPr>
      <t xml:space="preserve"> =</t>
    </r>
  </si>
  <si>
    <t>P * L</t>
  </si>
  <si>
    <t>P * a * b^2 / L^2</t>
  </si>
  <si>
    <t>b =</t>
  </si>
  <si>
    <t>L - a</t>
  </si>
  <si>
    <t xml:space="preserve">P * a * b / L </t>
  </si>
  <si>
    <r>
      <t>Fixed ends, M</t>
    </r>
    <r>
      <rPr>
        <b/>
        <vertAlign val="subscript"/>
        <sz val="10"/>
        <rFont val="Arial"/>
        <family val="2"/>
      </rPr>
      <t xml:space="preserve">MAX, </t>
    </r>
    <r>
      <rPr>
        <b/>
        <sz val="10"/>
        <rFont val="Arial"/>
        <family val="2"/>
      </rPr>
      <t>at C ( a &lt; b ) =</t>
    </r>
  </si>
  <si>
    <r>
      <t>Pinned ends, M</t>
    </r>
    <r>
      <rPr>
        <b/>
        <vertAlign val="subscript"/>
        <sz val="10"/>
        <rFont val="Arial"/>
        <family val="2"/>
      </rPr>
      <t>MAX,</t>
    </r>
    <r>
      <rPr>
        <b/>
        <sz val="10"/>
        <rFont val="Arial"/>
        <family val="2"/>
      </rPr>
      <t xml:space="preserve"> at C =</t>
    </r>
  </si>
  <si>
    <t>P =</t>
  </si>
  <si>
    <t xml:space="preserve"> (-Tan (Ah) + Ft/ Cos (An)) =</t>
  </si>
  <si>
    <t>SCREW THREAD AVERAGE PRESSURE</t>
  </si>
  <si>
    <t>Thread height,  H =</t>
  </si>
  <si>
    <t>Screw thread average pressure,  P =</t>
  </si>
  <si>
    <t>Answer:  P =</t>
  </si>
  <si>
    <t>Brake shoe face width,  w =</t>
  </si>
  <si>
    <t>Drum internal radius,  Rd =</t>
  </si>
  <si>
    <t>Shoe heel angle,  A1 =</t>
  </si>
  <si>
    <t>Shoe angle,  A2 =</t>
  </si>
  <si>
    <t>Shoe mean angle,  Am =</t>
  </si>
  <si>
    <t>C =</t>
  </si>
  <si>
    <t>Shoe mean radius,  Rs =</t>
  </si>
  <si>
    <t>Calculate Brake Torque Capacity</t>
  </si>
  <si>
    <t>(Rd - Rd*Cos(A2)) - (Rs/2)*Sin^2(A2))</t>
  </si>
  <si>
    <t>Right shoe friction moment,  Mr =</t>
  </si>
  <si>
    <t>Mr =</t>
  </si>
  <si>
    <t>((f*Pm*w*Rd)/(Sin(Am))*(X)</t>
  </si>
  <si>
    <t>((Pm*w*Rd*Rs)/(Sin(Am))*(Y)</t>
  </si>
  <si>
    <t>Right shoe brake torque capacity,  Tr =</t>
  </si>
  <si>
    <t>Z =</t>
  </si>
  <si>
    <t>((Cos(A1)-Cos(A2)) / Sin(Am)</t>
  </si>
  <si>
    <t>Tr =</t>
  </si>
  <si>
    <t>f*Pm*w*Rd^2*(Z)</t>
  </si>
  <si>
    <t xml:space="preserve"> (0.5*A2) - (0.25*Sin(2*A2))</t>
  </si>
  <si>
    <t>Right normal forces moment,  Mn =</t>
  </si>
  <si>
    <t>Mn =</t>
  </si>
  <si>
    <t>(Mn - Mr) / C</t>
  </si>
  <si>
    <t>Brake cylinder force,  P =</t>
  </si>
  <si>
    <t>deg.</t>
  </si>
  <si>
    <t>N / Pd</t>
  </si>
  <si>
    <t>D + (2*A)</t>
  </si>
  <si>
    <t>D - (2*B)</t>
  </si>
  <si>
    <t>2*A</t>
  </si>
  <si>
    <t>Bore diameter =</t>
  </si>
  <si>
    <t>14.5 or 20</t>
  </si>
  <si>
    <t>Gear hub width =</t>
  </si>
  <si>
    <t>Gear hub diameter =</t>
  </si>
  <si>
    <t>-</t>
  </si>
  <si>
    <t>π*D / N</t>
  </si>
  <si>
    <t xml:space="preserve">point on the adjacent tooth. </t>
  </si>
  <si>
    <t>Tooth base thickness,  t =</t>
  </si>
  <si>
    <t>Moment arm length,  h =</t>
  </si>
  <si>
    <t>t / 2</t>
  </si>
  <si>
    <t>Section modulus,  I =</t>
  </si>
  <si>
    <t>b*t^3 / 12</t>
  </si>
  <si>
    <t>Base half thickness,  c =</t>
  </si>
  <si>
    <t>I =</t>
  </si>
  <si>
    <t>Sb =</t>
  </si>
  <si>
    <t>in^3</t>
  </si>
  <si>
    <t>Pitch line velocity,  Vp =</t>
  </si>
  <si>
    <t>Tooth face width,  b =</t>
  </si>
  <si>
    <t>Tooth face width (into paper),  b =</t>
  </si>
  <si>
    <t>Gear torque,  T =</t>
  </si>
  <si>
    <t>Deformation factor (steel gears),  C =</t>
  </si>
  <si>
    <t>Dynamic load,  Pd =</t>
  </si>
  <si>
    <t>((0.05*V*(b*C + F)) / (0.05*V + (b*C + F)^.5)) + F</t>
  </si>
  <si>
    <t>Static load,  F =</t>
  </si>
  <si>
    <t>2*T / R</t>
  </si>
  <si>
    <t>ft/min</t>
  </si>
  <si>
    <t>F =</t>
  </si>
  <si>
    <t>Pd =</t>
  </si>
  <si>
    <t>Gear Tooth Interference</t>
  </si>
  <si>
    <t>Pressure</t>
  </si>
  <si>
    <t>Angle 14</t>
  </si>
  <si>
    <t>Number of Teeth</t>
  </si>
  <si>
    <t>Rack</t>
  </si>
  <si>
    <t>Gear</t>
  </si>
  <si>
    <t xml:space="preserve">Angle 20 </t>
  </si>
  <si>
    <t>S*b*Pc*Y</t>
  </si>
  <si>
    <t>Allowable gear tooth tensile stress,  S =</t>
  </si>
  <si>
    <t>Tooth width,  b =</t>
  </si>
  <si>
    <t>Lewis form factor,  Y =</t>
  </si>
  <si>
    <t>Allowable gear tooth load,  F =</t>
  </si>
  <si>
    <t>Strength of Gear Teeth- Lewis Equation - if pitch circle diameter is known</t>
  </si>
  <si>
    <t>Strength of Gear Teeth- Lewis Equation - if pitch circle diameter is not known</t>
  </si>
  <si>
    <t>Gear tooth tensile stress,  S =</t>
  </si>
  <si>
    <t>Gear shaft torque,  T =</t>
  </si>
  <si>
    <t>N / D</t>
  </si>
  <si>
    <t>Diametral pitch,  Pd =</t>
  </si>
  <si>
    <t>Constant,  k =</t>
  </si>
  <si>
    <t>max</t>
  </si>
  <si>
    <t>Number of gear teeth,  N =</t>
  </si>
  <si>
    <t>S =</t>
  </si>
  <si>
    <t xml:space="preserve">   </t>
  </si>
  <si>
    <t>Gear Pitch Line Velocity</t>
  </si>
  <si>
    <t>Pitch circle diameter,  Dp =</t>
  </si>
  <si>
    <t xml:space="preserve">Drop down menu: Tools &gt; Protection &gt; Unprotect Sheet &gt; OK </t>
  </si>
  <si>
    <t>When Excel's Goal Seek is not needed, restore protection with:</t>
  </si>
  <si>
    <t xml:space="preserve">Drop down menu: Tools &gt; Protection &gt; Protect Sheet &gt; OK </t>
  </si>
  <si>
    <t>When using Excel's Goal Seek, unprotect the spread sheet by selecting:</t>
  </si>
  <si>
    <t>Nickel-Chrome Steel</t>
  </si>
  <si>
    <t>Rotational speed,  n =</t>
  </si>
  <si>
    <t>Gear horsepower transmitted,  HP =</t>
  </si>
  <si>
    <t>F*V / 33000</t>
  </si>
  <si>
    <t>HP =</t>
  </si>
  <si>
    <t>Gear Pitch Line Velocity,  V =</t>
  </si>
  <si>
    <r>
      <t>π</t>
    </r>
    <r>
      <rPr>
        <sz val="10"/>
        <rFont val="Arial"/>
        <family val="2"/>
      </rPr>
      <t>*Dp*n / 12</t>
    </r>
  </si>
  <si>
    <t>V =</t>
  </si>
  <si>
    <t>2*T*Pd^3 / (k*π^2*Y*N)</t>
  </si>
  <si>
    <t xml:space="preserve">Strength of Worm &amp; Wheel Gears - Lewis Equation </t>
  </si>
  <si>
    <t>Circular pitch,  Pc =</t>
  </si>
  <si>
    <t>Circular pitch,  Pnc =</t>
  </si>
  <si>
    <t>Gear Pitch Line Velocity,  Vg =</t>
  </si>
  <si>
    <t>Vg =</t>
  </si>
  <si>
    <t>So*1200 / (1200 + Vg)</t>
  </si>
  <si>
    <t>Worm / Wheel allowable stress,  So =</t>
  </si>
  <si>
    <t>Breadth,  B =</t>
  </si>
  <si>
    <r>
      <t>X</t>
    </r>
    <r>
      <rPr>
        <b/>
        <vertAlign val="superscript"/>
        <sz val="10"/>
        <rFont val="Arial"/>
        <family val="2"/>
      </rPr>
      <t>n</t>
    </r>
    <r>
      <rPr>
        <b/>
        <sz val="10"/>
        <rFont val="Arial"/>
        <family val="2"/>
      </rPr>
      <t xml:space="preserve"> =</t>
    </r>
  </si>
  <si>
    <r>
      <t>2</t>
    </r>
    <r>
      <rPr>
        <b/>
        <vertAlign val="superscript"/>
        <sz val="10"/>
        <rFont val="Arial"/>
        <family val="2"/>
      </rPr>
      <t>3</t>
    </r>
    <r>
      <rPr>
        <b/>
        <sz val="10"/>
        <rFont val="Arial"/>
        <family val="2"/>
      </rPr>
      <t xml:space="preserve"> =</t>
    </r>
  </si>
  <si>
    <t>A x B =</t>
  </si>
  <si>
    <t>2 x 3 =</t>
  </si>
  <si>
    <t>A / B =</t>
  </si>
  <si>
    <t>3 / 2 =</t>
  </si>
  <si>
    <t xml:space="preserve">    Math Symbols</t>
  </si>
  <si>
    <t xml:space="preserve">  A </t>
  </si>
  <si>
    <t>Input</t>
  </si>
  <si>
    <t xml:space="preserve">                                    Input</t>
  </si>
  <si>
    <t xml:space="preserve">Input </t>
  </si>
  <si>
    <t xml:space="preserve">Icg </t>
  </si>
  <si>
    <t>Σ =</t>
  </si>
  <si>
    <t xml:space="preserve"> =</t>
  </si>
  <si>
    <t>Bn</t>
  </si>
  <si>
    <t>Hn</t>
  </si>
  <si>
    <t>Center of gravity,  Ycg =</t>
  </si>
  <si>
    <t>Yn</t>
  </si>
  <si>
    <t>ΣA*Yn/ΣA</t>
  </si>
  <si>
    <t>So =</t>
  </si>
  <si>
    <t>Ultimate stress,  Su =</t>
  </si>
  <si>
    <t>Su / 3</t>
  </si>
  <si>
    <t>Worm/gear design stress,  Sd =</t>
  </si>
  <si>
    <t>Sd =</t>
  </si>
  <si>
    <t>π*Dp*n / 12</t>
  </si>
  <si>
    <t>Input Data</t>
  </si>
  <si>
    <t>Calculations</t>
  </si>
  <si>
    <t>Worm Gear Dynamic Load</t>
  </si>
  <si>
    <t>Worm Gear Dynamic Load,  Fd =</t>
  </si>
  <si>
    <t>F*(1200+Vg) / (1200)</t>
  </si>
  <si>
    <t>Fd =</t>
  </si>
  <si>
    <t>Worm Gear Endurance Load</t>
  </si>
  <si>
    <t>Worm Gear Endurance Load,  Fe =</t>
  </si>
  <si>
    <t>Sd*b*Pnc*Y</t>
  </si>
  <si>
    <t>Worm wheel pitch circle diameter,  Dp =</t>
  </si>
  <si>
    <t>Y/H</t>
  </si>
  <si>
    <t>A</t>
  </si>
  <si>
    <t>C</t>
  </si>
  <si>
    <t>D</t>
  </si>
  <si>
    <t>Allowable shaft stress from above, Ssu or Ssy =</t>
  </si>
  <si>
    <t>Design ultimate shear stress,  Ssu =</t>
  </si>
  <si>
    <t>Design yield shear design stress factor,  Ssy =</t>
  </si>
  <si>
    <t xml:space="preserve">Legend </t>
  </si>
  <si>
    <t xml:space="preserve">h / R </t>
  </si>
  <si>
    <t>Key slot depth, h =</t>
  </si>
  <si>
    <t>Key slot half width,  y =</t>
  </si>
  <si>
    <t>Use the smaller design shear stress of Fsu and Fsy above.</t>
  </si>
  <si>
    <t>Key slot total width = H =</t>
  </si>
  <si>
    <t>Key slot stress factor from graph above,  Kk =</t>
  </si>
  <si>
    <r>
      <t xml:space="preserve">Key slot half width / Slot depth, </t>
    </r>
    <r>
      <rPr>
        <b/>
        <sz val="10"/>
        <rFont val="Arial"/>
        <family val="2"/>
      </rPr>
      <t>y / h</t>
    </r>
    <r>
      <rPr>
        <sz val="10"/>
        <rFont val="Arial"/>
        <family val="2"/>
      </rPr>
      <t xml:space="preserve"> =</t>
    </r>
  </si>
  <si>
    <r>
      <t>Slot depth / Shaft radius,</t>
    </r>
    <r>
      <rPr>
        <b/>
        <sz val="10"/>
        <rFont val="Arial"/>
        <family val="2"/>
      </rPr>
      <t xml:space="preserve"> h / R</t>
    </r>
    <r>
      <rPr>
        <sz val="10"/>
        <rFont val="Arial"/>
        <family val="2"/>
      </rPr>
      <t xml:space="preserve"> =</t>
    </r>
  </si>
  <si>
    <t>Ss*J / (Kt*Kk*Ds/2)</t>
  </si>
  <si>
    <t>Key bearing strength,  Tk =</t>
  </si>
  <si>
    <t>Sd*b*Y*π / Pnd</t>
  </si>
  <si>
    <t>Worm Gear Wear Load</t>
  </si>
  <si>
    <t>Fw =</t>
  </si>
  <si>
    <t>Gear pitch diameter, Dg =</t>
  </si>
  <si>
    <t>Material wear constant,  B =</t>
  </si>
  <si>
    <t>Worm Gear Wear Load,  Fw =</t>
  </si>
  <si>
    <t xml:space="preserve">lbf </t>
  </si>
  <si>
    <t>Fe =</t>
  </si>
  <si>
    <t>Worm</t>
  </si>
  <si>
    <t>Hardened steel</t>
  </si>
  <si>
    <t>250 BHN steel</t>
  </si>
  <si>
    <t>Cast iron</t>
  </si>
  <si>
    <t>Phosphor bronze</t>
  </si>
  <si>
    <t>Antimony bronze</t>
  </si>
  <si>
    <t>Material Wear Constant</t>
  </si>
  <si>
    <t>A =</t>
  </si>
  <si>
    <t>1/8, 5/16, 3/8, 1/2, 5/8, 3/4, 1, 1.25, 1.75, and 2.</t>
  </si>
  <si>
    <t>Pc =</t>
  </si>
  <si>
    <t>Curved Beam-Rectangular Section</t>
  </si>
  <si>
    <t xml:space="preserve">0.25*(Ro^0.5 + Ri^0.5)^2 </t>
  </si>
  <si>
    <t>Inside fiber bending stress,  Si =</t>
  </si>
  <si>
    <t>Curved Beam-2 Circular Section</t>
  </si>
  <si>
    <t>(P*(Rna+e))*(Rna-Ri) / (A*e*Ri)</t>
  </si>
  <si>
    <t>Tension ( + ) Compression ( - ), P =</t>
  </si>
  <si>
    <t>Section Area, A =</t>
  </si>
  <si>
    <t>P / A</t>
  </si>
  <si>
    <t>Original length, L =</t>
  </si>
  <si>
    <t>Original height, H =</t>
  </si>
  <si>
    <t xml:space="preserve">(H - Ho)  </t>
  </si>
  <si>
    <t>((H - Ho) / H) / e</t>
  </si>
  <si>
    <t>0.3*e*H</t>
  </si>
  <si>
    <t>For most metals</t>
  </si>
  <si>
    <t>Kb*M*C / I</t>
  </si>
  <si>
    <t>Larger of: C1 and C2  = C =</t>
  </si>
  <si>
    <t xml:space="preserve">Enter values for applied moment at a beam section given: C, Ixx and Ycg. </t>
  </si>
  <si>
    <t xml:space="preserve"> L =</t>
  </si>
  <si>
    <t>Calculate</t>
  </si>
  <si>
    <t>Section polar moment of area,  J =</t>
  </si>
  <si>
    <t>Shaft material tension modulus,  E =</t>
  </si>
  <si>
    <t>Transmission ratio,  R =</t>
  </si>
  <si>
    <t>Worm Gear Efficiency</t>
  </si>
  <si>
    <t xml:space="preserve">  Coefficient of friction,  f =</t>
  </si>
  <si>
    <t>Lead angle,  A =</t>
  </si>
  <si>
    <t>Worm gear efficiency,  e =</t>
  </si>
  <si>
    <t>(1 - f*Tan(A/57.2975) / (1 + f/Tan(A/57.2975)</t>
  </si>
  <si>
    <t>e =</t>
  </si>
  <si>
    <t>AGMA Worm Gear Heat Dissipation Limit</t>
  </si>
  <si>
    <t>9.5*C^1.7 / (R + 5)</t>
  </si>
  <si>
    <t>Maximum horse power limit,  HPm =</t>
  </si>
  <si>
    <t>HPm =</t>
  </si>
  <si>
    <t>Section area,  A =</t>
  </si>
  <si>
    <t>Section height,  H =</t>
  </si>
  <si>
    <t>Section width,  B =</t>
  </si>
  <si>
    <t>H*B</t>
  </si>
  <si>
    <t>in^2</t>
  </si>
  <si>
    <r>
      <t xml:space="preserve">External force,  </t>
    </r>
    <r>
      <rPr>
        <sz val="10"/>
        <rFont val="Arial"/>
        <family val="2"/>
      </rPr>
      <t>±</t>
    </r>
    <r>
      <rPr>
        <sz val="10"/>
        <rFont val="Arial"/>
        <family val="2"/>
      </rPr>
      <t xml:space="preserve"> P =</t>
    </r>
  </si>
  <si>
    <t xml:space="preserve">  - P =</t>
  </si>
  <si>
    <t>Tension</t>
  </si>
  <si>
    <t>Compression</t>
  </si>
  <si>
    <t>TENSION AND COMPRESSION</t>
  </si>
  <si>
    <t>Original length,  L =</t>
  </si>
  <si>
    <t>Strain,  e =</t>
  </si>
  <si>
    <t>G x 10^6</t>
  </si>
  <si>
    <t>Brass</t>
  </si>
  <si>
    <t>Bronze</t>
  </si>
  <si>
    <t>Duralumin</t>
  </si>
  <si>
    <t>Monel Metal</t>
  </si>
  <si>
    <r>
      <t xml:space="preserve">External shear force,  </t>
    </r>
    <r>
      <rPr>
        <sz val="10"/>
        <rFont val="Arial"/>
        <family val="2"/>
      </rPr>
      <t>P =</t>
    </r>
  </si>
  <si>
    <t>k*P / A</t>
  </si>
  <si>
    <t>Shear strain,  e =</t>
  </si>
  <si>
    <t>Shear modulus,  G =</t>
  </si>
  <si>
    <t>Shear deflection,  v =</t>
  </si>
  <si>
    <t>Fs / G</t>
  </si>
  <si>
    <t>L*e</t>
  </si>
  <si>
    <t>Outside radius,  Ro =</t>
  </si>
  <si>
    <t>Inside radius,  Ri =</t>
  </si>
  <si>
    <t>Rna =</t>
  </si>
  <si>
    <t>Rna</t>
  </si>
  <si>
    <t>e*L</t>
  </si>
  <si>
    <t xml:space="preserve"> v =</t>
  </si>
  <si>
    <t>Ro - Ri</t>
  </si>
  <si>
    <t>Applied moment,  M =</t>
  </si>
  <si>
    <t>Fo =</t>
  </si>
  <si>
    <t>Ri + H/2 - Rna</t>
  </si>
  <si>
    <t>M*(Rna-Ri) / (A*e*Ri)</t>
  </si>
  <si>
    <t>H / Ln(Ro / Ri)</t>
  </si>
  <si>
    <t>M*(Ro-Rna) / (A*e*Ro)</t>
  </si>
  <si>
    <t>Section radius of neutral axis,  Rna =</t>
  </si>
  <si>
    <t>Td*D / (2*J)</t>
  </si>
  <si>
    <t>M*D / (2*I)</t>
  </si>
  <si>
    <t>π*D^4 / 64</t>
  </si>
  <si>
    <t>Position in shaft,  x =</t>
  </si>
  <si>
    <t>Bending stress for shaft,  Fb =</t>
  </si>
  <si>
    <t>Shaft transverse load at free end,  W =</t>
  </si>
  <si>
    <t>(-W*x^2/(6*E*I))*((3*L) - x)</t>
  </si>
  <si>
    <t>Km*W*x</t>
  </si>
  <si>
    <t>D =</t>
  </si>
  <si>
    <t>ku* Ft</t>
  </si>
  <si>
    <t>ky* Ft</t>
  </si>
  <si>
    <t xml:space="preserve">Yield stress factor,  ky = </t>
  </si>
  <si>
    <t>Design allowable average shear stress.</t>
  </si>
  <si>
    <t>Material ultimate tensile stress, Ft =</t>
  </si>
  <si>
    <t>Key stress factor,  K =</t>
  </si>
  <si>
    <t>Key shear area,  A =</t>
  </si>
  <si>
    <t>K*Fs*A</t>
  </si>
  <si>
    <t>Pk*Ds/2</t>
  </si>
  <si>
    <t>Key Length, L =</t>
  </si>
  <si>
    <t>One bolt section area,  A =</t>
  </si>
  <si>
    <t>Bolt diameter,  D =</t>
  </si>
  <si>
    <t>π*D^2/4</t>
  </si>
  <si>
    <t>Hub length,  L =</t>
  </si>
  <si>
    <t>Max tangential stress,  Ft =</t>
  </si>
  <si>
    <t>Coefficient of friction, f =</t>
  </si>
  <si>
    <t>Pressure at contact surface,  Pc =</t>
  </si>
  <si>
    <t>Pc*Dc*(C1 + C2 - C3 + C4)</t>
  </si>
  <si>
    <t>C1 =</t>
  </si>
  <si>
    <t>C2 =</t>
  </si>
  <si>
    <t>C3 =</t>
  </si>
  <si>
    <t>C4 =</t>
  </si>
  <si>
    <t>δ =</t>
  </si>
  <si>
    <t>Shaft outside diameter,  Dc =</t>
  </si>
  <si>
    <t>Shaft inside diameter,  Di =</t>
  </si>
  <si>
    <t>Hub modulus, Eh =</t>
  </si>
  <si>
    <t>Shaft modulus, Es =</t>
  </si>
  <si>
    <r>
      <t xml:space="preserve">Hub Poisson's ratio,  </t>
    </r>
    <r>
      <rPr>
        <sz val="10"/>
        <rFont val="Arial"/>
        <family val="2"/>
      </rPr>
      <t>μh</t>
    </r>
    <r>
      <rPr>
        <sz val="10"/>
        <rFont val="Arial"/>
        <family val="2"/>
      </rPr>
      <t xml:space="preserve"> =</t>
    </r>
  </si>
  <si>
    <r>
      <t xml:space="preserve">Shaft Poisson's ratio,  </t>
    </r>
    <r>
      <rPr>
        <sz val="10"/>
        <rFont val="Arial"/>
        <family val="2"/>
      </rPr>
      <t>μs</t>
    </r>
    <r>
      <rPr>
        <sz val="10"/>
        <rFont val="Arial"/>
        <family val="2"/>
      </rPr>
      <t xml:space="preserve"> =</t>
    </r>
  </si>
  <si>
    <t xml:space="preserve"> μs / Es</t>
  </si>
  <si>
    <t xml:space="preserve"> μh / Eh</t>
  </si>
  <si>
    <t>(Dc^2+Di^2)/(Es*(Dc^2-Di^2))</t>
  </si>
  <si>
    <t>(Do^2+Dc^2)/(Eh*(Do^2-Dc^2))</t>
  </si>
  <si>
    <t>Maximum axial load,  Fa =</t>
  </si>
  <si>
    <t>Hub outside diameter,  Do =</t>
  </si>
  <si>
    <t>Maximum torque,  T =</t>
  </si>
  <si>
    <t>T =</t>
  </si>
  <si>
    <t>f*π*Dc*L*Pc</t>
  </si>
  <si>
    <t>f*Pc*π*Dc^2*L / 2</t>
  </si>
  <si>
    <t>Ft*((Do^2-Dc^2) / (Do^2+Dc^2))</t>
  </si>
  <si>
    <r>
      <t xml:space="preserve">4. Automatic calculations are </t>
    </r>
    <r>
      <rPr>
        <b/>
        <sz val="10"/>
        <color indexed="10"/>
        <rFont val="Arial"/>
        <family val="2"/>
      </rPr>
      <t>bold type</t>
    </r>
    <r>
      <rPr>
        <sz val="10"/>
        <color indexed="10"/>
        <rFont val="Arial"/>
        <family val="2"/>
      </rPr>
      <t>.</t>
    </r>
  </si>
  <si>
    <t>Torque shock &amp; fatigue factor,  Kt =</t>
  </si>
  <si>
    <t>Cantilever shaft bending moment</t>
  </si>
  <si>
    <t>Section moment of inertia,  Izz =</t>
  </si>
  <si>
    <t>Answer:  Izz =</t>
  </si>
  <si>
    <t>Section polar moment of inertia,  Izz =</t>
  </si>
  <si>
    <t>Bending shock &amp; fatigue factor,  Kb =</t>
  </si>
  <si>
    <t>Kb*M*c / I</t>
  </si>
  <si>
    <t>Length,  L =</t>
  </si>
  <si>
    <t>Fs =</t>
  </si>
  <si>
    <t>Polar moment of inertia,  J =</t>
  </si>
  <si>
    <t>Torsion stress,  Ft =</t>
  </si>
  <si>
    <r>
      <t xml:space="preserve">                     Pressure angle,  </t>
    </r>
    <r>
      <rPr>
        <b/>
        <sz val="10"/>
        <rFont val="Arial"/>
        <family val="2"/>
      </rPr>
      <t xml:space="preserve">Pa </t>
    </r>
    <r>
      <rPr>
        <sz val="10"/>
        <rFont val="Arial"/>
        <family val="2"/>
      </rPr>
      <t>=</t>
    </r>
  </si>
  <si>
    <r>
      <t xml:space="preserve">Number of gear teeth,  </t>
    </r>
    <r>
      <rPr>
        <sz val="10"/>
        <rFont val="Franklin Gothic Medium"/>
        <family val="2"/>
      </rPr>
      <t>N =</t>
    </r>
  </si>
  <si>
    <r>
      <t xml:space="preserve">Pitch circle diameter,  </t>
    </r>
    <r>
      <rPr>
        <b/>
        <sz val="10"/>
        <rFont val="Arial"/>
        <family val="2"/>
      </rPr>
      <t>D</t>
    </r>
    <r>
      <rPr>
        <sz val="10"/>
        <rFont val="Arial"/>
        <family val="2"/>
      </rPr>
      <t xml:space="preserve"> =</t>
    </r>
  </si>
  <si>
    <r>
      <t xml:space="preserve">Addendum,  </t>
    </r>
    <r>
      <rPr>
        <sz val="10"/>
        <rFont val="Franklin Gothic Medium"/>
        <family val="2"/>
      </rPr>
      <t>A =</t>
    </r>
  </si>
  <si>
    <r>
      <t xml:space="preserve">Dedendum,  </t>
    </r>
    <r>
      <rPr>
        <sz val="10"/>
        <rFont val="Franklin Gothic Medium"/>
        <family val="2"/>
      </rPr>
      <t>B =</t>
    </r>
  </si>
  <si>
    <r>
      <t>Whole depth= Addendum+Dedendum</t>
    </r>
    <r>
      <rPr>
        <sz val="10"/>
        <rFont val="Arial"/>
        <family val="2"/>
      </rPr>
      <t xml:space="preserve">, </t>
    </r>
    <r>
      <rPr>
        <b/>
        <sz val="10"/>
        <rFont val="Arial"/>
        <family val="2"/>
      </rPr>
      <t>d</t>
    </r>
    <r>
      <rPr>
        <sz val="10"/>
        <rFont val="Franklin Gothic Medium"/>
        <family val="2"/>
      </rPr>
      <t xml:space="preserve"> =</t>
    </r>
  </si>
  <si>
    <r>
      <t xml:space="preserve">Clearance, </t>
    </r>
    <r>
      <rPr>
        <sz val="10"/>
        <rFont val="Franklin Gothic Medium"/>
        <family val="2"/>
      </rPr>
      <t>C =</t>
    </r>
  </si>
  <si>
    <r>
      <t xml:space="preserve">                                                   Outside diameter, </t>
    </r>
    <r>
      <rPr>
        <sz val="10"/>
        <rFont val="Franklin Gothic Medium"/>
        <family val="2"/>
      </rPr>
      <t>OD =</t>
    </r>
  </si>
  <si>
    <r>
      <t xml:space="preserve">                                                        Root circle diameter,  </t>
    </r>
    <r>
      <rPr>
        <sz val="10"/>
        <rFont val="Franklin Gothic Medium"/>
        <family val="2"/>
      </rPr>
      <t>RD =</t>
    </r>
  </si>
  <si>
    <r>
      <t xml:space="preserve">                                    Base circle,  </t>
    </r>
    <r>
      <rPr>
        <sz val="10"/>
        <rFont val="Franklin Gothic Medium"/>
        <family val="2"/>
      </rPr>
      <t>BC =</t>
    </r>
  </si>
  <si>
    <t>Ri + D/2 - Rna</t>
  </si>
  <si>
    <r>
      <t xml:space="preserve">Chordal thickness,  </t>
    </r>
    <r>
      <rPr>
        <sz val="10"/>
        <rFont val="Franklin Gothic Medium"/>
        <family val="2"/>
      </rPr>
      <t>TC =</t>
    </r>
  </si>
  <si>
    <t>T*(B/2) / J</t>
  </si>
  <si>
    <t>T*(Do/2) / J</t>
  </si>
  <si>
    <t>T*(D/2) / J</t>
  </si>
  <si>
    <r>
      <t xml:space="preserve">Working depth,  </t>
    </r>
    <r>
      <rPr>
        <sz val="10"/>
        <rFont val="Franklin Gothic Medium"/>
        <family val="2"/>
      </rPr>
      <t>WD =</t>
    </r>
  </si>
  <si>
    <t xml:space="preserve">  </t>
  </si>
  <si>
    <t>Use the above spread sheet to calculate the dimensions of gears.</t>
  </si>
  <si>
    <t>π*(Do^4 - Di^4) / 64</t>
  </si>
  <si>
    <t>This is the end of this spread sheet.</t>
  </si>
  <si>
    <t>[Fn(max) - Fn(min)] / 2</t>
  </si>
  <si>
    <t>Horizontal force,  H =</t>
  </si>
  <si>
    <t>Vertical force,  V =</t>
  </si>
  <si>
    <t>Torsion,  T =</t>
  </si>
  <si>
    <t>Cantilever length,  L =</t>
  </si>
  <si>
    <t>Diameter,  D =</t>
  </si>
  <si>
    <t>Sxy =</t>
  </si>
  <si>
    <t>Properties at section A-B</t>
  </si>
  <si>
    <t>Area,  A =</t>
  </si>
  <si>
    <t>B1 / 2</t>
  </si>
  <si>
    <t>ΣIcg</t>
  </si>
  <si>
    <t>Section modulus, Ixx =</t>
  </si>
  <si>
    <t xml:space="preserve">A*Yn </t>
  </si>
  <si>
    <t>A*Yn^2</t>
  </si>
  <si>
    <t>Section moment of inertia,  Ixx =</t>
  </si>
  <si>
    <t xml:space="preserve">   =</t>
  </si>
  <si>
    <t>H / 2</t>
  </si>
  <si>
    <t xml:space="preserve">Rectangular Section Properties </t>
  </si>
  <si>
    <t>Center of area, C1 = C2 =</t>
  </si>
  <si>
    <t>Symmetrical H Section Properties</t>
  </si>
  <si>
    <t>B1 - C1</t>
  </si>
  <si>
    <t>Y1 + H1/2</t>
  </si>
  <si>
    <t>Center of area,  C1 =</t>
  </si>
  <si>
    <t>ΣA*Yn^2 + ΣIcg</t>
  </si>
  <si>
    <t>T*D / (2*J)</t>
  </si>
  <si>
    <t xml:space="preserve">H/A  </t>
  </si>
  <si>
    <t>Combined direct and bending,  Fx  =</t>
  </si>
  <si>
    <t>Fx  =</t>
  </si>
  <si>
    <t>Horizontal direct stress,  Fd =</t>
  </si>
  <si>
    <t>Fb =</t>
  </si>
  <si>
    <t>H/A + M*c / I</t>
  </si>
  <si>
    <t>* Calculated deflections are compared with required stiffness.</t>
  </si>
  <si>
    <t>* Machine components are designed to withstand: applied direct forces, moments and torsion.</t>
  </si>
  <si>
    <t>Key Width = Height, H =</t>
  </si>
  <si>
    <t>H*L</t>
  </si>
  <si>
    <t>3. Coupling Friction Torsion Strength</t>
  </si>
  <si>
    <t>4. Coupling Bolts Torsion Strength</t>
  </si>
  <si>
    <t>Sin (B)  =</t>
  </si>
  <si>
    <t>(R2-R1) / C</t>
  </si>
  <si>
    <t>B  =</t>
  </si>
  <si>
    <t>radn.</t>
  </si>
  <si>
    <t>Center distance,  C =</t>
  </si>
  <si>
    <t>Drive power,  HP =</t>
  </si>
  <si>
    <t>deg</t>
  </si>
  <si>
    <t>Sheave to V-belt coefficient of friction,  f1  =</t>
  </si>
  <si>
    <t>Pulley to V-belt coefficient of friction,  f2  =</t>
  </si>
  <si>
    <t>V-belt weight per cubic inch,  w  =</t>
  </si>
  <si>
    <t>lbm/in^3</t>
  </si>
  <si>
    <t>D*(B1+ 2*B2)/ 3(B1+B2)</t>
  </si>
  <si>
    <t>V-belt C.G. distance,  x  =</t>
  </si>
  <si>
    <t>Small sheave pitch radius,  R1 =</t>
  </si>
  <si>
    <t>Large pulley pitch radius,  R2 =</t>
  </si>
  <si>
    <t>Small sheave angle of wrap,  A1 =</t>
  </si>
  <si>
    <t>180 - 2*B</t>
  </si>
  <si>
    <t>A1  =</t>
  </si>
  <si>
    <t>180 + 2*B</t>
  </si>
  <si>
    <t>e  =</t>
  </si>
  <si>
    <t>Large pulley angle of wrap,  A2 =</t>
  </si>
  <si>
    <t>A2  =</t>
  </si>
  <si>
    <t>e^(f1*A1/ Sin(A/2))</t>
  </si>
  <si>
    <t>(B1 + B2)/ (2*D)</t>
  </si>
  <si>
    <t>Slack side belt tension,  T2  =</t>
  </si>
  <si>
    <t>T2 =</t>
  </si>
  <si>
    <t>V-belt velocity,  V  =</t>
  </si>
  <si>
    <t>Motor speed,  N  =</t>
  </si>
  <si>
    <t>V  =</t>
  </si>
  <si>
    <t>ft^2/sec</t>
  </si>
  <si>
    <t>ft/sec</t>
  </si>
  <si>
    <t>V-belt weight per ft,  W  =</t>
  </si>
  <si>
    <t>Ab*w*12</t>
  </si>
  <si>
    <t>lbm/ft</t>
  </si>
  <si>
    <t>π*(D1/12)*(N/60)</t>
  </si>
  <si>
    <t>Key torsion shear strength,  Tk =</t>
  </si>
  <si>
    <t>Allowable key bearing stress, Sb =</t>
  </si>
  <si>
    <t>Sb*L*(D/2 - H/4)*(H/2)</t>
  </si>
  <si>
    <t>π =</t>
  </si>
  <si>
    <t>Max normal stress at B,  F1 =</t>
  </si>
  <si>
    <t>Min normal stress at B,  F2 =</t>
  </si>
  <si>
    <t>This is the end of this worksheet</t>
  </si>
  <si>
    <t xml:space="preserve">     Calculation</t>
  </si>
  <si>
    <t>Braking torque,  T =</t>
  </si>
  <si>
    <t>Dg*b*</t>
  </si>
  <si>
    <t>&lt; GOAL SEEK</t>
  </si>
  <si>
    <t>Bending stress at x: Sb =</t>
  </si>
  <si>
    <t>M*(D/2) / I</t>
  </si>
  <si>
    <t>Moment at x,  M =</t>
  </si>
  <si>
    <t xml:space="preserve">Cantilever deflection at A, Y = </t>
  </si>
  <si>
    <t>Fixed ends deflection at C, Y =</t>
  </si>
  <si>
    <t>Pinned ends deflection at C, Y  =</t>
  </si>
  <si>
    <t>Beam length from above, L =</t>
  </si>
  <si>
    <t>Shaft material elastic modulus,  E =</t>
  </si>
  <si>
    <t>Outside fiber bending stress,  So =</t>
  </si>
  <si>
    <t>M*(Ro-Rna) / (A*e*Ri)</t>
  </si>
  <si>
    <t>Curved Beams-Circular Section</t>
  </si>
  <si>
    <t>Curved Beam-Section diameter,  D =</t>
  </si>
  <si>
    <t>Tension and Compression</t>
  </si>
  <si>
    <r>
      <t>Shear Stress Distribution</t>
    </r>
    <r>
      <rPr>
        <sz val="12"/>
        <color indexed="8"/>
        <rFont val="Arial"/>
        <family val="2"/>
      </rPr>
      <t xml:space="preserve"> </t>
    </r>
  </si>
  <si>
    <t>Compound Stress</t>
  </si>
  <si>
    <t>Principal Stresses</t>
  </si>
  <si>
    <t>Beam Moment Calculation</t>
  </si>
  <si>
    <r>
      <t>Enter value of applied moment M</t>
    </r>
    <r>
      <rPr>
        <b/>
        <vertAlign val="subscript"/>
        <sz val="10"/>
        <rFont val="Arial"/>
        <family val="2"/>
      </rPr>
      <t>MAX</t>
    </r>
    <r>
      <rPr>
        <b/>
        <sz val="10"/>
        <rFont val="Arial"/>
        <family val="2"/>
      </rPr>
      <t xml:space="preserve"> from above: </t>
    </r>
  </si>
  <si>
    <t>Section Modulus - 1</t>
  </si>
  <si>
    <t>Section Modulus - 2</t>
  </si>
  <si>
    <r>
      <t xml:space="preserve">Copy write, </t>
    </r>
    <r>
      <rPr>
        <sz val="10"/>
        <color indexed="10"/>
        <rFont val="Arial"/>
        <family val="2"/>
      </rPr>
      <t>©</t>
    </r>
    <r>
      <rPr>
        <sz val="10"/>
        <color indexed="10"/>
        <rFont val="Arial"/>
        <family val="2"/>
      </rPr>
      <t xml:space="preserve"> Machine Design Spreadsheet calculations by John R Andrew, 2 June 2011</t>
    </r>
  </si>
  <si>
    <t>www.speedreducer.org</t>
  </si>
  <si>
    <t>To scroll, roll the mouse wheel.</t>
  </si>
  <si>
    <t>To zoom in, depress the Ctrl key and roll the mouse wheel away from you.</t>
  </si>
  <si>
    <t xml:space="preserve">To unlock the cells of this spreadsheet: Home &gt; Format &gt; Unprotect Sheet. </t>
  </si>
  <si>
    <t xml:space="preserve">To lock the cells of this spreadsheet: Home &gt; Format &gt; Protect Sheet. </t>
  </si>
  <si>
    <t>To open a new spreadsheet topic click on the tabs below.</t>
  </si>
  <si>
    <t>* The material strength is compared with the maximum stress due to combinations of  loads.</t>
  </si>
  <si>
    <t>* Design load is equal to the applied load multiplied by a combined shock and fatigue factor, Ks.</t>
  </si>
  <si>
    <t>Above image may be found at:</t>
  </si>
  <si>
    <r>
      <t>Power Transmission Shaft Design Calculations</t>
    </r>
    <r>
      <rPr>
        <sz val="12"/>
        <rFont val="Arial"/>
        <family val="2"/>
      </rPr>
      <t xml:space="preserve"> </t>
    </r>
  </si>
  <si>
    <t>Shaft with 3 Diameters</t>
  </si>
  <si>
    <t>Shaft Design Torque</t>
  </si>
  <si>
    <t>Shaft Polar Moment of Area and Shear Stress</t>
  </si>
  <si>
    <t>Solid Shaft</t>
  </si>
  <si>
    <t>Hollow Shaft</t>
  </si>
  <si>
    <t>Hollow shaft outside dia,  Do =</t>
  </si>
  <si>
    <t>Hollow shaft inside dia, Di =</t>
  </si>
  <si>
    <t xml:space="preserve">Square Shaft  </t>
  </si>
  <si>
    <t xml:space="preserve">Rectangular Shaft  </t>
  </si>
  <si>
    <t xml:space="preserve">Round Shaft Section Moment of Inertia </t>
  </si>
  <si>
    <t xml:space="preserve">Hollow Shaft Section moment of Inertia </t>
  </si>
  <si>
    <t>Hollow shaft diameter,  Do =</t>
  </si>
  <si>
    <t xml:space="preserve">Square Shaft Section moment of Inertia </t>
  </si>
  <si>
    <t>Shaft Bending Stress</t>
  </si>
  <si>
    <t>Bulk Material Belt Conveyor - Coal and Limestone Application</t>
  </si>
  <si>
    <t>Drive Shaft Design - Example</t>
  </si>
  <si>
    <t>Drive Shaft Design - Problem</t>
  </si>
  <si>
    <r>
      <t xml:space="preserve">Pick the torsion shear stress (St) cell </t>
    </r>
    <r>
      <rPr>
        <b/>
        <sz val="10"/>
        <rFont val="Arial"/>
        <family val="2"/>
      </rPr>
      <t>C47</t>
    </r>
    <r>
      <rPr>
        <sz val="10"/>
        <rFont val="Arial"/>
        <family val="2"/>
      </rPr>
      <t xml:space="preserve">,  </t>
    </r>
    <r>
      <rPr>
        <b/>
        <sz val="10"/>
        <color indexed="10"/>
        <rFont val="Arial"/>
        <family val="2"/>
      </rPr>
      <t>22005</t>
    </r>
  </si>
  <si>
    <r>
      <t xml:space="preserve">Select: </t>
    </r>
    <r>
      <rPr>
        <b/>
        <sz val="10"/>
        <rFont val="Arial"/>
        <family val="2"/>
      </rPr>
      <t>Data &gt; What-If Analysis &gt; Goal Seek…</t>
    </r>
  </si>
  <si>
    <r>
      <t xml:space="preserve">diameter D cell </t>
    </r>
    <r>
      <rPr>
        <b/>
        <sz val="10"/>
        <rFont val="Arial"/>
        <family val="2"/>
      </rPr>
      <t>C36</t>
    </r>
    <r>
      <rPr>
        <sz val="10"/>
        <rFont val="Arial"/>
        <family val="2"/>
      </rPr>
      <t xml:space="preserve"> initially containing, </t>
    </r>
    <r>
      <rPr>
        <b/>
        <sz val="10"/>
        <color indexed="10"/>
        <rFont val="Arial"/>
        <family val="2"/>
      </rPr>
      <t xml:space="preserve"> 0.500</t>
    </r>
  </si>
  <si>
    <t xml:space="preserve">Use the spread sheet above: </t>
  </si>
  <si>
    <r>
      <t xml:space="preserve">inches and the shaft twist will change from </t>
    </r>
    <r>
      <rPr>
        <b/>
        <sz val="10"/>
        <rFont val="Arial"/>
        <family val="2"/>
      </rPr>
      <t>4.39</t>
    </r>
    <r>
      <rPr>
        <sz val="10"/>
        <rFont val="Arial"/>
        <family val="2"/>
      </rPr>
      <t xml:space="preserve"> to </t>
    </r>
  </si>
  <si>
    <r>
      <rPr>
        <b/>
        <sz val="10"/>
        <rFont val="Arial"/>
        <family val="2"/>
      </rPr>
      <t>1.95</t>
    </r>
    <r>
      <rPr>
        <sz val="10"/>
        <rFont val="Arial"/>
        <family val="2"/>
      </rPr>
      <t xml:space="preserve"> degrees.</t>
    </r>
  </si>
  <si>
    <t>Shoe Brake</t>
  </si>
  <si>
    <t>6-Brakes</t>
  </si>
  <si>
    <t>5-Linear Actuators</t>
  </si>
  <si>
    <t>4-COUPLINGS</t>
  </si>
  <si>
    <t>3-POWER TRANSMISSION SHAFTING</t>
  </si>
  <si>
    <t>2-Stress Analysis</t>
  </si>
  <si>
    <t>Shear Stress in Round Section Beams</t>
  </si>
  <si>
    <r>
      <t xml:space="preserve">1-MACHINE DESIGN </t>
    </r>
    <r>
      <rPr>
        <sz val="10"/>
        <color rgb="FF000000"/>
        <rFont val="Arial"/>
        <family val="2"/>
      </rPr>
      <t xml:space="preserve"> </t>
    </r>
  </si>
  <si>
    <t>Metal Plate with Hole</t>
  </si>
  <si>
    <t>Hole diameter,  D =</t>
  </si>
  <si>
    <t xml:space="preserve">Use if:  D/H &lt; 0.25 </t>
  </si>
  <si>
    <t>Diameter / Height,  D / H =</t>
  </si>
  <si>
    <t>Stress Concentration Factor, K = 3.0 for metal plate example above.</t>
  </si>
  <si>
    <t>Solid shafts: K = 4/3 = 1.33 &amp; d = 0.</t>
  </si>
  <si>
    <t xml:space="preserve">Thin wall tubes: K = 2.0 </t>
  </si>
  <si>
    <t>Curved Beams</t>
  </si>
  <si>
    <t>Section neutral axis radius, Rna =</t>
  </si>
  <si>
    <t>((Ro - Ri)/2) - Rna</t>
  </si>
  <si>
    <t>P * (L - a)</t>
  </si>
  <si>
    <t>in-lb</t>
  </si>
  <si>
    <t>There will be no interference if,  Rbc &lt; Ra</t>
  </si>
  <si>
    <t xml:space="preserve">(D - BC)/2 </t>
  </si>
  <si>
    <t xml:space="preserve">                     Pressure angle,  Pa =</t>
  </si>
  <si>
    <r>
      <t>Diametral pitch,  Pd</t>
    </r>
    <r>
      <rPr>
        <sz val="10"/>
        <rFont val="Franklin Gothic Medium"/>
        <family val="2"/>
      </rPr>
      <t xml:space="preserve"> =</t>
    </r>
  </si>
  <si>
    <t>Pitch circle diameter,  D =</t>
  </si>
  <si>
    <t>D*Cos(Pa/57.3)</t>
  </si>
  <si>
    <t>Moment applied to tooth, M =</t>
  </si>
  <si>
    <t>W*h</t>
  </si>
  <si>
    <r>
      <t xml:space="preserve">                                    Base circle,  </t>
    </r>
    <r>
      <rPr>
        <b/>
        <sz val="10"/>
        <rFont val="Franklin Gothic Medium"/>
        <family val="2"/>
      </rPr>
      <t>BC =</t>
    </r>
  </si>
  <si>
    <t>Spur Gear Tooth load,  W =</t>
  </si>
  <si>
    <t>Spur Gear Tooth Bending Stress</t>
  </si>
  <si>
    <t>Spur Gear Teeth Stress</t>
  </si>
  <si>
    <t>Gear tooth bending stress,  Sb =</t>
  </si>
  <si>
    <t>5 PDH</t>
  </si>
  <si>
    <t>Click on thw GOAL SEEK tab below for more</t>
  </si>
  <si>
    <r>
      <rPr>
        <b/>
        <sz val="10"/>
        <rFont val="Arial"/>
        <family val="2"/>
      </rPr>
      <t>When using Excel's Goal Seek,</t>
    </r>
    <r>
      <rPr>
        <sz val="10"/>
        <rFont val="Arial"/>
        <family val="2"/>
      </rPr>
      <t xml:space="preserve"> unprotect the spread sheet by selecting:</t>
    </r>
  </si>
  <si>
    <t>Quiz</t>
  </si>
  <si>
    <t>Lesson</t>
  </si>
  <si>
    <t>M391 MACHINE DESIGN SPREADSHEET ANALYSIS</t>
  </si>
  <si>
    <t>Thread face angle,  At =</t>
  </si>
  <si>
    <t>Drive sheave pulley diameter,  d1  =</t>
  </si>
  <si>
    <t>Driven sheave pulley diameter,  d2  =</t>
  </si>
  <si>
    <t>Driven sheave pitch diameter,  D1 =</t>
  </si>
  <si>
    <t>d1 + 2*x</t>
  </si>
  <si>
    <t>d2 + 2*x</t>
  </si>
  <si>
    <t>V-Belt top width,  B2  =</t>
  </si>
  <si>
    <t>V-Belt bottom width,  B1  =</t>
  </si>
  <si>
    <t>B2 - D*2*Tan(A/(2*57.3)</t>
  </si>
  <si>
    <t xml:space="preserve">Use this number of belts  </t>
  </si>
  <si>
    <t>Gravittional constant: g  =</t>
  </si>
  <si>
    <t>S*Ab</t>
  </si>
  <si>
    <t>V-belt allowable stress,  S  =</t>
  </si>
  <si>
    <t>Minimum number of belts,  Nb =</t>
  </si>
  <si>
    <t>V-Belt section area,  Ab  =</t>
  </si>
  <si>
    <t>Service factor,  F =</t>
  </si>
  <si>
    <t>Design horsepower,  HPd =</t>
  </si>
  <si>
    <t>HP*F</t>
  </si>
  <si>
    <t>http://www.engineering-spreadsheets.com</t>
  </si>
  <si>
    <t>To open another, "Work Sheet Lesson" select a tab at the bottom of this spreadsheet.</t>
  </si>
  <si>
    <t xml:space="preserve">Total V-belt Length,  VBL </t>
  </si>
  <si>
    <t>ft/min or (fpm)</t>
  </si>
  <si>
    <t>Minimum center distance,  Cmin =</t>
  </si>
  <si>
    <t>Small sheave pitch circle diameter,  D1 =</t>
  </si>
  <si>
    <t>Large sheave pitch circle diameter,  D2 =</t>
  </si>
  <si>
    <r>
      <t xml:space="preserve">  7  V-BELT DRIVES</t>
    </r>
    <r>
      <rPr>
        <sz val="10"/>
        <color rgb="FF000000"/>
        <rFont val="Arial"/>
        <family val="2"/>
      </rPr>
      <t xml:space="preserve"> </t>
    </r>
  </si>
  <si>
    <t>meters/sec</t>
  </si>
  <si>
    <t>Small pulley number of grooves,  NG1 =</t>
  </si>
  <si>
    <t>Large pulley number of grooves,  NG2 =</t>
  </si>
  <si>
    <t>V-Belt Drive or Gear Belt</t>
  </si>
  <si>
    <t>mm</t>
  </si>
  <si>
    <t>Use standard V-Belt length, L =</t>
  </si>
  <si>
    <t xml:space="preserve">        Gates Standard V-Belt Sheaves</t>
  </si>
  <si>
    <t>5V</t>
  </si>
  <si>
    <t>Design power,  DP =</t>
  </si>
  <si>
    <t>From chart right V-Belt type; 3V, 5V, or 8V:</t>
  </si>
  <si>
    <t>3V-belt allowable stress,  S  =</t>
  </si>
  <si>
    <t>5V-belt allowable stress,  S  =</t>
  </si>
  <si>
    <t>8V-belt allowable stress,  S  =</t>
  </si>
  <si>
    <t>V-Belt depth,  D  =</t>
  </si>
  <si>
    <t>&lt;&lt; FROM CHART ABOVE</t>
  </si>
  <si>
    <t>&lt;&lt; FROM CHART RIGHT</t>
  </si>
  <si>
    <t>V-Belt Power Rating Estimate - (check with vendor catalog)</t>
  </si>
  <si>
    <t>10  EXCEL's GOAL SEEK</t>
  </si>
  <si>
    <t>END OF SPREADSHEET</t>
  </si>
  <si>
    <t>GATES GEABELT CATALOG</t>
  </si>
  <si>
    <t>&lt;&lt; USE VENDOR VALUE</t>
  </si>
  <si>
    <t>2*C + 1.57*(D + d) + (D - d)^2 / (4*C)</t>
  </si>
  <si>
    <t>Use Gates standard gearbelt length,  Ls =</t>
  </si>
  <si>
    <t>Use Gates standard gearbelt part number =</t>
  </si>
  <si>
    <t>8MGT-2840</t>
  </si>
  <si>
    <t>Initial gearbelt length,  L =</t>
  </si>
  <si>
    <t>8mm pitch</t>
  </si>
  <si>
    <t>in   &lt;&lt; TABLE RIGHT</t>
  </si>
  <si>
    <t>in   &lt;&lt; TABLE BELOW</t>
  </si>
  <si>
    <r>
      <t xml:space="preserve">  8  GEAR-BELT  or  TIMING BELT  or SYNCHRONOUS BELT DRIVES</t>
    </r>
    <r>
      <rPr>
        <sz val="10"/>
        <color rgb="FF000000"/>
        <rFont val="Arial"/>
        <family val="2"/>
      </rPr>
      <t xml:space="preserve"> </t>
    </r>
  </si>
  <si>
    <t>Use Gates standard small pulley part number =</t>
  </si>
  <si>
    <t xml:space="preserve">Total Gear-Belt Length,  L </t>
  </si>
  <si>
    <t>Use Gates standard large pulley part number =</t>
  </si>
  <si>
    <t>8MX-71S-12</t>
  </si>
  <si>
    <t>8MX-140S-12</t>
  </si>
  <si>
    <t xml:space="preserve">2C + 1.57(D + d) + (D – d)2 / 4C </t>
  </si>
  <si>
    <t>Small sheave pitch circle diameter,  d =</t>
  </si>
  <si>
    <t>Large sheave pitch circle diameter,  D =</t>
  </si>
  <si>
    <t>D + d/2</t>
  </si>
  <si>
    <t>Calculated V-Belt length, Lc =</t>
  </si>
  <si>
    <t>STANDARD 3V-BELT LENGTHS in mm</t>
  </si>
  <si>
    <t>STANDARD 5V-BELT LENGTHS in mm</t>
  </si>
  <si>
    <t>3VX HP =</t>
  </si>
  <si>
    <t>pitch diameter of the small sheave, inches,  d =</t>
  </si>
  <si>
    <t>rpm of the fastest shaft divided by 1000,  r =</t>
  </si>
  <si>
    <t>K1 =</t>
  </si>
  <si>
    <t>K2 =</t>
  </si>
  <si>
    <t>K3 =</t>
  </si>
  <si>
    <t>K4 =</t>
  </si>
  <si>
    <t>GATES 3VX Super HC Molded Notch BELT POWER</t>
  </si>
  <si>
    <t>speed ratio factor listed in Table Nos. 98 through 101 on Page 261,  Ksr =</t>
  </si>
  <si>
    <t>R / 1000</t>
  </si>
  <si>
    <t>rpm of the fastest shaft,  R =</t>
  </si>
  <si>
    <t>(((d*r*(K1 -K2)/d) - (K3*(d*r)^2) - (K4*LOG (d*r))) + Ksr*r</t>
  </si>
  <si>
    <t>page 260</t>
  </si>
  <si>
    <t>GATES 5VX Super HC Molded Notch BELT POWER</t>
  </si>
  <si>
    <t>Bevel and Miter Gears</t>
  </si>
  <si>
    <t>Bevel pinion number of teeth,  t =</t>
  </si>
  <si>
    <t>Bevel gear number of teeth,  T =</t>
  </si>
  <si>
    <t>T / PD</t>
  </si>
  <si>
    <t>t / Pp</t>
  </si>
  <si>
    <t>Whole Numbers</t>
  </si>
  <si>
    <t>57.3*ATAN(t / T)</t>
  </si>
  <si>
    <t>57.3*ATAN(T / t)</t>
  </si>
  <si>
    <r>
      <t xml:space="preserve">Addendum angle,  </t>
    </r>
    <r>
      <rPr>
        <sz val="10"/>
        <rFont val="Franklin Gothic Medium"/>
        <family val="2"/>
      </rPr>
      <t>AA =</t>
    </r>
  </si>
  <si>
    <t>57.3*ATAN(A / PCR)</t>
  </si>
  <si>
    <r>
      <t xml:space="preserve">Diametral pitch (Whole Number),  </t>
    </r>
    <r>
      <rPr>
        <b/>
        <sz val="10"/>
        <rFont val="Arial"/>
        <family val="2"/>
      </rPr>
      <t>Pd</t>
    </r>
    <r>
      <rPr>
        <sz val="10"/>
        <rFont val="Franklin Gothic Medium"/>
        <family val="2"/>
      </rPr>
      <t xml:space="preserve"> =</t>
    </r>
  </si>
  <si>
    <r>
      <t xml:space="preserve">Number of gear teeth (Whole Number),  </t>
    </r>
    <r>
      <rPr>
        <sz val="10"/>
        <rFont val="Franklin Gothic Medium"/>
        <family val="2"/>
      </rPr>
      <t>N =</t>
    </r>
  </si>
  <si>
    <t>GEARBOX EXAMPLE</t>
  </si>
  <si>
    <t>57.3*ATAN(B / PCR)</t>
  </si>
  <si>
    <t>Gear pitch cone radius,  PCR =</t>
  </si>
  <si>
    <t>PCAg - AA</t>
  </si>
  <si>
    <t>PCAg - DA</t>
  </si>
  <si>
    <r>
      <t xml:space="preserve">Gear pitch cone angle (from above)  </t>
    </r>
    <r>
      <rPr>
        <b/>
        <sz val="10"/>
        <rFont val="Arial"/>
        <family val="2"/>
      </rPr>
      <t>PCAg</t>
    </r>
    <r>
      <rPr>
        <sz val="10"/>
        <rFont val="Arial"/>
        <family val="2"/>
      </rPr>
      <t xml:space="preserve"> =</t>
    </r>
  </si>
  <si>
    <r>
      <t xml:space="preserve">Angular Addendum,  </t>
    </r>
    <r>
      <rPr>
        <b/>
        <sz val="10"/>
        <rFont val="Arial"/>
        <family val="2"/>
      </rPr>
      <t>Z</t>
    </r>
    <r>
      <rPr>
        <b/>
        <sz val="10"/>
        <rFont val="Franklin Gothic Medium"/>
        <family val="2"/>
      </rPr>
      <t xml:space="preserve"> =</t>
    </r>
  </si>
  <si>
    <t>D + (2*Z)</t>
  </si>
  <si>
    <t>(.5*OD) / TAN(FA/57.3)</t>
  </si>
  <si>
    <t>CP*2</t>
  </si>
  <si>
    <t>1.57 / P</t>
  </si>
  <si>
    <r>
      <t xml:space="preserve">Diametral pitch (Whole Number),  </t>
    </r>
    <r>
      <rPr>
        <b/>
        <sz val="10"/>
        <rFont val="Arial"/>
        <family val="2"/>
      </rPr>
      <t>P</t>
    </r>
    <r>
      <rPr>
        <sz val="10"/>
        <rFont val="Franklin Gothic Medium"/>
        <family val="2"/>
      </rPr>
      <t xml:space="preserve"> =</t>
    </r>
  </si>
  <si>
    <r>
      <t xml:space="preserve">                     Pressure angle,  </t>
    </r>
    <r>
      <rPr>
        <b/>
        <sz val="10"/>
        <rFont val="Arial"/>
        <family val="2"/>
      </rPr>
      <t xml:space="preserve">PA </t>
    </r>
    <r>
      <rPr>
        <sz val="10"/>
        <rFont val="Arial"/>
        <family val="2"/>
      </rPr>
      <t>=</t>
    </r>
  </si>
  <si>
    <t>A + [(T^2*COS(PCAg/57.3 ) / (4*D)]</t>
  </si>
  <si>
    <t>Calculation-1</t>
  </si>
  <si>
    <t>Calculation-2</t>
  </si>
  <si>
    <t>Calculation-3</t>
  </si>
  <si>
    <t>Input-1</t>
  </si>
  <si>
    <t xml:space="preserve">Input-2 </t>
  </si>
  <si>
    <t>Worm pitch diameter,  dw =</t>
  </si>
  <si>
    <t>Use the above spread sheet to calculate the dimensions of worm and gear.</t>
  </si>
  <si>
    <t>Worm pitch,  p = Gear pitch, P =</t>
  </si>
  <si>
    <r>
      <t xml:space="preserve">Lead of worm, </t>
    </r>
    <r>
      <rPr>
        <b/>
        <sz val="10"/>
        <rFont val="Arial"/>
        <family val="2"/>
      </rPr>
      <t xml:space="preserve"> L</t>
    </r>
    <r>
      <rPr>
        <sz val="10"/>
        <rFont val="Arial"/>
        <family val="2"/>
      </rPr>
      <t xml:space="preserve"> =</t>
    </r>
  </si>
  <si>
    <t>Worm &amp; Gear</t>
  </si>
  <si>
    <t>Addendum factor f</t>
  </si>
  <si>
    <t>Worm Threads</t>
  </si>
  <si>
    <t>Worm and gear addendum factor,  f =</t>
  </si>
  <si>
    <t>f *P</t>
  </si>
  <si>
    <r>
      <t xml:space="preserve">Gear pitch circle diameter,  </t>
    </r>
    <r>
      <rPr>
        <b/>
        <sz val="10"/>
        <rFont val="Arial"/>
        <family val="2"/>
      </rPr>
      <t>DG</t>
    </r>
    <r>
      <rPr>
        <sz val="10"/>
        <rFont val="Arial"/>
        <family val="2"/>
      </rPr>
      <t xml:space="preserve"> =</t>
    </r>
  </si>
  <si>
    <t>(dw + DG) / 2</t>
  </si>
  <si>
    <r>
      <t xml:space="preserve">Worm Addendum,  </t>
    </r>
    <r>
      <rPr>
        <sz val="10"/>
        <rFont val="Franklin Gothic Medium"/>
        <family val="2"/>
      </rPr>
      <t>A =</t>
    </r>
  </si>
  <si>
    <t>L / n</t>
  </si>
  <si>
    <r>
      <t xml:space="preserve">Worm outside diameter, </t>
    </r>
    <r>
      <rPr>
        <b/>
        <sz val="10"/>
        <rFont val="Arial"/>
        <family val="2"/>
      </rPr>
      <t xml:space="preserve"> ODW =</t>
    </r>
  </si>
  <si>
    <t>dw + 2*A</t>
  </si>
  <si>
    <t>DG + 2*A</t>
  </si>
  <si>
    <r>
      <t xml:space="preserve">Gear outside diameter, </t>
    </r>
    <r>
      <rPr>
        <b/>
        <sz val="10"/>
        <rFont val="Arial"/>
        <family val="2"/>
      </rPr>
      <t xml:space="preserve"> ODG =</t>
    </r>
  </si>
  <si>
    <t>Whole Depth gd</t>
  </si>
  <si>
    <t xml:space="preserve">                    Worm and Gear Addendum and Gear  Factors</t>
  </si>
  <si>
    <t>Gear OD factor go</t>
  </si>
  <si>
    <t>Gear OD factor,  go =</t>
  </si>
  <si>
    <t>TD + go *P</t>
  </si>
  <si>
    <r>
      <t xml:space="preserve">                                                 Gear throat diameter,  </t>
    </r>
    <r>
      <rPr>
        <b/>
        <sz val="10"/>
        <rFont val="Arial"/>
        <family val="2"/>
      </rPr>
      <t>TD =</t>
    </r>
  </si>
  <si>
    <t>2.38*P + .25</t>
  </si>
  <si>
    <t>2.15*P + .20</t>
  </si>
  <si>
    <r>
      <t xml:space="preserve">Gear face width (1 or 2 threads), </t>
    </r>
    <r>
      <rPr>
        <b/>
        <sz val="10"/>
        <rFont val="Arial"/>
        <family val="2"/>
      </rPr>
      <t xml:space="preserve"> F</t>
    </r>
    <r>
      <rPr>
        <sz val="10"/>
        <rFont val="Arial"/>
        <family val="2"/>
      </rPr>
      <t xml:space="preserve"> =</t>
    </r>
  </si>
  <si>
    <r>
      <t xml:space="preserve">Gear face width (3 or 4 threads), </t>
    </r>
    <r>
      <rPr>
        <b/>
        <sz val="10"/>
        <rFont val="Arial"/>
        <family val="2"/>
      </rPr>
      <t xml:space="preserve"> F</t>
    </r>
    <r>
      <rPr>
        <sz val="10"/>
        <rFont val="Arial"/>
        <family val="2"/>
      </rPr>
      <t xml:space="preserve"> =</t>
    </r>
  </si>
  <si>
    <t>6 *P</t>
  </si>
  <si>
    <t>.125, .3125, .375, .500, .625, .750, 1.000, 1.250, 1.750, and 2.000</t>
  </si>
  <si>
    <t>AGMA Standard Circular Pitches (Fraction):</t>
  </si>
  <si>
    <t>AGMA Standard Circular Pitches (decimal):</t>
  </si>
  <si>
    <r>
      <t>Worm face length,</t>
    </r>
    <r>
      <rPr>
        <b/>
        <sz val="10"/>
        <rFont val="Arial"/>
        <family val="2"/>
      </rPr>
      <t xml:space="preserve">  FL =</t>
    </r>
  </si>
  <si>
    <r>
      <t xml:space="preserve">Worm lead angle, </t>
    </r>
    <r>
      <rPr>
        <b/>
        <sz val="10"/>
        <rFont val="Arial"/>
        <family val="2"/>
      </rPr>
      <t xml:space="preserve"> LA =</t>
    </r>
  </si>
  <si>
    <t>(0.5*dw) - A</t>
  </si>
  <si>
    <t>57.3*ATAN(L / (dw *3.1416))</t>
  </si>
  <si>
    <r>
      <t xml:space="preserve">Worm throat radius,  </t>
    </r>
    <r>
      <rPr>
        <b/>
        <sz val="10"/>
        <rFont val="Arial"/>
        <family val="2"/>
      </rPr>
      <t>TR =</t>
    </r>
  </si>
  <si>
    <r>
      <t xml:space="preserve">Worm rim radius,  </t>
    </r>
    <r>
      <rPr>
        <b/>
        <sz val="10"/>
        <rFont val="Arial"/>
        <family val="2"/>
      </rPr>
      <t>RR =</t>
    </r>
  </si>
  <si>
    <t>(0.5*dw) + P</t>
  </si>
  <si>
    <t>in      &lt; &lt;</t>
  </si>
  <si>
    <r>
      <t xml:space="preserve">                                                 Circular pitch of gear teeth,  </t>
    </r>
    <r>
      <rPr>
        <sz val="10"/>
        <rFont val="Franklin Gothic Medium"/>
        <family val="2"/>
      </rPr>
      <t>CP =</t>
    </r>
  </si>
  <si>
    <t>CP / 2</t>
  </si>
  <si>
    <r>
      <t xml:space="preserve">                                                 Circular thickness of gear teeth,  </t>
    </r>
    <r>
      <rPr>
        <b/>
        <sz val="10"/>
        <rFont val="Arial"/>
        <family val="2"/>
      </rPr>
      <t>T</t>
    </r>
    <r>
      <rPr>
        <b/>
        <sz val="10"/>
        <rFont val="Franklin Gothic Medium"/>
        <family val="2"/>
      </rPr>
      <t xml:space="preserve"> =</t>
    </r>
  </si>
  <si>
    <t>D*Sin(90/57.3)/N</t>
  </si>
  <si>
    <t>Bore diameter,  b =</t>
  </si>
  <si>
    <t>Gear hub width,  w =</t>
  </si>
  <si>
    <t>Gear hub diameter,  h =</t>
  </si>
  <si>
    <t>Gear speed ratio,  R =</t>
  </si>
  <si>
    <t>Bevel gear diametral pitch,  PD =</t>
  </si>
  <si>
    <t>PD</t>
  </si>
  <si>
    <t>Bevel pinion diametral pitch,  PD =</t>
  </si>
  <si>
    <t>Bevel pinion pitch circle diameter,  pcd =</t>
  </si>
  <si>
    <t>Bevel gear pitch circle diameter,  PCD =</t>
  </si>
  <si>
    <t>Pinion pitch cone angle,  pca =</t>
  </si>
  <si>
    <t>Gear pitch cone angle,  PCA =</t>
  </si>
  <si>
    <t>pca + PCA =</t>
  </si>
  <si>
    <t>Pinion pitch cone radius,  pcr =</t>
  </si>
  <si>
    <t>pd / (2*SIN(pca/57.3)</t>
  </si>
  <si>
    <t>PD / (2*SIN(PCA/57.3)</t>
  </si>
  <si>
    <r>
      <t xml:space="preserve">Outside diameter,  </t>
    </r>
    <r>
      <rPr>
        <b/>
        <sz val="10"/>
        <rFont val="Arial"/>
        <family val="2"/>
      </rPr>
      <t>OD =</t>
    </r>
  </si>
  <si>
    <r>
      <t xml:space="preserve">Crown height,  </t>
    </r>
    <r>
      <rPr>
        <b/>
        <sz val="10"/>
        <rFont val="Arial"/>
        <family val="2"/>
      </rPr>
      <t>CH =</t>
    </r>
  </si>
  <si>
    <r>
      <t xml:space="preserve">Face width, </t>
    </r>
    <r>
      <rPr>
        <b/>
        <sz val="10"/>
        <rFont val="Arial"/>
        <family val="2"/>
      </rPr>
      <t xml:space="preserve"> FW =</t>
    </r>
  </si>
  <si>
    <r>
      <t xml:space="preserve">Circular thickness, </t>
    </r>
    <r>
      <rPr>
        <b/>
        <sz val="10"/>
        <rFont val="Arial"/>
        <family val="2"/>
      </rPr>
      <t xml:space="preserve"> T =</t>
    </r>
  </si>
  <si>
    <r>
      <t xml:space="preserve">Chordal thickness,  </t>
    </r>
    <r>
      <rPr>
        <b/>
        <sz val="10"/>
        <rFont val="Arial"/>
        <family val="2"/>
      </rPr>
      <t>TC =</t>
    </r>
  </si>
  <si>
    <r>
      <t xml:space="preserve">Chordal addendum,  </t>
    </r>
    <r>
      <rPr>
        <b/>
        <sz val="10"/>
        <rFont val="Arial"/>
        <family val="2"/>
      </rPr>
      <t>AC =</t>
    </r>
  </si>
  <si>
    <t>Same Bevel Pinion or Gear Data as above</t>
  </si>
  <si>
    <t xml:space="preserve">Bevel Pinion or Gear Data </t>
  </si>
  <si>
    <t>Worm and gear whole depth factor,  gd =</t>
  </si>
  <si>
    <t>gd * P</t>
  </si>
  <si>
    <r>
      <t xml:space="preserve">Worm or Gear whole depth, </t>
    </r>
    <r>
      <rPr>
        <b/>
        <sz val="10"/>
        <rFont val="Arial"/>
        <family val="2"/>
      </rPr>
      <t xml:space="preserve"> WD =</t>
    </r>
  </si>
  <si>
    <r>
      <t xml:space="preserve">Worm or gear pitch,  </t>
    </r>
    <r>
      <rPr>
        <b/>
        <sz val="10"/>
        <rFont val="Arial"/>
        <family val="2"/>
      </rPr>
      <t>P</t>
    </r>
    <r>
      <rPr>
        <sz val="10"/>
        <rFont val="Franklin Gothic Medium"/>
        <family val="2"/>
      </rPr>
      <t xml:space="preserve"> =</t>
    </r>
  </si>
  <si>
    <t xml:space="preserve">carrying capacity than 14.5⁰ PA gears .
</t>
  </si>
  <si>
    <t xml:space="preserve">distance variation and concentricity errors. 
</t>
  </si>
  <si>
    <t>Ref: http://www.mem.drexel.edu/zhou/teaching/MEM431/Teaching%20notes/Chapter-15-SpurGears.pdf</t>
  </si>
  <si>
    <t>SPUR GEARS</t>
  </si>
  <si>
    <r>
      <rPr>
        <b/>
        <sz val="10"/>
        <rFont val="Arial"/>
        <family val="2"/>
      </rPr>
      <t>20°Pressure Angle (PA)</t>
    </r>
    <r>
      <rPr>
        <sz val="10"/>
        <rFont val="Arial"/>
        <family val="2"/>
      </rPr>
      <t xml:space="preserve"> is generally recognized as having higher load </t>
    </r>
  </si>
  <si>
    <r>
      <rPr>
        <b/>
        <sz val="10"/>
        <rFont val="Arial"/>
        <family val="2"/>
      </rPr>
      <t>The 14.5⁰ pressure angle (PA)</t>
    </r>
    <r>
      <rPr>
        <sz val="10"/>
        <rFont val="Arial"/>
        <family val="2"/>
      </rPr>
      <t xml:space="preserve"> results in less backlash due to center </t>
    </r>
  </si>
  <si>
    <t>RUSH GEARS – download cad drawings from:</t>
  </si>
  <si>
    <t>http://www.rushgears.com/?referrer=GoogleGeneralGears&amp;gclid=CP7nssOukaUCFYNl7AodhV9PMQ</t>
  </si>
  <si>
    <t>Pinion / Gear Pressure Angle</t>
  </si>
  <si>
    <t>GEAR ANIMATION http://en.wikipedia.org/wiki/Involute_gear</t>
  </si>
  <si>
    <r>
      <t xml:space="preserve">                                    Base circle diameter,  </t>
    </r>
    <r>
      <rPr>
        <sz val="10"/>
        <rFont val="Franklin Gothic Medium"/>
        <family val="2"/>
      </rPr>
      <t>BC =</t>
    </r>
  </si>
  <si>
    <t>Fillet radius at tooth base,  Rb =</t>
  </si>
  <si>
    <t>0.35 / Pd</t>
  </si>
  <si>
    <r>
      <t xml:space="preserve">                              From above: Gear pitch circle diameter,  P</t>
    </r>
    <r>
      <rPr>
        <sz val="10"/>
        <rFont val="Franklin Gothic Medium"/>
        <family val="2"/>
      </rPr>
      <t>Cg =</t>
    </r>
  </si>
  <si>
    <r>
      <t xml:space="preserve">                              From above: Pinion pitch circle diameter,  P</t>
    </r>
    <r>
      <rPr>
        <sz val="10"/>
        <rFont val="Franklin Gothic Medium"/>
        <family val="2"/>
      </rPr>
      <t>Cp =</t>
    </r>
  </si>
  <si>
    <r>
      <t xml:space="preserve">From above: Gear = Pinion Addendum, A </t>
    </r>
    <r>
      <rPr>
        <sz val="10"/>
        <rFont val="Franklin Gothic Medium"/>
        <family val="2"/>
      </rPr>
      <t xml:space="preserve"> =</t>
    </r>
  </si>
  <si>
    <r>
      <t xml:space="preserve">                   From above: Pressure angle,  </t>
    </r>
    <r>
      <rPr>
        <sz val="9"/>
        <rFont val="Calibri"/>
        <family val="2"/>
      </rPr>
      <t>φ</t>
    </r>
    <r>
      <rPr>
        <sz val="9"/>
        <rFont val="Arial"/>
        <family val="2"/>
      </rPr>
      <t xml:space="preserve"> =</t>
    </r>
  </si>
  <si>
    <t>Gear pitch circle radius,  AG =</t>
  </si>
  <si>
    <t>PCg / 2</t>
  </si>
  <si>
    <t>GX =</t>
  </si>
  <si>
    <r>
      <t>AG*SIN(</t>
    </r>
    <r>
      <rPr>
        <b/>
        <sz val="11"/>
        <color theme="1"/>
        <rFont val="Calibri"/>
        <family val="2"/>
      </rPr>
      <t>φ/57.30)</t>
    </r>
  </si>
  <si>
    <t>Pinion pitch circle radius,  BE =</t>
  </si>
  <si>
    <t>PCp/2</t>
  </si>
  <si>
    <t>EX =</t>
  </si>
  <si>
    <r>
      <t>BE*SIN(</t>
    </r>
    <r>
      <rPr>
        <b/>
        <sz val="11"/>
        <color theme="1"/>
        <rFont val="Calibri"/>
        <family val="2"/>
      </rPr>
      <t>φ/57.30)</t>
    </r>
  </si>
  <si>
    <t>GE =</t>
  </si>
  <si>
    <t>GX + EX</t>
  </si>
  <si>
    <t>Gear addendum radius,  AE =</t>
  </si>
  <si>
    <t>(AG^2 + GE^2)^0.5</t>
  </si>
  <si>
    <t>AG + A</t>
  </si>
  <si>
    <t xml:space="preserve">Pinion / Gear Speed Ratio and Center Distance </t>
  </si>
  <si>
    <t>INVOLUTE</t>
  </si>
  <si>
    <t>An involute is a curve that is traced by a point on a cord</t>
  </si>
  <si>
    <t>unwinding from a circle, which is called a BASE CIRCLE.</t>
  </si>
  <si>
    <t xml:space="preserve">   Lewis Equation Form Factor  Y</t>
  </si>
  <si>
    <t xml:space="preserve">   PINION AND GEAR CENTER DISTANCE</t>
  </si>
  <si>
    <t>Chordal addendum,  AC =</t>
  </si>
  <si>
    <t>A + (T^2 / (4*D))</t>
  </si>
  <si>
    <t>(Dp+Dg)/2</t>
  </si>
  <si>
    <t>Guess Pinion pitch circle diameter,  Dp =</t>
  </si>
  <si>
    <t>Pinion speed,  Sp =</t>
  </si>
  <si>
    <t>Sg / Sp</t>
  </si>
  <si>
    <r>
      <t>Number of gear teeth (Whole Number),  N</t>
    </r>
    <r>
      <rPr>
        <sz val="10"/>
        <rFont val="Franklin Gothic Medium"/>
        <family val="2"/>
      </rPr>
      <t xml:space="preserve"> =</t>
    </r>
  </si>
  <si>
    <t>Pinion teeth,  Np =</t>
  </si>
  <si>
    <t>Gear teeth,  Ng =</t>
  </si>
  <si>
    <t>R*Np</t>
  </si>
  <si>
    <t>Gear pitch circle diameter,  Dg =</t>
  </si>
  <si>
    <t>Dp*P</t>
  </si>
  <si>
    <t>Ng / P</t>
  </si>
  <si>
    <t>Input gear</t>
  </si>
  <si>
    <t>Ng teeth</t>
  </si>
  <si>
    <t>Pinion and Gear center distance,  C =</t>
  </si>
  <si>
    <t>(Whole Number)</t>
  </si>
  <si>
    <r>
      <t>Choose a diametral pitch of pinion &amp; gear,  P</t>
    </r>
    <r>
      <rPr>
        <sz val="10"/>
        <rFont val="Franklin Gothic Medium"/>
        <family val="2"/>
      </rPr>
      <t xml:space="preserve"> =</t>
    </r>
  </si>
  <si>
    <t>Actual Gear speed,  Sag =</t>
  </si>
  <si>
    <t>Sp / R</t>
  </si>
  <si>
    <t>Desired Gear speed,  Sg =</t>
  </si>
  <si>
    <r>
      <t>Whole depth= Addendum+Dedendum, WD</t>
    </r>
    <r>
      <rPr>
        <sz val="10"/>
        <rFont val="Franklin Gothic Medium"/>
        <family val="2"/>
      </rPr>
      <t xml:space="preserve"> =</t>
    </r>
  </si>
  <si>
    <t>.2 / Pd</t>
  </si>
  <si>
    <t>1.8 / Pd</t>
  </si>
  <si>
    <r>
      <t xml:space="preserve">Dedendum angle,  </t>
    </r>
    <r>
      <rPr>
        <b/>
        <sz val="10"/>
        <rFont val="Arial"/>
        <family val="2"/>
      </rPr>
      <t>DA</t>
    </r>
    <r>
      <rPr>
        <sz val="10"/>
        <rFont val="Arial"/>
        <family val="2"/>
      </rPr>
      <t xml:space="preserve"> </t>
    </r>
    <r>
      <rPr>
        <sz val="10"/>
        <rFont val="Franklin Gothic Medium"/>
        <family val="2"/>
      </rPr>
      <t>=</t>
    </r>
  </si>
  <si>
    <r>
      <t xml:space="preserve">Face angle,  </t>
    </r>
    <r>
      <rPr>
        <b/>
        <sz val="10"/>
        <rFont val="Arial"/>
        <family val="2"/>
      </rPr>
      <t>FA</t>
    </r>
    <r>
      <rPr>
        <sz val="10"/>
        <rFont val="Franklin Gothic Medium"/>
        <family val="2"/>
      </rPr>
      <t xml:space="preserve"> =</t>
    </r>
  </si>
  <si>
    <r>
      <t xml:space="preserve">Cutting angle,  </t>
    </r>
    <r>
      <rPr>
        <b/>
        <sz val="10"/>
        <rFont val="Arial"/>
        <family val="2"/>
      </rPr>
      <t>CA</t>
    </r>
    <r>
      <rPr>
        <sz val="10"/>
        <rFont val="Franklin Gothic Medium"/>
        <family val="2"/>
      </rPr>
      <t xml:space="preserve"> =</t>
    </r>
  </si>
  <si>
    <t>D*Sin((90/57.3)/N)</t>
  </si>
  <si>
    <t>http://shopswarf.orconhosting.net.nz/spur.html</t>
  </si>
  <si>
    <r>
      <t xml:space="preserve">Pitch diameter (from above),  </t>
    </r>
    <r>
      <rPr>
        <b/>
        <sz val="10"/>
        <rFont val="Arial"/>
        <family val="2"/>
      </rPr>
      <t>D =</t>
    </r>
  </si>
  <si>
    <t>COS(PCAg/57.3)*AA</t>
  </si>
  <si>
    <t xml:space="preserve">Stub Spur Gear Dimensions </t>
  </si>
  <si>
    <t>0.8 / Pd</t>
  </si>
  <si>
    <t xml:space="preserve">Spur Gear Dimensions </t>
  </si>
  <si>
    <t xml:space="preserve">Worm &amp; Wheel (or Gear) Dimensions (inches) </t>
  </si>
  <si>
    <r>
      <t>Worm and gear ratio,  R</t>
    </r>
    <r>
      <rPr>
        <sz val="10"/>
        <rFont val="Franklin Gothic Medium"/>
        <family val="2"/>
      </rPr>
      <t xml:space="preserve"> =</t>
    </r>
  </si>
  <si>
    <r>
      <t xml:space="preserve">Gear diametral pitch (Whole Number), </t>
    </r>
    <r>
      <rPr>
        <b/>
        <sz val="10"/>
        <rFont val="Arial"/>
        <family val="2"/>
      </rPr>
      <t xml:space="preserve"> DP</t>
    </r>
    <r>
      <rPr>
        <sz val="10"/>
        <rFont val="Franklin Gothic Medium"/>
        <family val="2"/>
      </rPr>
      <t xml:space="preserve"> =</t>
    </r>
  </si>
  <si>
    <t>Worm number of threads or starts, n =</t>
  </si>
  <si>
    <t>Formula</t>
  </si>
  <si>
    <t>P * n</t>
  </si>
  <si>
    <r>
      <t xml:space="preserve">Number of gear teeth (Whole Number),  </t>
    </r>
    <r>
      <rPr>
        <b/>
        <sz val="10"/>
        <rFont val="Arial"/>
        <family val="2"/>
      </rPr>
      <t>N =</t>
    </r>
  </si>
  <si>
    <t>n*R</t>
  </si>
  <si>
    <t>N / DP</t>
  </si>
  <si>
    <r>
      <t xml:space="preserve">Center distance between worm and gear,  </t>
    </r>
    <r>
      <rPr>
        <sz val="10"/>
        <rFont val="Franklin Gothic Medium"/>
        <family val="2"/>
      </rPr>
      <t>C =</t>
    </r>
  </si>
  <si>
    <r>
      <t xml:space="preserve">Worm pitch circle diameter,  </t>
    </r>
    <r>
      <rPr>
        <b/>
        <sz val="10"/>
        <color theme="1"/>
        <rFont val="Arial"/>
        <family val="2"/>
      </rPr>
      <t>Dw</t>
    </r>
    <r>
      <rPr>
        <sz val="10"/>
        <color theme="1"/>
        <rFont val="Arial"/>
        <family val="2"/>
      </rPr>
      <t xml:space="preserve"> =</t>
    </r>
  </si>
  <si>
    <t>2C - DG</t>
  </si>
  <si>
    <t>&lt;&lt; What If</t>
  </si>
  <si>
    <t>Stress in x direction,  Fx =</t>
  </si>
  <si>
    <t>Shear stress,  Sxy =</t>
  </si>
  <si>
    <t>(F1 - F2) / 2</t>
  </si>
  <si>
    <t>Max shear stress,  Smax =</t>
  </si>
  <si>
    <t>Stress in y direction,  Fy =</t>
  </si>
  <si>
    <t xml:space="preserve">Principal plane angle, A </t>
  </si>
  <si>
    <t xml:space="preserve">(Fx+Fy)/2 +  (((Fx - Fy)^2 + (4*Sxy^2) )^0.5 )/2  </t>
  </si>
  <si>
    <t xml:space="preserve">(Fx+Fy)/2 -  (((Fx - Fy)^2 + (4*Sxy^2) )^0.5 )/2  </t>
  </si>
  <si>
    <t>TAN 2*A =</t>
  </si>
  <si>
    <t>2*Sxy /(Fx - Fy)</t>
  </si>
  <si>
    <t>(ATAN(2*Sxy /(Fx - Fy))) / 2</t>
  </si>
  <si>
    <t>A + 90</t>
  </si>
  <si>
    <t>or Shear = 0 at A =</t>
  </si>
  <si>
    <t>Shear = 0 at A =</t>
  </si>
  <si>
    <t>Revised: 29 Nov 2013</t>
  </si>
  <si>
    <t>Internal design pressure ,  P =</t>
  </si>
  <si>
    <t>Inside Radius of cylinder,  R =</t>
  </si>
  <si>
    <t>Spherical head thickness ,  th =</t>
  </si>
  <si>
    <r>
      <t>Shell Longitudinal stress,  S</t>
    </r>
    <r>
      <rPr>
        <b/>
        <vertAlign val="subscript"/>
        <sz val="11"/>
        <color theme="1"/>
        <rFont val="Calibri"/>
        <family val="2"/>
        <scheme val="minor"/>
      </rPr>
      <t>L</t>
    </r>
    <r>
      <rPr>
        <b/>
        <sz val="11"/>
        <color theme="1"/>
        <rFont val="Calibri"/>
        <family val="2"/>
        <scheme val="minor"/>
      </rPr>
      <t xml:space="preserve"> =</t>
    </r>
  </si>
  <si>
    <t>P*R / (2*t)</t>
  </si>
  <si>
    <r>
      <t>Shell Circumferential stress,  S</t>
    </r>
    <r>
      <rPr>
        <b/>
        <vertAlign val="subscript"/>
        <sz val="11"/>
        <color theme="1"/>
        <rFont val="Calibri"/>
        <family val="2"/>
        <scheme val="minor"/>
      </rPr>
      <t xml:space="preserve">C </t>
    </r>
    <r>
      <rPr>
        <b/>
        <sz val="11"/>
        <color theme="1"/>
        <rFont val="Calibri"/>
        <family val="2"/>
        <scheme val="minor"/>
      </rPr>
      <t>=</t>
    </r>
  </si>
  <si>
    <t>P*R / t</t>
  </si>
  <si>
    <r>
      <t>Spherical head stress,  S</t>
    </r>
    <r>
      <rPr>
        <b/>
        <vertAlign val="subscript"/>
        <sz val="11"/>
        <color theme="1"/>
        <rFont val="Calibri"/>
        <family val="2"/>
        <scheme val="minor"/>
      </rPr>
      <t xml:space="preserve">H </t>
    </r>
    <r>
      <rPr>
        <b/>
        <sz val="11"/>
        <color theme="1"/>
        <rFont val="Calibri"/>
        <family val="2"/>
        <scheme val="minor"/>
      </rPr>
      <t>=</t>
    </r>
  </si>
  <si>
    <t>P*R /(2* t)</t>
  </si>
  <si>
    <t>(Design using maximum stress)       =</t>
  </si>
  <si>
    <t xml:space="preserve">Note: In cylindrical vessels, the stress set up by the pressure on the longitudinal joints </t>
  </si>
  <si>
    <t>is equal to twice the stress on the circumferential joints.</t>
  </si>
  <si>
    <t>Thin Wall Pressure Vessel Stress</t>
  </si>
  <si>
    <t>Cylindrical shell thickness ,  ts =</t>
  </si>
  <si>
    <t>M391 MACHINE DESIGN</t>
  </si>
  <si>
    <t>M391  MACHINE DESIGN SPREADSHEET ANALYSIS</t>
  </si>
  <si>
    <t>391  MACHINE DESIGN SPREADSHEET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</si>
</sst>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000"/>
    <numFmt numFmtId="166" formatCode="0.00000"/>
    <numFmt numFmtId="167" formatCode="0.0"/>
    <numFmt numFmtId="168" formatCode="0.000000"/>
    <numFmt numFmtId="169" formatCode="0.000000000000"/>
    <numFmt numFmtId="170" formatCode="0.0000000"/>
  </numFmts>
  <fonts count="52" x14ac:knownFonts="1">
    <font>
      <sz val="10"/>
      <name val="Arial"/>
    </font>
    <font>
      <sz val="10"/>
      <name val="Arial"/>
      <family val="2"/>
    </font>
    <font>
      <sz val="8"/>
      <name val="Arial"/>
      <family val="2"/>
    </font>
    <font>
      <b/>
      <sz val="10"/>
      <name val="Arial"/>
      <family val="2"/>
    </font>
    <font>
      <b/>
      <sz val="10"/>
      <color indexed="10"/>
      <name val="Arial"/>
      <family val="2"/>
    </font>
    <font>
      <sz val="10"/>
      <color indexed="10"/>
      <name val="Arial"/>
      <family val="2"/>
    </font>
    <font>
      <sz val="10"/>
      <name val="Arial"/>
      <family val="2"/>
    </font>
    <font>
      <b/>
      <sz val="9"/>
      <name val="Arial"/>
      <family val="2"/>
    </font>
    <font>
      <u/>
      <sz val="10"/>
      <color indexed="12"/>
      <name val="Arial"/>
      <family val="2"/>
    </font>
    <font>
      <sz val="9"/>
      <name val="Arial"/>
      <family val="2"/>
    </font>
    <font>
      <sz val="10"/>
      <name val="Franklin Gothic Medium"/>
      <family val="2"/>
    </font>
    <font>
      <sz val="10"/>
      <color indexed="10"/>
      <name val="Arial"/>
      <family val="2"/>
    </font>
    <font>
      <b/>
      <sz val="10"/>
      <color indexed="11"/>
      <name val="Arial"/>
      <family val="2"/>
    </font>
    <font>
      <b/>
      <sz val="12"/>
      <name val="Arial"/>
      <family val="2"/>
    </font>
    <font>
      <b/>
      <vertAlign val="superscript"/>
      <sz val="10"/>
      <name val="Arial"/>
      <family val="2"/>
    </font>
    <font>
      <b/>
      <vertAlign val="subscript"/>
      <sz val="10"/>
      <name val="Arial"/>
      <family val="2"/>
    </font>
    <font>
      <sz val="10"/>
      <color indexed="8"/>
      <name val="Arial"/>
      <family val="2"/>
    </font>
    <font>
      <vertAlign val="subscript"/>
      <sz val="10"/>
      <name val="Arial"/>
      <family val="2"/>
    </font>
    <font>
      <b/>
      <sz val="10"/>
      <color indexed="8"/>
      <name val="Arial"/>
      <family val="2"/>
    </font>
    <font>
      <b/>
      <vertAlign val="subscript"/>
      <sz val="12"/>
      <name val="Arial"/>
      <family val="2"/>
    </font>
    <font>
      <sz val="10"/>
      <color indexed="15"/>
      <name val="Arial"/>
      <family val="2"/>
    </font>
    <font>
      <b/>
      <sz val="10"/>
      <color indexed="8"/>
      <name val="Calibri"/>
      <family val="2"/>
    </font>
    <font>
      <sz val="12"/>
      <color indexed="8"/>
      <name val="Arial"/>
      <family val="2"/>
    </font>
    <font>
      <b/>
      <sz val="12"/>
      <color rgb="FF000000"/>
      <name val="Arial"/>
      <family val="2"/>
    </font>
    <font>
      <b/>
      <sz val="12"/>
      <color rgb="FF0070C0"/>
      <name val="Arial"/>
      <family val="2"/>
    </font>
    <font>
      <sz val="10"/>
      <color rgb="FF000000"/>
      <name val="Arial"/>
      <family val="2"/>
    </font>
    <font>
      <u/>
      <sz val="10"/>
      <color indexed="12"/>
      <name val="Arial"/>
      <family val="2"/>
    </font>
    <font>
      <b/>
      <sz val="10"/>
      <color theme="1"/>
      <name val="Arial"/>
      <family val="2"/>
    </font>
    <font>
      <b/>
      <u/>
      <sz val="11"/>
      <color rgb="FF000000"/>
      <name val="Calibri"/>
      <family val="2"/>
    </font>
    <font>
      <sz val="12"/>
      <name val="Arial"/>
      <family val="2"/>
    </font>
    <font>
      <b/>
      <sz val="10"/>
      <color rgb="FFFF0000"/>
      <name val="Arial"/>
      <family val="2"/>
    </font>
    <font>
      <b/>
      <sz val="10"/>
      <color indexed="12"/>
      <name val="Arial"/>
      <family val="2"/>
    </font>
    <font>
      <b/>
      <sz val="10"/>
      <name val="Franklin Gothic Medium"/>
      <family val="2"/>
    </font>
    <font>
      <sz val="20"/>
      <name val="Arial"/>
      <family val="2"/>
    </font>
    <font>
      <u/>
      <sz val="20"/>
      <color indexed="12"/>
      <name val="Arial"/>
      <family val="2"/>
    </font>
    <font>
      <b/>
      <sz val="10"/>
      <color rgb="FF000000"/>
      <name val="Arial"/>
      <family val="2"/>
    </font>
    <font>
      <b/>
      <sz val="11"/>
      <name val="Arial"/>
      <family val="2"/>
    </font>
    <font>
      <b/>
      <sz val="14"/>
      <name val="Arial"/>
      <family val="2"/>
    </font>
    <font>
      <b/>
      <sz val="10"/>
      <color rgb="FF333333"/>
      <name val="Arial"/>
      <family val="2"/>
    </font>
    <font>
      <b/>
      <sz val="11"/>
      <color theme="1"/>
      <name val="Calibri"/>
      <family val="2"/>
      <scheme val="minor"/>
    </font>
    <font>
      <sz val="9"/>
      <name val="Calibri"/>
      <family val="2"/>
    </font>
    <font>
      <b/>
      <sz val="11"/>
      <color theme="1"/>
      <name val="Calibri"/>
      <family val="2"/>
    </font>
    <font>
      <sz val="10"/>
      <color theme="1"/>
      <name val="Arial"/>
      <family val="2"/>
    </font>
    <font>
      <b/>
      <sz val="14"/>
      <color theme="1"/>
      <name val="Calibri"/>
      <family val="2"/>
      <scheme val="minor"/>
    </font>
    <font>
      <b/>
      <sz val="11"/>
      <color rgb="FFFF0000"/>
      <name val="Calibri"/>
      <family val="2"/>
      <scheme val="minor"/>
    </font>
    <font>
      <b/>
      <sz val="11"/>
      <color rgb="FF000000"/>
      <name val="Calibri"/>
      <family val="2"/>
      <scheme val="minor"/>
    </font>
    <font>
      <b/>
      <vertAlign val="subscript"/>
      <sz val="11"/>
      <color theme="1"/>
      <name val="Calibri"/>
      <family val="2"/>
      <scheme val="minor"/>
    </font>
    <font>
      <b/>
      <sz val="12"/>
      <color rgb="FF0070C0"/>
      <name val="Calibri"/>
      <family val="2"/>
      <scheme val="minor"/>
    </font>
    <font>
      <b/>
      <sz val="16"/>
      <name val="Arial"/>
      <family val="2"/>
    </font>
    <font>
      <b/>
      <sz val="14"/>
      <color rgb="FF0070C0"/>
      <name val="Arial"/>
      <family val="2"/>
    </font>
    <font>
      <b/>
      <sz val="16"/>
      <color rgb="FF0070C0"/>
      <name val="Calibri"/>
      <family val="2"/>
      <scheme val="minor"/>
    </font>
    <font>
      <b/>
      <sz val="14"/>
      <color rgb="FF0070C0"/>
      <name val="Calibri"/>
      <family val="2"/>
      <scheme val="minor"/>
    </font>
  </fonts>
  <fills count="5">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rgb="FF92D050"/>
        <bgColor indexed="64"/>
      </patternFill>
    </fill>
  </fills>
  <borders count="18">
    <border>
      <left/>
      <right/>
      <top/>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358">
    <xf numFmtId="0" fontId="0" fillId="0" borderId="0" xfId="0"/>
    <xf numFmtId="0" fontId="0" fillId="0" borderId="0" xfId="0" applyAlignment="1">
      <alignment horizontal="right"/>
    </xf>
    <xf numFmtId="0" fontId="3" fillId="0" borderId="0" xfId="0" applyFont="1" applyAlignment="1">
      <alignment horizontal="right"/>
    </xf>
    <xf numFmtId="0" fontId="0" fillId="0" borderId="0" xfId="0" applyAlignment="1">
      <alignment horizontal="center"/>
    </xf>
    <xf numFmtId="0" fontId="3" fillId="0" borderId="0" xfId="0" applyFont="1" applyAlignment="1">
      <alignment horizontal="center"/>
    </xf>
    <xf numFmtId="1" fontId="3" fillId="0" borderId="0" xfId="0" applyNumberFormat="1" applyFont="1" applyAlignment="1">
      <alignment horizontal="center"/>
    </xf>
    <xf numFmtId="2" fontId="3" fillId="0" borderId="0" xfId="0" applyNumberFormat="1" applyFont="1" applyAlignment="1">
      <alignment horizontal="center"/>
    </xf>
    <xf numFmtId="164" fontId="0" fillId="0" borderId="0" xfId="0" applyNumberFormat="1" applyAlignment="1">
      <alignment horizontal="center"/>
    </xf>
    <xf numFmtId="0" fontId="0" fillId="0" borderId="0" xfId="0" applyAlignment="1">
      <alignment horizontal="left"/>
    </xf>
    <xf numFmtId="164" fontId="3" fillId="0" borderId="0" xfId="0" applyNumberFormat="1" applyFont="1" applyAlignment="1">
      <alignment horizontal="center"/>
    </xf>
    <xf numFmtId="0" fontId="3" fillId="0" borderId="0" xfId="0" applyFont="1" applyAlignment="1">
      <alignment horizontal="left"/>
    </xf>
    <xf numFmtId="165" fontId="3" fillId="0" borderId="0" xfId="0" applyNumberFormat="1" applyFont="1" applyAlignment="1">
      <alignment horizontal="center"/>
    </xf>
    <xf numFmtId="0" fontId="6" fillId="0" borderId="0" xfId="0" applyFont="1" applyAlignment="1">
      <alignment horizontal="left"/>
    </xf>
    <xf numFmtId="0" fontId="3" fillId="0" borderId="0" xfId="0" quotePrefix="1" applyFont="1" applyAlignment="1">
      <alignment horizontal="center"/>
    </xf>
    <xf numFmtId="0" fontId="4" fillId="0" borderId="0" xfId="0" applyFont="1" applyAlignment="1">
      <alignment horizontal="left"/>
    </xf>
    <xf numFmtId="0" fontId="4" fillId="0" borderId="0" xfId="0" applyFont="1" applyAlignment="1">
      <alignment horizontal="right"/>
    </xf>
    <xf numFmtId="0" fontId="3" fillId="0" borderId="0" xfId="0" applyFont="1"/>
    <xf numFmtId="0" fontId="3" fillId="0" borderId="5" xfId="0" applyFont="1" applyBorder="1" applyAlignment="1">
      <alignment horizontal="center"/>
    </xf>
    <xf numFmtId="0" fontId="3" fillId="0" borderId="1" xfId="0" applyFont="1" applyBorder="1" applyAlignment="1">
      <alignment horizontal="left"/>
    </xf>
    <xf numFmtId="0" fontId="0" fillId="0" borderId="6" xfId="0" applyBorder="1" applyAlignment="1">
      <alignment horizontal="center"/>
    </xf>
    <xf numFmtId="0" fontId="0" fillId="0" borderId="8" xfId="0" applyBorder="1" applyAlignment="1">
      <alignment horizontal="center"/>
    </xf>
    <xf numFmtId="0" fontId="3" fillId="0" borderId="9" xfId="0" applyFont="1" applyBorder="1" applyAlignment="1">
      <alignment horizontal="center"/>
    </xf>
    <xf numFmtId="0" fontId="6" fillId="0" borderId="0" xfId="0" applyFont="1" applyAlignment="1">
      <alignment horizontal="right"/>
    </xf>
    <xf numFmtId="0" fontId="0" fillId="0" borderId="10" xfId="0" applyBorder="1" applyAlignment="1">
      <alignment horizontal="right"/>
    </xf>
    <xf numFmtId="0" fontId="0" fillId="0" borderId="5" xfId="0" applyBorder="1" applyAlignment="1">
      <alignment horizontal="right"/>
    </xf>
    <xf numFmtId="166" fontId="3" fillId="0" borderId="0" xfId="0" applyNumberFormat="1" applyFont="1" applyAlignment="1">
      <alignment horizontal="center"/>
    </xf>
    <xf numFmtId="0" fontId="3" fillId="0" borderId="5" xfId="0" applyFont="1" applyBorder="1" applyAlignment="1">
      <alignment horizontal="right"/>
    </xf>
    <xf numFmtId="0" fontId="3" fillId="0" borderId="13" xfId="0" applyFont="1" applyBorder="1" applyAlignment="1">
      <alignment horizontal="left"/>
    </xf>
    <xf numFmtId="15" fontId="0" fillId="0" borderId="0" xfId="0" applyNumberFormat="1"/>
    <xf numFmtId="0" fontId="4" fillId="0" borderId="0" xfId="0" applyFont="1" applyAlignment="1">
      <alignment horizontal="center"/>
    </xf>
    <xf numFmtId="0" fontId="9" fillId="0" borderId="0" xfId="0" applyFont="1" applyAlignment="1">
      <alignment horizontal="right"/>
    </xf>
    <xf numFmtId="0" fontId="0" fillId="0" borderId="8" xfId="0" applyBorder="1" applyAlignment="1" applyProtection="1">
      <alignment horizontal="center"/>
      <protection locked="0"/>
    </xf>
    <xf numFmtId="0" fontId="0" fillId="0" borderId="14" xfId="0" applyBorder="1" applyAlignment="1" applyProtection="1">
      <alignment horizontal="center"/>
      <protection locked="0"/>
    </xf>
    <xf numFmtId="164" fontId="0" fillId="0" borderId="14" xfId="0" applyNumberFormat="1" applyBorder="1" applyAlignment="1" applyProtection="1">
      <alignment horizontal="center"/>
      <protection locked="0"/>
    </xf>
    <xf numFmtId="0" fontId="0" fillId="0" borderId="9" xfId="0" applyBorder="1" applyAlignment="1" applyProtection="1">
      <alignment horizontal="center"/>
      <protection locked="0"/>
    </xf>
    <xf numFmtId="164" fontId="0" fillId="0" borderId="13" xfId="0" applyNumberFormat="1" applyBorder="1" applyAlignment="1" applyProtection="1">
      <alignment horizontal="center"/>
      <protection locked="0"/>
    </xf>
    <xf numFmtId="164" fontId="0" fillId="0" borderId="8" xfId="0" applyNumberFormat="1" applyBorder="1" applyAlignment="1" applyProtection="1">
      <alignment horizontal="center"/>
      <protection locked="0"/>
    </xf>
    <xf numFmtId="164" fontId="0" fillId="0" borderId="9" xfId="0" applyNumberFormat="1" applyBorder="1" applyAlignment="1" applyProtection="1">
      <alignment horizontal="center"/>
      <protection locked="0"/>
    </xf>
    <xf numFmtId="11" fontId="0" fillId="0" borderId="14" xfId="0" applyNumberFormat="1" applyBorder="1" applyAlignment="1" applyProtection="1">
      <alignment horizontal="center"/>
      <protection locked="0"/>
    </xf>
    <xf numFmtId="2" fontId="0" fillId="0" borderId="9" xfId="0" applyNumberFormat="1" applyBorder="1" applyAlignment="1" applyProtection="1">
      <alignment horizontal="center"/>
      <protection locked="0"/>
    </xf>
    <xf numFmtId="0" fontId="7" fillId="0" borderId="0" xfId="0" applyFont="1" applyAlignment="1">
      <alignment horizontal="left"/>
    </xf>
    <xf numFmtId="2" fontId="3" fillId="0" borderId="0" xfId="0" applyNumberFormat="1" applyFont="1" applyAlignment="1">
      <alignment horizontal="left"/>
    </xf>
    <xf numFmtId="167" fontId="3" fillId="0" borderId="0" xfId="0" applyNumberFormat="1" applyFont="1" applyAlignment="1">
      <alignment horizontal="center"/>
    </xf>
    <xf numFmtId="0" fontId="3" fillId="0" borderId="0" xfId="0" quotePrefix="1" applyFont="1" applyAlignment="1">
      <alignment horizontal="right"/>
    </xf>
    <xf numFmtId="0" fontId="8" fillId="0" borderId="0" xfId="1" applyAlignment="1" applyProtection="1"/>
    <xf numFmtId="0" fontId="8" fillId="0" borderId="0" xfId="1" applyAlignment="1" applyProtection="1">
      <alignment horizontal="left"/>
    </xf>
    <xf numFmtId="0" fontId="8" fillId="0" borderId="0" xfId="1" applyAlignment="1" applyProtection="1">
      <alignment horizontal="right"/>
    </xf>
    <xf numFmtId="0" fontId="0" fillId="0" borderId="0" xfId="0" quotePrefix="1" applyAlignment="1">
      <alignment horizontal="center"/>
    </xf>
    <xf numFmtId="0" fontId="3" fillId="0" borderId="10" xfId="0" applyFont="1" applyBorder="1" applyAlignment="1">
      <alignment horizontal="center"/>
    </xf>
    <xf numFmtId="167" fontId="0" fillId="0" borderId="14" xfId="0" applyNumberFormat="1" applyBorder="1" applyAlignment="1" applyProtection="1">
      <alignment horizontal="center"/>
      <protection locked="0"/>
    </xf>
    <xf numFmtId="167" fontId="0" fillId="0" borderId="9" xfId="0" applyNumberFormat="1" applyBorder="1" applyAlignment="1" applyProtection="1">
      <alignment horizontal="center"/>
      <protection locked="0"/>
    </xf>
    <xf numFmtId="0" fontId="6" fillId="0" borderId="9" xfId="0" applyFont="1" applyBorder="1" applyAlignment="1" applyProtection="1">
      <alignment horizontal="center"/>
      <protection locked="0"/>
    </xf>
    <xf numFmtId="0" fontId="0" fillId="0" borderId="10" xfId="0" applyBorder="1" applyAlignment="1" applyProtection="1">
      <alignment horizontal="center"/>
      <protection locked="0"/>
    </xf>
    <xf numFmtId="0" fontId="0" fillId="0" borderId="5" xfId="0" applyBorder="1" applyAlignment="1" applyProtection="1">
      <alignment horizontal="center"/>
      <protection locked="0"/>
    </xf>
    <xf numFmtId="164" fontId="6" fillId="0" borderId="8" xfId="0" applyNumberFormat="1" applyFont="1" applyBorder="1" applyAlignment="1" applyProtection="1">
      <alignment horizontal="center"/>
      <protection locked="0"/>
    </xf>
    <xf numFmtId="2" fontId="6" fillId="0" borderId="14" xfId="0" applyNumberFormat="1" applyFont="1" applyBorder="1" applyAlignment="1" applyProtection="1">
      <alignment horizontal="center"/>
      <protection locked="0"/>
    </xf>
    <xf numFmtId="2" fontId="0" fillId="0" borderId="8" xfId="0" applyNumberFormat="1" applyBorder="1" applyAlignment="1" applyProtection="1">
      <alignment horizontal="center"/>
      <protection locked="0"/>
    </xf>
    <xf numFmtId="2" fontId="0" fillId="0" borderId="14" xfId="0" applyNumberFormat="1" applyBorder="1" applyAlignment="1" applyProtection="1">
      <alignment horizontal="center"/>
      <protection locked="0"/>
    </xf>
    <xf numFmtId="1" fontId="0" fillId="0" borderId="9" xfId="0" applyNumberFormat="1" applyBorder="1" applyAlignment="1" applyProtection="1">
      <alignment horizontal="center"/>
      <protection locked="0"/>
    </xf>
    <xf numFmtId="167" fontId="0" fillId="0" borderId="8" xfId="0" applyNumberFormat="1" applyBorder="1" applyAlignment="1" applyProtection="1">
      <alignment horizontal="center"/>
      <protection locked="0"/>
    </xf>
    <xf numFmtId="0" fontId="0" fillId="0" borderId="14" xfId="0" applyBorder="1" applyAlignment="1">
      <alignment horizontal="center"/>
    </xf>
    <xf numFmtId="164" fontId="0" fillId="0" borderId="14" xfId="0" applyNumberFormat="1" applyBorder="1" applyAlignment="1">
      <alignment horizontal="center"/>
    </xf>
    <xf numFmtId="0" fontId="0" fillId="0" borderId="9" xfId="0" applyBorder="1" applyAlignment="1">
      <alignment horizontal="center"/>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2" fontId="0" fillId="0" borderId="0" xfId="0" applyNumberFormat="1" applyAlignment="1" applyProtection="1">
      <alignment horizontal="center"/>
      <protection locked="0"/>
    </xf>
    <xf numFmtId="0" fontId="11" fillId="0" borderId="0" xfId="0" applyFont="1" applyAlignment="1">
      <alignment horizontal="left"/>
    </xf>
    <xf numFmtId="2" fontId="6" fillId="0" borderId="14" xfId="0" quotePrefix="1" applyNumberFormat="1" applyFont="1" applyBorder="1" applyAlignment="1" applyProtection="1">
      <alignment horizontal="center"/>
      <protection locked="0"/>
    </xf>
    <xf numFmtId="0" fontId="13" fillId="0" borderId="0" xfId="0" applyFont="1" applyAlignment="1">
      <alignment horizontal="left"/>
    </xf>
    <xf numFmtId="0" fontId="0" fillId="0" borderId="0" xfId="0" quotePrefix="1" applyAlignment="1">
      <alignment horizontal="left"/>
    </xf>
    <xf numFmtId="0" fontId="3" fillId="0" borderId="6" xfId="0" applyFont="1" applyBorder="1" applyAlignment="1">
      <alignment horizontal="center"/>
    </xf>
    <xf numFmtId="0" fontId="13" fillId="0" borderId="0" xfId="0" applyFont="1" applyAlignment="1">
      <alignment horizontal="right"/>
    </xf>
    <xf numFmtId="0" fontId="4" fillId="2" borderId="8" xfId="0" applyFont="1" applyFill="1" applyBorder="1" applyAlignment="1">
      <alignment horizontal="left"/>
    </xf>
    <xf numFmtId="0" fontId="4" fillId="2" borderId="14" xfId="0" applyFont="1" applyFill="1" applyBorder="1" applyAlignment="1">
      <alignment horizontal="left"/>
    </xf>
    <xf numFmtId="0" fontId="0" fillId="0" borderId="0" xfId="0" quotePrefix="1" applyAlignment="1">
      <alignment horizontal="right"/>
    </xf>
    <xf numFmtId="1" fontId="0" fillId="0" borderId="0" xfId="0" applyNumberFormat="1" applyAlignment="1">
      <alignment horizontal="center"/>
    </xf>
    <xf numFmtId="164" fontId="13" fillId="0" borderId="0" xfId="0" applyNumberFormat="1" applyFont="1" applyAlignment="1">
      <alignment horizontal="center"/>
    </xf>
    <xf numFmtId="1" fontId="3" fillId="0" borderId="13" xfId="0" applyNumberFormat="1" applyFont="1" applyBorder="1" applyAlignment="1">
      <alignment horizontal="center"/>
    </xf>
    <xf numFmtId="0" fontId="12" fillId="0" borderId="0" xfId="0" applyFont="1" applyAlignment="1">
      <alignment horizontal="right"/>
    </xf>
    <xf numFmtId="16" fontId="3" fillId="0" borderId="0" xfId="0" quotePrefix="1" applyNumberFormat="1" applyFont="1" applyAlignment="1">
      <alignment horizontal="left"/>
    </xf>
    <xf numFmtId="0" fontId="5" fillId="2" borderId="14" xfId="0" applyFont="1" applyFill="1" applyBorder="1" applyAlignment="1">
      <alignment horizontal="left"/>
    </xf>
    <xf numFmtId="0" fontId="5" fillId="2" borderId="9" xfId="0" applyFont="1" applyFill="1" applyBorder="1" applyAlignment="1">
      <alignment horizontal="left"/>
    </xf>
    <xf numFmtId="0" fontId="13" fillId="0" borderId="0" xfId="0" applyFont="1"/>
    <xf numFmtId="0" fontId="3" fillId="0" borderId="15" xfId="0" applyFont="1" applyBorder="1" applyAlignment="1">
      <alignment horizontal="right"/>
    </xf>
    <xf numFmtId="0" fontId="3" fillId="0" borderId="13"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right"/>
    </xf>
    <xf numFmtId="167" fontId="3" fillId="0" borderId="14" xfId="0" applyNumberFormat="1" applyFont="1" applyBorder="1" applyAlignment="1">
      <alignment horizontal="center"/>
    </xf>
    <xf numFmtId="2" fontId="3" fillId="0" borderId="2" xfId="0" applyNumberFormat="1" applyFont="1" applyBorder="1" applyAlignment="1">
      <alignment horizontal="center"/>
    </xf>
    <xf numFmtId="167" fontId="3" fillId="0" borderId="9" xfId="0" applyNumberFormat="1" applyFont="1" applyBorder="1" applyAlignment="1">
      <alignment horizontal="center"/>
    </xf>
    <xf numFmtId="2" fontId="3" fillId="0" borderId="4" xfId="0" applyNumberFormat="1" applyFont="1" applyBorder="1" applyAlignment="1">
      <alignment horizontal="center"/>
    </xf>
    <xf numFmtId="1" fontId="3" fillId="0" borderId="0" xfId="0" applyNumberFormat="1" applyFont="1" applyAlignment="1">
      <alignment horizontal="left"/>
    </xf>
    <xf numFmtId="164" fontId="0" fillId="0" borderId="0" xfId="0" applyNumberFormat="1"/>
    <xf numFmtId="0" fontId="13" fillId="0" borderId="0" xfId="0" applyFont="1" applyAlignment="1">
      <alignment horizontal="center"/>
    </xf>
    <xf numFmtId="0" fontId="0" fillId="0" borderId="16" xfId="0" applyBorder="1" applyAlignment="1">
      <alignment horizontal="right"/>
    </xf>
    <xf numFmtId="0" fontId="4" fillId="0" borderId="11" xfId="0" applyFont="1" applyBorder="1" applyAlignment="1">
      <alignment horizontal="center"/>
    </xf>
    <xf numFmtId="0" fontId="4" fillId="0" borderId="11" xfId="0" applyFont="1" applyBorder="1" applyAlignment="1">
      <alignment horizontal="left"/>
    </xf>
    <xf numFmtId="0" fontId="3" fillId="0" borderId="11" xfId="0" applyFont="1" applyBorder="1" applyAlignment="1">
      <alignment horizontal="center"/>
    </xf>
    <xf numFmtId="0" fontId="3" fillId="0" borderId="8"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4" fontId="3" fillId="0" borderId="8" xfId="0" applyNumberFormat="1" applyFont="1" applyBorder="1" applyAlignment="1">
      <alignment horizontal="center"/>
    </xf>
    <xf numFmtId="2" fontId="3" fillId="0" borderId="7" xfId="0" applyNumberFormat="1" applyFont="1" applyBorder="1" applyAlignment="1">
      <alignment horizontal="center"/>
    </xf>
    <xf numFmtId="2" fontId="3" fillId="0" borderId="8" xfId="0" applyNumberFormat="1" applyFont="1" applyBorder="1" applyAlignment="1">
      <alignment horizontal="center"/>
    </xf>
    <xf numFmtId="164" fontId="3" fillId="0" borderId="14" xfId="0" applyNumberFormat="1" applyFont="1" applyBorder="1" applyAlignment="1">
      <alignment horizontal="center"/>
    </xf>
    <xf numFmtId="2" fontId="3" fillId="0" borderId="14" xfId="0" applyNumberFormat="1" applyFont="1" applyBorder="1" applyAlignment="1">
      <alignment horizontal="center"/>
    </xf>
    <xf numFmtId="164" fontId="3" fillId="0" borderId="9" xfId="0" applyNumberFormat="1" applyFont="1" applyBorder="1" applyAlignment="1">
      <alignment horizontal="center"/>
    </xf>
    <xf numFmtId="2" fontId="3" fillId="0" borderId="9" xfId="0" applyNumberFormat="1" applyFont="1" applyBorder="1" applyAlignment="1">
      <alignment horizontal="center"/>
    </xf>
    <xf numFmtId="2" fontId="3" fillId="0" borderId="13" xfId="0" applyNumberFormat="1" applyFont="1" applyBorder="1" applyAlignment="1">
      <alignment horizontal="center"/>
    </xf>
    <xf numFmtId="0" fontId="4" fillId="0" borderId="17" xfId="0" applyFont="1" applyBorder="1" applyAlignment="1">
      <alignment horizontal="center"/>
    </xf>
    <xf numFmtId="2" fontId="3" fillId="0" borderId="1" xfId="0" applyNumberFormat="1" applyFont="1" applyBorder="1" applyAlignment="1">
      <alignment horizontal="center"/>
    </xf>
    <xf numFmtId="2" fontId="3" fillId="0" borderId="10" xfId="0" applyNumberFormat="1" applyFont="1" applyBorder="1" applyAlignment="1">
      <alignment horizontal="center"/>
    </xf>
    <xf numFmtId="2" fontId="3" fillId="0" borderId="5" xfId="0" applyNumberFormat="1" applyFont="1" applyBorder="1" applyAlignment="1">
      <alignment horizontal="center"/>
    </xf>
    <xf numFmtId="164" fontId="3" fillId="0" borderId="1" xfId="0" applyNumberFormat="1" applyFont="1" applyBorder="1" applyAlignment="1">
      <alignment horizontal="center"/>
    </xf>
    <xf numFmtId="164" fontId="3" fillId="0" borderId="10" xfId="0" applyNumberFormat="1" applyFont="1" applyBorder="1" applyAlignment="1">
      <alignment horizontal="center"/>
    </xf>
    <xf numFmtId="164" fontId="3" fillId="0" borderId="5" xfId="0" applyNumberFormat="1" applyFont="1" applyBorder="1" applyAlignment="1">
      <alignment horizontal="center"/>
    </xf>
    <xf numFmtId="1" fontId="3" fillId="0" borderId="8" xfId="0" applyNumberFormat="1" applyFont="1" applyBorder="1" applyAlignment="1">
      <alignment horizontal="center"/>
    </xf>
    <xf numFmtId="0" fontId="7" fillId="0" borderId="0" xfId="0" applyFont="1" applyAlignment="1">
      <alignment horizontal="right"/>
    </xf>
    <xf numFmtId="0" fontId="0" fillId="3" borderId="0" xfId="0" applyFill="1"/>
    <xf numFmtId="0" fontId="3" fillId="0" borderId="0" xfId="0" applyFont="1" applyAlignment="1" applyProtection="1">
      <alignment horizontal="center"/>
      <protection locked="0"/>
    </xf>
    <xf numFmtId="168" fontId="3" fillId="0" borderId="0" xfId="0" applyNumberFormat="1" applyFont="1" applyAlignment="1">
      <alignment horizontal="center"/>
    </xf>
    <xf numFmtId="0" fontId="0" fillId="3" borderId="0" xfId="0" applyFill="1" applyAlignment="1">
      <alignment horizontal="right"/>
    </xf>
    <xf numFmtId="0" fontId="0" fillId="3" borderId="0" xfId="0" applyFill="1" applyAlignment="1">
      <alignment horizontal="center"/>
    </xf>
    <xf numFmtId="0" fontId="0" fillId="3" borderId="0" xfId="0" applyFill="1" applyAlignment="1">
      <alignment horizontal="left"/>
    </xf>
    <xf numFmtId="164" fontId="0" fillId="0" borderId="0" xfId="0" applyNumberFormat="1" applyAlignment="1" applyProtection="1">
      <alignment horizontal="center"/>
      <protection locked="0"/>
    </xf>
    <xf numFmtId="164" fontId="6" fillId="0" borderId="14" xfId="0" applyNumberFormat="1" applyFont="1" applyBorder="1" applyAlignment="1" applyProtection="1">
      <alignment horizontal="center"/>
      <protection locked="0"/>
    </xf>
    <xf numFmtId="0" fontId="5" fillId="0" borderId="0" xfId="0" applyFont="1" applyAlignment="1">
      <alignment horizontal="left"/>
    </xf>
    <xf numFmtId="0" fontId="20" fillId="3" borderId="0" xfId="0" applyFont="1" applyFill="1" applyAlignment="1">
      <alignment horizontal="right"/>
    </xf>
    <xf numFmtId="0" fontId="20" fillId="3" borderId="0" xfId="0" applyFont="1" applyFill="1" applyAlignment="1">
      <alignment horizontal="center"/>
    </xf>
    <xf numFmtId="0" fontId="20" fillId="3" borderId="0" xfId="0" applyFont="1" applyFill="1" applyAlignment="1">
      <alignment horizontal="left"/>
    </xf>
    <xf numFmtId="0" fontId="20" fillId="3" borderId="0" xfId="0" applyFont="1" applyFill="1"/>
    <xf numFmtId="0" fontId="3" fillId="3" borderId="0" xfId="0" applyFont="1" applyFill="1" applyAlignment="1">
      <alignment horizontal="center"/>
    </xf>
    <xf numFmtId="0" fontId="3" fillId="3" borderId="0" xfId="0" applyFont="1" applyFill="1" applyAlignment="1">
      <alignment horizontal="left"/>
    </xf>
    <xf numFmtId="0" fontId="0" fillId="0" borderId="0" xfId="0" applyProtection="1">
      <protection locked="0"/>
    </xf>
    <xf numFmtId="0" fontId="0" fillId="0" borderId="0" xfId="0" applyAlignment="1" applyProtection="1">
      <alignment horizontal="right"/>
      <protection locked="0"/>
    </xf>
    <xf numFmtId="0" fontId="3" fillId="0" borderId="0" xfId="0" applyFont="1" applyAlignment="1" applyProtection="1">
      <alignment horizontal="left"/>
      <protection locked="0"/>
    </xf>
    <xf numFmtId="0" fontId="1" fillId="0" borderId="0" xfId="0" applyFont="1" applyProtection="1">
      <protection locked="0"/>
    </xf>
    <xf numFmtId="0" fontId="0" fillId="0" borderId="0" xfId="0" applyAlignment="1" applyProtection="1">
      <alignment horizontal="left"/>
      <protection locked="0"/>
    </xf>
    <xf numFmtId="167" fontId="3" fillId="0" borderId="0" xfId="0" applyNumberFormat="1" applyFont="1" applyAlignment="1" applyProtection="1">
      <alignment horizontal="center"/>
      <protection locked="0"/>
    </xf>
    <xf numFmtId="167" fontId="0" fillId="0" borderId="0" xfId="0" applyNumberFormat="1" applyProtection="1">
      <protection locked="0"/>
    </xf>
    <xf numFmtId="0" fontId="4" fillId="0" borderId="0" xfId="0" applyFont="1" applyAlignment="1" applyProtection="1">
      <alignment horizontal="center"/>
      <protection locked="0"/>
    </xf>
    <xf numFmtId="0" fontId="23" fillId="0" borderId="0" xfId="0" applyFont="1" applyAlignment="1">
      <alignment horizontal="left" readingOrder="1"/>
    </xf>
    <xf numFmtId="0" fontId="24" fillId="0" borderId="0" xfId="0" applyFont="1" applyAlignment="1">
      <alignment horizontal="left"/>
    </xf>
    <xf numFmtId="0" fontId="26" fillId="0" borderId="0" xfId="1" applyFont="1" applyAlignment="1" applyProtection="1"/>
    <xf numFmtId="0" fontId="27" fillId="0" borderId="0" xfId="0" applyFont="1"/>
    <xf numFmtId="0" fontId="28" fillId="0" borderId="0" xfId="0" applyFont="1"/>
    <xf numFmtId="0" fontId="6" fillId="0" borderId="0" xfId="0" applyFont="1" applyAlignment="1" applyProtection="1">
      <alignment horizontal="right"/>
      <protection locked="0"/>
    </xf>
    <xf numFmtId="165" fontId="0" fillId="0" borderId="0" xfId="0" applyNumberFormat="1" applyAlignment="1" applyProtection="1">
      <alignment horizontal="center"/>
      <protection locked="0"/>
    </xf>
    <xf numFmtId="0" fontId="21" fillId="0" borderId="0" xfId="0" applyFont="1" applyAlignment="1">
      <alignment horizontal="center"/>
    </xf>
    <xf numFmtId="0" fontId="16" fillId="0" borderId="0" xfId="0" applyFont="1"/>
    <xf numFmtId="0" fontId="18" fillId="0" borderId="0" xfId="0" applyFont="1" applyAlignment="1">
      <alignment horizontal="center"/>
    </xf>
    <xf numFmtId="0" fontId="18" fillId="0" borderId="0" xfId="0" applyFont="1"/>
    <xf numFmtId="167" fontId="0" fillId="0" borderId="0" xfId="0" applyNumberFormat="1" applyAlignment="1">
      <alignment horizontal="center"/>
    </xf>
    <xf numFmtId="2" fontId="0" fillId="0" borderId="0" xfId="0" applyNumberFormat="1" applyAlignment="1">
      <alignment horizontal="center"/>
    </xf>
    <xf numFmtId="0" fontId="1" fillId="0" borderId="0" xfId="0" applyFont="1" applyAlignment="1">
      <alignment horizontal="right"/>
    </xf>
    <xf numFmtId="165" fontId="4" fillId="0" borderId="13" xfId="0" applyNumberFormat="1" applyFont="1" applyBorder="1" applyAlignment="1">
      <alignment horizontal="center"/>
    </xf>
    <xf numFmtId="2" fontId="4" fillId="0" borderId="13" xfId="0" applyNumberFormat="1" applyFont="1" applyBorder="1" applyAlignment="1">
      <alignment horizontal="center"/>
    </xf>
    <xf numFmtId="0" fontId="21" fillId="0" borderId="0" xfId="0" applyFont="1" applyAlignment="1">
      <alignment horizontal="left"/>
    </xf>
    <xf numFmtId="0" fontId="16" fillId="0" borderId="0" xfId="0" applyFont="1" applyAlignment="1">
      <alignment horizontal="left"/>
    </xf>
    <xf numFmtId="0" fontId="18" fillId="0" borderId="0" xfId="0" applyFont="1" applyAlignment="1">
      <alignment horizontal="left"/>
    </xf>
    <xf numFmtId="15" fontId="0" fillId="0" borderId="0" xfId="0" applyNumberFormat="1" applyAlignment="1">
      <alignment horizontal="left"/>
    </xf>
    <xf numFmtId="0" fontId="0" fillId="0" borderId="7" xfId="0" applyBorder="1" applyAlignment="1">
      <alignment horizontal="left"/>
    </xf>
    <xf numFmtId="0" fontId="3" fillId="0" borderId="7" xfId="0" applyFont="1" applyBorder="1" applyAlignment="1">
      <alignment horizontal="left"/>
    </xf>
    <xf numFmtId="0" fontId="3" fillId="0" borderId="4" xfId="0" applyFont="1" applyBorder="1" applyAlignment="1">
      <alignment horizontal="left"/>
    </xf>
    <xf numFmtId="0" fontId="0" fillId="0" borderId="14" xfId="0" applyBorder="1" applyAlignment="1">
      <alignment horizontal="left"/>
    </xf>
    <xf numFmtId="0" fontId="0" fillId="0" borderId="9" xfId="0" applyBorder="1" applyAlignment="1">
      <alignment horizontal="left"/>
    </xf>
    <xf numFmtId="0" fontId="3" fillId="0" borderId="12" xfId="0" applyFont="1" applyBorder="1" applyAlignment="1">
      <alignment horizontal="left"/>
    </xf>
    <xf numFmtId="2" fontId="3" fillId="0" borderId="2" xfId="0" applyNumberFormat="1" applyFont="1" applyBorder="1" applyAlignment="1">
      <alignment horizontal="left"/>
    </xf>
    <xf numFmtId="2" fontId="3" fillId="0" borderId="4" xfId="0" applyNumberFormat="1" applyFont="1" applyBorder="1" applyAlignment="1">
      <alignment horizontal="left"/>
    </xf>
    <xf numFmtId="0" fontId="4" fillId="0" borderId="12" xfId="0" applyFont="1" applyBorder="1" applyAlignment="1">
      <alignment horizontal="left"/>
    </xf>
    <xf numFmtId="0" fontId="3" fillId="0" borderId="9" xfId="0" applyFont="1" applyBorder="1" applyAlignment="1">
      <alignment horizontal="left"/>
    </xf>
    <xf numFmtId="0" fontId="0" fillId="0" borderId="8" xfId="0" applyBorder="1" applyAlignment="1" applyProtection="1">
      <alignment horizontal="left"/>
      <protection locked="0"/>
    </xf>
    <xf numFmtId="0" fontId="0" fillId="0" borderId="14" xfId="0" applyBorder="1" applyAlignment="1" applyProtection="1">
      <alignment horizontal="left"/>
      <protection locked="0"/>
    </xf>
    <xf numFmtId="0" fontId="0" fillId="0" borderId="9" xfId="0" applyBorder="1" applyAlignment="1" applyProtection="1">
      <alignment horizontal="left"/>
      <protection locked="0"/>
    </xf>
    <xf numFmtId="2" fontId="3" fillId="0" borderId="7" xfId="0" applyNumberFormat="1" applyFont="1" applyBorder="1" applyAlignment="1">
      <alignment horizontal="left"/>
    </xf>
    <xf numFmtId="2" fontId="3" fillId="0" borderId="13" xfId="0" applyNumberFormat="1" applyFont="1" applyBorder="1" applyAlignment="1">
      <alignment horizontal="left"/>
    </xf>
    <xf numFmtId="164" fontId="3" fillId="0" borderId="0" xfId="0" applyNumberFormat="1" applyFont="1" applyAlignment="1">
      <alignment horizontal="left"/>
    </xf>
    <xf numFmtId="0" fontId="0" fillId="0" borderId="10" xfId="0" applyBorder="1" applyAlignment="1" applyProtection="1">
      <alignment horizontal="left"/>
      <protection locked="0"/>
    </xf>
    <xf numFmtId="0" fontId="0" fillId="0" borderId="5" xfId="0" applyBorder="1" applyAlignment="1" applyProtection="1">
      <alignment horizontal="left"/>
      <protection locked="0"/>
    </xf>
    <xf numFmtId="0" fontId="3" fillId="0" borderId="8" xfId="0" applyFont="1" applyBorder="1" applyAlignment="1">
      <alignment horizontal="left"/>
    </xf>
    <xf numFmtId="2" fontId="3" fillId="0" borderId="8" xfId="0" applyNumberFormat="1" applyFont="1" applyBorder="1" applyAlignment="1">
      <alignment horizontal="left"/>
    </xf>
    <xf numFmtId="2" fontId="3" fillId="0" borderId="14" xfId="0" applyNumberFormat="1" applyFont="1" applyBorder="1" applyAlignment="1">
      <alignment horizontal="left"/>
    </xf>
    <xf numFmtId="2" fontId="3" fillId="0" borderId="9" xfId="0" applyNumberFormat="1" applyFont="1" applyBorder="1" applyAlignment="1">
      <alignment horizontal="left"/>
    </xf>
    <xf numFmtId="1" fontId="4" fillId="0" borderId="0" xfId="0" applyNumberFormat="1" applyFont="1" applyAlignment="1" applyProtection="1">
      <alignment horizontal="center"/>
      <protection locked="0"/>
    </xf>
    <xf numFmtId="165" fontId="4" fillId="0" borderId="0" xfId="0" applyNumberFormat="1" applyFont="1" applyAlignment="1">
      <alignment horizontal="center"/>
    </xf>
    <xf numFmtId="2" fontId="4" fillId="0" borderId="0" xfId="0" applyNumberFormat="1" applyFont="1" applyAlignment="1">
      <alignment horizontal="center"/>
    </xf>
    <xf numFmtId="0" fontId="23" fillId="0" borderId="0" xfId="0" applyFont="1"/>
    <xf numFmtId="0" fontId="3" fillId="0" borderId="0" xfId="0" applyFont="1" applyProtection="1">
      <protection locked="0"/>
    </xf>
    <xf numFmtId="3" fontId="0" fillId="0" borderId="14" xfId="0" applyNumberFormat="1" applyBorder="1" applyAlignment="1" applyProtection="1">
      <alignment horizontal="center"/>
      <protection locked="0"/>
    </xf>
    <xf numFmtId="3" fontId="0" fillId="0" borderId="9" xfId="0" applyNumberFormat="1" applyBorder="1" applyAlignment="1" applyProtection="1">
      <alignment horizontal="center"/>
      <protection locked="0"/>
    </xf>
    <xf numFmtId="0" fontId="31" fillId="0" borderId="13" xfId="0" applyFont="1" applyBorder="1" applyAlignment="1">
      <alignment horizontal="left"/>
    </xf>
    <xf numFmtId="0" fontId="6" fillId="0" borderId="0" xfId="0" applyFont="1"/>
    <xf numFmtId="3" fontId="0" fillId="0" borderId="8" xfId="0" applyNumberFormat="1" applyBorder="1" applyAlignment="1" applyProtection="1">
      <alignment horizontal="center"/>
      <protection locked="0"/>
    </xf>
    <xf numFmtId="3" fontId="3" fillId="0" borderId="0" xfId="0" applyNumberFormat="1" applyFont="1" applyAlignment="1">
      <alignment horizontal="center"/>
    </xf>
    <xf numFmtId="165" fontId="6" fillId="0" borderId="0" xfId="0" applyNumberFormat="1" applyFont="1"/>
    <xf numFmtId="3" fontId="6" fillId="0" borderId="9" xfId="0" applyNumberFormat="1" applyFont="1" applyBorder="1" applyAlignment="1" applyProtection="1">
      <alignment horizontal="center"/>
      <protection locked="0"/>
    </xf>
    <xf numFmtId="3" fontId="3" fillId="0" borderId="0" xfId="0" applyNumberFormat="1" applyFont="1" applyAlignment="1">
      <alignment horizontal="left"/>
    </xf>
    <xf numFmtId="0" fontId="3" fillId="0" borderId="0" xfId="0" applyFont="1" applyAlignment="1" applyProtection="1">
      <alignment horizontal="right"/>
      <protection locked="0"/>
    </xf>
    <xf numFmtId="3" fontId="0" fillId="0" borderId="0" xfId="0" applyNumberFormat="1" applyAlignment="1">
      <alignment horizontal="center"/>
    </xf>
    <xf numFmtId="3" fontId="0" fillId="0" borderId="13" xfId="0" applyNumberFormat="1" applyBorder="1" applyAlignment="1" applyProtection="1">
      <alignment horizontal="center"/>
      <protection locked="0"/>
    </xf>
    <xf numFmtId="3" fontId="6" fillId="0" borderId="8" xfId="0" applyNumberFormat="1" applyFont="1" applyBorder="1" applyAlignment="1" applyProtection="1">
      <alignment horizontal="center"/>
      <protection locked="0"/>
    </xf>
    <xf numFmtId="3" fontId="3" fillId="0" borderId="13" xfId="0" applyNumberFormat="1" applyFont="1" applyBorder="1" applyAlignment="1" applyProtection="1">
      <alignment horizontal="center"/>
      <protection locked="0"/>
    </xf>
    <xf numFmtId="0" fontId="3" fillId="0" borderId="1" xfId="0" applyFont="1" applyBorder="1" applyAlignment="1" applyProtection="1">
      <alignment horizontal="center"/>
      <protection hidden="1"/>
    </xf>
    <xf numFmtId="2" fontId="3" fillId="0" borderId="6" xfId="0" applyNumberFormat="1" applyFont="1" applyBorder="1" applyAlignment="1" applyProtection="1">
      <alignment horizontal="center"/>
      <protection hidden="1"/>
    </xf>
    <xf numFmtId="2" fontId="3" fillId="0" borderId="7" xfId="0" applyNumberFormat="1" applyFont="1" applyBorder="1" applyAlignment="1" applyProtection="1">
      <alignment horizontal="center"/>
      <protection hidden="1"/>
    </xf>
    <xf numFmtId="167" fontId="3" fillId="0" borderId="10" xfId="0" applyNumberFormat="1" applyFont="1" applyBorder="1" applyAlignment="1" applyProtection="1">
      <alignment horizontal="center"/>
      <protection hidden="1"/>
    </xf>
    <xf numFmtId="2" fontId="0" fillId="0" borderId="0" xfId="0" applyNumberFormat="1" applyAlignment="1" applyProtection="1">
      <alignment horizontal="center"/>
      <protection hidden="1"/>
    </xf>
    <xf numFmtId="2" fontId="0" fillId="0" borderId="2" xfId="0" applyNumberFormat="1" applyBorder="1" applyAlignment="1" applyProtection="1">
      <alignment horizontal="center"/>
      <protection hidden="1"/>
    </xf>
    <xf numFmtId="167" fontId="3" fillId="0" borderId="5" xfId="0" applyNumberFormat="1" applyFont="1" applyBorder="1" applyAlignment="1" applyProtection="1">
      <alignment horizontal="center"/>
      <protection hidden="1"/>
    </xf>
    <xf numFmtId="2" fontId="0" fillId="0" borderId="3" xfId="0" applyNumberFormat="1" applyBorder="1" applyAlignment="1" applyProtection="1">
      <alignment horizontal="center"/>
      <protection hidden="1"/>
    </xf>
    <xf numFmtId="2" fontId="0" fillId="0" borderId="4" xfId="0" applyNumberFormat="1" applyBorder="1" applyAlignment="1" applyProtection="1">
      <alignment horizontal="center"/>
      <protection hidden="1"/>
    </xf>
    <xf numFmtId="0" fontId="0" fillId="0" borderId="5" xfId="0" applyBorder="1" applyProtection="1">
      <protection hidden="1"/>
    </xf>
    <xf numFmtId="0" fontId="3" fillId="0" borderId="3" xfId="0" applyFont="1" applyBorder="1" applyAlignment="1" applyProtection="1">
      <alignment horizontal="center"/>
      <protection hidden="1"/>
    </xf>
    <xf numFmtId="0" fontId="3" fillId="0" borderId="4" xfId="0" applyFont="1" applyBorder="1" applyAlignment="1" applyProtection="1">
      <alignment horizontal="center"/>
      <protection hidden="1"/>
    </xf>
    <xf numFmtId="2" fontId="3" fillId="0" borderId="8" xfId="0" applyNumberFormat="1" applyFont="1" applyBorder="1" applyAlignment="1" applyProtection="1">
      <alignment horizontal="center"/>
      <protection hidden="1"/>
    </xf>
    <xf numFmtId="0" fontId="3" fillId="0" borderId="9" xfId="0" applyFont="1" applyBorder="1" applyAlignment="1" applyProtection="1">
      <alignment horizontal="center"/>
      <protection hidden="1"/>
    </xf>
    <xf numFmtId="2" fontId="0" fillId="0" borderId="14" xfId="0" applyNumberFormat="1" applyBorder="1" applyAlignment="1" applyProtection="1">
      <alignment horizontal="center"/>
      <protection hidden="1"/>
    </xf>
    <xf numFmtId="2" fontId="0" fillId="0" borderId="9" xfId="0" applyNumberFormat="1" applyBorder="1" applyAlignment="1" applyProtection="1">
      <alignment horizontal="center"/>
      <protection hidden="1"/>
    </xf>
    <xf numFmtId="3" fontId="6" fillId="0" borderId="14" xfId="0" applyNumberFormat="1" applyFont="1" applyBorder="1" applyAlignment="1" applyProtection="1">
      <alignment horizontal="center"/>
      <protection locked="0"/>
    </xf>
    <xf numFmtId="169" fontId="3" fillId="0" borderId="0" xfId="0" applyNumberFormat="1" applyFont="1" applyAlignment="1">
      <alignment horizontal="center"/>
    </xf>
    <xf numFmtId="1" fontId="4" fillId="0" borderId="13" xfId="0" applyNumberFormat="1" applyFont="1" applyBorder="1" applyAlignment="1">
      <alignment horizontal="center"/>
    </xf>
    <xf numFmtId="1" fontId="30" fillId="0" borderId="13" xfId="0" applyNumberFormat="1" applyFont="1" applyBorder="1" applyAlignment="1" applyProtection="1">
      <alignment horizontal="center"/>
      <protection locked="0"/>
    </xf>
    <xf numFmtId="165" fontId="4" fillId="0" borderId="13" xfId="0" applyNumberFormat="1" applyFont="1" applyBorder="1" applyAlignment="1" applyProtection="1">
      <alignment horizontal="center"/>
      <protection locked="0"/>
    </xf>
    <xf numFmtId="2" fontId="4" fillId="0" borderId="13" xfId="0" applyNumberFormat="1" applyFont="1" applyBorder="1" applyAlignment="1" applyProtection="1">
      <alignment horizontal="center"/>
      <protection locked="0"/>
    </xf>
    <xf numFmtId="0" fontId="24" fillId="0" borderId="0" xfId="0" applyFont="1"/>
    <xf numFmtId="0" fontId="0" fillId="3" borderId="0" xfId="0" applyFill="1" applyAlignment="1" applyProtection="1">
      <alignment horizontal="right"/>
      <protection locked="0"/>
    </xf>
    <xf numFmtId="0" fontId="0" fillId="3" borderId="0" xfId="0" applyFill="1" applyAlignment="1" applyProtection="1">
      <alignment horizontal="center"/>
      <protection locked="0"/>
    </xf>
    <xf numFmtId="0" fontId="0" fillId="3" borderId="0" xfId="0" applyFill="1" applyAlignment="1" applyProtection="1">
      <alignment horizontal="left"/>
      <protection locked="0"/>
    </xf>
    <xf numFmtId="0" fontId="0" fillId="4" borderId="0" xfId="0" applyFill="1"/>
    <xf numFmtId="0" fontId="1" fillId="4" borderId="1" xfId="0" applyFont="1" applyFill="1" applyBorder="1" applyAlignment="1">
      <alignment horizontal="left"/>
    </xf>
    <xf numFmtId="0" fontId="0" fillId="4" borderId="6" xfId="0" applyFill="1" applyBorder="1"/>
    <xf numFmtId="0" fontId="0" fillId="4" borderId="7" xfId="0" applyFill="1" applyBorder="1" applyAlignment="1">
      <alignment horizontal="left"/>
    </xf>
    <xf numFmtId="0" fontId="3" fillId="4" borderId="10" xfId="0" applyFont="1" applyFill="1" applyBorder="1" applyAlignment="1">
      <alignment horizontal="left"/>
    </xf>
    <xf numFmtId="0" fontId="0" fillId="4" borderId="2" xfId="0" applyFill="1" applyBorder="1" applyAlignment="1">
      <alignment horizontal="left"/>
    </xf>
    <xf numFmtId="0" fontId="0" fillId="4" borderId="10" xfId="0" applyFill="1" applyBorder="1"/>
    <xf numFmtId="0" fontId="3" fillId="4" borderId="5" xfId="0" applyFont="1" applyFill="1" applyBorder="1"/>
    <xf numFmtId="0" fontId="0" fillId="4" borderId="3" xfId="0" applyFill="1" applyBorder="1"/>
    <xf numFmtId="0" fontId="0" fillId="4" borderId="4" xfId="0" applyFill="1" applyBorder="1" applyAlignment="1">
      <alignment horizontal="left"/>
    </xf>
    <xf numFmtId="0" fontId="24" fillId="0" borderId="0" xfId="0" applyFont="1" applyProtection="1">
      <protection locked="0"/>
    </xf>
    <xf numFmtId="0" fontId="1" fillId="0" borderId="0" xfId="0" applyFont="1" applyAlignment="1" applyProtection="1">
      <alignment horizontal="center"/>
      <protection locked="0"/>
    </xf>
    <xf numFmtId="15" fontId="0" fillId="0" borderId="0" xfId="0" applyNumberFormat="1" applyProtection="1">
      <protection locked="0"/>
    </xf>
    <xf numFmtId="165" fontId="3" fillId="0" borderId="0" xfId="0" applyNumberFormat="1" applyFont="1" applyAlignment="1">
      <alignment horizontal="left"/>
    </xf>
    <xf numFmtId="167" fontId="3" fillId="0" borderId="0" xfId="0" applyNumberFormat="1" applyFont="1" applyAlignment="1">
      <alignment horizontal="left"/>
    </xf>
    <xf numFmtId="0" fontId="1" fillId="0" borderId="0" xfId="0" applyFont="1" applyAlignment="1">
      <alignment horizontal="left"/>
    </xf>
    <xf numFmtId="0" fontId="3" fillId="0" borderId="13" xfId="0" applyFont="1" applyBorder="1" applyAlignment="1" applyProtection="1">
      <alignment horizontal="left"/>
      <protection locked="0"/>
    </xf>
    <xf numFmtId="167" fontId="0" fillId="0" borderId="0" xfId="0" applyNumberFormat="1" applyAlignment="1" applyProtection="1">
      <alignment horizontal="left"/>
      <protection locked="0"/>
    </xf>
    <xf numFmtId="1" fontId="0" fillId="0" borderId="9" xfId="0" applyNumberFormat="1" applyBorder="1" applyAlignment="1" applyProtection="1">
      <alignment horizontal="left"/>
      <protection locked="0"/>
    </xf>
    <xf numFmtId="0" fontId="33" fillId="0" borderId="0" xfId="0" applyFont="1" applyProtection="1">
      <protection locked="0"/>
    </xf>
    <xf numFmtId="0" fontId="34" fillId="0" borderId="0" xfId="1" applyFont="1" applyAlignment="1" applyProtection="1">
      <protection locked="0"/>
    </xf>
    <xf numFmtId="0" fontId="27" fillId="0" borderId="0" xfId="0" applyFont="1" applyAlignment="1">
      <alignment horizontal="left"/>
    </xf>
    <xf numFmtId="0" fontId="35" fillId="0" borderId="0" xfId="0" applyFont="1" applyAlignment="1">
      <alignment horizontal="left"/>
    </xf>
    <xf numFmtId="164" fontId="3" fillId="0" borderId="0" xfId="0" applyNumberFormat="1" applyFont="1" applyAlignment="1" applyProtection="1">
      <alignment horizontal="left"/>
      <protection locked="0"/>
    </xf>
    <xf numFmtId="0" fontId="1" fillId="0" borderId="0" xfId="0" applyFont="1"/>
    <xf numFmtId="2" fontId="3" fillId="0" borderId="0" xfId="0" applyNumberFormat="1" applyFont="1" applyAlignment="1" applyProtection="1">
      <alignment horizontal="left"/>
      <protection locked="0"/>
    </xf>
    <xf numFmtId="164" fontId="1" fillId="0" borderId="8" xfId="0" applyNumberFormat="1" applyFont="1" applyBorder="1" applyAlignment="1" applyProtection="1">
      <alignment horizontal="left"/>
      <protection locked="0"/>
    </xf>
    <xf numFmtId="164" fontId="1" fillId="0" borderId="14" xfId="0" applyNumberFormat="1" applyFont="1" applyBorder="1" applyAlignment="1" applyProtection="1">
      <alignment horizontal="left"/>
      <protection locked="0"/>
    </xf>
    <xf numFmtId="164" fontId="1" fillId="0" borderId="9" xfId="0" applyNumberFormat="1" applyFont="1" applyBorder="1" applyAlignment="1" applyProtection="1">
      <alignment horizontal="left"/>
      <protection locked="0"/>
    </xf>
    <xf numFmtId="164" fontId="0" fillId="0" borderId="14" xfId="0" applyNumberFormat="1" applyBorder="1" applyAlignment="1" applyProtection="1">
      <alignment horizontal="left"/>
      <protection locked="0"/>
    </xf>
    <xf numFmtId="0" fontId="37" fillId="0" borderId="0" xfId="0" applyFont="1" applyAlignment="1">
      <alignment horizontal="left"/>
    </xf>
    <xf numFmtId="0" fontId="13" fillId="0" borderId="0" xfId="0" applyFont="1" applyAlignment="1" applyProtection="1">
      <alignment horizontal="right"/>
      <protection locked="0"/>
    </xf>
    <xf numFmtId="0" fontId="37" fillId="0" borderId="0" xfId="0" applyFont="1" applyAlignment="1">
      <alignment vertical="center"/>
    </xf>
    <xf numFmtId="3" fontId="0" fillId="0" borderId="9" xfId="0" applyNumberFormat="1" applyBorder="1" applyAlignment="1" applyProtection="1">
      <alignment horizontal="left"/>
      <protection locked="0"/>
    </xf>
    <xf numFmtId="0" fontId="1" fillId="0" borderId="8" xfId="0" applyFont="1" applyBorder="1" applyAlignment="1" applyProtection="1">
      <alignment horizontal="left"/>
      <protection locked="0"/>
    </xf>
    <xf numFmtId="0" fontId="36" fillId="0" borderId="0" xfId="0" applyFont="1" applyProtection="1">
      <protection locked="0"/>
    </xf>
    <xf numFmtId="0" fontId="36" fillId="0" borderId="0" xfId="0" applyFont="1" applyAlignment="1" applyProtection="1">
      <alignment horizontal="left"/>
      <protection locked="0"/>
    </xf>
    <xf numFmtId="0" fontId="13" fillId="0" borderId="0" xfId="0" applyFont="1" applyProtection="1">
      <protection locked="0"/>
    </xf>
    <xf numFmtId="0" fontId="3" fillId="0" borderId="8" xfId="0" applyFont="1" applyBorder="1" applyAlignment="1" applyProtection="1">
      <alignment horizontal="left"/>
      <protection locked="0"/>
    </xf>
    <xf numFmtId="0" fontId="3" fillId="0" borderId="14" xfId="0" applyFont="1" applyBorder="1" applyAlignment="1" applyProtection="1">
      <alignment horizontal="left"/>
      <protection locked="0"/>
    </xf>
    <xf numFmtId="0" fontId="0" fillId="0" borderId="8" xfId="0" applyBorder="1" applyAlignment="1">
      <alignment horizontal="left"/>
    </xf>
    <xf numFmtId="0" fontId="1" fillId="0" borderId="0" xfId="0" applyFont="1" applyAlignment="1" applyProtection="1">
      <alignment horizontal="right"/>
      <protection locked="0"/>
    </xf>
    <xf numFmtId="167" fontId="3" fillId="0" borderId="0" xfId="0" applyNumberFormat="1" applyFont="1" applyAlignment="1" applyProtection="1">
      <alignment horizontal="left"/>
      <protection locked="0"/>
    </xf>
    <xf numFmtId="2" fontId="0" fillId="0" borderId="0" xfId="0" applyNumberFormat="1" applyAlignment="1">
      <alignment horizontal="left"/>
    </xf>
    <xf numFmtId="2" fontId="1" fillId="0" borderId="9" xfId="0" applyNumberFormat="1" applyFont="1" applyBorder="1" applyAlignment="1" applyProtection="1">
      <alignment horizontal="left"/>
      <protection locked="0"/>
    </xf>
    <xf numFmtId="1" fontId="1" fillId="0" borderId="0" xfId="0" applyNumberFormat="1" applyFont="1" applyAlignment="1" applyProtection="1">
      <alignment horizontal="left"/>
      <protection locked="0"/>
    </xf>
    <xf numFmtId="0" fontId="23" fillId="0" borderId="0" xfId="0" applyFont="1" applyAlignment="1">
      <alignment horizontal="left" vertical="center"/>
    </xf>
    <xf numFmtId="0" fontId="8" fillId="0" borderId="0" xfId="1" applyBorder="1" applyAlignment="1" applyProtection="1">
      <alignment horizontal="right"/>
      <protection locked="0"/>
    </xf>
    <xf numFmtId="0" fontId="30" fillId="0" borderId="0" xfId="0" applyFont="1" applyAlignment="1">
      <alignment horizontal="center"/>
    </xf>
    <xf numFmtId="0" fontId="38" fillId="0" borderId="0" xfId="0" applyFont="1" applyAlignment="1">
      <alignment horizontal="right"/>
    </xf>
    <xf numFmtId="0" fontId="23" fillId="0" borderId="0" xfId="0" applyFont="1" applyAlignment="1">
      <alignment horizontal="left"/>
    </xf>
    <xf numFmtId="1" fontId="3" fillId="0" borderId="14" xfId="0" applyNumberFormat="1" applyFont="1" applyBorder="1" applyAlignment="1" applyProtection="1">
      <alignment horizontal="left"/>
      <protection locked="0"/>
    </xf>
    <xf numFmtId="165" fontId="3" fillId="0" borderId="14" xfId="0" applyNumberFormat="1" applyFont="1" applyBorder="1" applyAlignment="1" applyProtection="1">
      <alignment horizontal="left"/>
      <protection locked="0"/>
    </xf>
    <xf numFmtId="165" fontId="3" fillId="0" borderId="9" xfId="0" applyNumberFormat="1" applyFont="1" applyBorder="1" applyAlignment="1" applyProtection="1">
      <alignment horizontal="left"/>
      <protection locked="0"/>
    </xf>
    <xf numFmtId="0" fontId="35" fillId="0" borderId="0" xfId="0" applyFont="1"/>
    <xf numFmtId="167" fontId="35" fillId="0" borderId="0" xfId="0" applyNumberFormat="1" applyFont="1" applyAlignment="1">
      <alignment horizontal="left"/>
    </xf>
    <xf numFmtId="0" fontId="25" fillId="0" borderId="14" xfId="0" applyFont="1" applyBorder="1" applyAlignment="1">
      <alignment horizontal="left"/>
    </xf>
    <xf numFmtId="0" fontId="13" fillId="0" borderId="0" xfId="0" applyFont="1" applyAlignment="1">
      <alignment vertical="center"/>
    </xf>
    <xf numFmtId="0" fontId="23" fillId="0" borderId="0" xfId="0" applyFont="1" applyAlignment="1" applyProtection="1">
      <alignment horizontal="right"/>
      <protection locked="0"/>
    </xf>
    <xf numFmtId="170" fontId="0" fillId="0" borderId="0" xfId="0" applyNumberFormat="1" applyProtection="1">
      <protection locked="0"/>
    </xf>
    <xf numFmtId="164" fontId="0" fillId="0" borderId="0" xfId="0" applyNumberFormat="1" applyAlignment="1">
      <alignment horizontal="left"/>
    </xf>
    <xf numFmtId="164" fontId="1" fillId="0" borderId="0" xfId="0" applyNumberFormat="1" applyFont="1" applyAlignment="1">
      <alignment horizontal="left"/>
    </xf>
    <xf numFmtId="0" fontId="3" fillId="0" borderId="8" xfId="0" applyFont="1" applyBorder="1" applyAlignment="1" applyProtection="1">
      <alignment horizontal="center"/>
      <protection locked="0"/>
    </xf>
    <xf numFmtId="0" fontId="3" fillId="0" borderId="14" xfId="0" applyFont="1" applyBorder="1" applyAlignment="1" applyProtection="1">
      <alignment horizontal="center"/>
      <protection locked="0"/>
    </xf>
    <xf numFmtId="2" fontId="3" fillId="0" borderId="14" xfId="0" applyNumberFormat="1" applyFont="1" applyBorder="1" applyAlignment="1" applyProtection="1">
      <alignment horizontal="center"/>
      <protection locked="0"/>
    </xf>
    <xf numFmtId="0" fontId="3" fillId="0" borderId="9" xfId="0" applyFont="1" applyBorder="1" applyAlignment="1" applyProtection="1">
      <alignment horizontal="center"/>
      <protection locked="0"/>
    </xf>
    <xf numFmtId="165" fontId="1" fillId="0" borderId="0" xfId="0" applyNumberFormat="1" applyFont="1" applyAlignment="1">
      <alignment horizontal="left"/>
    </xf>
    <xf numFmtId="0" fontId="31" fillId="0" borderId="15" xfId="0" applyFont="1" applyBorder="1" applyAlignment="1">
      <alignment horizontal="left"/>
    </xf>
    <xf numFmtId="0" fontId="3" fillId="0" borderId="15" xfId="0" applyFont="1" applyBorder="1" applyAlignment="1">
      <alignment horizontal="left"/>
    </xf>
    <xf numFmtId="0" fontId="0" fillId="0" borderId="12" xfId="0" applyBorder="1"/>
    <xf numFmtId="0" fontId="3" fillId="0" borderId="11" xfId="0" applyFont="1" applyBorder="1" applyAlignment="1">
      <alignment horizontal="right"/>
    </xf>
    <xf numFmtId="0" fontId="3" fillId="0" borderId="11" xfId="0" applyFont="1" applyBorder="1" applyAlignment="1">
      <alignment horizontal="left"/>
    </xf>
    <xf numFmtId="0" fontId="13" fillId="0" borderId="0" xfId="0" applyFont="1" applyAlignment="1" applyProtection="1">
      <alignment horizontal="left"/>
      <protection locked="0"/>
    </xf>
    <xf numFmtId="1" fontId="3" fillId="0" borderId="0" xfId="0" applyNumberFormat="1" applyFont="1" applyAlignment="1" applyProtection="1">
      <alignment horizontal="left"/>
      <protection locked="0"/>
    </xf>
    <xf numFmtId="1" fontId="1" fillId="0" borderId="14" xfId="0" applyNumberFormat="1" applyFont="1" applyBorder="1" applyAlignment="1" applyProtection="1">
      <alignment horizontal="left"/>
      <protection locked="0"/>
    </xf>
    <xf numFmtId="0" fontId="1" fillId="0" borderId="9" xfId="0" applyFont="1" applyBorder="1" applyAlignment="1" applyProtection="1">
      <alignment horizontal="left"/>
      <protection locked="0"/>
    </xf>
    <xf numFmtId="0" fontId="0" fillId="0" borderId="0" xfId="0" applyAlignment="1">
      <alignment wrapText="1"/>
    </xf>
    <xf numFmtId="0" fontId="31" fillId="0" borderId="0" xfId="0" applyFont="1" applyAlignment="1">
      <alignment horizontal="left"/>
    </xf>
    <xf numFmtId="0" fontId="27" fillId="0" borderId="0" xfId="0" applyFont="1" applyAlignment="1">
      <alignment vertical="center"/>
    </xf>
    <xf numFmtId="0" fontId="1" fillId="0" borderId="0" xfId="0" applyFont="1" applyAlignment="1">
      <alignment horizontal="center"/>
    </xf>
    <xf numFmtId="2" fontId="3" fillId="0" borderId="14" xfId="0" applyNumberFormat="1" applyFont="1" applyBorder="1" applyAlignment="1" applyProtection="1">
      <alignment horizontal="left"/>
      <protection locked="0"/>
    </xf>
    <xf numFmtId="0" fontId="3" fillId="0" borderId="9" xfId="0" applyFont="1" applyBorder="1" applyAlignment="1" applyProtection="1">
      <alignment horizontal="left"/>
      <protection locked="0"/>
    </xf>
    <xf numFmtId="164" fontId="39" fillId="0" borderId="0" xfId="0" applyNumberFormat="1" applyFont="1" applyAlignment="1">
      <alignment horizontal="left"/>
    </xf>
    <xf numFmtId="164" fontId="0" fillId="0" borderId="8" xfId="0" applyNumberFormat="1" applyBorder="1" applyAlignment="1" applyProtection="1">
      <alignment horizontal="left"/>
      <protection locked="0"/>
    </xf>
    <xf numFmtId="0" fontId="39" fillId="0" borderId="0" xfId="0" applyFont="1" applyAlignment="1">
      <alignment horizontal="right"/>
    </xf>
    <xf numFmtId="0" fontId="39" fillId="0" borderId="0" xfId="0" applyFont="1" applyAlignment="1">
      <alignment horizontal="left"/>
    </xf>
    <xf numFmtId="165" fontId="39" fillId="0" borderId="0" xfId="0" applyNumberFormat="1" applyFont="1" applyAlignment="1">
      <alignment horizontal="left"/>
    </xf>
    <xf numFmtId="3" fontId="0" fillId="0" borderId="8" xfId="0" applyNumberFormat="1" applyBorder="1" applyAlignment="1" applyProtection="1">
      <alignment horizontal="left"/>
      <protection locked="0"/>
    </xf>
    <xf numFmtId="0" fontId="1" fillId="0" borderId="0" xfId="0" applyFont="1" applyAlignment="1" applyProtection="1">
      <alignment horizontal="left"/>
      <protection locked="0"/>
    </xf>
    <xf numFmtId="167" fontId="0" fillId="0" borderId="9" xfId="0" applyNumberFormat="1" applyBorder="1" applyAlignment="1" applyProtection="1">
      <alignment horizontal="left"/>
      <protection locked="0"/>
    </xf>
    <xf numFmtId="0" fontId="39" fillId="0" borderId="0" xfId="0" applyFont="1" applyProtection="1">
      <protection locked="0"/>
    </xf>
    <xf numFmtId="2" fontId="0" fillId="0" borderId="14" xfId="0" applyNumberFormat="1" applyBorder="1" applyAlignment="1" applyProtection="1">
      <alignment horizontal="left"/>
      <protection locked="0"/>
    </xf>
    <xf numFmtId="0" fontId="1" fillId="0" borderId="14" xfId="0" applyFont="1" applyBorder="1" applyAlignment="1" applyProtection="1">
      <alignment horizontal="left"/>
      <protection locked="0"/>
    </xf>
    <xf numFmtId="1" fontId="0" fillId="0" borderId="14" xfId="0" applyNumberFormat="1" applyBorder="1" applyAlignment="1" applyProtection="1">
      <alignment horizontal="left"/>
      <protection locked="0"/>
    </xf>
    <xf numFmtId="0" fontId="0" fillId="0" borderId="12" xfId="0" applyBorder="1" applyAlignment="1">
      <alignment horizontal="left"/>
    </xf>
    <xf numFmtId="0" fontId="0" fillId="0" borderId="2" xfId="0" applyBorder="1" applyAlignment="1">
      <alignment horizontal="left"/>
    </xf>
    <xf numFmtId="0" fontId="0" fillId="0" borderId="4" xfId="0" applyBorder="1" applyAlignment="1">
      <alignment horizontal="left"/>
    </xf>
    <xf numFmtId="164" fontId="3" fillId="0" borderId="13" xfId="0" applyNumberFormat="1" applyFont="1" applyBorder="1" applyAlignment="1" applyProtection="1">
      <alignment horizontal="left"/>
      <protection locked="0"/>
    </xf>
    <xf numFmtId="164" fontId="1" fillId="0" borderId="0" xfId="0" applyNumberFormat="1" applyFont="1" applyAlignment="1" applyProtection="1">
      <alignment horizontal="left"/>
      <protection locked="0"/>
    </xf>
    <xf numFmtId="0" fontId="3" fillId="0" borderId="13" xfId="0" applyFont="1" applyBorder="1" applyAlignment="1" applyProtection="1">
      <alignment horizontal="center"/>
      <protection locked="0"/>
    </xf>
    <xf numFmtId="167" fontId="3" fillId="0" borderId="14" xfId="0" applyNumberFormat="1" applyFont="1" applyBorder="1" applyAlignment="1" applyProtection="1">
      <alignment horizontal="left"/>
      <protection locked="0"/>
    </xf>
    <xf numFmtId="167" fontId="3" fillId="0" borderId="15" xfId="0" applyNumberFormat="1" applyFont="1" applyBorder="1" applyAlignment="1" applyProtection="1">
      <alignment horizontal="left"/>
      <protection locked="0"/>
    </xf>
    <xf numFmtId="165" fontId="0" fillId="0" borderId="0" xfId="0" applyNumberFormat="1" applyAlignment="1">
      <alignment horizontal="left"/>
    </xf>
    <xf numFmtId="0" fontId="0" fillId="0" borderId="0" xfId="0" applyAlignment="1" applyProtection="1">
      <alignment horizontal="right" wrapText="1"/>
      <protection locked="0"/>
    </xf>
    <xf numFmtId="0" fontId="8" fillId="0" borderId="0" xfId="1" applyBorder="1" applyAlignment="1" applyProtection="1">
      <alignment vertical="center"/>
      <protection locked="0"/>
    </xf>
    <xf numFmtId="164" fontId="3" fillId="0" borderId="14" xfId="0" applyNumberFormat="1" applyFont="1" applyBorder="1" applyAlignment="1" applyProtection="1">
      <alignment horizontal="center"/>
      <protection locked="0"/>
    </xf>
    <xf numFmtId="0" fontId="39" fillId="0" borderId="0" xfId="0" applyFont="1" applyAlignment="1">
      <alignment horizontal="center"/>
    </xf>
    <xf numFmtId="0" fontId="39" fillId="0" borderId="0" xfId="0" applyFont="1"/>
    <xf numFmtId="0" fontId="42" fillId="0" borderId="0" xfId="0" applyFont="1" applyAlignment="1">
      <alignment horizontal="right"/>
    </xf>
    <xf numFmtId="0" fontId="27" fillId="0" borderId="0" xfId="0" applyFont="1" applyAlignment="1">
      <alignment horizontal="center"/>
    </xf>
    <xf numFmtId="164" fontId="27" fillId="0" borderId="0" xfId="0" applyNumberFormat="1" applyFont="1" applyAlignment="1">
      <alignment horizontal="left"/>
    </xf>
    <xf numFmtId="0" fontId="0" fillId="0" borderId="12" xfId="0" applyBorder="1" applyProtection="1">
      <protection locked="0"/>
    </xf>
    <xf numFmtId="0" fontId="27" fillId="0" borderId="13" xfId="0" applyFont="1" applyBorder="1" applyAlignment="1" applyProtection="1">
      <alignment horizontal="left"/>
      <protection locked="0"/>
    </xf>
    <xf numFmtId="167" fontId="3" fillId="0" borderId="3" xfId="0" applyNumberFormat="1" applyFont="1" applyBorder="1" applyAlignment="1">
      <alignment horizontal="left"/>
    </xf>
    <xf numFmtId="0" fontId="43" fillId="0" borderId="0" xfId="0" applyFont="1" applyAlignment="1">
      <alignment horizontal="left"/>
    </xf>
    <xf numFmtId="0" fontId="44" fillId="0" borderId="0" xfId="0" applyFont="1" applyAlignment="1">
      <alignment horizontal="center"/>
    </xf>
    <xf numFmtId="0" fontId="45" fillId="0" borderId="0" xfId="0" applyFont="1" applyAlignment="1">
      <alignment horizontal="right"/>
    </xf>
    <xf numFmtId="0" fontId="39" fillId="0" borderId="8" xfId="0" applyFont="1" applyBorder="1" applyAlignment="1" applyProtection="1">
      <alignment horizontal="left"/>
      <protection locked="0"/>
    </xf>
    <xf numFmtId="0" fontId="39" fillId="0" borderId="14" xfId="0" applyFont="1" applyBorder="1" applyAlignment="1" applyProtection="1">
      <alignment horizontal="left"/>
      <protection locked="0"/>
    </xf>
    <xf numFmtId="164" fontId="39" fillId="0" borderId="14" xfId="0" applyNumberFormat="1" applyFont="1" applyBorder="1" applyAlignment="1" applyProtection="1">
      <alignment horizontal="left"/>
      <protection locked="0"/>
    </xf>
    <xf numFmtId="164" fontId="39" fillId="0" borderId="9" xfId="0" applyNumberFormat="1" applyFont="1" applyBorder="1" applyAlignment="1" applyProtection="1">
      <alignment horizontal="left"/>
      <protection locked="0"/>
    </xf>
    <xf numFmtId="3" fontId="39" fillId="0" borderId="0" xfId="0" applyNumberFormat="1" applyFont="1" applyAlignment="1">
      <alignment horizontal="left"/>
    </xf>
    <xf numFmtId="14" fontId="3" fillId="0" borderId="0" xfId="0" applyNumberFormat="1" applyFont="1"/>
    <xf numFmtId="0" fontId="47" fillId="0" borderId="0" xfId="0" applyFont="1" applyAlignment="1">
      <alignment horizontal="left"/>
    </xf>
    <xf numFmtId="0" fontId="48" fillId="0" borderId="0" xfId="0" applyFont="1" applyAlignment="1">
      <alignment horizontal="left"/>
    </xf>
    <xf numFmtId="0" fontId="49" fillId="0" borderId="0" xfId="0" applyFont="1" applyAlignment="1">
      <alignment horizontal="left"/>
    </xf>
    <xf numFmtId="0" fontId="50" fillId="0" borderId="0" xfId="0" applyFont="1"/>
    <xf numFmtId="0" fontId="51" fillId="0" borderId="0" xfId="0"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KEY SLOT STRESS FACTOR</a:t>
            </a:r>
          </a:p>
        </c:rich>
      </c:tx>
      <c:layout>
        <c:manualLayout>
          <c:xMode val="edge"/>
          <c:yMode val="edge"/>
          <c:x val="0.24256292906178489"/>
          <c:y val="3.2500000000000001E-2"/>
        </c:manualLayout>
      </c:layout>
      <c:overlay val="0"/>
      <c:spPr>
        <a:noFill/>
        <a:ln w="25400">
          <a:noFill/>
        </a:ln>
      </c:spPr>
    </c:title>
    <c:autoTitleDeleted val="0"/>
    <c:plotArea>
      <c:layout>
        <c:manualLayout>
          <c:layoutTarget val="inner"/>
          <c:xMode val="edge"/>
          <c:yMode val="edge"/>
          <c:x val="0.17391304347826253"/>
          <c:y val="0.17750021667506921"/>
          <c:w val="0.67276887871854085"/>
          <c:h val="0.65000079345800621"/>
        </c:manualLayout>
      </c:layout>
      <c:lineChart>
        <c:grouping val="standard"/>
        <c:varyColors val="0"/>
        <c:ser>
          <c:idx val="0"/>
          <c:order val="0"/>
          <c:tx>
            <c:strRef>
              <c:f>'4 Coupling'!$G$36</c:f>
              <c:strCache>
                <c:ptCount val="1"/>
                <c:pt idx="0">
                  <c:v>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'4 Coupling'!$F$37:$F$41</c:f>
              <c:numCache>
                <c:formatCode>0.0</c:formatCode>
                <c:ptCount val="5"/>
                <c:pt idx="0">
                  <c:v>0.2</c:v>
                </c:pt>
                <c:pt idx="1">
                  <c:v>0.4</c:v>
                </c:pt>
                <c:pt idx="2">
                  <c:v>0.6</c:v>
                </c:pt>
                <c:pt idx="3">
                  <c:v>0.8</c:v>
                </c:pt>
                <c:pt idx="4">
                  <c:v>1</c:v>
                </c:pt>
              </c:numCache>
            </c:numRef>
          </c:cat>
          <c:val>
            <c:numRef>
              <c:f>'4 Coupling'!$G$37:$G$41</c:f>
              <c:numCache>
                <c:formatCode>0.00</c:formatCode>
                <c:ptCount val="5"/>
                <c:pt idx="0">
                  <c:v>2.0099999999999998</c:v>
                </c:pt>
                <c:pt idx="1">
                  <c:v>1.59</c:v>
                </c:pt>
                <c:pt idx="2">
                  <c:v>1.41</c:v>
                </c:pt>
                <c:pt idx="3">
                  <c:v>1.37</c:v>
                </c:pt>
                <c:pt idx="4">
                  <c:v>1.35</c:v>
                </c:pt>
              </c:numCache>
            </c:numRef>
          </c:val>
          <c:smooth val="0"/>
          <c:extLst>
            <c:ext xmlns:c16="http://schemas.microsoft.com/office/drawing/2014/chart" uri="{C3380CC4-5D6E-409C-BE32-E72D297353CC}">
              <c16:uniqueId val="{00000000-27EE-467F-BE83-C42F706D55BE}"/>
            </c:ext>
          </c:extLst>
        </c:ser>
        <c:ser>
          <c:idx val="1"/>
          <c:order val="1"/>
          <c:tx>
            <c:strRef>
              <c:f>'4 Coupling'!$H$36</c:f>
              <c:strCache>
                <c:ptCount val="1"/>
                <c:pt idx="0">
                  <c:v>B</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'4 Coupling'!$F$37:$F$41</c:f>
              <c:numCache>
                <c:formatCode>0.0</c:formatCode>
                <c:ptCount val="5"/>
                <c:pt idx="0">
                  <c:v>0.2</c:v>
                </c:pt>
                <c:pt idx="1">
                  <c:v>0.4</c:v>
                </c:pt>
                <c:pt idx="2">
                  <c:v>0.6</c:v>
                </c:pt>
                <c:pt idx="3">
                  <c:v>0.8</c:v>
                </c:pt>
                <c:pt idx="4">
                  <c:v>1</c:v>
                </c:pt>
              </c:numCache>
            </c:numRef>
          </c:cat>
          <c:val>
            <c:numRef>
              <c:f>'4 Coupling'!$H$37:$H$41</c:f>
              <c:numCache>
                <c:formatCode>0.00</c:formatCode>
                <c:ptCount val="5"/>
                <c:pt idx="0">
                  <c:v>1.91</c:v>
                </c:pt>
                <c:pt idx="1">
                  <c:v>1.5</c:v>
                </c:pt>
                <c:pt idx="2">
                  <c:v>1.32</c:v>
                </c:pt>
                <c:pt idx="3">
                  <c:v>1.28</c:v>
                </c:pt>
                <c:pt idx="4">
                  <c:v>1.25</c:v>
                </c:pt>
              </c:numCache>
            </c:numRef>
          </c:val>
          <c:smooth val="0"/>
          <c:extLst>
            <c:ext xmlns:c16="http://schemas.microsoft.com/office/drawing/2014/chart" uri="{C3380CC4-5D6E-409C-BE32-E72D297353CC}">
              <c16:uniqueId val="{00000001-27EE-467F-BE83-C42F706D55BE}"/>
            </c:ext>
          </c:extLst>
        </c:ser>
        <c:ser>
          <c:idx val="2"/>
          <c:order val="2"/>
          <c:tx>
            <c:strRef>
              <c:f>'4 Coupling'!$I$36</c:f>
              <c:strCache>
                <c:ptCount val="1"/>
                <c:pt idx="0">
                  <c:v>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'4 Coupling'!$F$37:$F$41</c:f>
              <c:numCache>
                <c:formatCode>0.0</c:formatCode>
                <c:ptCount val="5"/>
                <c:pt idx="0">
                  <c:v>0.2</c:v>
                </c:pt>
                <c:pt idx="1">
                  <c:v>0.4</c:v>
                </c:pt>
                <c:pt idx="2">
                  <c:v>0.6</c:v>
                </c:pt>
                <c:pt idx="3">
                  <c:v>0.8</c:v>
                </c:pt>
                <c:pt idx="4">
                  <c:v>1</c:v>
                </c:pt>
              </c:numCache>
            </c:numRef>
          </c:cat>
          <c:val>
            <c:numRef>
              <c:f>'4 Coupling'!$I$37:$I$41</c:f>
              <c:numCache>
                <c:formatCode>0.00</c:formatCode>
                <c:ptCount val="5"/>
                <c:pt idx="0">
                  <c:v>1.77</c:v>
                </c:pt>
                <c:pt idx="1">
                  <c:v>1.4</c:v>
                </c:pt>
                <c:pt idx="2">
                  <c:v>1.25</c:v>
                </c:pt>
                <c:pt idx="3">
                  <c:v>1.19</c:v>
                </c:pt>
                <c:pt idx="4">
                  <c:v>1.17</c:v>
                </c:pt>
              </c:numCache>
            </c:numRef>
          </c:val>
          <c:smooth val="0"/>
          <c:extLst>
            <c:ext xmlns:c16="http://schemas.microsoft.com/office/drawing/2014/chart" uri="{C3380CC4-5D6E-409C-BE32-E72D297353CC}">
              <c16:uniqueId val="{00000002-27EE-467F-BE83-C42F706D55BE}"/>
            </c:ext>
          </c:extLst>
        </c:ser>
        <c:ser>
          <c:idx val="3"/>
          <c:order val="3"/>
          <c:tx>
            <c:strRef>
              <c:f>'4 Coupling'!$J$36</c:f>
              <c:strCache>
                <c:ptCount val="1"/>
                <c:pt idx="0">
                  <c:v>D</c:v>
                </c:pt>
              </c:strCache>
            </c:strRef>
          </c:tx>
          <c:spPr>
            <a:ln w="12700">
              <a:solidFill>
                <a:srgbClr val="00FFFF"/>
              </a:solidFill>
              <a:prstDash val="solid"/>
            </a:ln>
          </c:spPr>
          <c:marker>
            <c:symbol val="x"/>
            <c:size val="5"/>
            <c:spPr>
              <a:noFill/>
              <a:ln>
                <a:solidFill>
                  <a:srgbClr val="00FFFF"/>
                </a:solidFill>
                <a:prstDash val="solid"/>
              </a:ln>
            </c:spPr>
          </c:marker>
          <c:cat>
            <c:numRef>
              <c:f>'4 Coupling'!$F$37:$F$41</c:f>
              <c:numCache>
                <c:formatCode>0.0</c:formatCode>
                <c:ptCount val="5"/>
                <c:pt idx="0">
                  <c:v>0.2</c:v>
                </c:pt>
                <c:pt idx="1">
                  <c:v>0.4</c:v>
                </c:pt>
                <c:pt idx="2">
                  <c:v>0.6</c:v>
                </c:pt>
                <c:pt idx="3">
                  <c:v>0.8</c:v>
                </c:pt>
                <c:pt idx="4">
                  <c:v>1</c:v>
                </c:pt>
              </c:numCache>
            </c:numRef>
          </c:cat>
          <c:val>
            <c:numRef>
              <c:f>'4 Coupling'!$J$37:$J$41</c:f>
              <c:numCache>
                <c:formatCode>0.00</c:formatCode>
                <c:ptCount val="5"/>
                <c:pt idx="0">
                  <c:v>1.62</c:v>
                </c:pt>
                <c:pt idx="1">
                  <c:v>1.3</c:v>
                </c:pt>
                <c:pt idx="2">
                  <c:v>1.18</c:v>
                </c:pt>
                <c:pt idx="3">
                  <c:v>1.1000000000000001</c:v>
                </c:pt>
                <c:pt idx="4">
                  <c:v>1.07</c:v>
                </c:pt>
              </c:numCache>
            </c:numRef>
          </c:val>
          <c:smooth val="0"/>
          <c:extLst>
            <c:ext xmlns:c16="http://schemas.microsoft.com/office/drawing/2014/chart" uri="{C3380CC4-5D6E-409C-BE32-E72D297353CC}">
              <c16:uniqueId val="{00000003-27EE-467F-BE83-C42F706D55BE}"/>
            </c:ext>
          </c:extLst>
        </c:ser>
        <c:dLbls>
          <c:showLegendKey val="0"/>
          <c:showVal val="0"/>
          <c:showCatName val="0"/>
          <c:showSerName val="0"/>
          <c:showPercent val="0"/>
          <c:showBubbleSize val="0"/>
        </c:dLbls>
        <c:marker val="1"/>
        <c:smooth val="0"/>
        <c:axId val="236363088"/>
        <c:axId val="236362304"/>
      </c:lineChart>
      <c:catAx>
        <c:axId val="236363088"/>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975" b="1" i="0" u="none" strike="noStrike" baseline="0">
                    <a:solidFill>
                      <a:srgbClr val="000000"/>
                    </a:solidFill>
                    <a:latin typeface="Arial"/>
                    <a:ea typeface="Arial"/>
                    <a:cs typeface="Arial"/>
                  </a:defRPr>
                </a:pPr>
                <a:r>
                  <a:rPr lang="en-US"/>
                  <a:t>Key half slot width / Slot depth (y / h)</a:t>
                </a:r>
              </a:p>
            </c:rich>
          </c:tx>
          <c:layout>
            <c:manualLayout>
              <c:xMode val="edge"/>
              <c:yMode val="edge"/>
              <c:x val="0.24027459954233546"/>
              <c:y val="0.90500104986876639"/>
            </c:manualLayout>
          </c:layout>
          <c:overlay val="0"/>
          <c:spPr>
            <a:noFill/>
            <a:ln w="25400">
              <a:noFill/>
            </a:ln>
          </c:spPr>
        </c:title>
        <c:numFmt formatCode="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36362304"/>
        <c:crosses val="autoZero"/>
        <c:auto val="1"/>
        <c:lblAlgn val="ctr"/>
        <c:lblOffset val="100"/>
        <c:tickLblSkip val="1"/>
        <c:tickMarkSkip val="1"/>
        <c:noMultiLvlLbl val="0"/>
      </c:catAx>
      <c:valAx>
        <c:axId val="236362304"/>
        <c:scaling>
          <c:orientation val="minMax"/>
          <c:min val="1"/>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Key Slot Stress Factor (Kk)</a:t>
                </a:r>
              </a:p>
            </c:rich>
          </c:tx>
          <c:layout>
            <c:manualLayout>
              <c:xMode val="edge"/>
              <c:yMode val="edge"/>
              <c:x val="3.6613272311213099E-2"/>
              <c:y val="0.29000026246719157"/>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236363088"/>
        <c:crosses val="autoZero"/>
        <c:crossBetween val="between"/>
        <c:majorUnit val="0.1"/>
      </c:valAx>
      <c:spPr>
        <a:solidFill>
          <a:srgbClr val="C0C0C0"/>
        </a:solidFill>
        <a:ln w="12700">
          <a:solidFill>
            <a:srgbClr val="808080"/>
          </a:solidFill>
          <a:prstDash val="solid"/>
        </a:ln>
      </c:spPr>
    </c:plotArea>
    <c:legend>
      <c:legendPos val="r"/>
      <c:layout>
        <c:manualLayout>
          <c:xMode val="edge"/>
          <c:yMode val="edge"/>
          <c:x val="0.87185354691075512"/>
          <c:y val="0.45500052493438331"/>
          <c:w val="0.10983981693363842"/>
          <c:h val="0.17500026246719314"/>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344" r="0.75000000000000344" t="1" header="0.5" footer="0.5"/>
    <c:pageSetup/>
  </c:printSettings>
</c:chartSpace>
</file>

<file path=xl/drawings/_rels/drawing10.xml.rels><?xml version="1.0" encoding="UTF-8" standalone="yes"?>
<Relationships xmlns="http://schemas.openxmlformats.org/package/2006/relationships"><Relationship Id="rId8" Type="http://schemas.openxmlformats.org/officeDocument/2006/relationships/image" Target="../media/image82.jpeg"/><Relationship Id="rId13" Type="http://schemas.openxmlformats.org/officeDocument/2006/relationships/image" Target="../media/image87.jpeg"/><Relationship Id="rId3" Type="http://schemas.openxmlformats.org/officeDocument/2006/relationships/image" Target="../media/image78.jpeg"/><Relationship Id="rId7" Type="http://schemas.openxmlformats.org/officeDocument/2006/relationships/image" Target="../media/image81.jpeg"/><Relationship Id="rId12" Type="http://schemas.openxmlformats.org/officeDocument/2006/relationships/image" Target="../media/image86.jpeg"/><Relationship Id="rId2" Type="http://schemas.openxmlformats.org/officeDocument/2006/relationships/image" Target="../media/image77.jpeg"/><Relationship Id="rId16" Type="http://schemas.openxmlformats.org/officeDocument/2006/relationships/image" Target="../media/image90.jpeg"/><Relationship Id="rId1" Type="http://schemas.openxmlformats.org/officeDocument/2006/relationships/image" Target="../media/image76.jpeg"/><Relationship Id="rId6" Type="http://schemas.openxmlformats.org/officeDocument/2006/relationships/image" Target="../media/image80.jpeg"/><Relationship Id="rId11" Type="http://schemas.openxmlformats.org/officeDocument/2006/relationships/image" Target="../media/image85.jpeg"/><Relationship Id="rId5" Type="http://schemas.openxmlformats.org/officeDocument/2006/relationships/image" Target="../media/image7.jpeg"/><Relationship Id="rId15" Type="http://schemas.openxmlformats.org/officeDocument/2006/relationships/image" Target="../media/image89.jpeg"/><Relationship Id="rId10" Type="http://schemas.openxmlformats.org/officeDocument/2006/relationships/image" Target="../media/image84.jpeg"/><Relationship Id="rId4" Type="http://schemas.openxmlformats.org/officeDocument/2006/relationships/image" Target="../media/image79.jpeg"/><Relationship Id="rId9" Type="http://schemas.openxmlformats.org/officeDocument/2006/relationships/image" Target="../media/image83.jpeg"/><Relationship Id="rId14" Type="http://schemas.openxmlformats.org/officeDocument/2006/relationships/image" Target="../media/image8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92.jpeg"/><Relationship Id="rId1" Type="http://schemas.openxmlformats.org/officeDocument/2006/relationships/image" Target="../media/image9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5.jpeg"/><Relationship Id="rId13" Type="http://schemas.openxmlformats.org/officeDocument/2006/relationships/image" Target="../media/image20.jpeg"/><Relationship Id="rId18" Type="http://schemas.openxmlformats.org/officeDocument/2006/relationships/image" Target="../media/image25.jpeg"/><Relationship Id="rId3" Type="http://schemas.openxmlformats.org/officeDocument/2006/relationships/image" Target="../media/image10.jpeg"/><Relationship Id="rId7" Type="http://schemas.openxmlformats.org/officeDocument/2006/relationships/image" Target="../media/image14.jpeg"/><Relationship Id="rId12" Type="http://schemas.openxmlformats.org/officeDocument/2006/relationships/image" Target="../media/image19.jpeg"/><Relationship Id="rId17" Type="http://schemas.openxmlformats.org/officeDocument/2006/relationships/image" Target="../media/image24.jpeg"/><Relationship Id="rId2" Type="http://schemas.openxmlformats.org/officeDocument/2006/relationships/image" Target="../media/image9.jpeg"/><Relationship Id="rId16" Type="http://schemas.openxmlformats.org/officeDocument/2006/relationships/image" Target="../media/image23.jpeg"/><Relationship Id="rId1" Type="http://schemas.openxmlformats.org/officeDocument/2006/relationships/image" Target="../media/image8.jpeg"/><Relationship Id="rId6" Type="http://schemas.openxmlformats.org/officeDocument/2006/relationships/image" Target="../media/image13.jpeg"/><Relationship Id="rId11" Type="http://schemas.openxmlformats.org/officeDocument/2006/relationships/image" Target="../media/image18.jpeg"/><Relationship Id="rId5" Type="http://schemas.openxmlformats.org/officeDocument/2006/relationships/image" Target="../media/image12.jpeg"/><Relationship Id="rId15" Type="http://schemas.openxmlformats.org/officeDocument/2006/relationships/image" Target="../media/image22.jpeg"/><Relationship Id="rId10" Type="http://schemas.openxmlformats.org/officeDocument/2006/relationships/image" Target="../media/image17.jpeg"/><Relationship Id="rId4" Type="http://schemas.openxmlformats.org/officeDocument/2006/relationships/image" Target="../media/image11.jpeg"/><Relationship Id="rId9" Type="http://schemas.openxmlformats.org/officeDocument/2006/relationships/image" Target="../media/image16.jpeg"/><Relationship Id="rId14" Type="http://schemas.openxmlformats.org/officeDocument/2006/relationships/image" Target="../media/image2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33.jpeg"/><Relationship Id="rId13" Type="http://schemas.openxmlformats.org/officeDocument/2006/relationships/image" Target="../media/image38.jpeg"/><Relationship Id="rId3" Type="http://schemas.openxmlformats.org/officeDocument/2006/relationships/image" Target="../media/image28.jpeg"/><Relationship Id="rId7" Type="http://schemas.openxmlformats.org/officeDocument/2006/relationships/image" Target="../media/image32.jpeg"/><Relationship Id="rId12" Type="http://schemas.openxmlformats.org/officeDocument/2006/relationships/image" Target="../media/image37.jpeg"/><Relationship Id="rId2" Type="http://schemas.openxmlformats.org/officeDocument/2006/relationships/image" Target="../media/image27.jpeg"/><Relationship Id="rId1" Type="http://schemas.openxmlformats.org/officeDocument/2006/relationships/image" Target="../media/image26.jpeg"/><Relationship Id="rId6" Type="http://schemas.openxmlformats.org/officeDocument/2006/relationships/image" Target="../media/image31.jpeg"/><Relationship Id="rId11" Type="http://schemas.openxmlformats.org/officeDocument/2006/relationships/image" Target="../media/image36.jpeg"/><Relationship Id="rId5" Type="http://schemas.openxmlformats.org/officeDocument/2006/relationships/image" Target="../media/image30.jpeg"/><Relationship Id="rId10" Type="http://schemas.openxmlformats.org/officeDocument/2006/relationships/image" Target="../media/image35.jpeg"/><Relationship Id="rId4" Type="http://schemas.openxmlformats.org/officeDocument/2006/relationships/image" Target="../media/image29.jpeg"/><Relationship Id="rId9" Type="http://schemas.openxmlformats.org/officeDocument/2006/relationships/image" Target="../media/image34.jpeg"/><Relationship Id="rId14" Type="http://schemas.openxmlformats.org/officeDocument/2006/relationships/image" Target="../media/image3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2.jpeg"/><Relationship Id="rId7" Type="http://schemas.openxmlformats.org/officeDocument/2006/relationships/image" Target="../media/image45.jpeg"/><Relationship Id="rId2" Type="http://schemas.openxmlformats.org/officeDocument/2006/relationships/image" Target="../media/image41.jpeg"/><Relationship Id="rId1" Type="http://schemas.openxmlformats.org/officeDocument/2006/relationships/image" Target="../media/image40.jpeg"/><Relationship Id="rId6" Type="http://schemas.openxmlformats.org/officeDocument/2006/relationships/image" Target="../media/image44.jpeg"/><Relationship Id="rId5" Type="http://schemas.openxmlformats.org/officeDocument/2006/relationships/chart" Target="../charts/chart1.xml"/><Relationship Id="rId4" Type="http://schemas.openxmlformats.org/officeDocument/2006/relationships/image" Target="../media/image43.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eg"/><Relationship Id="rId4" Type="http://schemas.openxmlformats.org/officeDocument/2006/relationships/image" Target="../media/image49.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1.jpeg"/><Relationship Id="rId1" Type="http://schemas.openxmlformats.org/officeDocument/2006/relationships/image" Target="../media/image50.jpeg"/></Relationships>
</file>

<file path=xl/drawings/_rels/drawing8.xml.rels><?xml version="1.0" encoding="UTF-8" standalone="yes"?>
<Relationships xmlns="http://schemas.openxmlformats.org/package/2006/relationships"><Relationship Id="rId8" Type="http://schemas.openxmlformats.org/officeDocument/2006/relationships/image" Target="../media/image59.jpeg"/><Relationship Id="rId13" Type="http://schemas.openxmlformats.org/officeDocument/2006/relationships/image" Target="../media/image64.jpeg"/><Relationship Id="rId18" Type="http://schemas.openxmlformats.org/officeDocument/2006/relationships/image" Target="../media/image69.jpeg"/><Relationship Id="rId3" Type="http://schemas.openxmlformats.org/officeDocument/2006/relationships/image" Target="../media/image54.jpeg"/><Relationship Id="rId7" Type="http://schemas.openxmlformats.org/officeDocument/2006/relationships/image" Target="../media/image58.jpeg"/><Relationship Id="rId12" Type="http://schemas.openxmlformats.org/officeDocument/2006/relationships/image" Target="../media/image63.jpeg"/><Relationship Id="rId17" Type="http://schemas.openxmlformats.org/officeDocument/2006/relationships/image" Target="../media/image68.jpeg"/><Relationship Id="rId2" Type="http://schemas.openxmlformats.org/officeDocument/2006/relationships/image" Target="../media/image53.jpeg"/><Relationship Id="rId16" Type="http://schemas.openxmlformats.org/officeDocument/2006/relationships/image" Target="../media/image67.jpeg"/><Relationship Id="rId1" Type="http://schemas.openxmlformats.org/officeDocument/2006/relationships/image" Target="../media/image52.jpeg"/><Relationship Id="rId6" Type="http://schemas.openxmlformats.org/officeDocument/2006/relationships/image" Target="../media/image57.jpeg"/><Relationship Id="rId11" Type="http://schemas.openxmlformats.org/officeDocument/2006/relationships/image" Target="../media/image62.jpeg"/><Relationship Id="rId5" Type="http://schemas.openxmlformats.org/officeDocument/2006/relationships/image" Target="../media/image56.jpeg"/><Relationship Id="rId15" Type="http://schemas.openxmlformats.org/officeDocument/2006/relationships/image" Target="../media/image66.jpeg"/><Relationship Id="rId10" Type="http://schemas.openxmlformats.org/officeDocument/2006/relationships/image" Target="../media/image61.jpeg"/><Relationship Id="rId4" Type="http://schemas.openxmlformats.org/officeDocument/2006/relationships/image" Target="../media/image55.jpeg"/><Relationship Id="rId9" Type="http://schemas.openxmlformats.org/officeDocument/2006/relationships/image" Target="../media/image60.jpeg"/><Relationship Id="rId14" Type="http://schemas.openxmlformats.org/officeDocument/2006/relationships/image" Target="../media/image6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72.jpeg"/><Relationship Id="rId2" Type="http://schemas.openxmlformats.org/officeDocument/2006/relationships/image" Target="../media/image71.jpeg"/><Relationship Id="rId1" Type="http://schemas.openxmlformats.org/officeDocument/2006/relationships/image" Target="../media/image70.jpeg"/><Relationship Id="rId6" Type="http://schemas.openxmlformats.org/officeDocument/2006/relationships/image" Target="../media/image75.jpeg"/><Relationship Id="rId5" Type="http://schemas.openxmlformats.org/officeDocument/2006/relationships/image" Target="../media/image74.jpeg"/><Relationship Id="rId4" Type="http://schemas.openxmlformats.org/officeDocument/2006/relationships/image" Target="../media/image73.jpeg"/></Relationships>
</file>

<file path=xl/drawings/drawing1.xml><?xml version="1.0" encoding="utf-8"?>
<xdr:wsDr xmlns:xdr="http://schemas.openxmlformats.org/drawingml/2006/spreadsheetDrawing" xmlns:a="http://schemas.openxmlformats.org/drawingml/2006/main">
  <xdr:twoCellAnchor>
    <xdr:from>
      <xdr:col>1</xdr:col>
      <xdr:colOff>66675</xdr:colOff>
      <xdr:row>4</xdr:row>
      <xdr:rowOff>85725</xdr:rowOff>
    </xdr:from>
    <xdr:to>
      <xdr:col>7</xdr:col>
      <xdr:colOff>47624</xdr:colOff>
      <xdr:row>38</xdr:row>
      <xdr:rowOff>38100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76275" y="571500"/>
          <a:ext cx="3638549" cy="545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solidFill>
                <a:schemeClr val="dk1"/>
              </a:solidFill>
              <a:latin typeface="+mn-lt"/>
              <a:ea typeface="+mn-ea"/>
              <a:cs typeface="+mn-cs"/>
            </a:rPr>
            <a:t>ENGINEERING SPREADSHEETS R4</a:t>
          </a:r>
          <a:endParaRPr lang="en-US" sz="1400">
            <a:solidFill>
              <a:schemeClr val="dk1"/>
            </a:solidFill>
            <a:latin typeface="+mn-lt"/>
            <a:ea typeface="+mn-ea"/>
            <a:cs typeface="+mn-cs"/>
          </a:endParaRPr>
        </a:p>
        <a:p>
          <a:r>
            <a:rPr lang="en-US" sz="1400" b="1">
              <a:solidFill>
                <a:schemeClr val="dk1"/>
              </a:solidFill>
              <a:latin typeface="+mn-lt"/>
              <a:ea typeface="+mn-ea"/>
              <a:cs typeface="+mn-cs"/>
            </a:rPr>
            <a:t>1-Machine Design</a:t>
          </a:r>
          <a:endParaRPr lang="en-US" sz="1400">
            <a:solidFill>
              <a:schemeClr val="dk1"/>
            </a:solidFill>
            <a:latin typeface="+mn-lt"/>
            <a:ea typeface="+mn-ea"/>
            <a:cs typeface="+mn-cs"/>
          </a:endParaRPr>
        </a:p>
        <a:p>
          <a:r>
            <a:rPr lang="en-US" sz="1400" b="1">
              <a:solidFill>
                <a:schemeClr val="dk1"/>
              </a:solidFill>
              <a:latin typeface="+mn-lt"/>
              <a:ea typeface="+mn-ea"/>
              <a:cs typeface="+mn-cs"/>
            </a:rPr>
            <a:t>2-Bolted Connections</a:t>
          </a:r>
          <a:endParaRPr lang="en-US" sz="1400">
            <a:solidFill>
              <a:schemeClr val="dk1"/>
            </a:solidFill>
            <a:latin typeface="+mn-lt"/>
            <a:ea typeface="+mn-ea"/>
            <a:cs typeface="+mn-cs"/>
          </a:endParaRPr>
        </a:p>
        <a:p>
          <a:r>
            <a:rPr lang="en-US" sz="1400" b="1">
              <a:solidFill>
                <a:schemeClr val="dk1"/>
              </a:solidFill>
              <a:latin typeface="+mn-lt"/>
              <a:ea typeface="+mn-ea"/>
              <a:cs typeface="+mn-cs"/>
            </a:rPr>
            <a:t>3-Weldment Strength</a:t>
          </a:r>
          <a:endParaRPr lang="en-US" sz="1400">
            <a:solidFill>
              <a:schemeClr val="dk1"/>
            </a:solidFill>
            <a:latin typeface="+mn-lt"/>
            <a:ea typeface="+mn-ea"/>
            <a:cs typeface="+mn-cs"/>
          </a:endParaRPr>
        </a:p>
        <a:p>
          <a:r>
            <a:rPr lang="en-US" sz="1400" b="1">
              <a:solidFill>
                <a:schemeClr val="dk1"/>
              </a:solidFill>
              <a:latin typeface="+mn-lt"/>
              <a:ea typeface="+mn-ea"/>
              <a:cs typeface="+mn-cs"/>
            </a:rPr>
            <a:t>4-Beam Strength</a:t>
          </a:r>
          <a:endParaRPr lang="en-US" sz="1400">
            <a:solidFill>
              <a:schemeClr val="dk1"/>
            </a:solidFill>
            <a:latin typeface="+mn-lt"/>
            <a:ea typeface="+mn-ea"/>
            <a:cs typeface="+mn-cs"/>
          </a:endParaRPr>
        </a:p>
        <a:p>
          <a:r>
            <a:rPr lang="en-US" sz="1400" b="1">
              <a:solidFill>
                <a:schemeClr val="dk1"/>
              </a:solidFill>
              <a:latin typeface="+mn-lt"/>
              <a:ea typeface="+mn-ea"/>
              <a:cs typeface="+mn-cs"/>
            </a:rPr>
            <a:t>5-Metal Fatigue	</a:t>
          </a:r>
          <a:endParaRPr lang="en-US" sz="1400">
            <a:solidFill>
              <a:schemeClr val="dk1"/>
            </a:solidFill>
            <a:latin typeface="+mn-lt"/>
            <a:ea typeface="+mn-ea"/>
            <a:cs typeface="+mn-cs"/>
          </a:endParaRPr>
        </a:p>
        <a:p>
          <a:r>
            <a:rPr lang="en-US" sz="1400" b="1">
              <a:solidFill>
                <a:schemeClr val="dk1"/>
              </a:solidFill>
              <a:latin typeface="+mn-lt"/>
              <a:ea typeface="+mn-ea"/>
              <a:cs typeface="+mn-cs"/>
            </a:rPr>
            <a:t>6-Heat Transfer</a:t>
          </a:r>
          <a:endParaRPr lang="en-US" sz="1400">
            <a:solidFill>
              <a:schemeClr val="dk1"/>
            </a:solidFill>
            <a:latin typeface="+mn-lt"/>
            <a:ea typeface="+mn-ea"/>
            <a:cs typeface="+mn-cs"/>
          </a:endParaRPr>
        </a:p>
        <a:p>
          <a:r>
            <a:rPr lang="en-US" sz="1400" b="1">
              <a:solidFill>
                <a:schemeClr val="dk1"/>
              </a:solidFill>
              <a:latin typeface="+mn-lt"/>
              <a:ea typeface="+mn-ea"/>
              <a:cs typeface="+mn-cs"/>
            </a:rPr>
            <a:t>7-Industrial Insulation</a:t>
          </a:r>
          <a:endParaRPr lang="en-US" sz="1400">
            <a:solidFill>
              <a:schemeClr val="dk1"/>
            </a:solidFill>
            <a:latin typeface="+mn-lt"/>
            <a:ea typeface="+mn-ea"/>
            <a:cs typeface="+mn-cs"/>
          </a:endParaRPr>
        </a:p>
        <a:p>
          <a:r>
            <a:rPr lang="en-US" sz="1400" b="1">
              <a:solidFill>
                <a:schemeClr val="dk1"/>
              </a:solidFill>
              <a:latin typeface="+mn-lt"/>
              <a:ea typeface="+mn-ea"/>
              <a:cs typeface="+mn-cs"/>
            </a:rPr>
            <a:t>8-Steam and Combustion Power</a:t>
          </a:r>
          <a:endParaRPr lang="en-US" sz="1400">
            <a:solidFill>
              <a:schemeClr val="dk1"/>
            </a:solidFill>
            <a:latin typeface="+mn-lt"/>
            <a:ea typeface="+mn-ea"/>
            <a:cs typeface="+mn-cs"/>
          </a:endParaRPr>
        </a:p>
        <a:p>
          <a:r>
            <a:rPr lang="en-US" sz="1400" b="1">
              <a:solidFill>
                <a:schemeClr val="dk1"/>
              </a:solidFill>
              <a:latin typeface="+mn-lt"/>
              <a:ea typeface="+mn-ea"/>
              <a:cs typeface="+mn-cs"/>
            </a:rPr>
            <a:t>9-Dust Collection</a:t>
          </a:r>
          <a:endParaRPr lang="en-US" sz="1400">
            <a:solidFill>
              <a:schemeClr val="dk1"/>
            </a:solidFill>
            <a:latin typeface="+mn-lt"/>
            <a:ea typeface="+mn-ea"/>
            <a:cs typeface="+mn-cs"/>
          </a:endParaRPr>
        </a:p>
        <a:p>
          <a:r>
            <a:rPr lang="en-US" sz="1400" b="1">
              <a:solidFill>
                <a:schemeClr val="dk1"/>
              </a:solidFill>
              <a:latin typeface="+mn-lt"/>
              <a:ea typeface="+mn-ea"/>
              <a:cs typeface="+mn-cs"/>
            </a:rPr>
            <a:t>10-Manufacturing Operations</a:t>
          </a:r>
          <a:endParaRPr lang="en-US" sz="1400">
            <a:solidFill>
              <a:schemeClr val="dk1"/>
            </a:solidFill>
            <a:latin typeface="+mn-lt"/>
            <a:ea typeface="+mn-ea"/>
            <a:cs typeface="+mn-cs"/>
          </a:endParaRPr>
        </a:p>
        <a:p>
          <a:r>
            <a:rPr lang="en-US" sz="1400" b="1">
              <a:solidFill>
                <a:schemeClr val="dk1"/>
              </a:solidFill>
              <a:latin typeface="+mn-lt"/>
              <a:ea typeface="+mn-ea"/>
              <a:cs typeface="+mn-cs"/>
            </a:rPr>
            <a:t>11-Jigs and Fixtures for Automation</a:t>
          </a:r>
          <a:endParaRPr lang="en-US" sz="1400">
            <a:solidFill>
              <a:schemeClr val="dk1"/>
            </a:solidFill>
            <a:latin typeface="+mn-lt"/>
            <a:ea typeface="+mn-ea"/>
            <a:cs typeface="+mn-cs"/>
          </a:endParaRPr>
        </a:p>
        <a:p>
          <a:r>
            <a:rPr lang="en-US" sz="1400" b="1">
              <a:solidFill>
                <a:schemeClr val="dk1"/>
              </a:solidFill>
              <a:latin typeface="+mn-lt"/>
              <a:ea typeface="+mn-ea"/>
              <a:cs typeface="+mn-cs"/>
            </a:rPr>
            <a:t>12-Belt Conveyor</a:t>
          </a:r>
          <a:endParaRPr lang="en-US" sz="1400">
            <a:solidFill>
              <a:schemeClr val="dk1"/>
            </a:solidFill>
            <a:latin typeface="+mn-lt"/>
            <a:ea typeface="+mn-ea"/>
            <a:cs typeface="+mn-cs"/>
          </a:endParaRPr>
        </a:p>
        <a:p>
          <a:r>
            <a:rPr lang="en-US" sz="1400" b="1">
              <a:solidFill>
                <a:schemeClr val="dk1"/>
              </a:solidFill>
              <a:latin typeface="+mn-lt"/>
              <a:ea typeface="+mn-ea"/>
              <a:cs typeface="+mn-cs"/>
            </a:rPr>
            <a:t>13-Bucket Elevator Design</a:t>
          </a:r>
          <a:endParaRPr lang="en-US" sz="1400">
            <a:solidFill>
              <a:schemeClr val="dk1"/>
            </a:solidFill>
            <a:latin typeface="+mn-lt"/>
            <a:ea typeface="+mn-ea"/>
            <a:cs typeface="+mn-cs"/>
          </a:endParaRPr>
        </a:p>
        <a:p>
          <a:r>
            <a:rPr lang="en-US" sz="1400" b="1">
              <a:solidFill>
                <a:schemeClr val="dk1"/>
              </a:solidFill>
              <a:latin typeface="+mn-lt"/>
              <a:ea typeface="+mn-ea"/>
              <a:cs typeface="+mn-cs"/>
            </a:rPr>
            <a:t>14-Chain Drives and Drag Conveyor</a:t>
          </a:r>
          <a:endParaRPr lang="en-US" sz="1400">
            <a:solidFill>
              <a:schemeClr val="dk1"/>
            </a:solidFill>
            <a:latin typeface="+mn-lt"/>
            <a:ea typeface="+mn-ea"/>
            <a:cs typeface="+mn-cs"/>
          </a:endParaRPr>
        </a:p>
        <a:p>
          <a:r>
            <a:rPr lang="en-US" sz="1400" b="1">
              <a:solidFill>
                <a:schemeClr val="dk1"/>
              </a:solidFill>
              <a:latin typeface="+mn-lt"/>
              <a:ea typeface="+mn-ea"/>
              <a:cs typeface="+mn-cs"/>
            </a:rPr>
            <a:t>15-Screw Conveyors</a:t>
          </a:r>
          <a:endParaRPr lang="en-US" sz="1400">
            <a:solidFill>
              <a:schemeClr val="dk1"/>
            </a:solidFill>
            <a:latin typeface="+mn-lt"/>
            <a:ea typeface="+mn-ea"/>
            <a:cs typeface="+mn-cs"/>
          </a:endParaRPr>
        </a:p>
        <a:p>
          <a:r>
            <a:rPr lang="en-US" sz="1400" b="1">
              <a:solidFill>
                <a:schemeClr val="dk1"/>
              </a:solidFill>
              <a:latin typeface="+mn-lt"/>
              <a:ea typeface="+mn-ea"/>
              <a:cs typeface="+mn-cs"/>
            </a:rPr>
            <a:t>16-Six Sigma Quality Control-1</a:t>
          </a:r>
          <a:endParaRPr lang="en-US" sz="1400">
            <a:solidFill>
              <a:schemeClr val="dk1"/>
            </a:solidFill>
            <a:latin typeface="+mn-lt"/>
            <a:ea typeface="+mn-ea"/>
            <a:cs typeface="+mn-cs"/>
          </a:endParaRPr>
        </a:p>
        <a:p>
          <a:r>
            <a:rPr lang="en-US" sz="1400" b="1">
              <a:solidFill>
                <a:schemeClr val="dk1"/>
              </a:solidFill>
              <a:latin typeface="+mn-lt"/>
              <a:ea typeface="+mn-ea"/>
              <a:cs typeface="+mn-cs"/>
            </a:rPr>
            <a:t>17-Six Sigma Quality Control-2</a:t>
          </a:r>
          <a:endParaRPr lang="en-US" sz="1400">
            <a:solidFill>
              <a:schemeClr val="dk1"/>
            </a:solidFill>
            <a:latin typeface="+mn-lt"/>
            <a:ea typeface="+mn-ea"/>
            <a:cs typeface="+mn-cs"/>
          </a:endParaRPr>
        </a:p>
        <a:p>
          <a:r>
            <a:rPr lang="en-US" sz="1400" b="1">
              <a:solidFill>
                <a:schemeClr val="dk1"/>
              </a:solidFill>
              <a:latin typeface="+mn-lt"/>
              <a:ea typeface="+mn-ea"/>
              <a:cs typeface="+mn-cs"/>
            </a:rPr>
            <a:t>18-Six Sigma Quality Control-3</a:t>
          </a:r>
          <a:endParaRPr lang="en-US" sz="1400">
            <a:solidFill>
              <a:schemeClr val="dk1"/>
            </a:solidFill>
            <a:latin typeface="+mn-lt"/>
            <a:ea typeface="+mn-ea"/>
            <a:cs typeface="+mn-cs"/>
          </a:endParaRPr>
        </a:p>
        <a:p>
          <a:r>
            <a:rPr lang="en-US" sz="1400" b="1">
              <a:solidFill>
                <a:schemeClr val="dk1"/>
              </a:solidFill>
              <a:latin typeface="+mn-lt"/>
              <a:ea typeface="+mn-ea"/>
              <a:cs typeface="+mn-cs"/>
            </a:rPr>
            <a:t>19-Business Plan</a:t>
          </a:r>
          <a:endParaRPr lang="en-US" sz="1400">
            <a:solidFill>
              <a:schemeClr val="dk1"/>
            </a:solidFill>
            <a:latin typeface="+mn-lt"/>
            <a:ea typeface="+mn-ea"/>
            <a:cs typeface="+mn-cs"/>
          </a:endParaRPr>
        </a:p>
        <a:p>
          <a:r>
            <a:rPr lang="en-US" sz="1400" b="1">
              <a:solidFill>
                <a:schemeClr val="dk1"/>
              </a:solidFill>
              <a:latin typeface="+mn-lt"/>
              <a:ea typeface="+mn-ea"/>
              <a:cs typeface="+mn-cs"/>
            </a:rPr>
            <a:t>20-Process Pumps and Pipe</a:t>
          </a:r>
          <a:endParaRPr lang="en-US" sz="1400">
            <a:solidFill>
              <a:schemeClr val="dk1"/>
            </a:solidFill>
            <a:latin typeface="+mn-lt"/>
            <a:ea typeface="+mn-ea"/>
            <a:cs typeface="+mn-cs"/>
          </a:endParaRPr>
        </a:p>
        <a:p>
          <a:r>
            <a:rPr lang="en-US" sz="1400" b="1">
              <a:solidFill>
                <a:schemeClr val="dk1"/>
              </a:solidFill>
              <a:latin typeface="+mn-lt"/>
              <a:ea typeface="+mn-ea"/>
              <a:cs typeface="+mn-cs"/>
            </a:rPr>
            <a:t>21-Vibration and Shock Load Analysis</a:t>
          </a:r>
          <a:endParaRPr lang="en-US" sz="1400">
            <a:solidFill>
              <a:schemeClr val="dk1"/>
            </a:solidFill>
            <a:latin typeface="+mn-lt"/>
            <a:ea typeface="+mn-ea"/>
            <a:cs typeface="+mn-cs"/>
          </a:endParaRPr>
        </a:p>
        <a:p>
          <a:r>
            <a:rPr lang="en-US" sz="1400" b="1">
              <a:solidFill>
                <a:schemeClr val="dk1"/>
              </a:solidFill>
              <a:latin typeface="+mn-lt"/>
              <a:ea typeface="+mn-ea"/>
              <a:cs typeface="+mn-cs"/>
            </a:rPr>
            <a:t>22-ASME Boiler &amp; Fuel Cell Pressure Vessels                                                23-Fluid</a:t>
          </a:r>
          <a:r>
            <a:rPr lang="en-US" sz="1400" b="1" baseline="0">
              <a:solidFill>
                <a:schemeClr val="dk1"/>
              </a:solidFill>
              <a:latin typeface="+mn-lt"/>
              <a:ea typeface="+mn-ea"/>
              <a:cs typeface="+mn-cs"/>
            </a:rPr>
            <a:t> Power</a:t>
          </a:r>
          <a:endParaRPr lang="en-US" sz="1400">
            <a:solidFill>
              <a:schemeClr val="dk1"/>
            </a:solidFill>
            <a:latin typeface="+mn-lt"/>
            <a:ea typeface="+mn-ea"/>
            <a:cs typeface="+mn-cs"/>
          </a:endParaRPr>
        </a:p>
        <a:p>
          <a:endParaRPr lang="en-US" sz="1100"/>
        </a:p>
      </xdr:txBody>
    </xdr:sp>
    <xdr:clientData/>
  </xdr:twoCellAnchor>
  <xdr:twoCellAnchor>
    <xdr:from>
      <xdr:col>1</xdr:col>
      <xdr:colOff>600075</xdr:colOff>
      <xdr:row>46</xdr:row>
      <xdr:rowOff>152399</xdr:rowOff>
    </xdr:from>
    <xdr:to>
      <xdr:col>8</xdr:col>
      <xdr:colOff>152400</xdr:colOff>
      <xdr:row>59</xdr:row>
      <xdr:rowOff>152400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09675" y="7439024"/>
          <a:ext cx="3819525" cy="2105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a:solidFill>
                <a:schemeClr val="dk1"/>
              </a:solidFill>
              <a:latin typeface="+mn-lt"/>
              <a:ea typeface="+mn-ea"/>
              <a:cs typeface="+mn-cs"/>
            </a:rPr>
            <a:t>Spread Sheet Method: Excel</a:t>
          </a:r>
          <a:r>
            <a:rPr lang="en-US" sz="1100" b="1" i="0" baseline="0">
              <a:solidFill>
                <a:schemeClr val="dk1"/>
              </a:solidFill>
              <a:latin typeface="+mn-lt"/>
              <a:ea typeface="+mn-ea"/>
              <a:cs typeface="+mn-cs"/>
            </a:rPr>
            <a:t> Worksheet - New Version</a:t>
          </a:r>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1. Type in values for the Input Data.</a:t>
          </a:r>
          <a:endParaRPr lang="en-US" sz="1100" b="1">
            <a:solidFill>
              <a:schemeClr val="dk1"/>
            </a:solidFill>
            <a:latin typeface="+mn-lt"/>
            <a:ea typeface="+mn-ea"/>
            <a:cs typeface="+mn-cs"/>
          </a:endParaRPr>
        </a:p>
        <a:p>
          <a:pPr rtl="0"/>
          <a:r>
            <a:rPr lang="en-US" sz="1100" b="1" i="0">
              <a:solidFill>
                <a:schemeClr val="dk1"/>
              </a:solidFill>
              <a:latin typeface="+mn-lt"/>
              <a:ea typeface="+mn-ea"/>
              <a:cs typeface="+mn-cs"/>
            </a:rPr>
            <a:t>2. Excel will make the Calculations.</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Excel's GOAL SEEK </a:t>
          </a:r>
          <a:endParaRPr lang="en-US"/>
        </a:p>
        <a:p>
          <a:pPr rtl="0"/>
          <a:r>
            <a:rPr lang="en-US" sz="1100" b="1" i="0">
              <a:solidFill>
                <a:schemeClr val="dk1"/>
              </a:solidFill>
              <a:latin typeface="+mn-lt"/>
              <a:ea typeface="+mn-ea"/>
              <a:cs typeface="+mn-cs"/>
            </a:rPr>
            <a:t>Excel's, "Goal Seek" adjusts one Input value to cause a Calculated formula cell to equal a given value.</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using Excel's Goal Seek, unprotect the spread sheet by selecting: Drop down menu:  Home &gt; Format &gt; Unprotect Sheet &gt; OK </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Excel's Goal Seek is not needed, restore protection with:</a:t>
          </a:r>
          <a:endParaRPr lang="en-US" sz="1100" b="1">
            <a:solidFill>
              <a:schemeClr val="dk1"/>
            </a:solidFill>
            <a:latin typeface="+mn-lt"/>
            <a:ea typeface="+mn-ea"/>
            <a:cs typeface="+mn-cs"/>
          </a:endParaRPr>
        </a:p>
        <a:p>
          <a:r>
            <a:rPr lang="en-US" sz="1100" b="1" i="0">
              <a:solidFill>
                <a:schemeClr val="dk1"/>
              </a:solidFill>
              <a:latin typeface="+mn-lt"/>
              <a:ea typeface="+mn-ea"/>
              <a:cs typeface="+mn-cs"/>
            </a:rPr>
            <a:t>Drop down menu:  Home &gt; Format &gt; Protect Sheet &gt; OK </a:t>
          </a:r>
          <a:endParaRPr lang="en-US" sz="1100" b="1">
            <a:solidFill>
              <a:schemeClr val="dk1"/>
            </a:solidFill>
            <a:latin typeface="+mn-lt"/>
            <a:ea typeface="+mn-ea"/>
            <a:cs typeface="+mn-cs"/>
          </a:endParaRPr>
        </a:p>
        <a:p>
          <a:endParaRPr lang="en-US" sz="1100"/>
        </a:p>
      </xdr:txBody>
    </xdr:sp>
    <xdr:clientData/>
  </xdr:twoCellAnchor>
  <xdr:twoCellAnchor>
    <xdr:from>
      <xdr:col>1</xdr:col>
      <xdr:colOff>590549</xdr:colOff>
      <xdr:row>61</xdr:row>
      <xdr:rowOff>95250</xdr:rowOff>
    </xdr:from>
    <xdr:to>
      <xdr:col>8</xdr:col>
      <xdr:colOff>180975</xdr:colOff>
      <xdr:row>74</xdr:row>
      <xdr:rowOff>38100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200149" y="9810750"/>
          <a:ext cx="3857626" cy="2047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a:solidFill>
                <a:schemeClr val="dk1"/>
              </a:solidFill>
              <a:latin typeface="+mn-lt"/>
              <a:ea typeface="+mn-ea"/>
              <a:cs typeface="+mn-cs"/>
            </a:rPr>
            <a:t>Spread Sheet Method: Excel-97 2003 - Old Version</a:t>
          </a:r>
          <a:endParaRPr lang="en-US"/>
        </a:p>
        <a:p>
          <a:pPr rtl="0"/>
          <a:r>
            <a:rPr lang="en-US" sz="1100" b="1" i="0">
              <a:solidFill>
                <a:schemeClr val="dk1"/>
              </a:solidFill>
              <a:latin typeface="+mn-lt"/>
              <a:ea typeface="+mn-ea"/>
              <a:cs typeface="+mn-cs"/>
            </a:rPr>
            <a:t>1. Type in values for the input data.</a:t>
          </a:r>
          <a:endParaRPr lang="en-US" sz="1100" b="1">
            <a:solidFill>
              <a:schemeClr val="dk1"/>
            </a:solidFill>
            <a:latin typeface="+mn-lt"/>
            <a:ea typeface="+mn-ea"/>
            <a:cs typeface="+mn-cs"/>
          </a:endParaRPr>
        </a:p>
        <a:p>
          <a:pPr rtl="0"/>
          <a:r>
            <a:rPr lang="en-US" sz="1100" b="1" i="0">
              <a:solidFill>
                <a:schemeClr val="dk1"/>
              </a:solidFill>
              <a:latin typeface="+mn-lt"/>
              <a:ea typeface="+mn-ea"/>
              <a:cs typeface="+mn-cs"/>
            </a:rPr>
            <a:t>2. Excel will make the calculations.</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Excel's GOAL SEEK </a:t>
          </a:r>
          <a:endParaRPr lang="en-US"/>
        </a:p>
        <a:p>
          <a:pPr rtl="0"/>
          <a:r>
            <a:rPr lang="en-US" sz="1100" b="1" i="0">
              <a:solidFill>
                <a:schemeClr val="dk1"/>
              </a:solidFill>
              <a:latin typeface="+mn-lt"/>
              <a:ea typeface="+mn-ea"/>
              <a:cs typeface="+mn-cs"/>
            </a:rPr>
            <a:t>Excel's, "Goal Seek" adjusts one Input value to cause a Calculated formula cell to equal a given value.</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using Excel's Goal Seek, unprotect the spread sheet by selecting: Drop down menu: Tools &gt; Protection &gt; Unprotect Sheet &gt; OK </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Excel's Goal Seek is not needed, restore protection with:</a:t>
          </a:r>
          <a:endParaRPr lang="en-US" sz="1100" b="1">
            <a:solidFill>
              <a:schemeClr val="dk1"/>
            </a:solidFill>
            <a:latin typeface="+mn-lt"/>
            <a:ea typeface="+mn-ea"/>
            <a:cs typeface="+mn-cs"/>
          </a:endParaRPr>
        </a:p>
        <a:p>
          <a:r>
            <a:rPr lang="en-US" sz="1100" b="1" i="0">
              <a:solidFill>
                <a:schemeClr val="dk1"/>
              </a:solidFill>
              <a:latin typeface="+mn-lt"/>
              <a:ea typeface="+mn-ea"/>
              <a:cs typeface="+mn-cs"/>
            </a:rPr>
            <a:t>Drop down menu: Tools &gt; Protection &gt; Protect Sheet &gt; OK </a:t>
          </a:r>
          <a:endParaRPr lang="en-US" sz="1100" b="1">
            <a:solidFill>
              <a:schemeClr val="dk1"/>
            </a:solidFill>
            <a:latin typeface="+mn-lt"/>
            <a:ea typeface="+mn-ea"/>
            <a:cs typeface="+mn-cs"/>
          </a:endParaRPr>
        </a:p>
        <a:p>
          <a:endParaRPr lang="en-US" sz="1100"/>
        </a:p>
      </xdr:txBody>
    </xdr:sp>
    <xdr:clientData/>
  </xdr:twoCellAnchor>
  <xdr:twoCellAnchor>
    <xdr:from>
      <xdr:col>9</xdr:col>
      <xdr:colOff>561975</xdr:colOff>
      <xdr:row>20</xdr:row>
      <xdr:rowOff>19050</xdr:rowOff>
    </xdr:from>
    <xdr:to>
      <xdr:col>18</xdr:col>
      <xdr:colOff>228600</xdr:colOff>
      <xdr:row>28</xdr:row>
      <xdr:rowOff>123825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48375" y="3419475"/>
          <a:ext cx="5153025" cy="140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DISCLAIMER: The materials contained in these</a:t>
          </a:r>
          <a:r>
            <a:rPr lang="en-US" sz="1100" baseline="0">
              <a:solidFill>
                <a:schemeClr val="dk1"/>
              </a:solidFill>
              <a:latin typeface="+mn-lt"/>
              <a:ea typeface="+mn-ea"/>
              <a:cs typeface="+mn-cs"/>
            </a:rPr>
            <a:t> spreadsheets </a:t>
          </a:r>
          <a:r>
            <a:rPr lang="en-US" sz="1100">
              <a:solidFill>
                <a:schemeClr val="dk1"/>
              </a:solidFill>
              <a:latin typeface="+mn-lt"/>
              <a:ea typeface="+mn-ea"/>
              <a:cs typeface="+mn-cs"/>
            </a:rPr>
            <a:t>are not intended as a representation or warranty on the part of John R. Andrew or any other person/organization named herein. The materials are for general information only. They are not a substitute for competent professional advice. Application of this information to a specific project should be reviewed by a registered architect and/or professional engineer/surveyor. Anyone making use of the information set forth herein does so at their own risk and assumes any and all resulting liability arising therefrom.</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4</xdr:col>
      <xdr:colOff>523875</xdr:colOff>
      <xdr:row>131</xdr:row>
      <xdr:rowOff>9525</xdr:rowOff>
    </xdr:from>
    <xdr:ext cx="2886075" cy="2686050"/>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5676900" y="16173450"/>
          <a:ext cx="2886075" cy="2686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US" sz="1100"/>
        </a:p>
      </xdr:txBody>
    </xdr:sp>
    <xdr:clientData/>
  </xdr:oneCellAnchor>
  <xdr:twoCellAnchor editAs="oneCell">
    <xdr:from>
      <xdr:col>3</xdr:col>
      <xdr:colOff>57151</xdr:colOff>
      <xdr:row>3</xdr:row>
      <xdr:rowOff>85726</xdr:rowOff>
    </xdr:from>
    <xdr:to>
      <xdr:col>7</xdr:col>
      <xdr:colOff>449874</xdr:colOff>
      <xdr:row>14</xdr:row>
      <xdr:rowOff>157879</xdr:rowOff>
    </xdr:to>
    <xdr:pic>
      <xdr:nvPicPr>
        <xdr:cNvPr id="17" name="Picture 2" descr="3D-GEAR-SHAFT-BRG">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95776" y="609601"/>
          <a:ext cx="3088298" cy="2053353"/>
        </a:xfrm>
        <a:prstGeom prst="rect">
          <a:avLst/>
        </a:prstGeom>
        <a:noFill/>
        <a:ln w="9525">
          <a:noFill/>
          <a:miter lim="800000"/>
          <a:headEnd/>
          <a:tailEnd/>
        </a:ln>
      </xdr:spPr>
    </xdr:pic>
    <xdr:clientData/>
  </xdr:twoCellAnchor>
  <xdr:twoCellAnchor editAs="oneCell">
    <xdr:from>
      <xdr:col>1</xdr:col>
      <xdr:colOff>114299</xdr:colOff>
      <xdr:row>116</xdr:row>
      <xdr:rowOff>85725</xdr:rowOff>
    </xdr:from>
    <xdr:to>
      <xdr:col>2</xdr:col>
      <xdr:colOff>457200</xdr:colOff>
      <xdr:row>128</xdr:row>
      <xdr:rowOff>130175</xdr:rowOff>
    </xdr:to>
    <xdr:pic>
      <xdr:nvPicPr>
        <xdr:cNvPr id="18" name="Picture 3" descr="GEARS-TWO">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6399" y="18615025"/>
          <a:ext cx="3073401" cy="2025650"/>
        </a:xfrm>
        <a:prstGeom prst="rect">
          <a:avLst/>
        </a:prstGeom>
        <a:noFill/>
        <a:ln w="9525">
          <a:noFill/>
          <a:miter lim="800000"/>
          <a:headEnd/>
          <a:tailEnd/>
        </a:ln>
      </xdr:spPr>
    </xdr:pic>
    <xdr:clientData/>
  </xdr:twoCellAnchor>
  <xdr:twoCellAnchor editAs="oneCell">
    <xdr:from>
      <xdr:col>2</xdr:col>
      <xdr:colOff>765175</xdr:colOff>
      <xdr:row>117</xdr:row>
      <xdr:rowOff>117475</xdr:rowOff>
    </xdr:from>
    <xdr:to>
      <xdr:col>5</xdr:col>
      <xdr:colOff>34925</xdr:colOff>
      <xdr:row>127</xdr:row>
      <xdr:rowOff>9524</xdr:rowOff>
    </xdr:to>
    <xdr:pic>
      <xdr:nvPicPr>
        <xdr:cNvPr id="19" name="Picture 4" descr="TOOTH-STRESS">
          <a:extLst>
            <a:ext uri="{FF2B5EF4-FFF2-40B4-BE49-F238E27FC236}">
              <a16:creationId xmlns:a16="http://schemas.microsoft.com/office/drawing/2014/main" id="{00000000-0008-0000-0900-00001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787775" y="18811875"/>
          <a:ext cx="1889125" cy="1539874"/>
        </a:xfrm>
        <a:prstGeom prst="rect">
          <a:avLst/>
        </a:prstGeom>
        <a:noFill/>
        <a:ln w="9525">
          <a:noFill/>
          <a:miter lim="800000"/>
          <a:headEnd/>
          <a:tailEnd/>
        </a:ln>
      </xdr:spPr>
    </xdr:pic>
    <xdr:clientData/>
  </xdr:twoCellAnchor>
  <xdr:twoCellAnchor editAs="oneCell">
    <xdr:from>
      <xdr:col>1</xdr:col>
      <xdr:colOff>66675</xdr:colOff>
      <xdr:row>169</xdr:row>
      <xdr:rowOff>28575</xdr:rowOff>
    </xdr:from>
    <xdr:to>
      <xdr:col>5</xdr:col>
      <xdr:colOff>170718</xdr:colOff>
      <xdr:row>177</xdr:row>
      <xdr:rowOff>76201</xdr:rowOff>
    </xdr:to>
    <xdr:pic>
      <xdr:nvPicPr>
        <xdr:cNvPr id="20" name="Picture 5" descr="GEAR-C-FACTOR">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61950" y="30737175"/>
          <a:ext cx="4810125" cy="1571625"/>
        </a:xfrm>
        <a:prstGeom prst="rect">
          <a:avLst/>
        </a:prstGeom>
        <a:noFill/>
        <a:ln w="9525">
          <a:noFill/>
          <a:miter lim="800000"/>
          <a:headEnd/>
          <a:tailEnd/>
        </a:ln>
      </xdr:spPr>
    </xdr:pic>
    <xdr:clientData/>
  </xdr:twoCellAnchor>
  <xdr:twoCellAnchor editAs="oneCell">
    <xdr:from>
      <xdr:col>1</xdr:col>
      <xdr:colOff>1314451</xdr:colOff>
      <xdr:row>225</xdr:row>
      <xdr:rowOff>152400</xdr:rowOff>
    </xdr:from>
    <xdr:to>
      <xdr:col>5</xdr:col>
      <xdr:colOff>66676</xdr:colOff>
      <xdr:row>247</xdr:row>
      <xdr:rowOff>57151</xdr:rowOff>
    </xdr:to>
    <xdr:pic>
      <xdr:nvPicPr>
        <xdr:cNvPr id="21" name="Picture 30" descr="Worm_Gear_Speed_Reducer">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609726" y="36375975"/>
          <a:ext cx="4095750" cy="3467100"/>
        </a:xfrm>
        <a:prstGeom prst="rect">
          <a:avLst/>
        </a:prstGeom>
        <a:noFill/>
        <a:ln w="9525">
          <a:noFill/>
          <a:miter lim="800000"/>
          <a:headEnd/>
          <a:tailEnd/>
        </a:ln>
      </xdr:spPr>
    </xdr:pic>
    <xdr:clientData/>
  </xdr:twoCellAnchor>
  <xdr:twoCellAnchor editAs="oneCell">
    <xdr:from>
      <xdr:col>1</xdr:col>
      <xdr:colOff>952500</xdr:colOff>
      <xdr:row>215</xdr:row>
      <xdr:rowOff>123825</xdr:rowOff>
    </xdr:from>
    <xdr:to>
      <xdr:col>4</xdr:col>
      <xdr:colOff>134815</xdr:colOff>
      <xdr:row>223</xdr:row>
      <xdr:rowOff>152400</xdr:rowOff>
    </xdr:to>
    <xdr:pic>
      <xdr:nvPicPr>
        <xdr:cNvPr id="22" name="Picture 31" descr="WORM-WHEEL-LEAD-ANGLE">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247775" y="34728150"/>
          <a:ext cx="3857625" cy="1323975"/>
        </a:xfrm>
        <a:prstGeom prst="rect">
          <a:avLst/>
        </a:prstGeom>
        <a:noFill/>
        <a:ln w="9525">
          <a:noFill/>
          <a:miter lim="800000"/>
          <a:headEnd/>
          <a:tailEnd/>
        </a:ln>
      </xdr:spPr>
    </xdr:pic>
    <xdr:clientData/>
  </xdr:twoCellAnchor>
  <xdr:twoCellAnchor editAs="oneCell">
    <xdr:from>
      <xdr:col>8</xdr:col>
      <xdr:colOff>346075</xdr:colOff>
      <xdr:row>112</xdr:row>
      <xdr:rowOff>152400</xdr:rowOff>
    </xdr:from>
    <xdr:to>
      <xdr:col>11</xdr:col>
      <xdr:colOff>336549</xdr:colOff>
      <xdr:row>146</xdr:row>
      <xdr:rowOff>131396</xdr:rowOff>
    </xdr:to>
    <xdr:pic>
      <xdr:nvPicPr>
        <xdr:cNvPr id="26" name="Picture 25" descr="GEARBOX-MASTER-1.jpg">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7" cstate="print"/>
        <a:stretch>
          <a:fillRect/>
        </a:stretch>
      </xdr:blipFill>
      <xdr:spPr>
        <a:xfrm>
          <a:off x="8442325" y="19869150"/>
          <a:ext cx="3105149" cy="5922596"/>
        </a:xfrm>
        <a:prstGeom prst="rect">
          <a:avLst/>
        </a:prstGeom>
      </xdr:spPr>
    </xdr:pic>
    <xdr:clientData/>
  </xdr:twoCellAnchor>
  <xdr:twoCellAnchor editAs="oneCell">
    <xdr:from>
      <xdr:col>6</xdr:col>
      <xdr:colOff>171450</xdr:colOff>
      <xdr:row>431</xdr:row>
      <xdr:rowOff>152400</xdr:rowOff>
    </xdr:from>
    <xdr:to>
      <xdr:col>12</xdr:col>
      <xdr:colOff>285749</xdr:colOff>
      <xdr:row>455</xdr:row>
      <xdr:rowOff>60960</xdr:rowOff>
    </xdr:to>
    <xdr:pic>
      <xdr:nvPicPr>
        <xdr:cNvPr id="27" name="Picture 26" descr="BEVEL GEARS-20.jpg">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8" cstate="print"/>
        <a:stretch>
          <a:fillRect/>
        </a:stretch>
      </xdr:blipFill>
      <xdr:spPr>
        <a:xfrm>
          <a:off x="6029325" y="70494525"/>
          <a:ext cx="6800849" cy="3937635"/>
        </a:xfrm>
        <a:prstGeom prst="rect">
          <a:avLst/>
        </a:prstGeom>
      </xdr:spPr>
    </xdr:pic>
    <xdr:clientData/>
  </xdr:twoCellAnchor>
  <xdr:twoCellAnchor editAs="oneCell">
    <xdr:from>
      <xdr:col>1</xdr:col>
      <xdr:colOff>238126</xdr:colOff>
      <xdr:row>376</xdr:row>
      <xdr:rowOff>47625</xdr:rowOff>
    </xdr:from>
    <xdr:to>
      <xdr:col>7</xdr:col>
      <xdr:colOff>888023</xdr:colOff>
      <xdr:row>401</xdr:row>
      <xdr:rowOff>45720</xdr:rowOff>
    </xdr:to>
    <xdr:pic>
      <xdr:nvPicPr>
        <xdr:cNvPr id="28" name="Picture 27" descr="BEVEL GEARS-20.jpg">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8" cstate="print"/>
        <a:stretch>
          <a:fillRect/>
        </a:stretch>
      </xdr:blipFill>
      <xdr:spPr>
        <a:xfrm>
          <a:off x="533401" y="61350525"/>
          <a:ext cx="7286624" cy="4046220"/>
        </a:xfrm>
        <a:prstGeom prst="rect">
          <a:avLst/>
        </a:prstGeom>
      </xdr:spPr>
    </xdr:pic>
    <xdr:clientData/>
  </xdr:twoCellAnchor>
  <xdr:twoCellAnchor>
    <xdr:from>
      <xdr:col>3</xdr:col>
      <xdr:colOff>552451</xdr:colOff>
      <xdr:row>408</xdr:row>
      <xdr:rowOff>66677</xdr:rowOff>
    </xdr:from>
    <xdr:to>
      <xdr:col>6</xdr:col>
      <xdr:colOff>371476</xdr:colOff>
      <xdr:row>412</xdr:row>
      <xdr:rowOff>19051</xdr:rowOff>
    </xdr:to>
    <xdr:sp macro="" textlink="">
      <xdr:nvSpPr>
        <xdr:cNvPr id="29" name="TextBox 28">
          <a:extLst>
            <a:ext uri="{FF2B5EF4-FFF2-40B4-BE49-F238E27FC236}">
              <a16:creationId xmlns:a16="http://schemas.microsoft.com/office/drawing/2014/main" id="{00000000-0008-0000-0900-00001D000000}"/>
            </a:ext>
          </a:extLst>
        </xdr:cNvPr>
        <xdr:cNvSpPr txBox="1"/>
      </xdr:nvSpPr>
      <xdr:spPr>
        <a:xfrm>
          <a:off x="4791076" y="68151377"/>
          <a:ext cx="1352550" cy="6000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Answers must be 3 decimal places.</a:t>
          </a:r>
        </a:p>
      </xdr:txBody>
    </xdr:sp>
    <xdr:clientData/>
  </xdr:twoCellAnchor>
  <xdr:twoCellAnchor editAs="oneCell">
    <xdr:from>
      <xdr:col>7</xdr:col>
      <xdr:colOff>238126</xdr:colOff>
      <xdr:row>105</xdr:row>
      <xdr:rowOff>31750</xdr:rowOff>
    </xdr:from>
    <xdr:to>
      <xdr:col>9</xdr:col>
      <xdr:colOff>663576</xdr:colOff>
      <xdr:row>111</xdr:row>
      <xdr:rowOff>127000</xdr:rowOff>
    </xdr:to>
    <xdr:pic>
      <xdr:nvPicPr>
        <xdr:cNvPr id="30" name="Picture 29" descr="GEAR BACKLASH.jpg">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9" cstate="print"/>
        <a:stretch>
          <a:fillRect/>
        </a:stretch>
      </xdr:blipFill>
      <xdr:spPr>
        <a:xfrm>
          <a:off x="8416926" y="22472650"/>
          <a:ext cx="3581400" cy="1114425"/>
        </a:xfrm>
        <a:prstGeom prst="rect">
          <a:avLst/>
        </a:prstGeom>
      </xdr:spPr>
    </xdr:pic>
    <xdr:clientData/>
  </xdr:twoCellAnchor>
  <xdr:twoCellAnchor>
    <xdr:from>
      <xdr:col>7</xdr:col>
      <xdr:colOff>9525</xdr:colOff>
      <xdr:row>96</xdr:row>
      <xdr:rowOff>34925</xdr:rowOff>
    </xdr:from>
    <xdr:to>
      <xdr:col>11</xdr:col>
      <xdr:colOff>387350</xdr:colOff>
      <xdr:row>104</xdr:row>
      <xdr:rowOff>130174</xdr:rowOff>
    </xdr:to>
    <xdr:sp macro="" textlink="">
      <xdr:nvSpPr>
        <xdr:cNvPr id="31" name="TextBox 30">
          <a:extLst>
            <a:ext uri="{FF2B5EF4-FFF2-40B4-BE49-F238E27FC236}">
              <a16:creationId xmlns:a16="http://schemas.microsoft.com/office/drawing/2014/main" id="{00000000-0008-0000-0900-00001F000000}"/>
            </a:ext>
          </a:extLst>
        </xdr:cNvPr>
        <xdr:cNvSpPr txBox="1"/>
      </xdr:nvSpPr>
      <xdr:spPr>
        <a:xfrm>
          <a:off x="8188325" y="20951825"/>
          <a:ext cx="3933825" cy="1454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a:solidFill>
                <a:schemeClr val="dk1"/>
              </a:solidFill>
              <a:latin typeface="+mn-lt"/>
              <a:ea typeface="+mn-ea"/>
              <a:cs typeface="+mn-cs"/>
            </a:rPr>
            <a:t>CENTER DISTANCE                                                                                    </a:t>
          </a:r>
          <a:r>
            <a:rPr lang="en-US" sz="1100" baseline="0">
              <a:solidFill>
                <a:schemeClr val="dk1"/>
              </a:solidFill>
              <a:latin typeface="+mn-lt"/>
              <a:ea typeface="+mn-ea"/>
              <a:cs typeface="+mn-cs"/>
            </a:rPr>
            <a:t>Stock spur gears are cut to operate at standard center distances.</a:t>
          </a:r>
        </a:p>
        <a:p>
          <a:r>
            <a:rPr lang="en-US" sz="1100" baseline="0">
              <a:solidFill>
                <a:schemeClr val="dk1"/>
              </a:solidFill>
              <a:latin typeface="+mn-lt"/>
              <a:ea typeface="+mn-ea"/>
              <a:cs typeface="+mn-cs"/>
            </a:rPr>
            <a:t>The standard center distance being defined by:</a:t>
          </a:r>
        </a:p>
        <a:p>
          <a:r>
            <a:rPr lang="en-US" sz="1100" baseline="0">
              <a:solidFill>
                <a:schemeClr val="dk1"/>
              </a:solidFill>
              <a:latin typeface="+mn-lt"/>
              <a:ea typeface="+mn-ea"/>
              <a:cs typeface="+mn-cs"/>
            </a:rPr>
            <a:t>Standard Center Distance = (Pinion PD + Gear PD) / 2</a:t>
          </a:r>
        </a:p>
        <a:p>
          <a:r>
            <a:rPr lang="en-US" sz="1100" baseline="0">
              <a:solidFill>
                <a:schemeClr val="dk1"/>
              </a:solidFill>
              <a:latin typeface="+mn-lt"/>
              <a:ea typeface="+mn-ea"/>
              <a:cs typeface="+mn-cs"/>
            </a:rPr>
            <a:t>-                                                                                                              </a:t>
          </a:r>
          <a:r>
            <a:rPr lang="en-US" sz="1100" b="1" baseline="0">
              <a:solidFill>
                <a:schemeClr val="dk1"/>
              </a:solidFill>
              <a:latin typeface="+mn-lt"/>
              <a:ea typeface="+mn-ea"/>
              <a:cs typeface="+mn-cs"/>
            </a:rPr>
            <a:t>BACKLASH </a:t>
          </a:r>
          <a:r>
            <a:rPr lang="en-US" sz="1100" baseline="0">
              <a:solidFill>
                <a:schemeClr val="dk1"/>
              </a:solidFill>
              <a:latin typeface="+mn-lt"/>
              <a:ea typeface="+mn-ea"/>
              <a:cs typeface="+mn-cs"/>
            </a:rPr>
            <a:t>                                                                                                                       </a:t>
          </a:r>
        </a:p>
        <a:p>
          <a:r>
            <a:rPr lang="en-US" sz="1100" baseline="0">
              <a:solidFill>
                <a:schemeClr val="dk1"/>
              </a:solidFill>
              <a:latin typeface="+mn-lt"/>
              <a:ea typeface="+mn-ea"/>
              <a:cs typeface="+mn-cs"/>
            </a:rPr>
            <a:t>When mounted at this center distance, stock spur gears will</a:t>
          </a:r>
        </a:p>
        <a:p>
          <a:r>
            <a:rPr lang="en-US" sz="1100" baseline="0">
              <a:solidFill>
                <a:schemeClr val="dk1"/>
              </a:solidFill>
              <a:latin typeface="+mn-lt"/>
              <a:ea typeface="+mn-ea"/>
              <a:cs typeface="+mn-cs"/>
            </a:rPr>
            <a:t>have the following average backlash:</a:t>
          </a:r>
          <a:endParaRPr lang="en-US" sz="1100"/>
        </a:p>
      </xdr:txBody>
    </xdr:sp>
    <xdr:clientData/>
  </xdr:twoCellAnchor>
  <xdr:twoCellAnchor editAs="oneCell">
    <xdr:from>
      <xdr:col>1</xdr:col>
      <xdr:colOff>1314207</xdr:colOff>
      <xdr:row>73</xdr:row>
      <xdr:rowOff>101356</xdr:rowOff>
    </xdr:from>
    <xdr:to>
      <xdr:col>6</xdr:col>
      <xdr:colOff>135306</xdr:colOff>
      <xdr:row>93</xdr:row>
      <xdr:rowOff>88656</xdr:rowOff>
    </xdr:to>
    <xdr:pic>
      <xdr:nvPicPr>
        <xdr:cNvPr id="32" name="Picture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06307" y="12991856"/>
          <a:ext cx="4393224" cy="3289300"/>
        </a:xfrm>
        <a:prstGeom prst="rect">
          <a:avLst/>
        </a:prstGeom>
      </xdr:spPr>
    </xdr:pic>
    <xdr:clientData/>
  </xdr:twoCellAnchor>
  <xdr:twoCellAnchor editAs="oneCell">
    <xdr:from>
      <xdr:col>7</xdr:col>
      <xdr:colOff>1314450</xdr:colOff>
      <xdr:row>1</xdr:row>
      <xdr:rowOff>95250</xdr:rowOff>
    </xdr:from>
    <xdr:to>
      <xdr:col>9</xdr:col>
      <xdr:colOff>846993</xdr:colOff>
      <xdr:row>13</xdr:row>
      <xdr:rowOff>219075</xdr:rowOff>
    </xdr:to>
    <xdr:pic>
      <xdr:nvPicPr>
        <xdr:cNvPr id="33" name="Picture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372350" y="295275"/>
          <a:ext cx="2713893" cy="2105025"/>
        </a:xfrm>
        <a:prstGeom prst="rect">
          <a:avLst/>
        </a:prstGeom>
      </xdr:spPr>
    </xdr:pic>
    <xdr:clientData/>
  </xdr:twoCellAnchor>
  <xdr:twoCellAnchor editAs="oneCell">
    <xdr:from>
      <xdr:col>8</xdr:col>
      <xdr:colOff>838200</xdr:colOff>
      <xdr:row>1</xdr:row>
      <xdr:rowOff>9525</xdr:rowOff>
    </xdr:from>
    <xdr:to>
      <xdr:col>11</xdr:col>
      <xdr:colOff>295275</xdr:colOff>
      <xdr:row>13</xdr:row>
      <xdr:rowOff>152400</xdr:rowOff>
    </xdr:to>
    <xdr:pic>
      <xdr:nvPicPr>
        <xdr:cNvPr id="35" name="Picture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001250" y="209550"/>
          <a:ext cx="2552700" cy="2124075"/>
        </a:xfrm>
        <a:prstGeom prst="rect">
          <a:avLst/>
        </a:prstGeom>
      </xdr:spPr>
    </xdr:pic>
    <xdr:clientData/>
  </xdr:twoCellAnchor>
  <xdr:twoCellAnchor editAs="oneCell">
    <xdr:from>
      <xdr:col>8</xdr:col>
      <xdr:colOff>431800</xdr:colOff>
      <xdr:row>47</xdr:row>
      <xdr:rowOff>82550</xdr:rowOff>
    </xdr:from>
    <xdr:to>
      <xdr:col>14</xdr:col>
      <xdr:colOff>450850</xdr:colOff>
      <xdr:row>71</xdr:row>
      <xdr:rowOff>9525</xdr:rowOff>
    </xdr:to>
    <xdr:pic>
      <xdr:nvPicPr>
        <xdr:cNvPr id="36" name="Picture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613900" y="8655050"/>
          <a:ext cx="4962525" cy="4289425"/>
        </a:xfrm>
        <a:prstGeom prst="rect">
          <a:avLst/>
        </a:prstGeom>
      </xdr:spPr>
    </xdr:pic>
    <xdr:clientData/>
  </xdr:twoCellAnchor>
  <xdr:twoCellAnchor>
    <xdr:from>
      <xdr:col>6</xdr:col>
      <xdr:colOff>285749</xdr:colOff>
      <xdr:row>65</xdr:row>
      <xdr:rowOff>57150</xdr:rowOff>
    </xdr:from>
    <xdr:to>
      <xdr:col>7</xdr:col>
      <xdr:colOff>3086101</xdr:colOff>
      <xdr:row>81</xdr:row>
      <xdr:rowOff>152400</xdr:rowOff>
    </xdr:to>
    <xdr:sp macro="" textlink="">
      <xdr:nvSpPr>
        <xdr:cNvPr id="37" name="TextBox 36">
          <a:extLst>
            <a:ext uri="{FF2B5EF4-FFF2-40B4-BE49-F238E27FC236}">
              <a16:creationId xmlns:a16="http://schemas.microsoft.com/office/drawing/2014/main" id="{00000000-0008-0000-0900-000025000000}"/>
            </a:ext>
          </a:extLst>
        </xdr:cNvPr>
        <xdr:cNvSpPr txBox="1"/>
      </xdr:nvSpPr>
      <xdr:spPr>
        <a:xfrm>
          <a:off x="6057899" y="11639550"/>
          <a:ext cx="3086102" cy="278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UNDERCUTTING</a:t>
          </a:r>
          <a:r>
            <a:rPr lang="en-US" sz="1100" b="0" i="0" u="none" strike="noStrike" baseline="0">
              <a:solidFill>
                <a:schemeClr val="dk1"/>
              </a:solidFill>
              <a:latin typeface="+mn-lt"/>
              <a:ea typeface="+mn-ea"/>
              <a:cs typeface="+mn-cs"/>
            </a:rPr>
            <a:t>  When the number of teeth in a gear is small, the tip of the mating gear tooth may interfere with the lower portion of the tooth profile.</a:t>
          </a:r>
        </a:p>
        <a:p>
          <a:r>
            <a:rPr lang="en-US" sz="1100" b="0" i="0" u="none" strike="noStrike" baseline="0">
              <a:solidFill>
                <a:schemeClr val="dk1"/>
              </a:solidFill>
              <a:latin typeface="+mn-lt"/>
              <a:ea typeface="+mn-ea"/>
              <a:cs typeface="+mn-cs"/>
            </a:rPr>
            <a:t>To prevent this, the generating process removes material at this point.                                                                                                                                                   This results in loss of a portion of the involute adjacent to the tooth base, reducing tooth contact and tooth strength.                                                                                                                                                       On 14-1/2°PA gears undercutting occurs where a number of teeth is less than 32 and for 20°PA less than 18.                                                                                                                                       Since this condition becomes more severe as tooth numbers decrease, it is recommended that the minimum number of teeth be 16 for 14-1/2°PA and 13 for 20°PA.</a:t>
          </a:r>
          <a:endParaRPr lang="en-US" sz="1100"/>
        </a:p>
      </xdr:txBody>
    </xdr:sp>
    <xdr:clientData/>
  </xdr:twoCellAnchor>
  <xdr:twoCellAnchor editAs="oneCell">
    <xdr:from>
      <xdr:col>8</xdr:col>
      <xdr:colOff>276224</xdr:colOff>
      <xdr:row>75</xdr:row>
      <xdr:rowOff>57150</xdr:rowOff>
    </xdr:from>
    <xdr:to>
      <xdr:col>14</xdr:col>
      <xdr:colOff>180975</xdr:colOff>
      <xdr:row>93</xdr:row>
      <xdr:rowOff>38100</xdr:rowOff>
    </xdr:to>
    <xdr:pic>
      <xdr:nvPicPr>
        <xdr:cNvPr id="38" name="Picture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439274" y="13354050"/>
          <a:ext cx="4829176" cy="2895600"/>
        </a:xfrm>
        <a:prstGeom prst="rect">
          <a:avLst/>
        </a:prstGeom>
      </xdr:spPr>
    </xdr:pic>
    <xdr:clientData/>
  </xdr:twoCellAnchor>
  <xdr:twoCellAnchor editAs="oneCell">
    <xdr:from>
      <xdr:col>4</xdr:col>
      <xdr:colOff>0</xdr:colOff>
      <xdr:row>128</xdr:row>
      <xdr:rowOff>180975</xdr:rowOff>
    </xdr:from>
    <xdr:to>
      <xdr:col>7</xdr:col>
      <xdr:colOff>1019908</xdr:colOff>
      <xdr:row>140</xdr:row>
      <xdr:rowOff>104775</xdr:rowOff>
    </xdr:to>
    <xdr:pic>
      <xdr:nvPicPr>
        <xdr:cNvPr id="40" name="Picture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848225" y="20326350"/>
          <a:ext cx="2981325" cy="1962150"/>
        </a:xfrm>
        <a:prstGeom prst="rect">
          <a:avLst/>
        </a:prstGeom>
      </xdr:spPr>
    </xdr:pic>
    <xdr:clientData/>
  </xdr:twoCellAnchor>
  <xdr:twoCellAnchor editAs="oneCell">
    <xdr:from>
      <xdr:col>4</xdr:col>
      <xdr:colOff>476250</xdr:colOff>
      <xdr:row>51</xdr:row>
      <xdr:rowOff>28575</xdr:rowOff>
    </xdr:from>
    <xdr:to>
      <xdr:col>8</xdr:col>
      <xdr:colOff>410308</xdr:colOff>
      <xdr:row>64</xdr:row>
      <xdr:rowOff>142875</xdr:rowOff>
    </xdr:to>
    <xdr:pic>
      <xdr:nvPicPr>
        <xdr:cNvPr id="41" name="Picture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5324475" y="8686800"/>
          <a:ext cx="3800475" cy="2476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657225</xdr:colOff>
      <xdr:row>18</xdr:row>
      <xdr:rowOff>123825</xdr:rowOff>
    </xdr:from>
    <xdr:to>
      <xdr:col>4</xdr:col>
      <xdr:colOff>209550</xdr:colOff>
      <xdr:row>30</xdr:row>
      <xdr:rowOff>104775</xdr:rowOff>
    </xdr:to>
    <xdr:pic>
      <xdr:nvPicPr>
        <xdr:cNvPr id="6932" name="Picture 92" descr="POWER TRANS SHAFT-TORQUE">
          <a:extLst>
            <a:ext uri="{FF2B5EF4-FFF2-40B4-BE49-F238E27FC236}">
              <a16:creationId xmlns:a16="http://schemas.microsoft.com/office/drawing/2014/main" id="{00000000-0008-0000-0A00-000014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9625" y="3190875"/>
          <a:ext cx="3924300" cy="1924050"/>
        </a:xfrm>
        <a:prstGeom prst="rect">
          <a:avLst/>
        </a:prstGeom>
        <a:noFill/>
        <a:ln w="9525">
          <a:noFill/>
          <a:miter lim="800000"/>
          <a:headEnd/>
          <a:tailEnd/>
        </a:ln>
      </xdr:spPr>
    </xdr:pic>
    <xdr:clientData/>
  </xdr:twoCellAnchor>
  <xdr:twoCellAnchor>
    <xdr:from>
      <xdr:col>1</xdr:col>
      <xdr:colOff>123826</xdr:colOff>
      <xdr:row>9</xdr:row>
      <xdr:rowOff>133351</xdr:rowOff>
    </xdr:from>
    <xdr:to>
      <xdr:col>2</xdr:col>
      <xdr:colOff>495300</xdr:colOff>
      <xdr:row>14</xdr:row>
      <xdr:rowOff>104776</xdr:rowOff>
    </xdr:to>
    <xdr:sp macro="" textlink="">
      <xdr:nvSpPr>
        <xdr:cNvPr id="6245" name="Text Box 101">
          <a:extLst>
            <a:ext uri="{FF2B5EF4-FFF2-40B4-BE49-F238E27FC236}">
              <a16:creationId xmlns:a16="http://schemas.microsoft.com/office/drawing/2014/main" id="{00000000-0008-0000-0A00-000065180000}"/>
            </a:ext>
          </a:extLst>
        </xdr:cNvPr>
        <xdr:cNvSpPr txBox="1">
          <a:spLocks noChangeArrowheads="1"/>
        </xdr:cNvSpPr>
      </xdr:nvSpPr>
      <xdr:spPr bwMode="auto">
        <a:xfrm>
          <a:off x="276226" y="1704976"/>
          <a:ext cx="2790824" cy="7810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What if Calculations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Excel will make a, “What if" calculation using, </a:t>
          </a:r>
          <a:r>
            <a:rPr lang="en-US" sz="1000" b="1" i="0" u="none" strike="noStrike" baseline="0">
              <a:solidFill>
                <a:srgbClr val="000000"/>
              </a:solidFill>
              <a:latin typeface="Arial"/>
              <a:cs typeface="Arial"/>
            </a:rPr>
            <a:t>"Goal Seek"</a:t>
          </a:r>
          <a:r>
            <a:rPr lang="en-US" sz="1000" b="0" i="0" u="none" strike="noStrike" baseline="0">
              <a:solidFill>
                <a:srgbClr val="000000"/>
              </a:solidFill>
              <a:latin typeface="Arial"/>
              <a:cs typeface="Arial"/>
            </a:rPr>
            <a:t> when the </a:t>
          </a:r>
          <a:r>
            <a:rPr lang="en-US" sz="1000" b="1" i="0" u="none" strike="noStrike" baseline="0">
              <a:solidFill>
                <a:srgbClr val="000000"/>
              </a:solidFill>
              <a:latin typeface="Arial"/>
              <a:cs typeface="Arial"/>
            </a:rPr>
            <a:t>calculated formula value</a:t>
          </a:r>
          <a:r>
            <a:rPr lang="en-US" sz="1000" b="0" i="0" u="none" strike="noStrike" baseline="0">
              <a:solidFill>
                <a:srgbClr val="000000"/>
              </a:solidFill>
              <a:latin typeface="Arial"/>
              <a:cs typeface="Arial"/>
            </a:rPr>
            <a:t> needs to be changed.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7</xdr:col>
      <xdr:colOff>352425</xdr:colOff>
      <xdr:row>58</xdr:row>
      <xdr:rowOff>142875</xdr:rowOff>
    </xdr:from>
    <xdr:to>
      <xdr:col>7</xdr:col>
      <xdr:colOff>2514600</xdr:colOff>
      <xdr:row>68</xdr:row>
      <xdr:rowOff>19050</xdr:rowOff>
    </xdr:to>
    <xdr:pic>
      <xdr:nvPicPr>
        <xdr:cNvPr id="33" name="Picture 32" descr="WHAT-IF-1.jpg">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2" cstate="print"/>
        <a:stretch>
          <a:fillRect/>
        </a:stretch>
      </xdr:blipFill>
      <xdr:spPr>
        <a:xfrm>
          <a:off x="6429375" y="9572625"/>
          <a:ext cx="2162175" cy="1495425"/>
        </a:xfrm>
        <a:prstGeom prst="rect">
          <a:avLst/>
        </a:prstGeom>
      </xdr:spPr>
    </xdr:pic>
    <xdr:clientData/>
  </xdr:twoCellAnchor>
  <xdr:twoCellAnchor>
    <xdr:from>
      <xdr:col>7</xdr:col>
      <xdr:colOff>0</xdr:colOff>
      <xdr:row>0</xdr:row>
      <xdr:rowOff>95250</xdr:rowOff>
    </xdr:from>
    <xdr:to>
      <xdr:col>10</xdr:col>
      <xdr:colOff>1190625</xdr:colOff>
      <xdr:row>14</xdr:row>
      <xdr:rowOff>133350</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6076950" y="95250"/>
          <a:ext cx="5781675" cy="241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400" b="1" i="0">
              <a:solidFill>
                <a:schemeClr val="dk1"/>
              </a:solidFill>
              <a:latin typeface="+mn-lt"/>
              <a:ea typeface="+mn-ea"/>
              <a:cs typeface="+mn-cs"/>
            </a:rPr>
            <a:t>Spread Sheet Method: Excel</a:t>
          </a:r>
          <a:r>
            <a:rPr lang="en-US" sz="1400" b="1" i="0" baseline="0">
              <a:solidFill>
                <a:schemeClr val="dk1"/>
              </a:solidFill>
              <a:latin typeface="+mn-lt"/>
              <a:ea typeface="+mn-ea"/>
              <a:cs typeface="+mn-cs"/>
            </a:rPr>
            <a:t> Worksheet - New Version</a:t>
          </a:r>
          <a:endParaRPr lang="en-US" sz="1400" b="1" i="0">
            <a:solidFill>
              <a:schemeClr val="dk1"/>
            </a:solidFill>
            <a:latin typeface="+mn-lt"/>
            <a:ea typeface="+mn-ea"/>
            <a:cs typeface="+mn-cs"/>
          </a:endParaRPr>
        </a:p>
        <a:p>
          <a:pPr rtl="0"/>
          <a:r>
            <a:rPr lang="en-US" sz="1100" b="1" i="0">
              <a:solidFill>
                <a:schemeClr val="dk1"/>
              </a:solidFill>
              <a:latin typeface="+mn-lt"/>
              <a:ea typeface="+mn-ea"/>
              <a:cs typeface="+mn-cs"/>
            </a:rPr>
            <a:t>1. Type in values for the Input Data.</a:t>
          </a:r>
          <a:endParaRPr lang="en-US" sz="1100" b="1">
            <a:solidFill>
              <a:schemeClr val="dk1"/>
            </a:solidFill>
            <a:latin typeface="+mn-lt"/>
            <a:ea typeface="+mn-ea"/>
            <a:cs typeface="+mn-cs"/>
          </a:endParaRPr>
        </a:p>
        <a:p>
          <a:pPr rtl="0"/>
          <a:r>
            <a:rPr lang="en-US" sz="1100" b="1" i="0">
              <a:solidFill>
                <a:schemeClr val="dk1"/>
              </a:solidFill>
              <a:latin typeface="+mn-lt"/>
              <a:ea typeface="+mn-ea"/>
              <a:cs typeface="+mn-cs"/>
            </a:rPr>
            <a:t>2. Excel will make the Calculations.</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Excel's GOAL SEEK </a:t>
          </a:r>
          <a:endParaRPr lang="en-US"/>
        </a:p>
        <a:p>
          <a:pPr rtl="0"/>
          <a:r>
            <a:rPr lang="en-US" sz="1100" b="1" i="0">
              <a:solidFill>
                <a:schemeClr val="dk1"/>
              </a:solidFill>
              <a:latin typeface="+mn-lt"/>
              <a:ea typeface="+mn-ea"/>
              <a:cs typeface="+mn-cs"/>
            </a:rPr>
            <a:t>Excel's, "Goal Seek" adjusts one Input value to cause a Calculated formula cell to equal a</a:t>
          </a:r>
          <a:r>
            <a:rPr lang="en-US" sz="1100" b="1" i="0" baseline="0">
              <a:solidFill>
                <a:schemeClr val="dk1"/>
              </a:solidFill>
              <a:latin typeface="+mn-lt"/>
              <a:ea typeface="+mn-ea"/>
              <a:cs typeface="+mn-cs"/>
            </a:rPr>
            <a:t> value typed by you.</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using Excel's Goal Seek, unprotect the spread sheet by selecting: Drop down menu:  Home &gt; Format &gt; Unprotect Sheet &gt; OK </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Excel's Goal Seek is not needed, restore protection with:</a:t>
          </a:r>
          <a:endParaRPr lang="en-US" sz="1100" b="1">
            <a:solidFill>
              <a:schemeClr val="dk1"/>
            </a:solidFill>
            <a:latin typeface="+mn-lt"/>
            <a:ea typeface="+mn-ea"/>
            <a:cs typeface="+mn-cs"/>
          </a:endParaRPr>
        </a:p>
        <a:p>
          <a:r>
            <a:rPr lang="en-US" sz="1100" b="1" i="0">
              <a:solidFill>
                <a:schemeClr val="dk1"/>
              </a:solidFill>
              <a:latin typeface="+mn-lt"/>
              <a:ea typeface="+mn-ea"/>
              <a:cs typeface="+mn-cs"/>
            </a:rPr>
            <a:t>Drop down menu:  Home &gt; Format &gt; Protect Sheet &gt; OK </a:t>
          </a:r>
          <a:endParaRPr lang="en-US" sz="1100" b="1">
            <a:solidFill>
              <a:schemeClr val="dk1"/>
            </a:solidFill>
            <a:latin typeface="+mn-lt"/>
            <a:ea typeface="+mn-ea"/>
            <a:cs typeface="+mn-cs"/>
          </a:endParaRPr>
        </a:p>
        <a:p>
          <a:endParaRPr lang="en-US" sz="1100"/>
        </a:p>
      </xdr:txBody>
    </xdr:sp>
    <xdr:clientData/>
  </xdr:twoCellAnchor>
  <xdr:twoCellAnchor>
    <xdr:from>
      <xdr:col>7</xdr:col>
      <xdr:colOff>9525</xdr:colOff>
      <xdr:row>15</xdr:row>
      <xdr:rowOff>47625</xdr:rowOff>
    </xdr:from>
    <xdr:to>
      <xdr:col>10</xdr:col>
      <xdr:colOff>1238251</xdr:colOff>
      <xdr:row>30</xdr:row>
      <xdr:rowOff>38100</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6086475" y="2590800"/>
          <a:ext cx="5819776" cy="2457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400" b="1" i="0">
              <a:solidFill>
                <a:schemeClr val="dk1"/>
              </a:solidFill>
              <a:latin typeface="+mn-lt"/>
              <a:ea typeface="+mn-ea"/>
              <a:cs typeface="+mn-cs"/>
            </a:rPr>
            <a:t>Spread Sheet Method: Excel-97 2003 - Old Version</a:t>
          </a:r>
          <a:endParaRPr lang="en-US" sz="1400"/>
        </a:p>
        <a:p>
          <a:pPr rtl="0"/>
          <a:r>
            <a:rPr lang="en-US" sz="1100" b="1" i="0">
              <a:solidFill>
                <a:schemeClr val="dk1"/>
              </a:solidFill>
              <a:latin typeface="+mn-lt"/>
              <a:ea typeface="+mn-ea"/>
              <a:cs typeface="+mn-cs"/>
            </a:rPr>
            <a:t>1. Type in values for the input data.</a:t>
          </a:r>
          <a:endParaRPr lang="en-US" sz="1100" b="1">
            <a:solidFill>
              <a:schemeClr val="dk1"/>
            </a:solidFill>
            <a:latin typeface="+mn-lt"/>
            <a:ea typeface="+mn-ea"/>
            <a:cs typeface="+mn-cs"/>
          </a:endParaRPr>
        </a:p>
        <a:p>
          <a:pPr rtl="0"/>
          <a:r>
            <a:rPr lang="en-US" sz="1100" b="1" i="0">
              <a:solidFill>
                <a:schemeClr val="dk1"/>
              </a:solidFill>
              <a:latin typeface="+mn-lt"/>
              <a:ea typeface="+mn-ea"/>
              <a:cs typeface="+mn-cs"/>
            </a:rPr>
            <a:t>2. Excel will make the calculations.</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Excel's GOAL SEEK </a:t>
          </a:r>
          <a:endParaRPr lang="en-US"/>
        </a:p>
        <a:p>
          <a:pPr rtl="0"/>
          <a:r>
            <a:rPr lang="en-US" sz="1100" b="1" i="0">
              <a:solidFill>
                <a:schemeClr val="dk1"/>
              </a:solidFill>
              <a:latin typeface="+mn-lt"/>
              <a:ea typeface="+mn-ea"/>
              <a:cs typeface="+mn-cs"/>
            </a:rPr>
            <a:t>Excel's, "Goal Seek" adjusts one Input value to cause a Calculated formula cell to equal a given value.</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using Excel's Goal Seek, unprotect the spread sheet by selecting: Drop down menu: Tools &gt; Protection &gt; Unprotect Sheet &gt; OK </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Excel's Goal Seek is not needed, restore protection with:</a:t>
          </a:r>
          <a:endParaRPr lang="en-US" sz="1100" b="1">
            <a:solidFill>
              <a:schemeClr val="dk1"/>
            </a:solidFill>
            <a:latin typeface="+mn-lt"/>
            <a:ea typeface="+mn-ea"/>
            <a:cs typeface="+mn-cs"/>
          </a:endParaRPr>
        </a:p>
        <a:p>
          <a:r>
            <a:rPr lang="en-US" sz="1100" b="1" i="0">
              <a:solidFill>
                <a:schemeClr val="dk1"/>
              </a:solidFill>
              <a:latin typeface="+mn-lt"/>
              <a:ea typeface="+mn-ea"/>
              <a:cs typeface="+mn-cs"/>
            </a:rPr>
            <a:t>Drop down menu: Tools &gt; Protection &gt; Protect Sheet &gt; OK </a:t>
          </a:r>
          <a:endParaRPr lang="en-US" sz="1100" b="1">
            <a:solidFill>
              <a:schemeClr val="dk1"/>
            </a:solidFill>
            <a:latin typeface="+mn-lt"/>
            <a:ea typeface="+mn-ea"/>
            <a:cs typeface="+mn-cs"/>
          </a:endParaRPr>
        </a:p>
        <a:p>
          <a:endParaRPr lang="en-US" sz="1100"/>
        </a:p>
      </xdr:txBody>
    </xdr:sp>
    <xdr:clientData/>
  </xdr:twoCellAnchor>
  <xdr:twoCellAnchor>
    <xdr:from>
      <xdr:col>2</xdr:col>
      <xdr:colOff>657225</xdr:colOff>
      <xdr:row>9</xdr:row>
      <xdr:rowOff>142875</xdr:rowOff>
    </xdr:from>
    <xdr:to>
      <xdr:col>5</xdr:col>
      <xdr:colOff>561975</xdr:colOff>
      <xdr:row>16</xdr:row>
      <xdr:rowOff>9525</xdr:rowOff>
    </xdr:to>
    <xdr:sp macro="" textlink="">
      <xdr:nvSpPr>
        <xdr:cNvPr id="7" name="Text Box 93">
          <a:extLst>
            <a:ext uri="{FF2B5EF4-FFF2-40B4-BE49-F238E27FC236}">
              <a16:creationId xmlns:a16="http://schemas.microsoft.com/office/drawing/2014/main" id="{00000000-0008-0000-0A00-000007000000}"/>
            </a:ext>
          </a:extLst>
        </xdr:cNvPr>
        <xdr:cNvSpPr txBox="1">
          <a:spLocks noChangeArrowheads="1"/>
        </xdr:cNvSpPr>
      </xdr:nvSpPr>
      <xdr:spPr bwMode="auto">
        <a:xfrm>
          <a:off x="3228975" y="1714500"/>
          <a:ext cx="2543175" cy="1000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Insert the Microsoft Office CD for Add-Ins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Excel's, </a:t>
          </a:r>
          <a:r>
            <a:rPr lang="en-US" sz="1000" b="1" i="0" u="none" strike="noStrike" baseline="0">
              <a:solidFill>
                <a:srgbClr val="000000"/>
              </a:solidFill>
              <a:latin typeface="Arial"/>
              <a:cs typeface="Arial"/>
            </a:rPr>
            <a:t>"Goal Seek"</a:t>
          </a:r>
          <a:r>
            <a:rPr lang="en-US" sz="1000" b="0" i="0" u="none" strike="noStrike" baseline="0">
              <a:solidFill>
                <a:srgbClr val="000000"/>
              </a:solidFill>
              <a:latin typeface="Arial"/>
              <a:cs typeface="Arial"/>
            </a:rPr>
            <a:t> or </a:t>
          </a:r>
          <a:r>
            <a:rPr lang="en-US" sz="1000" b="1" i="0" u="none" strike="noStrike" baseline="0">
              <a:solidFill>
                <a:srgbClr val="000000"/>
              </a:solidFill>
              <a:latin typeface="Arial"/>
              <a:cs typeface="Arial"/>
            </a:rPr>
            <a:t>"Solver"</a:t>
          </a:r>
          <a:r>
            <a:rPr lang="en-US" sz="1000" b="0" i="0" u="none" strike="noStrike" baseline="0">
              <a:solidFill>
                <a:srgbClr val="000000"/>
              </a:solidFill>
              <a:latin typeface="Arial"/>
              <a:cs typeface="Arial"/>
            </a:rPr>
            <a:t> are not installed you will need to select drop-down menu: </a:t>
          </a:r>
          <a:r>
            <a:rPr lang="en-US" sz="1000" b="1" i="0" u="none" strike="noStrike" baseline="0">
              <a:solidFill>
                <a:srgbClr val="000000"/>
              </a:solidFill>
              <a:latin typeface="Arial"/>
              <a:cs typeface="Arial"/>
            </a:rPr>
            <a:t>Tools &gt; Add-Ins &gt; Goal Seek</a:t>
          </a:r>
        </a:p>
        <a:p>
          <a:pPr algn="l" rtl="0">
            <a:defRPr sz="1000"/>
          </a:pPr>
          <a:r>
            <a:rPr lang="en-US" sz="1000" b="1" i="0" u="none" strike="noStrike" baseline="0">
              <a:solidFill>
                <a:srgbClr val="000000"/>
              </a:solidFill>
              <a:latin typeface="Arial"/>
              <a:cs typeface="Arial"/>
            </a:rPr>
            <a:t>           Tools &gt; Add-Ins &gt; Solver </a:t>
          </a:r>
        </a:p>
        <a:p>
          <a:pPr algn="l" rtl="0">
            <a:defRPr sz="1000"/>
          </a:pPr>
          <a:r>
            <a:rPr lang="en-US" sz="1000" b="1" i="0" u="none" strike="noStrike" baseline="0">
              <a:solidFill>
                <a:srgbClr val="000000"/>
              </a:solidFill>
              <a:latin typeface="Arial"/>
              <a:cs typeface="Arial"/>
            </a:rPr>
            <a:t>           To open select Tools.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409575</xdr:colOff>
      <xdr:row>33</xdr:row>
      <xdr:rowOff>19050</xdr:rowOff>
    </xdr:from>
    <xdr:to>
      <xdr:col>7</xdr:col>
      <xdr:colOff>47625</xdr:colOff>
      <xdr:row>46</xdr:row>
      <xdr:rowOff>114300</xdr:rowOff>
    </xdr:to>
    <xdr:pic>
      <xdr:nvPicPr>
        <xdr:cNvPr id="11669" name="Picture 1" descr="mobile-machinery BACK HOE-1">
          <a:extLst>
            <a:ext uri="{FF2B5EF4-FFF2-40B4-BE49-F238E27FC236}">
              <a16:creationId xmlns:a16="http://schemas.microsoft.com/office/drawing/2014/main" id="{00000000-0008-0000-0100-0000952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5076825"/>
          <a:ext cx="3295650" cy="2200275"/>
        </a:xfrm>
        <a:prstGeom prst="rect">
          <a:avLst/>
        </a:prstGeom>
        <a:noFill/>
        <a:ln w="9525">
          <a:noFill/>
          <a:miter lim="800000"/>
          <a:headEnd/>
          <a:tailEnd/>
        </a:ln>
      </xdr:spPr>
    </xdr:pic>
    <xdr:clientData/>
  </xdr:twoCellAnchor>
  <xdr:twoCellAnchor editAs="oneCell">
    <xdr:from>
      <xdr:col>1</xdr:col>
      <xdr:colOff>495300</xdr:colOff>
      <xdr:row>127</xdr:row>
      <xdr:rowOff>95250</xdr:rowOff>
    </xdr:from>
    <xdr:to>
      <xdr:col>6</xdr:col>
      <xdr:colOff>533400</xdr:colOff>
      <xdr:row>142</xdr:row>
      <xdr:rowOff>123825</xdr:rowOff>
    </xdr:to>
    <xdr:pic>
      <xdr:nvPicPr>
        <xdr:cNvPr id="11670" name="Picture 2" descr="UBS-custom-packaging-machine">
          <a:extLst>
            <a:ext uri="{FF2B5EF4-FFF2-40B4-BE49-F238E27FC236}">
              <a16:creationId xmlns:a16="http://schemas.microsoft.com/office/drawing/2014/main" id="{00000000-0008-0000-0100-0000962D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04900" y="20373975"/>
          <a:ext cx="3086100" cy="2457450"/>
        </a:xfrm>
        <a:prstGeom prst="rect">
          <a:avLst/>
        </a:prstGeom>
        <a:noFill/>
        <a:ln w="9525">
          <a:noFill/>
          <a:miter lim="800000"/>
          <a:headEnd/>
          <a:tailEnd/>
        </a:ln>
      </xdr:spPr>
    </xdr:pic>
    <xdr:clientData/>
  </xdr:twoCellAnchor>
  <xdr:twoCellAnchor editAs="oneCell">
    <xdr:from>
      <xdr:col>1</xdr:col>
      <xdr:colOff>295275</xdr:colOff>
      <xdr:row>156</xdr:row>
      <xdr:rowOff>0</xdr:rowOff>
    </xdr:from>
    <xdr:to>
      <xdr:col>7</xdr:col>
      <xdr:colOff>342900</xdr:colOff>
      <xdr:row>175</xdr:row>
      <xdr:rowOff>28575</xdr:rowOff>
    </xdr:to>
    <xdr:pic>
      <xdr:nvPicPr>
        <xdr:cNvPr id="11671" name="Picture 3" descr="FRONT SUSPENSION-1">
          <a:extLst>
            <a:ext uri="{FF2B5EF4-FFF2-40B4-BE49-F238E27FC236}">
              <a16:creationId xmlns:a16="http://schemas.microsoft.com/office/drawing/2014/main" id="{00000000-0008-0000-0100-0000972D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04875" y="24974550"/>
          <a:ext cx="3705225" cy="3105150"/>
        </a:xfrm>
        <a:prstGeom prst="rect">
          <a:avLst/>
        </a:prstGeom>
        <a:noFill/>
        <a:ln w="9525">
          <a:noFill/>
          <a:miter lim="800000"/>
          <a:headEnd/>
          <a:tailEnd/>
        </a:ln>
      </xdr:spPr>
    </xdr:pic>
    <xdr:clientData/>
  </xdr:twoCellAnchor>
  <xdr:twoCellAnchor editAs="oneCell">
    <xdr:from>
      <xdr:col>2</xdr:col>
      <xdr:colOff>0</xdr:colOff>
      <xdr:row>97</xdr:row>
      <xdr:rowOff>57150</xdr:rowOff>
    </xdr:from>
    <xdr:to>
      <xdr:col>7</xdr:col>
      <xdr:colOff>0</xdr:colOff>
      <xdr:row>116</xdr:row>
      <xdr:rowOff>95250</xdr:rowOff>
    </xdr:to>
    <xdr:pic>
      <xdr:nvPicPr>
        <xdr:cNvPr id="11672" name="Picture 4" descr="6948-pulverizing-machinery-hammer-mill-grinder-shredder-1">
          <a:extLst>
            <a:ext uri="{FF2B5EF4-FFF2-40B4-BE49-F238E27FC236}">
              <a16:creationId xmlns:a16="http://schemas.microsoft.com/office/drawing/2014/main" id="{00000000-0008-0000-0100-0000982D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219200" y="15478125"/>
          <a:ext cx="3048000" cy="3114675"/>
        </a:xfrm>
        <a:prstGeom prst="rect">
          <a:avLst/>
        </a:prstGeom>
        <a:noFill/>
        <a:ln w="9525">
          <a:noFill/>
          <a:miter lim="800000"/>
          <a:headEnd/>
          <a:tailEnd/>
        </a:ln>
      </xdr:spPr>
    </xdr:pic>
    <xdr:clientData/>
  </xdr:twoCellAnchor>
  <xdr:twoCellAnchor editAs="oneCell">
    <xdr:from>
      <xdr:col>1</xdr:col>
      <xdr:colOff>295275</xdr:colOff>
      <xdr:row>197</xdr:row>
      <xdr:rowOff>66675</xdr:rowOff>
    </xdr:from>
    <xdr:to>
      <xdr:col>7</xdr:col>
      <xdr:colOff>266700</xdr:colOff>
      <xdr:row>212</xdr:row>
      <xdr:rowOff>47625</xdr:rowOff>
    </xdr:to>
    <xdr:pic>
      <xdr:nvPicPr>
        <xdr:cNvPr id="11673" name="Picture 5" descr="GEAR BOX OPEN-1">
          <a:extLst>
            <a:ext uri="{FF2B5EF4-FFF2-40B4-BE49-F238E27FC236}">
              <a16:creationId xmlns:a16="http://schemas.microsoft.com/office/drawing/2014/main" id="{00000000-0008-0000-0100-0000992D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04875" y="31680150"/>
          <a:ext cx="3629025" cy="2409825"/>
        </a:xfrm>
        <a:prstGeom prst="rect">
          <a:avLst/>
        </a:prstGeom>
        <a:noFill/>
        <a:ln w="9525">
          <a:noFill/>
          <a:miter lim="800000"/>
          <a:headEnd/>
          <a:tailEnd/>
        </a:ln>
      </xdr:spPr>
    </xdr:pic>
    <xdr:clientData/>
  </xdr:twoCellAnchor>
  <xdr:twoCellAnchor>
    <xdr:from>
      <xdr:col>1</xdr:col>
      <xdr:colOff>476250</xdr:colOff>
      <xdr:row>46</xdr:row>
      <xdr:rowOff>142875</xdr:rowOff>
    </xdr:from>
    <xdr:to>
      <xdr:col>6</xdr:col>
      <xdr:colOff>495300</xdr:colOff>
      <xdr:row>50</xdr:row>
      <xdr:rowOff>76200</xdr:rowOff>
    </xdr:to>
    <xdr:sp macro="" textlink="">
      <xdr:nvSpPr>
        <xdr:cNvPr id="11335" name="Text Box 7">
          <a:extLst>
            <a:ext uri="{FF2B5EF4-FFF2-40B4-BE49-F238E27FC236}">
              <a16:creationId xmlns:a16="http://schemas.microsoft.com/office/drawing/2014/main" id="{00000000-0008-0000-0100-0000472C0000}"/>
            </a:ext>
          </a:extLst>
        </xdr:cNvPr>
        <xdr:cNvSpPr txBox="1">
          <a:spLocks noChangeArrowheads="1"/>
        </xdr:cNvSpPr>
      </xdr:nvSpPr>
      <xdr:spPr bwMode="auto">
        <a:xfrm>
          <a:off x="1085850" y="7305675"/>
          <a:ext cx="3067050" cy="5810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Backhoe</a:t>
          </a:r>
          <a:endParaRPr lang="en-US" sz="1000" b="0" i="0" u="none" strike="noStrike" baseline="0">
            <a:solidFill>
              <a:srgbClr val="000000"/>
            </a:solidFill>
            <a:latin typeface="Arial"/>
            <a:cs typeface="Arial"/>
          </a:endParaRPr>
        </a:p>
        <a:p>
          <a:pPr algn="ctr" rtl="0">
            <a:defRPr sz="1000"/>
          </a:pPr>
          <a:r>
            <a:rPr lang="en-US" sz="1000" b="0" i="0" u="none" strike="noStrike" baseline="0">
              <a:solidFill>
                <a:srgbClr val="000000"/>
              </a:solidFill>
              <a:latin typeface="Arial"/>
              <a:cs typeface="Arial"/>
            </a:rPr>
            <a:t>Above is the image in its original context on the page: www.chesterfieldgroup.co.uk/products/mobile.html</a:t>
          </a:r>
        </a:p>
      </xdr:txBody>
    </xdr:sp>
    <xdr:clientData/>
  </xdr:twoCellAnchor>
  <xdr:twoCellAnchor>
    <xdr:from>
      <xdr:col>1</xdr:col>
      <xdr:colOff>19050</xdr:colOff>
      <xdr:row>117</xdr:row>
      <xdr:rowOff>19050</xdr:rowOff>
    </xdr:from>
    <xdr:to>
      <xdr:col>7</xdr:col>
      <xdr:colOff>590550</xdr:colOff>
      <xdr:row>126</xdr:row>
      <xdr:rowOff>114300</xdr:rowOff>
    </xdr:to>
    <xdr:sp macro="" textlink="">
      <xdr:nvSpPr>
        <xdr:cNvPr id="11336" name="Text Box 8">
          <a:extLst>
            <a:ext uri="{FF2B5EF4-FFF2-40B4-BE49-F238E27FC236}">
              <a16:creationId xmlns:a16="http://schemas.microsoft.com/office/drawing/2014/main" id="{00000000-0008-0000-0100-0000482C0000}"/>
            </a:ext>
          </a:extLst>
        </xdr:cNvPr>
        <xdr:cNvSpPr txBox="1">
          <a:spLocks noChangeArrowheads="1"/>
        </xdr:cNvSpPr>
      </xdr:nvSpPr>
      <xdr:spPr bwMode="auto">
        <a:xfrm>
          <a:off x="628650" y="28555950"/>
          <a:ext cx="4229100" cy="15525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replicable bearings have seals to keep the grease or oil lubricant in and the dust and grit out.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Quick release access panels are provided for clearing jams and cutter replacement.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large, steel rod reinforced concrete pad, foundation is usually provided for absorbing dynamic shredding forces and shock loads. </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144</xdr:row>
      <xdr:rowOff>123825</xdr:rowOff>
    </xdr:from>
    <xdr:to>
      <xdr:col>8</xdr:col>
      <xdr:colOff>28575</xdr:colOff>
      <xdr:row>152</xdr:row>
      <xdr:rowOff>123825</xdr:rowOff>
    </xdr:to>
    <xdr:sp macro="" textlink="">
      <xdr:nvSpPr>
        <xdr:cNvPr id="11337" name="Text Box 9">
          <a:extLst>
            <a:ext uri="{FF2B5EF4-FFF2-40B4-BE49-F238E27FC236}">
              <a16:creationId xmlns:a16="http://schemas.microsoft.com/office/drawing/2014/main" id="{00000000-0008-0000-0100-0000492C0000}"/>
            </a:ext>
          </a:extLst>
        </xdr:cNvPr>
        <xdr:cNvSpPr txBox="1">
          <a:spLocks noChangeArrowheads="1"/>
        </xdr:cNvSpPr>
      </xdr:nvSpPr>
      <xdr:spPr bwMode="auto">
        <a:xfrm>
          <a:off x="638175" y="23155275"/>
          <a:ext cx="4267200" cy="12954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Above is the image in its original context on the page: www.mardenedwards.com/custom-packaging-machine</a:t>
          </a:r>
        </a:p>
        <a:p>
          <a:pPr algn="l" rtl="0">
            <a:defRPr sz="1000"/>
          </a:pPr>
          <a:endParaRPr lang="en-US" sz="10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Automated Packaging Machine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relatively high cost of labor in the United States requires automated manufacturing and assembly to be price and quality competitive in  the world market. The product packaging machine above is one example.</a:t>
          </a:r>
        </a:p>
      </xdr:txBody>
    </xdr:sp>
    <xdr:clientData/>
  </xdr:twoCellAnchor>
  <xdr:twoCellAnchor>
    <xdr:from>
      <xdr:col>1</xdr:col>
      <xdr:colOff>0</xdr:colOff>
      <xdr:row>212</xdr:row>
      <xdr:rowOff>142875</xdr:rowOff>
    </xdr:from>
    <xdr:to>
      <xdr:col>7</xdr:col>
      <xdr:colOff>600075</xdr:colOff>
      <xdr:row>223</xdr:row>
      <xdr:rowOff>95250</xdr:rowOff>
    </xdr:to>
    <xdr:sp macro="" textlink="">
      <xdr:nvSpPr>
        <xdr:cNvPr id="11339" name="Text Box 11">
          <a:extLst>
            <a:ext uri="{FF2B5EF4-FFF2-40B4-BE49-F238E27FC236}">
              <a16:creationId xmlns:a16="http://schemas.microsoft.com/office/drawing/2014/main" id="{00000000-0008-0000-0100-00004B2C0000}"/>
            </a:ext>
          </a:extLst>
        </xdr:cNvPr>
        <xdr:cNvSpPr txBox="1">
          <a:spLocks noChangeArrowheads="1"/>
        </xdr:cNvSpPr>
      </xdr:nvSpPr>
      <xdr:spPr bwMode="auto">
        <a:xfrm>
          <a:off x="609600" y="44062650"/>
          <a:ext cx="4257675" cy="17335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Wheel and Worm Gears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Typical, "C-face worm gearbox below. C-face refers to the round flange used to attach a mating motor flange. Worm gears offer higher gear ratios in a smaller package than any other mechanism. A 40 to 1 ratio increases torque by a factor of 40 while reducing worm gear output shaft speed to 1/40 x input speed.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worm may have a single, double, or more thread. The axial pitch of the worm is equal to the circular pitch of the wheel. Select the, "Gears" tab at the bottom of the Excel Worksheet for more information about worm gears.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1</xdr:col>
      <xdr:colOff>552450</xdr:colOff>
      <xdr:row>52</xdr:row>
      <xdr:rowOff>28575</xdr:rowOff>
    </xdr:from>
    <xdr:to>
      <xdr:col>7</xdr:col>
      <xdr:colOff>38100</xdr:colOff>
      <xdr:row>70</xdr:row>
      <xdr:rowOff>142875</xdr:rowOff>
    </xdr:to>
    <xdr:pic>
      <xdr:nvPicPr>
        <xdr:cNvPr id="11678" name="Picture 17" descr="BACKHOE-ARM-1">
          <a:extLst>
            <a:ext uri="{FF2B5EF4-FFF2-40B4-BE49-F238E27FC236}">
              <a16:creationId xmlns:a16="http://schemas.microsoft.com/office/drawing/2014/main" id="{00000000-0008-0000-0100-00009E2D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162050" y="8162925"/>
          <a:ext cx="3143250" cy="3028950"/>
        </a:xfrm>
        <a:prstGeom prst="rect">
          <a:avLst/>
        </a:prstGeom>
        <a:noFill/>
        <a:ln w="9525">
          <a:noFill/>
          <a:miter lim="800000"/>
          <a:headEnd/>
          <a:tailEnd/>
        </a:ln>
      </xdr:spPr>
    </xdr:pic>
    <xdr:clientData/>
  </xdr:twoCellAnchor>
  <xdr:twoCellAnchor>
    <xdr:from>
      <xdr:col>1</xdr:col>
      <xdr:colOff>0</xdr:colOff>
      <xdr:row>5</xdr:row>
      <xdr:rowOff>19050</xdr:rowOff>
    </xdr:from>
    <xdr:to>
      <xdr:col>8</xdr:col>
      <xdr:colOff>9525</xdr:colOff>
      <xdr:row>31</xdr:row>
      <xdr:rowOff>85725</xdr:rowOff>
    </xdr:to>
    <xdr:sp macro="" textlink="">
      <xdr:nvSpPr>
        <xdr:cNvPr id="11342" name="Text Box 18">
          <a:extLst>
            <a:ext uri="{FF2B5EF4-FFF2-40B4-BE49-F238E27FC236}">
              <a16:creationId xmlns:a16="http://schemas.microsoft.com/office/drawing/2014/main" id="{00000000-0008-0000-0100-00004E2C0000}"/>
            </a:ext>
          </a:extLst>
        </xdr:cNvPr>
        <xdr:cNvSpPr txBox="1">
          <a:spLocks noChangeArrowheads="1"/>
        </xdr:cNvSpPr>
      </xdr:nvSpPr>
      <xdr:spPr bwMode="auto">
        <a:xfrm>
          <a:off x="609600" y="542925"/>
          <a:ext cx="4276725" cy="4276725"/>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Machine Design</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This 5 PDH machine design course uses Excel's calculating and optimizing capabilities. Machine design includes: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 A description of the needed machine in a written specification.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2. Feasibility studies comparing alternate designs and focused research.</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3. Preliminary; sketches, scale CAD drawings, materials selection, appearance and styling.</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4. Functional analysis; strength, stiffness, vibration, shock, fatigue, temperature, wear, lubrication. Customer endurance and maintenance cost estimate.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5. Producibility; machine tools, joining methods, material supply and handling, manual vs automated manufacture.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6. Cost to design and manufacture one or more models in small and large quantities.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7. Market place: present competition and life expectancy of the product.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8. Customer service system and facilities.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9. Outsource part or all; engineering, manufacturing, sales, warehousing, customer service.</a:t>
          </a:r>
        </a:p>
      </xdr:txBody>
    </xdr:sp>
    <xdr:clientData/>
  </xdr:twoCellAnchor>
  <xdr:twoCellAnchor>
    <xdr:from>
      <xdr:col>1</xdr:col>
      <xdr:colOff>38100</xdr:colOff>
      <xdr:row>73</xdr:row>
      <xdr:rowOff>9525</xdr:rowOff>
    </xdr:from>
    <xdr:to>
      <xdr:col>8</xdr:col>
      <xdr:colOff>0</xdr:colOff>
      <xdr:row>95</xdr:row>
      <xdr:rowOff>95250</xdr:rowOff>
    </xdr:to>
    <xdr:sp macro="" textlink="">
      <xdr:nvSpPr>
        <xdr:cNvPr id="11283" name="Text Box 19">
          <a:extLst>
            <a:ext uri="{FF2B5EF4-FFF2-40B4-BE49-F238E27FC236}">
              <a16:creationId xmlns:a16="http://schemas.microsoft.com/office/drawing/2014/main" id="{00000000-0008-0000-0100-0000132C0000}"/>
            </a:ext>
          </a:extLst>
        </xdr:cNvPr>
        <xdr:cNvSpPr txBox="1">
          <a:spLocks noChangeArrowheads="1"/>
        </xdr:cNvSpPr>
      </xdr:nvSpPr>
      <xdr:spPr bwMode="auto">
        <a:xfrm>
          <a:off x="647700" y="11544300"/>
          <a:ext cx="4229100" cy="3648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Strength and Stiffness Analysis</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strength and stiffness analysis of the backhoe begins with a, "Free Body Diagram" of one of the members, shown above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Force F1 = Hydraulic pressure x piston area.</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Weight W = arm material volume x density.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Force F3 = (Moments due to F1 and W) / (L1 x cos A4)</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Force F2 = ( (F1 cos A1) - (W sin A3) + (F3 cos A4) ) / cos A2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Moment Mmax = F1 x cos A1 x L1</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Arm applied bending stress, S = K x Mmax D2 / (2 I)</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 = arm area moment of inertial at D2 and</a:t>
          </a:r>
        </a:p>
        <a:p>
          <a:pPr algn="l" rtl="0">
            <a:defRPr sz="1000"/>
          </a:pPr>
          <a:r>
            <a:rPr lang="en-US" sz="1000" b="0" i="0" u="none" strike="noStrike" baseline="0">
              <a:solidFill>
                <a:srgbClr val="000000"/>
              </a:solidFill>
              <a:latin typeface="Arial"/>
              <a:cs typeface="Arial"/>
            </a:rPr>
            <a:t> K = combined vibration shock factor.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Safety factor, SF = Material allowable stress / Applied stress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applied stress and safety factor must be calculated at each high stress point.</a:t>
          </a:r>
        </a:p>
      </xdr:txBody>
    </xdr:sp>
    <xdr:clientData/>
  </xdr:twoCellAnchor>
  <xdr:twoCellAnchor>
    <xdr:from>
      <xdr:col>1</xdr:col>
      <xdr:colOff>38100</xdr:colOff>
      <xdr:row>176</xdr:row>
      <xdr:rowOff>38100</xdr:rowOff>
    </xdr:from>
    <xdr:to>
      <xdr:col>8</xdr:col>
      <xdr:colOff>0</xdr:colOff>
      <xdr:row>194</xdr:row>
      <xdr:rowOff>9525</xdr:rowOff>
    </xdr:to>
    <xdr:sp macro="" textlink="">
      <xdr:nvSpPr>
        <xdr:cNvPr id="11344" name="Text Box 22">
          <a:extLst>
            <a:ext uri="{FF2B5EF4-FFF2-40B4-BE49-F238E27FC236}">
              <a16:creationId xmlns:a16="http://schemas.microsoft.com/office/drawing/2014/main" id="{00000000-0008-0000-0100-0000502C0000}"/>
            </a:ext>
          </a:extLst>
        </xdr:cNvPr>
        <xdr:cNvSpPr txBox="1">
          <a:spLocks noChangeArrowheads="1"/>
        </xdr:cNvSpPr>
      </xdr:nvSpPr>
      <xdr:spPr bwMode="auto">
        <a:xfrm>
          <a:off x="647700" y="28251150"/>
          <a:ext cx="4229100" cy="2886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Automobile Independent Front Suspension</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Above is the image in its original context on the page: www.hyundai.co.in/tucson/tucson.asp?pageName=...</a:t>
          </a:r>
          <a:endParaRPr lang="en-US" sz="1000" b="1"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Coil springs absorb shock loads on bumps and rough roads in the front suspension above. Double acting shock absorbers dampen suspension oscillations. Ball joints in the linkage provide swiveling action that allows the wheel and axle assembly to pivot while moving up and down.  The lower arm pivots on a bushing and shaft assembly attached to the frame cross member.  These components are applied in many other mechanisms. </a:t>
          </a:r>
        </a:p>
        <a:p>
          <a:pPr algn="l" rtl="0">
            <a:defRPr sz="1000"/>
          </a:pPr>
          <a:endParaRPr lang="en-US" sz="10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Spur Gears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Below is the image in its original context on the page: www.usedmills.net/machinery-equipment/feed/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Select the, "Gears" tab at the bottom of the Excel Worksheet </a:t>
          </a:r>
        </a:p>
        <a:p>
          <a:pPr algn="l" rtl="0">
            <a:defRPr sz="1000"/>
          </a:pPr>
          <a:r>
            <a:rPr lang="en-US" sz="1000" b="0" i="0" u="none" strike="noStrike" baseline="0">
              <a:solidFill>
                <a:srgbClr val="000000"/>
              </a:solidFill>
              <a:latin typeface="Arial"/>
              <a:cs typeface="Arial"/>
            </a:rPr>
            <a:t>for more information about spur gears.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1</xdr:col>
      <xdr:colOff>361950</xdr:colOff>
      <xdr:row>223</xdr:row>
      <xdr:rowOff>152400</xdr:rowOff>
    </xdr:from>
    <xdr:to>
      <xdr:col>7</xdr:col>
      <xdr:colOff>133350</xdr:colOff>
      <xdr:row>245</xdr:row>
      <xdr:rowOff>28575</xdr:rowOff>
    </xdr:to>
    <xdr:pic>
      <xdr:nvPicPr>
        <xdr:cNvPr id="11682" name="Picture 23" descr="Worm_Gear_Speed_Reducer">
          <a:extLst>
            <a:ext uri="{FF2B5EF4-FFF2-40B4-BE49-F238E27FC236}">
              <a16:creationId xmlns:a16="http://schemas.microsoft.com/office/drawing/2014/main" id="{00000000-0008-0000-0100-0000A22D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71550" y="35975925"/>
          <a:ext cx="3429000" cy="3438525"/>
        </a:xfrm>
        <a:prstGeom prst="rect">
          <a:avLst/>
        </a:prstGeom>
        <a:noFill/>
        <a:ln w="9525">
          <a:noFill/>
          <a:miter lim="800000"/>
          <a:headEnd/>
          <a:tailEnd/>
        </a:ln>
      </xdr:spPr>
    </xdr:pic>
    <xdr:clientData/>
  </xdr:twoCellAnchor>
  <xdr:twoCellAnchor>
    <xdr:from>
      <xdr:col>1</xdr:col>
      <xdr:colOff>476250</xdr:colOff>
      <xdr:row>247</xdr:row>
      <xdr:rowOff>0</xdr:rowOff>
    </xdr:from>
    <xdr:to>
      <xdr:col>7</xdr:col>
      <xdr:colOff>133350</xdr:colOff>
      <xdr:row>250</xdr:row>
      <xdr:rowOff>66675</xdr:rowOff>
    </xdr:to>
    <xdr:sp macro="" textlink="">
      <xdr:nvSpPr>
        <xdr:cNvPr id="11288" name="Text Box 24">
          <a:extLst>
            <a:ext uri="{FF2B5EF4-FFF2-40B4-BE49-F238E27FC236}">
              <a16:creationId xmlns:a16="http://schemas.microsoft.com/office/drawing/2014/main" id="{00000000-0008-0000-0100-0000182C0000}"/>
            </a:ext>
          </a:extLst>
        </xdr:cNvPr>
        <xdr:cNvSpPr txBox="1">
          <a:spLocks noChangeArrowheads="1"/>
        </xdr:cNvSpPr>
      </xdr:nvSpPr>
      <xdr:spPr bwMode="auto">
        <a:xfrm>
          <a:off x="1085850" y="39709725"/>
          <a:ext cx="3314700" cy="5524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Worm gear</a:t>
          </a:r>
          <a:endParaRPr lang="en-US" sz="1000" b="0" i="0" u="none" strike="noStrike" baseline="0">
            <a:solidFill>
              <a:srgbClr val="000000"/>
            </a:solidFill>
            <a:latin typeface="Arial"/>
            <a:cs typeface="Arial"/>
          </a:endParaRPr>
        </a:p>
        <a:p>
          <a:pPr algn="ctr" rtl="0">
            <a:defRPr sz="1000"/>
          </a:pPr>
          <a:r>
            <a:rPr lang="en-US" sz="1000" b="0" i="0" u="none" strike="noStrike" baseline="0">
              <a:solidFill>
                <a:srgbClr val="000000"/>
              </a:solidFill>
              <a:latin typeface="Arial"/>
              <a:cs typeface="Arial"/>
            </a:rPr>
            <a:t>Above is the image in its original context on the page: www.global-b2b-network.com/b2b/17/25/751/gear...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468</xdr:row>
      <xdr:rowOff>161925</xdr:rowOff>
    </xdr:from>
    <xdr:to>
      <xdr:col>1</xdr:col>
      <xdr:colOff>0</xdr:colOff>
      <xdr:row>470</xdr:row>
      <xdr:rowOff>0</xdr:rowOff>
    </xdr:to>
    <xdr:sp macro="" textlink="">
      <xdr:nvSpPr>
        <xdr:cNvPr id="1821" name="Line 115">
          <a:extLst>
            <a:ext uri="{FF2B5EF4-FFF2-40B4-BE49-F238E27FC236}">
              <a16:creationId xmlns:a16="http://schemas.microsoft.com/office/drawing/2014/main" id="{00000000-0008-0000-0200-00001D070000}"/>
            </a:ext>
          </a:extLst>
        </xdr:cNvPr>
        <xdr:cNvSpPr>
          <a:spLocks noChangeShapeType="1"/>
        </xdr:cNvSpPr>
      </xdr:nvSpPr>
      <xdr:spPr bwMode="auto">
        <a:xfrm>
          <a:off x="2505075" y="65722500"/>
          <a:ext cx="0" cy="219075"/>
        </a:xfrm>
        <a:prstGeom prst="line">
          <a:avLst/>
        </a:prstGeom>
        <a:noFill/>
        <a:ln w="9525">
          <a:solidFill>
            <a:srgbClr val="000000"/>
          </a:solidFill>
          <a:round/>
          <a:headEnd/>
          <a:tailEnd/>
        </a:ln>
      </xdr:spPr>
    </xdr:sp>
    <xdr:clientData/>
  </xdr:twoCellAnchor>
  <xdr:twoCellAnchor>
    <xdr:from>
      <xdr:col>0</xdr:col>
      <xdr:colOff>285750</xdr:colOff>
      <xdr:row>195</xdr:row>
      <xdr:rowOff>38100</xdr:rowOff>
    </xdr:from>
    <xdr:to>
      <xdr:col>1</xdr:col>
      <xdr:colOff>619125</xdr:colOff>
      <xdr:row>214</xdr:row>
      <xdr:rowOff>152400</xdr:rowOff>
    </xdr:to>
    <xdr:sp macro="" textlink="">
      <xdr:nvSpPr>
        <xdr:cNvPr id="1152" name="Text Box 128">
          <a:extLst>
            <a:ext uri="{FF2B5EF4-FFF2-40B4-BE49-F238E27FC236}">
              <a16:creationId xmlns:a16="http://schemas.microsoft.com/office/drawing/2014/main" id="{00000000-0008-0000-0200-000080040000}"/>
            </a:ext>
          </a:extLst>
        </xdr:cNvPr>
        <xdr:cNvSpPr txBox="1">
          <a:spLocks noChangeArrowheads="1"/>
        </xdr:cNvSpPr>
      </xdr:nvSpPr>
      <xdr:spPr bwMode="auto">
        <a:xfrm>
          <a:off x="285750" y="29632275"/>
          <a:ext cx="2838450" cy="31908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Stress Element</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stress element right is at the point of interest in the machine part subjected to operating: forces, moments, and torques.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Direct Stresses</a:t>
          </a:r>
          <a:r>
            <a:rPr lang="en-US" sz="1000" b="0" i="0" u="none" strike="noStrike" baseline="0">
              <a:solidFill>
                <a:srgbClr val="000000"/>
              </a:solidFill>
              <a:latin typeface="Arial"/>
              <a:cs typeface="Arial"/>
            </a:rPr>
            <a:t>:</a:t>
          </a:r>
        </a:p>
        <a:p>
          <a:pPr algn="l" rtl="0">
            <a:defRPr sz="1000"/>
          </a:pPr>
          <a:r>
            <a:rPr lang="en-US" sz="1000" b="0" i="0" u="none" strike="noStrike" baseline="0">
              <a:solidFill>
                <a:srgbClr val="000000"/>
              </a:solidFill>
              <a:latin typeface="Arial"/>
              <a:cs typeface="Arial"/>
            </a:rPr>
            <a:t>Horizontal,  +Fx = tension, -Fx = compression.</a:t>
          </a:r>
        </a:p>
        <a:p>
          <a:pPr algn="l" rtl="0">
            <a:defRPr sz="1000"/>
          </a:pPr>
          <a:r>
            <a:rPr lang="en-US" sz="1000" b="0" i="0" u="none" strike="noStrike" baseline="0">
              <a:solidFill>
                <a:srgbClr val="000000"/>
              </a:solidFill>
              <a:latin typeface="Arial"/>
              <a:cs typeface="Arial"/>
            </a:rPr>
            <a:t>Vertical,     +Fy = tension, -Fy = compression.</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Shear stress: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Shear stress,  Sxy = normal to x and y planes.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Principal Stress Plane:</a:t>
          </a:r>
        </a:p>
        <a:p>
          <a:pPr algn="l" rtl="0">
            <a:defRPr sz="1000"/>
          </a:pPr>
          <a:r>
            <a:rPr lang="en-US" sz="1000" b="0" i="0" u="none" strike="noStrike" baseline="0">
              <a:solidFill>
                <a:srgbClr val="000000"/>
              </a:solidFill>
              <a:latin typeface="Arial"/>
              <a:cs typeface="Arial"/>
            </a:rPr>
            <a:t>The vector sum of the direct and shear stresses, called the principal stress F1, acts on the principal plane angle A degrees, see right. There is zero shear force on a principal plane. Angle A may be calculated from the equation: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       Tan 2A = 2 x Sxy / ( Fy - Fx)</a:t>
          </a: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a:p>
          <a:pPr algn="l" rtl="0">
            <a:defRPr sz="1000"/>
          </a:pPr>
          <a:endParaRPr lang="en-US" sz="1000" b="1" i="0" u="none" strike="noStrike" baseline="0">
            <a:solidFill>
              <a:srgbClr val="000000"/>
            </a:solidFill>
            <a:latin typeface="Arial"/>
            <a:cs typeface="Arial"/>
          </a:endParaRPr>
        </a:p>
      </xdr:txBody>
    </xdr:sp>
    <xdr:clientData/>
  </xdr:twoCellAnchor>
  <xdr:twoCellAnchor editAs="oneCell">
    <xdr:from>
      <xdr:col>1</xdr:col>
      <xdr:colOff>1066800</xdr:colOff>
      <xdr:row>192</xdr:row>
      <xdr:rowOff>152400</xdr:rowOff>
    </xdr:from>
    <xdr:to>
      <xdr:col>4</xdr:col>
      <xdr:colOff>95250</xdr:colOff>
      <xdr:row>204</xdr:row>
      <xdr:rowOff>57151</xdr:rowOff>
    </xdr:to>
    <xdr:pic>
      <xdr:nvPicPr>
        <xdr:cNvPr id="1823" name="Picture 129" descr="PRIN STRESS ELEMENT-1">
          <a:extLst>
            <a:ext uri="{FF2B5EF4-FFF2-40B4-BE49-F238E27FC236}">
              <a16:creationId xmlns:a16="http://schemas.microsoft.com/office/drawing/2014/main" id="{00000000-0008-0000-0200-00001F07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71875" y="29222700"/>
          <a:ext cx="1809750" cy="1885950"/>
        </a:xfrm>
        <a:prstGeom prst="rect">
          <a:avLst/>
        </a:prstGeom>
        <a:noFill/>
        <a:ln w="9525">
          <a:noFill/>
          <a:miter lim="800000"/>
          <a:headEnd/>
          <a:tailEnd/>
        </a:ln>
      </xdr:spPr>
    </xdr:pic>
    <xdr:clientData/>
  </xdr:twoCellAnchor>
  <xdr:twoCellAnchor editAs="oneCell">
    <xdr:from>
      <xdr:col>1</xdr:col>
      <xdr:colOff>1038225</xdr:colOff>
      <xdr:row>205</xdr:row>
      <xdr:rowOff>0</xdr:rowOff>
    </xdr:from>
    <xdr:to>
      <xdr:col>4</xdr:col>
      <xdr:colOff>123825</xdr:colOff>
      <xdr:row>216</xdr:row>
      <xdr:rowOff>142875</xdr:rowOff>
    </xdr:to>
    <xdr:pic>
      <xdr:nvPicPr>
        <xdr:cNvPr id="1824" name="Picture 130" descr="PRIN STRESS ELEMENT-2">
          <a:extLst>
            <a:ext uri="{FF2B5EF4-FFF2-40B4-BE49-F238E27FC236}">
              <a16:creationId xmlns:a16="http://schemas.microsoft.com/office/drawing/2014/main" id="{00000000-0008-0000-0200-00002007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43300" y="31213425"/>
          <a:ext cx="1866900" cy="1924050"/>
        </a:xfrm>
        <a:prstGeom prst="rect">
          <a:avLst/>
        </a:prstGeom>
        <a:noFill/>
        <a:ln w="9525">
          <a:noFill/>
          <a:miter lim="800000"/>
          <a:headEnd/>
          <a:tailEnd/>
        </a:ln>
      </xdr:spPr>
    </xdr:pic>
    <xdr:clientData/>
  </xdr:twoCellAnchor>
  <xdr:twoCellAnchor editAs="oneCell">
    <xdr:from>
      <xdr:col>1</xdr:col>
      <xdr:colOff>895350</xdr:colOff>
      <xdr:row>220</xdr:row>
      <xdr:rowOff>57150</xdr:rowOff>
    </xdr:from>
    <xdr:to>
      <xdr:col>4</xdr:col>
      <xdr:colOff>209550</xdr:colOff>
      <xdr:row>233</xdr:row>
      <xdr:rowOff>38100</xdr:rowOff>
    </xdr:to>
    <xdr:pic>
      <xdr:nvPicPr>
        <xdr:cNvPr id="1825" name="Picture 131" descr="PRIN STRESS ELEMENT-3">
          <a:extLst>
            <a:ext uri="{FF2B5EF4-FFF2-40B4-BE49-F238E27FC236}">
              <a16:creationId xmlns:a16="http://schemas.microsoft.com/office/drawing/2014/main" id="{00000000-0008-0000-0200-00002107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400425" y="33699450"/>
          <a:ext cx="2095500" cy="2085975"/>
        </a:xfrm>
        <a:prstGeom prst="rect">
          <a:avLst/>
        </a:prstGeom>
        <a:noFill/>
        <a:ln w="9525">
          <a:noFill/>
          <a:miter lim="800000"/>
          <a:headEnd/>
          <a:tailEnd/>
        </a:ln>
      </xdr:spPr>
    </xdr:pic>
    <xdr:clientData/>
  </xdr:twoCellAnchor>
  <xdr:twoCellAnchor editAs="oneCell">
    <xdr:from>
      <xdr:col>0</xdr:col>
      <xdr:colOff>1238250</xdr:colOff>
      <xdr:row>298</xdr:row>
      <xdr:rowOff>19050</xdr:rowOff>
    </xdr:from>
    <xdr:to>
      <xdr:col>4</xdr:col>
      <xdr:colOff>111125</xdr:colOff>
      <xdr:row>310</xdr:row>
      <xdr:rowOff>114299</xdr:rowOff>
    </xdr:to>
    <xdr:pic>
      <xdr:nvPicPr>
        <xdr:cNvPr id="1826" name="Picture 132" descr="POWER TRANS SHAFT-T-V-H">
          <a:extLst>
            <a:ext uri="{FF2B5EF4-FFF2-40B4-BE49-F238E27FC236}">
              <a16:creationId xmlns:a16="http://schemas.microsoft.com/office/drawing/2014/main" id="{00000000-0008-0000-0200-00002207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238250" y="50539650"/>
          <a:ext cx="3863975" cy="2076449"/>
        </a:xfrm>
        <a:prstGeom prst="rect">
          <a:avLst/>
        </a:prstGeom>
        <a:noFill/>
        <a:ln w="9525">
          <a:noFill/>
          <a:miter lim="800000"/>
          <a:headEnd/>
          <a:tailEnd/>
        </a:ln>
      </xdr:spPr>
    </xdr:pic>
    <xdr:clientData/>
  </xdr:twoCellAnchor>
  <xdr:twoCellAnchor>
    <xdr:from>
      <xdr:col>0</xdr:col>
      <xdr:colOff>333375</xdr:colOff>
      <xdr:row>219</xdr:row>
      <xdr:rowOff>85725</xdr:rowOff>
    </xdr:from>
    <xdr:to>
      <xdr:col>1</xdr:col>
      <xdr:colOff>533400</xdr:colOff>
      <xdr:row>231</xdr:row>
      <xdr:rowOff>152400</xdr:rowOff>
    </xdr:to>
    <xdr:sp macro="" textlink="">
      <xdr:nvSpPr>
        <xdr:cNvPr id="1159" name="Text Box 135">
          <a:extLst>
            <a:ext uri="{FF2B5EF4-FFF2-40B4-BE49-F238E27FC236}">
              <a16:creationId xmlns:a16="http://schemas.microsoft.com/office/drawing/2014/main" id="{00000000-0008-0000-0200-000087040000}"/>
            </a:ext>
          </a:extLst>
        </xdr:cNvPr>
        <xdr:cNvSpPr txBox="1">
          <a:spLocks noChangeArrowheads="1"/>
        </xdr:cNvSpPr>
      </xdr:nvSpPr>
      <xdr:spPr bwMode="auto">
        <a:xfrm>
          <a:off x="333375" y="33566100"/>
          <a:ext cx="2705100" cy="20097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Principal Stresses: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Two principal stresses, F1 and F2 are required to balance the horizontal and vertical applied stresses, Fx, Fy, and Sxy.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maximum shear stress acts at 45 degrees to the principal stresses, shown right. The maximum shear stress is given by: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Smax = ( F2 - F1 ) / 2</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principal stress equations are given below.</a:t>
          </a:r>
        </a:p>
      </xdr:txBody>
    </xdr:sp>
    <xdr:clientData/>
  </xdr:twoCellAnchor>
  <xdr:twoCellAnchor>
    <xdr:from>
      <xdr:col>1</xdr:col>
      <xdr:colOff>0</xdr:colOff>
      <xdr:row>531</xdr:row>
      <xdr:rowOff>152400</xdr:rowOff>
    </xdr:from>
    <xdr:to>
      <xdr:col>1</xdr:col>
      <xdr:colOff>0</xdr:colOff>
      <xdr:row>532</xdr:row>
      <xdr:rowOff>161925</xdr:rowOff>
    </xdr:to>
    <xdr:sp macro="" textlink="">
      <xdr:nvSpPr>
        <xdr:cNvPr id="1829" name="Line 144">
          <a:extLst>
            <a:ext uri="{FF2B5EF4-FFF2-40B4-BE49-F238E27FC236}">
              <a16:creationId xmlns:a16="http://schemas.microsoft.com/office/drawing/2014/main" id="{00000000-0008-0000-0200-000025070000}"/>
            </a:ext>
          </a:extLst>
        </xdr:cNvPr>
        <xdr:cNvSpPr>
          <a:spLocks noChangeShapeType="1"/>
        </xdr:cNvSpPr>
      </xdr:nvSpPr>
      <xdr:spPr bwMode="auto">
        <a:xfrm flipH="1">
          <a:off x="2505075" y="76314300"/>
          <a:ext cx="0" cy="180975"/>
        </a:xfrm>
        <a:prstGeom prst="line">
          <a:avLst/>
        </a:prstGeom>
        <a:noFill/>
        <a:ln w="9525">
          <a:solidFill>
            <a:srgbClr val="000000"/>
          </a:solidFill>
          <a:round/>
          <a:headEnd/>
          <a:tailEnd/>
        </a:ln>
      </xdr:spPr>
    </xdr:sp>
    <xdr:clientData/>
  </xdr:twoCellAnchor>
  <xdr:twoCellAnchor editAs="oneCell">
    <xdr:from>
      <xdr:col>2</xdr:col>
      <xdr:colOff>533400</xdr:colOff>
      <xdr:row>451</xdr:row>
      <xdr:rowOff>9525</xdr:rowOff>
    </xdr:from>
    <xdr:to>
      <xdr:col>4</xdr:col>
      <xdr:colOff>495300</xdr:colOff>
      <xdr:row>460</xdr:row>
      <xdr:rowOff>114300</xdr:rowOff>
    </xdr:to>
    <xdr:pic>
      <xdr:nvPicPr>
        <xdr:cNvPr id="1830" name="Picture 151" descr="I RECTANGULAR">
          <a:extLst>
            <a:ext uri="{FF2B5EF4-FFF2-40B4-BE49-F238E27FC236}">
              <a16:creationId xmlns:a16="http://schemas.microsoft.com/office/drawing/2014/main" id="{00000000-0008-0000-0200-00002607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524375" y="62722125"/>
          <a:ext cx="1257300" cy="1619250"/>
        </a:xfrm>
        <a:prstGeom prst="rect">
          <a:avLst/>
        </a:prstGeom>
        <a:noFill/>
        <a:ln w="9525">
          <a:noFill/>
          <a:miter lim="800000"/>
          <a:headEnd/>
          <a:tailEnd/>
        </a:ln>
      </xdr:spPr>
    </xdr:pic>
    <xdr:clientData/>
  </xdr:twoCellAnchor>
  <xdr:twoCellAnchor editAs="oneCell">
    <xdr:from>
      <xdr:col>0</xdr:col>
      <xdr:colOff>161925</xdr:colOff>
      <xdr:row>466</xdr:row>
      <xdr:rowOff>0</xdr:rowOff>
    </xdr:from>
    <xdr:to>
      <xdr:col>1</xdr:col>
      <xdr:colOff>133350</xdr:colOff>
      <xdr:row>478</xdr:row>
      <xdr:rowOff>19050</xdr:rowOff>
    </xdr:to>
    <xdr:pic>
      <xdr:nvPicPr>
        <xdr:cNvPr id="1831" name="Picture 156" descr="I-SECTION">
          <a:extLst>
            <a:ext uri="{FF2B5EF4-FFF2-40B4-BE49-F238E27FC236}">
              <a16:creationId xmlns:a16="http://schemas.microsoft.com/office/drawing/2014/main" id="{00000000-0008-0000-0200-00002707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61925" y="65236725"/>
          <a:ext cx="2181225" cy="2076450"/>
        </a:xfrm>
        <a:prstGeom prst="rect">
          <a:avLst/>
        </a:prstGeom>
        <a:noFill/>
        <a:ln w="9525">
          <a:noFill/>
          <a:miter lim="800000"/>
          <a:headEnd/>
          <a:tailEnd/>
        </a:ln>
      </xdr:spPr>
    </xdr:pic>
    <xdr:clientData/>
  </xdr:twoCellAnchor>
  <xdr:twoCellAnchor editAs="oneCell">
    <xdr:from>
      <xdr:col>0</xdr:col>
      <xdr:colOff>57150</xdr:colOff>
      <xdr:row>478</xdr:row>
      <xdr:rowOff>85725</xdr:rowOff>
    </xdr:from>
    <xdr:to>
      <xdr:col>1</xdr:col>
      <xdr:colOff>114300</xdr:colOff>
      <xdr:row>490</xdr:row>
      <xdr:rowOff>76201</xdr:rowOff>
    </xdr:to>
    <xdr:pic>
      <xdr:nvPicPr>
        <xdr:cNvPr id="1832" name="Picture 157" descr="C-SECTION">
          <a:extLst>
            <a:ext uri="{FF2B5EF4-FFF2-40B4-BE49-F238E27FC236}">
              <a16:creationId xmlns:a16="http://schemas.microsoft.com/office/drawing/2014/main" id="{00000000-0008-0000-0200-00002807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57150" y="67379850"/>
          <a:ext cx="2266950" cy="1990725"/>
        </a:xfrm>
        <a:prstGeom prst="rect">
          <a:avLst/>
        </a:prstGeom>
        <a:noFill/>
        <a:ln w="9525">
          <a:noFill/>
          <a:miter lim="800000"/>
          <a:headEnd/>
          <a:tailEnd/>
        </a:ln>
      </xdr:spPr>
    </xdr:pic>
    <xdr:clientData/>
  </xdr:twoCellAnchor>
  <xdr:twoCellAnchor editAs="oneCell">
    <xdr:from>
      <xdr:col>0</xdr:col>
      <xdr:colOff>0</xdr:colOff>
      <xdr:row>537</xdr:row>
      <xdr:rowOff>76200</xdr:rowOff>
    </xdr:from>
    <xdr:to>
      <xdr:col>1</xdr:col>
      <xdr:colOff>285750</xdr:colOff>
      <xdr:row>548</xdr:row>
      <xdr:rowOff>133350</xdr:rowOff>
    </xdr:to>
    <xdr:pic>
      <xdr:nvPicPr>
        <xdr:cNvPr id="1833" name="Picture 160" descr="U-SECTION">
          <a:extLst>
            <a:ext uri="{FF2B5EF4-FFF2-40B4-BE49-F238E27FC236}">
              <a16:creationId xmlns:a16="http://schemas.microsoft.com/office/drawing/2014/main" id="{00000000-0008-0000-0200-00002907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0" y="77247750"/>
          <a:ext cx="2495550" cy="1895475"/>
        </a:xfrm>
        <a:prstGeom prst="rect">
          <a:avLst/>
        </a:prstGeom>
        <a:noFill/>
        <a:ln w="9525">
          <a:noFill/>
          <a:miter lim="800000"/>
          <a:headEnd/>
          <a:tailEnd/>
        </a:ln>
      </xdr:spPr>
    </xdr:pic>
    <xdr:clientData/>
  </xdr:twoCellAnchor>
  <xdr:twoCellAnchor editAs="oneCell">
    <xdr:from>
      <xdr:col>0</xdr:col>
      <xdr:colOff>200025</xdr:colOff>
      <xdr:row>556</xdr:row>
      <xdr:rowOff>38100</xdr:rowOff>
    </xdr:from>
    <xdr:to>
      <xdr:col>0</xdr:col>
      <xdr:colOff>2190750</xdr:colOff>
      <xdr:row>567</xdr:row>
      <xdr:rowOff>76198</xdr:rowOff>
    </xdr:to>
    <xdr:pic>
      <xdr:nvPicPr>
        <xdr:cNvPr id="1834" name="Picture 161" descr="H-SECTION">
          <a:extLst>
            <a:ext uri="{FF2B5EF4-FFF2-40B4-BE49-F238E27FC236}">
              <a16:creationId xmlns:a16="http://schemas.microsoft.com/office/drawing/2014/main" id="{00000000-0008-0000-0200-00002A07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00025" y="80352900"/>
          <a:ext cx="1990725" cy="1876425"/>
        </a:xfrm>
        <a:prstGeom prst="rect">
          <a:avLst/>
        </a:prstGeom>
        <a:noFill/>
        <a:ln w="9525">
          <a:noFill/>
          <a:miter lim="800000"/>
          <a:headEnd/>
          <a:tailEnd/>
        </a:ln>
      </xdr:spPr>
    </xdr:pic>
    <xdr:clientData/>
  </xdr:twoCellAnchor>
  <xdr:twoCellAnchor editAs="oneCell">
    <xdr:from>
      <xdr:col>0</xdr:col>
      <xdr:colOff>952500</xdr:colOff>
      <xdr:row>418</xdr:row>
      <xdr:rowOff>57150</xdr:rowOff>
    </xdr:from>
    <xdr:to>
      <xdr:col>3</xdr:col>
      <xdr:colOff>539750</xdr:colOff>
      <xdr:row>431</xdr:row>
      <xdr:rowOff>85724</xdr:rowOff>
    </xdr:to>
    <xdr:pic>
      <xdr:nvPicPr>
        <xdr:cNvPr id="1835" name="Picture 162" descr="CURVED BEAM-2">
          <a:extLst>
            <a:ext uri="{FF2B5EF4-FFF2-40B4-BE49-F238E27FC236}">
              <a16:creationId xmlns:a16="http://schemas.microsoft.com/office/drawing/2014/main" id="{00000000-0008-0000-0200-00002B07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952500" y="57407175"/>
          <a:ext cx="3924300" cy="2133600"/>
        </a:xfrm>
        <a:prstGeom prst="rect">
          <a:avLst/>
        </a:prstGeom>
        <a:noFill/>
        <a:ln w="9525">
          <a:noFill/>
          <a:miter lim="800000"/>
          <a:headEnd/>
          <a:tailEnd/>
        </a:ln>
      </xdr:spPr>
    </xdr:pic>
    <xdr:clientData/>
  </xdr:twoCellAnchor>
  <xdr:twoCellAnchor editAs="oneCell">
    <xdr:from>
      <xdr:col>0</xdr:col>
      <xdr:colOff>523875</xdr:colOff>
      <xdr:row>365</xdr:row>
      <xdr:rowOff>0</xdr:rowOff>
    </xdr:from>
    <xdr:to>
      <xdr:col>4</xdr:col>
      <xdr:colOff>520700</xdr:colOff>
      <xdr:row>379</xdr:row>
      <xdr:rowOff>47625</xdr:rowOff>
    </xdr:to>
    <xdr:pic>
      <xdr:nvPicPr>
        <xdr:cNvPr id="1836" name="Picture 163" descr="CURVED BEAM-1">
          <a:extLst>
            <a:ext uri="{FF2B5EF4-FFF2-40B4-BE49-F238E27FC236}">
              <a16:creationId xmlns:a16="http://schemas.microsoft.com/office/drawing/2014/main" id="{00000000-0008-0000-0200-00002C07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523875" y="49158525"/>
          <a:ext cx="4991100" cy="2314575"/>
        </a:xfrm>
        <a:prstGeom prst="rect">
          <a:avLst/>
        </a:prstGeom>
        <a:noFill/>
        <a:ln w="9525">
          <a:noFill/>
          <a:miter lim="800000"/>
          <a:headEnd/>
          <a:tailEnd/>
        </a:ln>
      </xdr:spPr>
    </xdr:pic>
    <xdr:clientData/>
  </xdr:twoCellAnchor>
  <xdr:twoCellAnchor>
    <xdr:from>
      <xdr:col>0</xdr:col>
      <xdr:colOff>203200</xdr:colOff>
      <xdr:row>311</xdr:row>
      <xdr:rowOff>9525</xdr:rowOff>
    </xdr:from>
    <xdr:to>
      <xdr:col>0</xdr:col>
      <xdr:colOff>1774825</xdr:colOff>
      <xdr:row>316</xdr:row>
      <xdr:rowOff>82550</xdr:rowOff>
    </xdr:to>
    <xdr:sp macro="" textlink="">
      <xdr:nvSpPr>
        <xdr:cNvPr id="1263" name="Text Box 239">
          <a:extLst>
            <a:ext uri="{FF2B5EF4-FFF2-40B4-BE49-F238E27FC236}">
              <a16:creationId xmlns:a16="http://schemas.microsoft.com/office/drawing/2014/main" id="{00000000-0008-0000-0200-0000EF040000}"/>
            </a:ext>
          </a:extLst>
        </xdr:cNvPr>
        <xdr:cNvSpPr txBox="1">
          <a:spLocks noChangeArrowheads="1"/>
        </xdr:cNvSpPr>
      </xdr:nvSpPr>
      <xdr:spPr bwMode="auto">
        <a:xfrm>
          <a:off x="203200" y="52676425"/>
          <a:ext cx="1571625" cy="911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See Math Tools tab below for Excel's Goal Seek.</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Use Excel's, "Goal Seek" to optimize shaft diameter. </a:t>
          </a:r>
        </a:p>
      </xdr:txBody>
    </xdr:sp>
    <xdr:clientData/>
  </xdr:twoCellAnchor>
  <xdr:twoCellAnchor editAs="oneCell">
    <xdr:from>
      <xdr:col>0</xdr:col>
      <xdr:colOff>1095375</xdr:colOff>
      <xdr:row>96</xdr:row>
      <xdr:rowOff>66675</xdr:rowOff>
    </xdr:from>
    <xdr:to>
      <xdr:col>4</xdr:col>
      <xdr:colOff>320675</xdr:colOff>
      <xdr:row>101</xdr:row>
      <xdr:rowOff>152399</xdr:rowOff>
    </xdr:to>
    <xdr:pic>
      <xdr:nvPicPr>
        <xdr:cNvPr id="1838" name="Picture 240" descr="TENSION-COMPRESSION">
          <a:extLst>
            <a:ext uri="{FF2B5EF4-FFF2-40B4-BE49-F238E27FC236}">
              <a16:creationId xmlns:a16="http://schemas.microsoft.com/office/drawing/2014/main" id="{00000000-0008-0000-0200-00002E07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1095375" y="13458825"/>
          <a:ext cx="4219575" cy="895350"/>
        </a:xfrm>
        <a:prstGeom prst="rect">
          <a:avLst/>
        </a:prstGeom>
        <a:noFill/>
        <a:ln w="9525">
          <a:noFill/>
          <a:miter lim="800000"/>
          <a:headEnd/>
          <a:tailEnd/>
        </a:ln>
      </xdr:spPr>
    </xdr:pic>
    <xdr:clientData/>
  </xdr:twoCellAnchor>
  <xdr:twoCellAnchor editAs="oneCell">
    <xdr:from>
      <xdr:col>1</xdr:col>
      <xdr:colOff>104775</xdr:colOff>
      <xdr:row>126</xdr:row>
      <xdr:rowOff>57150</xdr:rowOff>
    </xdr:from>
    <xdr:to>
      <xdr:col>4</xdr:col>
      <xdr:colOff>523875</xdr:colOff>
      <xdr:row>137</xdr:row>
      <xdr:rowOff>76199</xdr:rowOff>
    </xdr:to>
    <xdr:pic>
      <xdr:nvPicPr>
        <xdr:cNvPr id="1839" name="Picture 241" descr="BEAM SHEAR STRESS">
          <a:extLst>
            <a:ext uri="{FF2B5EF4-FFF2-40B4-BE49-F238E27FC236}">
              <a16:creationId xmlns:a16="http://schemas.microsoft.com/office/drawing/2014/main" id="{00000000-0008-0000-0200-00002F07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2609850" y="18364200"/>
          <a:ext cx="3200400" cy="1800225"/>
        </a:xfrm>
        <a:prstGeom prst="rect">
          <a:avLst/>
        </a:prstGeom>
        <a:noFill/>
        <a:ln w="9525">
          <a:noFill/>
          <a:miter lim="800000"/>
          <a:headEnd/>
          <a:tailEnd/>
        </a:ln>
      </xdr:spPr>
    </xdr:pic>
    <xdr:clientData/>
  </xdr:twoCellAnchor>
  <xdr:twoCellAnchor>
    <xdr:from>
      <xdr:col>0</xdr:col>
      <xdr:colOff>152400</xdr:colOff>
      <xdr:row>123</xdr:row>
      <xdr:rowOff>47625</xdr:rowOff>
    </xdr:from>
    <xdr:to>
      <xdr:col>0</xdr:col>
      <xdr:colOff>2352675</xdr:colOff>
      <xdr:row>139</xdr:row>
      <xdr:rowOff>76200</xdr:rowOff>
    </xdr:to>
    <xdr:sp macro="" textlink="">
      <xdr:nvSpPr>
        <xdr:cNvPr id="1266" name="Text Box 242">
          <a:extLst>
            <a:ext uri="{FF2B5EF4-FFF2-40B4-BE49-F238E27FC236}">
              <a16:creationId xmlns:a16="http://schemas.microsoft.com/office/drawing/2014/main" id="{00000000-0008-0000-0200-0000F2040000}"/>
            </a:ext>
          </a:extLst>
        </xdr:cNvPr>
        <xdr:cNvSpPr txBox="1">
          <a:spLocks noChangeArrowheads="1"/>
        </xdr:cNvSpPr>
      </xdr:nvSpPr>
      <xdr:spPr bwMode="auto">
        <a:xfrm>
          <a:off x="152400" y="16983075"/>
          <a:ext cx="2200275" cy="26193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Shear Stress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stress element at the center of the beam reacts to the vertical load P with a vertical up shear stress vector at the right end and down at the other. This is balanced by horizontal right acting top and left acting bottom shear stress vectors. A stress element at the top or bottom surface of the beam cannot have a vertical stress vector. The shear stress distribution is parabolic.</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Mechanical Engineering Reference Manual (for the PE exam), by M.R. Lindeburg, Published by, Professional Publications, Inc. Belmont, CA.</a:t>
          </a:r>
        </a:p>
      </xdr:txBody>
    </xdr:sp>
    <xdr:clientData/>
  </xdr:twoCellAnchor>
  <xdr:twoCellAnchor editAs="oneCell">
    <xdr:from>
      <xdr:col>0</xdr:col>
      <xdr:colOff>371475</xdr:colOff>
      <xdr:row>159</xdr:row>
      <xdr:rowOff>38100</xdr:rowOff>
    </xdr:from>
    <xdr:to>
      <xdr:col>4</xdr:col>
      <xdr:colOff>654050</xdr:colOff>
      <xdr:row>170</xdr:row>
      <xdr:rowOff>85724</xdr:rowOff>
    </xdr:to>
    <xdr:pic>
      <xdr:nvPicPr>
        <xdr:cNvPr id="1841" name="Picture 243" descr="ROD &amp; TUBE SHEAR FACTORS">
          <a:extLst>
            <a:ext uri="{FF2B5EF4-FFF2-40B4-BE49-F238E27FC236}">
              <a16:creationId xmlns:a16="http://schemas.microsoft.com/office/drawing/2014/main" id="{00000000-0008-0000-0200-00003107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371475" y="23745825"/>
          <a:ext cx="5276850" cy="1828800"/>
        </a:xfrm>
        <a:prstGeom prst="rect">
          <a:avLst/>
        </a:prstGeom>
        <a:noFill/>
        <a:ln w="9525">
          <a:noFill/>
          <a:miter lim="800000"/>
          <a:headEnd/>
          <a:tailEnd/>
        </a:ln>
      </xdr:spPr>
    </xdr:pic>
    <xdr:clientData/>
  </xdr:twoCellAnchor>
  <xdr:twoCellAnchor editAs="oneCell">
    <xdr:from>
      <xdr:col>0</xdr:col>
      <xdr:colOff>266700</xdr:colOff>
      <xdr:row>494</xdr:row>
      <xdr:rowOff>123825</xdr:rowOff>
    </xdr:from>
    <xdr:to>
      <xdr:col>4</xdr:col>
      <xdr:colOff>349250</xdr:colOff>
      <xdr:row>502</xdr:row>
      <xdr:rowOff>152399</xdr:rowOff>
    </xdr:to>
    <xdr:pic>
      <xdr:nvPicPr>
        <xdr:cNvPr id="1842" name="Picture 245" descr="BEAMS-1-2-3">
          <a:extLst>
            <a:ext uri="{FF2B5EF4-FFF2-40B4-BE49-F238E27FC236}">
              <a16:creationId xmlns:a16="http://schemas.microsoft.com/office/drawing/2014/main" id="{00000000-0008-0000-0200-00003207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266700" y="70104000"/>
          <a:ext cx="5076825" cy="1323975"/>
        </a:xfrm>
        <a:prstGeom prst="rect">
          <a:avLst/>
        </a:prstGeom>
        <a:noFill/>
        <a:ln w="9525">
          <a:noFill/>
          <a:miter lim="800000"/>
          <a:headEnd/>
          <a:tailEnd/>
        </a:ln>
      </xdr:spPr>
    </xdr:pic>
    <xdr:clientData/>
  </xdr:twoCellAnchor>
  <xdr:twoCellAnchor>
    <xdr:from>
      <xdr:col>3</xdr:col>
      <xdr:colOff>85725</xdr:colOff>
      <xdr:row>591</xdr:row>
      <xdr:rowOff>76200</xdr:rowOff>
    </xdr:from>
    <xdr:to>
      <xdr:col>4</xdr:col>
      <xdr:colOff>628650</xdr:colOff>
      <xdr:row>593</xdr:row>
      <xdr:rowOff>133350</xdr:rowOff>
    </xdr:to>
    <xdr:sp macro="" textlink="">
      <xdr:nvSpPr>
        <xdr:cNvPr id="1271" name="Text Box 247">
          <a:extLst>
            <a:ext uri="{FF2B5EF4-FFF2-40B4-BE49-F238E27FC236}">
              <a16:creationId xmlns:a16="http://schemas.microsoft.com/office/drawing/2014/main" id="{00000000-0008-0000-0200-0000F7040000}"/>
            </a:ext>
          </a:extLst>
        </xdr:cNvPr>
        <xdr:cNvSpPr txBox="1">
          <a:spLocks noChangeArrowheads="1"/>
        </xdr:cNvSpPr>
      </xdr:nvSpPr>
      <xdr:spPr bwMode="auto">
        <a:xfrm>
          <a:off x="4714875" y="86744175"/>
          <a:ext cx="1200150"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Ref: AISC Manual of Steel Construction.</a:t>
          </a:r>
        </a:p>
      </xdr:txBody>
    </xdr:sp>
    <xdr:clientData/>
  </xdr:twoCellAnchor>
  <xdr:twoCellAnchor>
    <xdr:from>
      <xdr:col>3</xdr:col>
      <xdr:colOff>38100</xdr:colOff>
      <xdr:row>511</xdr:row>
      <xdr:rowOff>0</xdr:rowOff>
    </xdr:from>
    <xdr:to>
      <xdr:col>4</xdr:col>
      <xdr:colOff>581025</xdr:colOff>
      <xdr:row>513</xdr:row>
      <xdr:rowOff>57150</xdr:rowOff>
    </xdr:to>
    <xdr:sp macro="" textlink="">
      <xdr:nvSpPr>
        <xdr:cNvPr id="1272" name="Text Box 248">
          <a:extLst>
            <a:ext uri="{FF2B5EF4-FFF2-40B4-BE49-F238E27FC236}">
              <a16:creationId xmlns:a16="http://schemas.microsoft.com/office/drawing/2014/main" id="{00000000-0008-0000-0200-0000F8040000}"/>
            </a:ext>
          </a:extLst>
        </xdr:cNvPr>
        <xdr:cNvSpPr txBox="1">
          <a:spLocks noChangeArrowheads="1"/>
        </xdr:cNvSpPr>
      </xdr:nvSpPr>
      <xdr:spPr bwMode="auto">
        <a:xfrm>
          <a:off x="4667250" y="74237850"/>
          <a:ext cx="1200150"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Ref: AISC Manual of Steel Construction.</a:t>
          </a:r>
        </a:p>
      </xdr:txBody>
    </xdr:sp>
    <xdr:clientData/>
  </xdr:twoCellAnchor>
  <xdr:twoCellAnchor>
    <xdr:from>
      <xdr:col>2</xdr:col>
      <xdr:colOff>285750</xdr:colOff>
      <xdr:row>45</xdr:row>
      <xdr:rowOff>76200</xdr:rowOff>
    </xdr:from>
    <xdr:to>
      <xdr:col>4</xdr:col>
      <xdr:colOff>609600</xdr:colOff>
      <xdr:row>51</xdr:row>
      <xdr:rowOff>104775</xdr:rowOff>
    </xdr:to>
    <xdr:sp macro="" textlink="">
      <xdr:nvSpPr>
        <xdr:cNvPr id="1274" name="Text Box 250">
          <a:extLst>
            <a:ext uri="{FF2B5EF4-FFF2-40B4-BE49-F238E27FC236}">
              <a16:creationId xmlns:a16="http://schemas.microsoft.com/office/drawing/2014/main" id="{00000000-0008-0000-0200-0000FA040000}"/>
            </a:ext>
          </a:extLst>
        </xdr:cNvPr>
        <xdr:cNvSpPr txBox="1">
          <a:spLocks noChangeArrowheads="1"/>
        </xdr:cNvSpPr>
      </xdr:nvSpPr>
      <xdr:spPr bwMode="auto">
        <a:xfrm>
          <a:off x="4276725" y="5086350"/>
          <a:ext cx="1619250" cy="1000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Reference: Design of Machine Elements, by V.M. Faires, published by: The Macmillan Company, New York/Collier-Macmillan Limited, London, England.</a:t>
          </a:r>
        </a:p>
      </xdr:txBody>
    </xdr:sp>
    <xdr:clientData/>
  </xdr:twoCellAnchor>
  <xdr:twoCellAnchor editAs="oneCell">
    <xdr:from>
      <xdr:col>0</xdr:col>
      <xdr:colOff>276225</xdr:colOff>
      <xdr:row>41</xdr:row>
      <xdr:rowOff>142875</xdr:rowOff>
    </xdr:from>
    <xdr:to>
      <xdr:col>2</xdr:col>
      <xdr:colOff>44450</xdr:colOff>
      <xdr:row>55</xdr:row>
      <xdr:rowOff>47625</xdr:rowOff>
    </xdr:to>
    <xdr:pic>
      <xdr:nvPicPr>
        <xdr:cNvPr id="28" name="Picture 27" descr="HOLE IN PLATE-1.jpg">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6" cstate="print"/>
        <a:stretch>
          <a:fillRect/>
        </a:stretch>
      </xdr:blipFill>
      <xdr:spPr>
        <a:xfrm>
          <a:off x="276225" y="7000875"/>
          <a:ext cx="3467100" cy="2171700"/>
        </a:xfrm>
        <a:prstGeom prst="rect">
          <a:avLst/>
        </a:prstGeom>
      </xdr:spPr>
    </xdr:pic>
    <xdr:clientData/>
  </xdr:twoCellAnchor>
  <xdr:twoCellAnchor editAs="oneCell">
    <xdr:from>
      <xdr:col>0</xdr:col>
      <xdr:colOff>190500</xdr:colOff>
      <xdr:row>572</xdr:row>
      <xdr:rowOff>104775</xdr:rowOff>
    </xdr:from>
    <xdr:to>
      <xdr:col>4</xdr:col>
      <xdr:colOff>269875</xdr:colOff>
      <xdr:row>581</xdr:row>
      <xdr:rowOff>28575</xdr:rowOff>
    </xdr:to>
    <xdr:pic>
      <xdr:nvPicPr>
        <xdr:cNvPr id="29" name="Picture 28" descr="BEAMS-2.jpg">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7" cstate="print"/>
        <a:stretch>
          <a:fillRect/>
        </a:stretch>
      </xdr:blipFill>
      <xdr:spPr>
        <a:xfrm>
          <a:off x="190500" y="86106000"/>
          <a:ext cx="5076825" cy="1381125"/>
        </a:xfrm>
        <a:prstGeom prst="rect">
          <a:avLst/>
        </a:prstGeom>
      </xdr:spPr>
    </xdr:pic>
    <xdr:clientData/>
  </xdr:twoCellAnchor>
  <xdr:twoCellAnchor editAs="oneCell">
    <xdr:from>
      <xdr:col>0</xdr:col>
      <xdr:colOff>0</xdr:colOff>
      <xdr:row>264</xdr:row>
      <xdr:rowOff>136525</xdr:rowOff>
    </xdr:from>
    <xdr:to>
      <xdr:col>4</xdr:col>
      <xdr:colOff>422275</xdr:colOff>
      <xdr:row>275</xdr:row>
      <xdr:rowOff>85725</xdr:rowOff>
    </xdr:to>
    <xdr:pic>
      <xdr:nvPicPr>
        <xdr:cNvPr id="33" name="Picture 32" descr="Internal Pressure.jpg">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8" cstate="print"/>
        <a:stretch>
          <a:fillRect/>
        </a:stretch>
      </xdr:blipFill>
      <xdr:spPr>
        <a:xfrm>
          <a:off x="0" y="44383325"/>
          <a:ext cx="5413375" cy="1765300"/>
        </a:xfrm>
        <a:prstGeom prst="rect">
          <a:avLst/>
        </a:prstGeom>
      </xdr:spPr>
    </xdr:pic>
    <xdr:clientData/>
  </xdr:twoCellAnchor>
  <xdr:twoCellAnchor>
    <xdr:from>
      <xdr:col>2</xdr:col>
      <xdr:colOff>279400</xdr:colOff>
      <xdr:row>277</xdr:row>
      <xdr:rowOff>47625</xdr:rowOff>
    </xdr:from>
    <xdr:to>
      <xdr:col>4</xdr:col>
      <xdr:colOff>765175</xdr:colOff>
      <xdr:row>287</xdr:row>
      <xdr:rowOff>28575</xdr:rowOff>
    </xdr:to>
    <xdr:sp macro="" textlink="">
      <xdr:nvSpPr>
        <xdr:cNvPr id="34" name="TextBox 33">
          <a:extLst>
            <a:ext uri="{FF2B5EF4-FFF2-40B4-BE49-F238E27FC236}">
              <a16:creationId xmlns:a16="http://schemas.microsoft.com/office/drawing/2014/main" id="{00000000-0008-0000-0200-000022000000}"/>
            </a:ext>
          </a:extLst>
        </xdr:cNvPr>
        <xdr:cNvSpPr txBox="1"/>
      </xdr:nvSpPr>
      <xdr:spPr>
        <a:xfrm>
          <a:off x="3975100" y="46516925"/>
          <a:ext cx="1781175"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Shell Longitudinal</a:t>
          </a:r>
          <a:r>
            <a:rPr lang="en-US" sz="1200" b="1" baseline="0"/>
            <a:t> Joint                    </a:t>
          </a:r>
          <a:r>
            <a:rPr lang="en-US" sz="1100" b="1"/>
            <a:t>Equating </a:t>
          </a:r>
          <a:r>
            <a:rPr lang="en-US" sz="1100" b="1" baseline="0"/>
            <a:t> internal pressure force and shell stress force:                             P*D*L = </a:t>
          </a:r>
          <a:r>
            <a:rPr lang="en-US" sz="1100" b="1" baseline="0">
              <a:latin typeface="+mn-lt"/>
            </a:rPr>
            <a:t>  S</a:t>
          </a:r>
          <a:r>
            <a:rPr lang="en-US" sz="800" b="1" baseline="0">
              <a:latin typeface="+mn-lt"/>
            </a:rPr>
            <a:t>L</a:t>
          </a:r>
          <a:r>
            <a:rPr lang="en-US" sz="1100" b="1" baseline="0">
              <a:latin typeface="+mn-lt"/>
            </a:rPr>
            <a:t>*2*t*L                       S</a:t>
          </a:r>
          <a:r>
            <a:rPr lang="en-US" sz="800" b="1" baseline="0">
              <a:latin typeface="+mn-lt"/>
            </a:rPr>
            <a:t>L</a:t>
          </a:r>
          <a:r>
            <a:rPr lang="en-US" sz="1100" b="1" baseline="0">
              <a:latin typeface="+mn-lt"/>
            </a:rPr>
            <a:t>=  P*D / 2*t = P*R / t             </a:t>
          </a:r>
          <a:r>
            <a:rPr lang="en-US" sz="1100" b="1">
              <a:solidFill>
                <a:schemeClr val="dk1"/>
              </a:solidFill>
              <a:latin typeface="+mn-lt"/>
              <a:ea typeface="+mn-ea"/>
              <a:cs typeface="+mn-cs"/>
            </a:rPr>
            <a:t>Shell Circumferential</a:t>
          </a:r>
          <a:r>
            <a:rPr lang="en-US" sz="1100" b="1" baseline="0">
              <a:solidFill>
                <a:schemeClr val="dk1"/>
              </a:solidFill>
              <a:latin typeface="+mn-lt"/>
              <a:ea typeface="+mn-ea"/>
              <a:cs typeface="+mn-cs"/>
            </a:rPr>
            <a:t> Joint                    </a:t>
          </a:r>
          <a:r>
            <a:rPr lang="en-US" sz="1100" b="1" baseline="0">
              <a:latin typeface="+mn-lt"/>
            </a:rPr>
            <a:t>P*</a:t>
          </a:r>
          <a:r>
            <a:rPr lang="el-GR" sz="1100" b="1" baseline="0">
              <a:latin typeface="+mn-lt"/>
              <a:cs typeface="Arial"/>
            </a:rPr>
            <a:t>π</a:t>
          </a:r>
          <a:r>
            <a:rPr lang="en-US" sz="1100" b="1" baseline="0">
              <a:latin typeface="+mn-lt"/>
              <a:cs typeface="Arial"/>
            </a:rPr>
            <a:t>*R^2 = S</a:t>
          </a:r>
          <a:r>
            <a:rPr lang="en-US" sz="800" b="1" baseline="0">
              <a:latin typeface="+mn-lt"/>
              <a:cs typeface="Arial"/>
            </a:rPr>
            <a:t>C</a:t>
          </a:r>
          <a:r>
            <a:rPr lang="en-US" sz="1100" b="1" baseline="0">
              <a:latin typeface="+mn-lt"/>
              <a:cs typeface="Arial"/>
            </a:rPr>
            <a:t>*t*2*</a:t>
          </a:r>
          <a:r>
            <a:rPr lang="el-GR" sz="1100" b="1" baseline="0">
              <a:latin typeface="+mn-lt"/>
              <a:cs typeface="Arial"/>
            </a:rPr>
            <a:t>π</a:t>
          </a:r>
          <a:r>
            <a:rPr lang="en-US" sz="1100" b="1" baseline="0">
              <a:latin typeface="+mn-lt"/>
              <a:cs typeface="Arial"/>
            </a:rPr>
            <a:t>*R     S</a:t>
          </a:r>
          <a:r>
            <a:rPr lang="en-US" sz="800" b="1" baseline="0">
              <a:latin typeface="+mn-lt"/>
              <a:cs typeface="Arial"/>
            </a:rPr>
            <a:t>C</a:t>
          </a:r>
          <a:r>
            <a:rPr lang="en-US" sz="1100" b="1" baseline="0">
              <a:latin typeface="+mn-lt"/>
              <a:cs typeface="Arial"/>
            </a:rPr>
            <a:t> = P*R / t                       Head</a:t>
          </a:r>
          <a:r>
            <a:rPr lang="en-US" sz="1100" b="1">
              <a:solidFill>
                <a:schemeClr val="dk1"/>
              </a:solidFill>
              <a:latin typeface="+mn-lt"/>
              <a:ea typeface="+mn-ea"/>
              <a:cs typeface="+mn-cs"/>
            </a:rPr>
            <a:t> Circumferential</a:t>
          </a:r>
          <a:r>
            <a:rPr lang="en-US" sz="1100" b="1" baseline="0">
              <a:solidFill>
                <a:schemeClr val="dk1"/>
              </a:solidFill>
              <a:latin typeface="+mn-lt"/>
              <a:ea typeface="+mn-ea"/>
              <a:cs typeface="+mn-cs"/>
            </a:rPr>
            <a:t> Joint                    P*</a:t>
          </a:r>
          <a:r>
            <a:rPr lang="el-GR" sz="1100" b="1" baseline="0">
              <a:solidFill>
                <a:schemeClr val="dk1"/>
              </a:solidFill>
              <a:latin typeface="+mn-lt"/>
              <a:ea typeface="+mn-ea"/>
              <a:cs typeface="+mn-cs"/>
            </a:rPr>
            <a:t>π</a:t>
          </a:r>
          <a:r>
            <a:rPr lang="en-US" sz="1100" b="1" baseline="0">
              <a:solidFill>
                <a:schemeClr val="dk1"/>
              </a:solidFill>
              <a:latin typeface="+mn-lt"/>
              <a:ea typeface="+mn-ea"/>
              <a:cs typeface="+mn-cs"/>
            </a:rPr>
            <a:t>*R^2 = SC*t*2*</a:t>
          </a:r>
          <a:r>
            <a:rPr lang="el-GR" sz="1100" b="1" baseline="0">
              <a:solidFill>
                <a:schemeClr val="dk1"/>
              </a:solidFill>
              <a:latin typeface="+mn-lt"/>
              <a:ea typeface="+mn-ea"/>
              <a:cs typeface="+mn-cs"/>
            </a:rPr>
            <a:t>π</a:t>
          </a:r>
          <a:r>
            <a:rPr lang="en-US" sz="1100" b="1" baseline="0">
              <a:solidFill>
                <a:schemeClr val="dk1"/>
              </a:solidFill>
              <a:latin typeface="+mn-lt"/>
              <a:ea typeface="+mn-ea"/>
              <a:cs typeface="+mn-cs"/>
            </a:rPr>
            <a:t>*R     S</a:t>
          </a:r>
          <a:r>
            <a:rPr lang="en-US" sz="800" b="1" baseline="0">
              <a:solidFill>
                <a:schemeClr val="dk1"/>
              </a:solidFill>
              <a:latin typeface="+mn-lt"/>
              <a:ea typeface="+mn-ea"/>
              <a:cs typeface="+mn-cs"/>
            </a:rPr>
            <a:t>C</a:t>
          </a:r>
          <a:r>
            <a:rPr lang="en-US" sz="1100" b="1" baseline="0">
              <a:solidFill>
                <a:schemeClr val="dk1"/>
              </a:solidFill>
              <a:latin typeface="+mn-lt"/>
              <a:ea typeface="+mn-ea"/>
              <a:cs typeface="+mn-cs"/>
            </a:rPr>
            <a:t> = P*R / t</a:t>
          </a:r>
          <a:endParaRPr lang="en-US" sz="1100" b="1">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495300</xdr:colOff>
      <xdr:row>319</xdr:row>
      <xdr:rowOff>19050</xdr:rowOff>
    </xdr:from>
    <xdr:to>
      <xdr:col>4</xdr:col>
      <xdr:colOff>476250</xdr:colOff>
      <xdr:row>326</xdr:row>
      <xdr:rowOff>57150</xdr:rowOff>
    </xdr:to>
    <xdr:pic>
      <xdr:nvPicPr>
        <xdr:cNvPr id="7595" name="Picture 1" descr="SECTION-T-ROUND">
          <a:extLst>
            <a:ext uri="{FF2B5EF4-FFF2-40B4-BE49-F238E27FC236}">
              <a16:creationId xmlns:a16="http://schemas.microsoft.com/office/drawing/2014/main" id="{00000000-0008-0000-0300-0000AB1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62475" y="52349400"/>
          <a:ext cx="1200150" cy="1228725"/>
        </a:xfrm>
        <a:prstGeom prst="rect">
          <a:avLst/>
        </a:prstGeom>
        <a:noFill/>
        <a:ln w="9525">
          <a:noFill/>
          <a:miter lim="800000"/>
          <a:headEnd/>
          <a:tailEnd/>
        </a:ln>
      </xdr:spPr>
    </xdr:pic>
    <xdr:clientData/>
  </xdr:twoCellAnchor>
  <xdr:twoCellAnchor editAs="oneCell">
    <xdr:from>
      <xdr:col>2</xdr:col>
      <xdr:colOff>561974</xdr:colOff>
      <xdr:row>332</xdr:row>
      <xdr:rowOff>9525</xdr:rowOff>
    </xdr:from>
    <xdr:to>
      <xdr:col>4</xdr:col>
      <xdr:colOff>628649</xdr:colOff>
      <xdr:row>338</xdr:row>
      <xdr:rowOff>152400</xdr:rowOff>
    </xdr:to>
    <xdr:pic>
      <xdr:nvPicPr>
        <xdr:cNvPr id="7596" name="Picture 2" descr="SECTION-T-HOLLOW">
          <a:extLst>
            <a:ext uri="{FF2B5EF4-FFF2-40B4-BE49-F238E27FC236}">
              <a16:creationId xmlns:a16="http://schemas.microsoft.com/office/drawing/2014/main" id="{00000000-0008-0000-0300-0000AC1D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29149" y="54368700"/>
          <a:ext cx="1285875" cy="1123950"/>
        </a:xfrm>
        <a:prstGeom prst="rect">
          <a:avLst/>
        </a:prstGeom>
        <a:noFill/>
        <a:ln w="9525">
          <a:noFill/>
          <a:miter lim="800000"/>
          <a:headEnd/>
          <a:tailEnd/>
        </a:ln>
      </xdr:spPr>
    </xdr:pic>
    <xdr:clientData/>
  </xdr:twoCellAnchor>
  <xdr:twoCellAnchor editAs="oneCell">
    <xdr:from>
      <xdr:col>2</xdr:col>
      <xdr:colOff>514351</xdr:colOff>
      <xdr:row>417</xdr:row>
      <xdr:rowOff>66675</xdr:rowOff>
    </xdr:from>
    <xdr:to>
      <xdr:col>4</xdr:col>
      <xdr:colOff>504825</xdr:colOff>
      <xdr:row>424</xdr:row>
      <xdr:rowOff>66675</xdr:rowOff>
    </xdr:to>
    <xdr:pic>
      <xdr:nvPicPr>
        <xdr:cNvPr id="7597" name="Picture 8" descr="SECTION-BEND-ROUND">
          <a:extLst>
            <a:ext uri="{FF2B5EF4-FFF2-40B4-BE49-F238E27FC236}">
              <a16:creationId xmlns:a16="http://schemas.microsoft.com/office/drawing/2014/main" id="{00000000-0008-0000-0300-0000AD1D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581526" y="68399025"/>
          <a:ext cx="1209674" cy="1152525"/>
        </a:xfrm>
        <a:prstGeom prst="rect">
          <a:avLst/>
        </a:prstGeom>
        <a:noFill/>
        <a:ln w="9525">
          <a:noFill/>
          <a:miter lim="800000"/>
          <a:headEnd/>
          <a:tailEnd/>
        </a:ln>
      </xdr:spPr>
    </xdr:pic>
    <xdr:clientData/>
  </xdr:twoCellAnchor>
  <xdr:twoCellAnchor editAs="oneCell">
    <xdr:from>
      <xdr:col>2</xdr:col>
      <xdr:colOff>419100</xdr:colOff>
      <xdr:row>425</xdr:row>
      <xdr:rowOff>57150</xdr:rowOff>
    </xdr:from>
    <xdr:to>
      <xdr:col>4</xdr:col>
      <xdr:colOff>476250</xdr:colOff>
      <xdr:row>432</xdr:row>
      <xdr:rowOff>133350</xdr:rowOff>
    </xdr:to>
    <xdr:pic>
      <xdr:nvPicPr>
        <xdr:cNvPr id="7598" name="Picture 9" descr="SECTION-BEND-HOLLOW">
          <a:extLst>
            <a:ext uri="{FF2B5EF4-FFF2-40B4-BE49-F238E27FC236}">
              <a16:creationId xmlns:a16="http://schemas.microsoft.com/office/drawing/2014/main" id="{00000000-0008-0000-0300-0000AE1D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486275" y="69713475"/>
          <a:ext cx="1276350" cy="1219200"/>
        </a:xfrm>
        <a:prstGeom prst="rect">
          <a:avLst/>
        </a:prstGeom>
        <a:noFill/>
        <a:ln w="9525">
          <a:noFill/>
          <a:miter lim="800000"/>
          <a:headEnd/>
          <a:tailEnd/>
        </a:ln>
      </xdr:spPr>
    </xdr:pic>
    <xdr:clientData/>
  </xdr:twoCellAnchor>
  <xdr:twoCellAnchor editAs="oneCell">
    <xdr:from>
      <xdr:col>2</xdr:col>
      <xdr:colOff>523875</xdr:colOff>
      <xdr:row>344</xdr:row>
      <xdr:rowOff>85725</xdr:rowOff>
    </xdr:from>
    <xdr:to>
      <xdr:col>4</xdr:col>
      <xdr:colOff>542925</xdr:colOff>
      <xdr:row>352</xdr:row>
      <xdr:rowOff>57150</xdr:rowOff>
    </xdr:to>
    <xdr:pic>
      <xdr:nvPicPr>
        <xdr:cNvPr id="7599" name="Picture 12" descr="SECTION-T-SQUARE">
          <a:extLst>
            <a:ext uri="{FF2B5EF4-FFF2-40B4-BE49-F238E27FC236}">
              <a16:creationId xmlns:a16="http://schemas.microsoft.com/office/drawing/2014/main" id="{00000000-0008-0000-0300-0000AF1D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591050" y="56292750"/>
          <a:ext cx="1238250" cy="1304925"/>
        </a:xfrm>
        <a:prstGeom prst="rect">
          <a:avLst/>
        </a:prstGeom>
        <a:noFill/>
        <a:ln w="9525">
          <a:noFill/>
          <a:miter lim="800000"/>
          <a:headEnd/>
          <a:tailEnd/>
        </a:ln>
      </xdr:spPr>
    </xdr:pic>
    <xdr:clientData/>
  </xdr:twoCellAnchor>
  <xdr:twoCellAnchor editAs="oneCell">
    <xdr:from>
      <xdr:col>2</xdr:col>
      <xdr:colOff>504824</xdr:colOff>
      <xdr:row>355</xdr:row>
      <xdr:rowOff>123825</xdr:rowOff>
    </xdr:from>
    <xdr:to>
      <xdr:col>4</xdr:col>
      <xdr:colOff>742949</xdr:colOff>
      <xdr:row>366</xdr:row>
      <xdr:rowOff>95250</xdr:rowOff>
    </xdr:to>
    <xdr:pic>
      <xdr:nvPicPr>
        <xdr:cNvPr id="7600" name="Picture 13" descr="SECTION-T-RECTANG">
          <a:extLst>
            <a:ext uri="{FF2B5EF4-FFF2-40B4-BE49-F238E27FC236}">
              <a16:creationId xmlns:a16="http://schemas.microsoft.com/office/drawing/2014/main" id="{00000000-0008-0000-0300-0000B01D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4571999" y="58835925"/>
          <a:ext cx="1457325" cy="1828800"/>
        </a:xfrm>
        <a:prstGeom prst="rect">
          <a:avLst/>
        </a:prstGeom>
        <a:noFill/>
        <a:ln w="9525">
          <a:noFill/>
          <a:miter lim="800000"/>
          <a:headEnd/>
          <a:tailEnd/>
        </a:ln>
      </xdr:spPr>
    </xdr:pic>
    <xdr:clientData/>
  </xdr:twoCellAnchor>
  <xdr:twoCellAnchor editAs="oneCell">
    <xdr:from>
      <xdr:col>2</xdr:col>
      <xdr:colOff>571500</xdr:colOff>
      <xdr:row>433</xdr:row>
      <xdr:rowOff>38100</xdr:rowOff>
    </xdr:from>
    <xdr:to>
      <xdr:col>4</xdr:col>
      <xdr:colOff>581025</xdr:colOff>
      <xdr:row>440</xdr:row>
      <xdr:rowOff>114300</xdr:rowOff>
    </xdr:to>
    <xdr:pic>
      <xdr:nvPicPr>
        <xdr:cNvPr id="7601" name="Picture 14" descr="SECTION-BEND-SQUARE">
          <a:extLst>
            <a:ext uri="{FF2B5EF4-FFF2-40B4-BE49-F238E27FC236}">
              <a16:creationId xmlns:a16="http://schemas.microsoft.com/office/drawing/2014/main" id="{00000000-0008-0000-0300-0000B11D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4638675" y="71008875"/>
          <a:ext cx="1228725" cy="1219200"/>
        </a:xfrm>
        <a:prstGeom prst="rect">
          <a:avLst/>
        </a:prstGeom>
        <a:noFill/>
        <a:ln w="9525">
          <a:noFill/>
          <a:miter lim="800000"/>
          <a:headEnd/>
          <a:tailEnd/>
        </a:ln>
      </xdr:spPr>
    </xdr:pic>
    <xdr:clientData/>
  </xdr:twoCellAnchor>
  <xdr:twoCellAnchor editAs="oneCell">
    <xdr:from>
      <xdr:col>0</xdr:col>
      <xdr:colOff>1428750</xdr:colOff>
      <xdr:row>276</xdr:row>
      <xdr:rowOff>123825</xdr:rowOff>
    </xdr:from>
    <xdr:to>
      <xdr:col>3</xdr:col>
      <xdr:colOff>95250</xdr:colOff>
      <xdr:row>284</xdr:row>
      <xdr:rowOff>133350</xdr:rowOff>
    </xdr:to>
    <xdr:pic>
      <xdr:nvPicPr>
        <xdr:cNvPr id="7602" name="Picture 49" descr="SHAFT-TWIST-1">
          <a:extLst>
            <a:ext uri="{FF2B5EF4-FFF2-40B4-BE49-F238E27FC236}">
              <a16:creationId xmlns:a16="http://schemas.microsoft.com/office/drawing/2014/main" id="{00000000-0008-0000-0300-0000B21D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1428750" y="44938950"/>
          <a:ext cx="3343275" cy="1304925"/>
        </a:xfrm>
        <a:prstGeom prst="rect">
          <a:avLst/>
        </a:prstGeom>
        <a:noFill/>
        <a:ln w="9525">
          <a:noFill/>
          <a:miter lim="800000"/>
          <a:headEnd/>
          <a:tailEnd/>
        </a:ln>
      </xdr:spPr>
    </xdr:pic>
    <xdr:clientData/>
  </xdr:twoCellAnchor>
  <xdr:twoCellAnchor editAs="oneCell">
    <xdr:from>
      <xdr:col>0</xdr:col>
      <xdr:colOff>2038350</xdr:colOff>
      <xdr:row>369</xdr:row>
      <xdr:rowOff>180975</xdr:rowOff>
    </xdr:from>
    <xdr:to>
      <xdr:col>3</xdr:col>
      <xdr:colOff>342900</xdr:colOff>
      <xdr:row>379</xdr:row>
      <xdr:rowOff>123825</xdr:rowOff>
    </xdr:to>
    <xdr:pic>
      <xdr:nvPicPr>
        <xdr:cNvPr id="7603" name="Picture 51" descr="CANTILEVER SHAFT">
          <a:extLst>
            <a:ext uri="{FF2B5EF4-FFF2-40B4-BE49-F238E27FC236}">
              <a16:creationId xmlns:a16="http://schemas.microsoft.com/office/drawing/2014/main" id="{00000000-0008-0000-0300-0000B31D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2038350" y="60588525"/>
          <a:ext cx="2981325" cy="1600200"/>
        </a:xfrm>
        <a:prstGeom prst="rect">
          <a:avLst/>
        </a:prstGeom>
        <a:noFill/>
        <a:ln w="9525">
          <a:noFill/>
          <a:miter lim="800000"/>
          <a:headEnd/>
          <a:tailEnd/>
        </a:ln>
      </xdr:spPr>
    </xdr:pic>
    <xdr:clientData/>
  </xdr:twoCellAnchor>
  <xdr:twoCellAnchor editAs="oneCell">
    <xdr:from>
      <xdr:col>0</xdr:col>
      <xdr:colOff>1323975</xdr:colOff>
      <xdr:row>82</xdr:row>
      <xdr:rowOff>47625</xdr:rowOff>
    </xdr:from>
    <xdr:to>
      <xdr:col>3</xdr:col>
      <xdr:colOff>304800</xdr:colOff>
      <xdr:row>110</xdr:row>
      <xdr:rowOff>57150</xdr:rowOff>
    </xdr:to>
    <xdr:pic>
      <xdr:nvPicPr>
        <xdr:cNvPr id="7604" name="Picture 54" descr="POWER SHAFT-1 MOMENTS">
          <a:extLst>
            <a:ext uri="{FF2B5EF4-FFF2-40B4-BE49-F238E27FC236}">
              <a16:creationId xmlns:a16="http://schemas.microsoft.com/office/drawing/2014/main" id="{00000000-0008-0000-0300-0000B41D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1323975" y="11601450"/>
          <a:ext cx="3657600" cy="4543425"/>
        </a:xfrm>
        <a:prstGeom prst="rect">
          <a:avLst/>
        </a:prstGeom>
        <a:noFill/>
        <a:ln w="9525">
          <a:noFill/>
          <a:miter lim="800000"/>
          <a:headEnd/>
          <a:tailEnd/>
        </a:ln>
      </xdr:spPr>
    </xdr:pic>
    <xdr:clientData/>
  </xdr:twoCellAnchor>
  <xdr:twoCellAnchor>
    <xdr:from>
      <xdr:col>0</xdr:col>
      <xdr:colOff>285750</xdr:colOff>
      <xdr:row>25</xdr:row>
      <xdr:rowOff>1</xdr:rowOff>
    </xdr:from>
    <xdr:to>
      <xdr:col>4</xdr:col>
      <xdr:colOff>152400</xdr:colOff>
      <xdr:row>75</xdr:row>
      <xdr:rowOff>133351</xdr:rowOff>
    </xdr:to>
    <xdr:sp macro="" textlink="">
      <xdr:nvSpPr>
        <xdr:cNvPr id="7223" name="Text Box 55">
          <a:extLst>
            <a:ext uri="{FF2B5EF4-FFF2-40B4-BE49-F238E27FC236}">
              <a16:creationId xmlns:a16="http://schemas.microsoft.com/office/drawing/2014/main" id="{00000000-0008-0000-0300-0000371C0000}"/>
            </a:ext>
          </a:extLst>
        </xdr:cNvPr>
        <xdr:cNvSpPr txBox="1">
          <a:spLocks noChangeArrowheads="1"/>
        </xdr:cNvSpPr>
      </xdr:nvSpPr>
      <xdr:spPr bwMode="auto">
        <a:xfrm>
          <a:off x="285750" y="3790951"/>
          <a:ext cx="5153025" cy="82296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Design of Power Transmission Shafting</a:t>
          </a:r>
        </a:p>
        <a:p>
          <a:pPr algn="l" rtl="0">
            <a:defRPr sz="1000"/>
          </a:pPr>
          <a:r>
            <a:rPr lang="en-US" sz="1200" b="0" i="0" u="none" strike="noStrike" baseline="0">
              <a:solidFill>
                <a:srgbClr val="000000"/>
              </a:solidFill>
              <a:latin typeface="Arial"/>
              <a:cs typeface="Arial"/>
            </a:rPr>
            <a:t>T</a:t>
          </a:r>
          <a:r>
            <a:rPr lang="en-US" sz="1000" b="0" i="0" u="none" strike="noStrike" baseline="0">
              <a:solidFill>
                <a:srgbClr val="000000"/>
              </a:solidFill>
              <a:latin typeface="Arial"/>
              <a:cs typeface="Arial"/>
            </a:rPr>
            <a:t>he objective is to calculate the shaft size having the strength and rigidity required to transmit an applied torque. The strength in torsion, of shafts made of ductile materials are usually calculated on the basis of the maximum shear theory.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ASME Code states that for shaft made of a specified ASTM steel:</a:t>
          </a:r>
        </a:p>
        <a:p>
          <a:pPr algn="l" rtl="0">
            <a:defRPr sz="1000"/>
          </a:pPr>
          <a:r>
            <a:rPr lang="en-US" sz="1000" b="0" i="0" u="none" strike="noStrike" baseline="0">
              <a:solidFill>
                <a:srgbClr val="000000"/>
              </a:solidFill>
              <a:latin typeface="Arial"/>
              <a:cs typeface="Arial"/>
            </a:rPr>
            <a:t>Ss(allowable) = 30% of Sy but not over 18% of Sult for shafts without keyways. These values are to be reduced by 25% if the shafts have keyways.</a:t>
          </a:r>
          <a:endParaRPr lang="en-US" sz="12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Shaft design includes the determination of shaft diameter having the strength and rigidity to transmit motor or engine power under various operating conditions. Shafts are usually round and may be solid or hollow.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Shaft torsional shear stress: Ss = T*R / J</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Polar moment of area:            J = </a:t>
          </a:r>
          <a:r>
            <a:rPr lang="el-GR" sz="1000" b="0" i="0" u="none" strike="noStrike" baseline="0">
              <a:solidFill>
                <a:srgbClr val="000000"/>
              </a:solidFill>
              <a:latin typeface="Arial"/>
              <a:cs typeface="Arial"/>
            </a:rPr>
            <a:t>π*</a:t>
          </a:r>
          <a:r>
            <a:rPr lang="en-US" sz="1000" b="0" i="0" u="none" strike="noStrike" baseline="0">
              <a:solidFill>
                <a:srgbClr val="000000"/>
              </a:solidFill>
              <a:latin typeface="Arial"/>
              <a:cs typeface="Arial"/>
            </a:rPr>
            <a:t>D^4 / 32              for solid shafts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J = </a:t>
          </a:r>
          <a:r>
            <a:rPr lang="el-GR" sz="1000" b="0" i="0" u="none" strike="noStrike" baseline="0">
              <a:solidFill>
                <a:srgbClr val="000000"/>
              </a:solidFill>
              <a:latin typeface="Arial"/>
              <a:cs typeface="Arial"/>
            </a:rPr>
            <a:t>π*(</a:t>
          </a:r>
          <a:r>
            <a:rPr lang="en-US" sz="1000" b="0" i="0" u="none" strike="noStrike" baseline="0">
              <a:solidFill>
                <a:srgbClr val="000000"/>
              </a:solidFill>
              <a:latin typeface="Arial"/>
              <a:cs typeface="Arial"/>
            </a:rPr>
            <a:t>D^4 - d^4) / 32     for hollow shafts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Shaft bending stress:            Sb = M*R / I</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Moment of area:                      I = </a:t>
          </a:r>
          <a:r>
            <a:rPr lang="el-GR" sz="1000" b="0" i="0" u="none" strike="noStrike" baseline="0">
              <a:solidFill>
                <a:srgbClr val="000000"/>
              </a:solidFill>
              <a:latin typeface="Arial"/>
              <a:cs typeface="Arial"/>
            </a:rPr>
            <a:t>π*</a:t>
          </a:r>
          <a:r>
            <a:rPr lang="en-US" sz="1000" b="0" i="0" u="none" strike="noStrike" baseline="0">
              <a:solidFill>
                <a:srgbClr val="000000"/>
              </a:solidFill>
              <a:latin typeface="Arial"/>
              <a:cs typeface="Arial"/>
            </a:rPr>
            <a:t>D^4 / 64              for solid shafts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I = </a:t>
          </a:r>
          <a:r>
            <a:rPr lang="el-GR" sz="1000" b="0" i="0" u="none" strike="noStrike" baseline="0">
              <a:solidFill>
                <a:srgbClr val="000000"/>
              </a:solidFill>
              <a:latin typeface="Arial"/>
              <a:cs typeface="Arial"/>
            </a:rPr>
            <a:t>π*(</a:t>
          </a:r>
          <a:r>
            <a:rPr lang="en-US" sz="1000" b="0" i="0" u="none" strike="noStrike" baseline="0">
              <a:solidFill>
                <a:srgbClr val="000000"/>
              </a:solidFill>
              <a:latin typeface="Arial"/>
              <a:cs typeface="Arial"/>
            </a:rPr>
            <a:t>D^4 - d^4) / 64     for hollow shafts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ASME Code equation for shafts subjected to: torsion, bending, axial load, shock, and fatigue is:</a:t>
          </a:r>
        </a:p>
        <a:p>
          <a:pPr algn="l" rtl="0">
            <a:defRPr sz="1000"/>
          </a:pPr>
          <a:r>
            <a:rPr lang="en-US" sz="1000" b="0" i="0" u="none" strike="noStrike" baseline="0">
              <a:solidFill>
                <a:srgbClr val="000000"/>
              </a:solidFill>
              <a:latin typeface="Arial"/>
              <a:cs typeface="Arial"/>
            </a:rPr>
            <a:t>Shaft diameter cubed,   </a:t>
          </a:r>
        </a:p>
        <a:p>
          <a:pPr algn="l" rtl="0">
            <a:defRPr sz="1000"/>
          </a:pPr>
          <a:r>
            <a:rPr lang="en-US" sz="1000" b="0" i="0" u="none" strike="noStrike" baseline="0">
              <a:solidFill>
                <a:srgbClr val="000000"/>
              </a:solidFill>
              <a:latin typeface="Arial"/>
              <a:cs typeface="Arial"/>
            </a:rPr>
            <a:t>                     D^3 = (16/</a:t>
          </a:r>
          <a:r>
            <a:rPr lang="el-GR" sz="1000" b="0" i="0" u="none" strike="noStrike" baseline="0">
              <a:solidFill>
                <a:srgbClr val="000000"/>
              </a:solidFill>
              <a:latin typeface="Arial"/>
              <a:cs typeface="Arial"/>
            </a:rPr>
            <a:t>π*</a:t>
          </a:r>
          <a:r>
            <a:rPr lang="en-US" sz="1000" b="0" i="0" u="none" strike="noStrike" baseline="0">
              <a:solidFill>
                <a:srgbClr val="000000"/>
              </a:solidFill>
              <a:latin typeface="Arial"/>
              <a:cs typeface="Arial"/>
            </a:rPr>
            <a:t>Ss(1-K^4))*[ ( (KbMb + (</a:t>
          </a:r>
          <a:r>
            <a:rPr lang="el-GR" sz="1000" b="0" i="0" u="none" strike="noStrike" baseline="0">
              <a:solidFill>
                <a:srgbClr val="000000"/>
              </a:solidFill>
              <a:latin typeface="Arial"/>
              <a:cs typeface="Arial"/>
            </a:rPr>
            <a:t>α*</a:t>
          </a:r>
          <a:r>
            <a:rPr lang="en-US" sz="1000" b="0" i="0" u="none" strike="noStrike" baseline="0">
              <a:solidFill>
                <a:srgbClr val="000000"/>
              </a:solidFill>
              <a:latin typeface="Arial"/>
              <a:cs typeface="Arial"/>
            </a:rPr>
            <a:t>F</a:t>
          </a:r>
          <a:r>
            <a:rPr lang="el-GR" sz="1000" b="0" i="0" u="none" strike="noStrike" baseline="-25000">
              <a:solidFill>
                <a:srgbClr val="000000"/>
              </a:solidFill>
              <a:latin typeface="Arial"/>
              <a:cs typeface="Arial"/>
            </a:rPr>
            <a:t>α</a:t>
          </a:r>
          <a:r>
            <a:rPr lang="el-GR" sz="1000" b="0" i="0" u="none" strike="noStrike" baseline="0">
              <a:solidFill>
                <a:srgbClr val="000000"/>
              </a:solidFill>
              <a:latin typeface="Arial"/>
              <a:cs typeface="Arial"/>
            </a:rPr>
            <a:t>*</a:t>
          </a:r>
          <a:r>
            <a:rPr lang="en-US" sz="1000" b="0" i="0" u="none" strike="noStrike" baseline="0">
              <a:solidFill>
                <a:srgbClr val="000000"/>
              </a:solidFill>
              <a:latin typeface="Arial"/>
              <a:cs typeface="Arial"/>
            </a:rPr>
            <a:t>D*(1+K^2)/8 ]^2 + (Kt*T)^2 ]^0.5</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Shaft diameter cubed with no axial load,   </a:t>
          </a:r>
        </a:p>
        <a:p>
          <a:pPr algn="l" rtl="0">
            <a:defRPr sz="1000"/>
          </a:pPr>
          <a:r>
            <a:rPr lang="en-US" sz="1000" b="0" i="0" u="none" strike="noStrike" baseline="0">
              <a:solidFill>
                <a:srgbClr val="000000"/>
              </a:solidFill>
              <a:latin typeface="Arial"/>
              <a:cs typeface="Arial"/>
            </a:rPr>
            <a:t>                      D^3 = (16/</a:t>
          </a:r>
          <a:r>
            <a:rPr lang="el-GR" sz="1000" b="0" i="0" u="none" strike="noStrike" baseline="0">
              <a:solidFill>
                <a:srgbClr val="000000"/>
              </a:solidFill>
              <a:latin typeface="Arial"/>
              <a:cs typeface="Arial"/>
            </a:rPr>
            <a:t>π*</a:t>
          </a:r>
          <a:r>
            <a:rPr lang="en-US" sz="1000" b="0" i="0" u="none" strike="noStrike" baseline="0">
              <a:solidFill>
                <a:srgbClr val="000000"/>
              </a:solidFill>
              <a:latin typeface="Arial"/>
              <a:cs typeface="Arial"/>
            </a:rPr>
            <a:t>Ss)*[ (KbMb)^2 + (Kt*T)^2 ]^0.5</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K = D/d           D = Shaft outside diameter,        d = inside diameter</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Kb = combined shock &amp; fatigue bending factor</a:t>
          </a:r>
        </a:p>
        <a:p>
          <a:pPr algn="l" rtl="0">
            <a:defRPr sz="1000"/>
          </a:pPr>
          <a:endParaRPr lang="en-US" sz="10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                            Kt = combined shock &amp; fatigue torsion factor</a:t>
          </a:r>
        </a:p>
        <a:p>
          <a:pPr algn="l" rtl="0">
            <a:defRPr sz="1000"/>
          </a:pPr>
          <a:endParaRPr lang="en-US" sz="900" b="0" i="0" u="none" strike="noStrike" baseline="0">
            <a:solidFill>
              <a:srgbClr val="000000"/>
            </a:solidFill>
            <a:latin typeface="Arial"/>
            <a:cs typeface="Arial"/>
          </a:endParaRPr>
        </a:p>
        <a:p>
          <a:pPr rtl="0"/>
          <a:r>
            <a:rPr lang="en-US" sz="900" b="0" i="0" u="none" strike="noStrike" baseline="0">
              <a:solidFill>
                <a:srgbClr val="000000"/>
              </a:solidFill>
              <a:latin typeface="Arial" pitchFamily="34" charset="0"/>
              <a:cs typeface="Arial" pitchFamily="34" charset="0"/>
            </a:rPr>
            <a:t>                             </a:t>
          </a:r>
          <a:r>
            <a:rPr lang="el-GR" sz="1050" b="0" i="0" baseline="0">
              <a:latin typeface="Arial" pitchFamily="34" charset="0"/>
              <a:ea typeface="+mn-ea"/>
              <a:cs typeface="Arial" pitchFamily="34" charset="0"/>
            </a:rPr>
            <a:t>α = </a:t>
          </a:r>
          <a:r>
            <a:rPr lang="en-US" sz="1050" b="0" i="0" baseline="0">
              <a:latin typeface="Arial" pitchFamily="34" charset="0"/>
              <a:ea typeface="+mn-ea"/>
              <a:cs typeface="Arial" pitchFamily="34" charset="0"/>
            </a:rPr>
            <a:t>column factor = 1 / (1 - 0.0044*(L/k)^2 for L/k &lt; 115</a:t>
          </a:r>
          <a:endParaRPr lang="en-US" sz="900">
            <a:latin typeface="Arial" pitchFamily="34" charset="0"/>
            <a:cs typeface="Arial" pitchFamily="34" charset="0"/>
          </a:endParaRP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                         L = Shaft length                  k = (I/A)^0.5 = Shaft radius of gyration</a:t>
          </a:r>
          <a:endParaRPr lang="en-US" sz="900">
            <a:latin typeface="Arial" pitchFamily="34" charset="0"/>
            <a:cs typeface="Arial" pitchFamily="34" charset="0"/>
          </a:endParaRP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                        A = Shaft section area</a:t>
          </a:r>
          <a:endParaRPr lang="en-US" sz="900">
            <a:latin typeface="Arial" pitchFamily="34" charset="0"/>
            <a:cs typeface="Arial" pitchFamily="34" charset="0"/>
          </a:endParaRP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For rotating shafts: Kb = 1.5, Kt = 1.0 for gradually applied load</a:t>
          </a:r>
          <a:endParaRPr lang="en-US" sz="900">
            <a:latin typeface="Arial" pitchFamily="34" charset="0"/>
            <a:cs typeface="Arial" pitchFamily="34" charset="0"/>
          </a:endParaRPr>
        </a:p>
        <a:p>
          <a:pPr rtl="0"/>
          <a:r>
            <a:rPr lang="en-US" sz="1050" b="0" i="0" baseline="0">
              <a:latin typeface="Arial" pitchFamily="34" charset="0"/>
              <a:ea typeface="+mn-ea"/>
              <a:cs typeface="Arial" pitchFamily="34" charset="0"/>
            </a:rPr>
            <a:t>                            </a:t>
          </a:r>
          <a:endParaRPr lang="en-US" sz="900">
            <a:latin typeface="Arial" pitchFamily="34" charset="0"/>
            <a:cs typeface="Arial" pitchFamily="34" charset="0"/>
          </a:endParaRPr>
        </a:p>
        <a:p>
          <a:pPr rtl="0"/>
          <a:r>
            <a:rPr lang="en-US" sz="1050" b="0" i="0" baseline="0">
              <a:latin typeface="Arial" pitchFamily="34" charset="0"/>
              <a:ea typeface="+mn-ea"/>
              <a:cs typeface="Arial" pitchFamily="34" charset="0"/>
            </a:rPr>
            <a:t>                               Kb = 2.0, Kt = 1.5 for suddenly applied load &amp; minor shock</a:t>
          </a:r>
          <a:endParaRPr lang="en-US" sz="900">
            <a:latin typeface="Arial" pitchFamily="34" charset="0"/>
            <a:cs typeface="Arial" pitchFamily="34" charset="0"/>
          </a:endParaRP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                               Kb = 3.0, Kt = 3.0 for suddenly applied load &amp; heavy shock</a:t>
          </a:r>
          <a:endParaRPr lang="en-US" sz="900">
            <a:latin typeface="Arial" pitchFamily="34" charset="0"/>
            <a:cs typeface="Arial" pitchFamily="34" charset="0"/>
          </a:endParaRPr>
        </a:p>
        <a:p>
          <a:pPr rtl="0" fontAlgn="base"/>
          <a:endParaRPr lang="en-US" sz="1050" b="0" i="0" baseline="0">
            <a:latin typeface="Arial" pitchFamily="34" charset="0"/>
            <a:ea typeface="+mn-ea"/>
            <a:cs typeface="Arial" pitchFamily="34" charset="0"/>
          </a:endParaRPr>
        </a:p>
        <a:p>
          <a:pPr rtl="0"/>
          <a:r>
            <a:rPr lang="en-US" sz="1050" b="0" i="0" baseline="0">
              <a:latin typeface="Arial" pitchFamily="34" charset="0"/>
              <a:ea typeface="+mn-ea"/>
              <a:cs typeface="Arial" pitchFamily="34" charset="0"/>
            </a:rPr>
            <a:t>Input shaft data for your problem below and Excel will calculate the answers, Excel' "Goal Seek" may be used to optimize the design of shafts, see the Math Tools tab below.</a:t>
          </a:r>
          <a:endParaRPr lang="en-US" sz="900">
            <a:latin typeface="Arial" pitchFamily="34" charset="0"/>
            <a:cs typeface="Arial" pitchFamily="34" charset="0"/>
          </a:endParaRPr>
        </a:p>
      </xdr:txBody>
    </xdr:sp>
    <xdr:clientData/>
  </xdr:twoCellAnchor>
  <xdr:twoCellAnchor editAs="oneCell">
    <xdr:from>
      <xdr:col>0</xdr:col>
      <xdr:colOff>1066800</xdr:colOff>
      <xdr:row>194</xdr:row>
      <xdr:rowOff>38100</xdr:rowOff>
    </xdr:from>
    <xdr:to>
      <xdr:col>3</xdr:col>
      <xdr:colOff>171450</xdr:colOff>
      <xdr:row>209</xdr:row>
      <xdr:rowOff>104775</xdr:rowOff>
    </xdr:to>
    <xdr:pic>
      <xdr:nvPicPr>
        <xdr:cNvPr id="7607" name="Picture 64" descr="SHAFT WITH 3 DIAMETERS">
          <a:extLst>
            <a:ext uri="{FF2B5EF4-FFF2-40B4-BE49-F238E27FC236}">
              <a16:creationId xmlns:a16="http://schemas.microsoft.com/office/drawing/2014/main" id="{00000000-0008-0000-0300-0000B71D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1066800" y="31403925"/>
          <a:ext cx="3781425" cy="2495550"/>
        </a:xfrm>
        <a:prstGeom prst="rect">
          <a:avLst/>
        </a:prstGeom>
        <a:noFill/>
        <a:ln w="9525">
          <a:noFill/>
          <a:miter lim="800000"/>
          <a:headEnd/>
          <a:tailEnd/>
        </a:ln>
      </xdr:spPr>
    </xdr:pic>
    <xdr:clientData/>
  </xdr:twoCellAnchor>
  <xdr:twoCellAnchor>
    <xdr:from>
      <xdr:col>0</xdr:col>
      <xdr:colOff>114300</xdr:colOff>
      <xdr:row>493</xdr:row>
      <xdr:rowOff>95249</xdr:rowOff>
    </xdr:from>
    <xdr:to>
      <xdr:col>4</xdr:col>
      <xdr:colOff>304800</xdr:colOff>
      <xdr:row>526</xdr:row>
      <xdr:rowOff>152399</xdr:rowOff>
    </xdr:to>
    <xdr:sp macro="" textlink="">
      <xdr:nvSpPr>
        <xdr:cNvPr id="7234" name="Text Box 66">
          <a:extLst>
            <a:ext uri="{FF2B5EF4-FFF2-40B4-BE49-F238E27FC236}">
              <a16:creationId xmlns:a16="http://schemas.microsoft.com/office/drawing/2014/main" id="{00000000-0008-0000-0300-0000421C0000}"/>
            </a:ext>
          </a:extLst>
        </xdr:cNvPr>
        <xdr:cNvSpPr txBox="1">
          <a:spLocks noChangeArrowheads="1"/>
        </xdr:cNvSpPr>
      </xdr:nvSpPr>
      <xdr:spPr bwMode="auto">
        <a:xfrm>
          <a:off x="114300" y="80886299"/>
          <a:ext cx="5476875" cy="5400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TYPICAL BULK MATERIAL BELT CONVEYOR SHAFTING SPECIFICATION</a:t>
          </a:r>
        </a:p>
        <a:p>
          <a:pPr algn="l" rtl="0">
            <a:defRPr sz="1000"/>
          </a:pPr>
          <a:r>
            <a:rPr lang="en-US" sz="1000" b="1" i="0" u="none" strike="noStrike" baseline="0">
              <a:solidFill>
                <a:srgbClr val="000000"/>
              </a:solidFill>
              <a:latin typeface="Arial"/>
              <a:cs typeface="Arial"/>
            </a:rPr>
            <a:t>See PDHonline courses: M262 an M263 by the author of this course for more information.</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1.1 Pulley Shafts: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1.2 All shafts shall have one fixed type bearing; the balance on</a:t>
          </a:r>
        </a:p>
        <a:p>
          <a:pPr algn="l" rtl="0">
            <a:defRPr sz="1000"/>
          </a:pPr>
          <a:r>
            <a:rPr lang="en-US" sz="1000" b="0" i="0" u="none" strike="noStrike" baseline="0">
              <a:solidFill>
                <a:srgbClr val="000000"/>
              </a:solidFill>
              <a:latin typeface="Arial"/>
              <a:cs typeface="Arial"/>
            </a:rPr>
            <a:t>  the shaft shall be expansion type.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1.3  Pulleys and pulley shafts shall be sized for combined torsional and bending static and fatigue stresses.</a:t>
          </a:r>
        </a:p>
        <a:p>
          <a:pPr algn="l" rtl="0">
            <a:defRPr sz="1000"/>
          </a:pPr>
          <a:endParaRPr lang="en-US" sz="1000" b="0" i="0" u="none" strike="noStrike" baseline="0">
            <a:solidFill>
              <a:srgbClr val="000000"/>
            </a:solidFill>
            <a:latin typeface="Arial"/>
            <a:cs typeface="Arial"/>
          </a:endParaRPr>
        </a:p>
        <a:p>
          <a:pPr rtl="0"/>
          <a:r>
            <a:rPr lang="en-US" sz="1100" b="0" i="0" baseline="0">
              <a:latin typeface="+mn-lt"/>
              <a:ea typeface="+mn-ea"/>
              <a:cs typeface="+mn-cs"/>
            </a:rPr>
            <a:t>1.4 Shaft keys shall be the square parallel type and keyways adjacent to bearings shall be round end, all other keyways may be the run-out type.</a:t>
          </a:r>
          <a:endParaRPr lang="en-US" sz="1000"/>
        </a:p>
        <a:p>
          <a:pPr rtl="0" fontAlgn="base"/>
          <a:endParaRPr lang="en-US" sz="1100" b="0" i="0" baseline="0">
            <a:latin typeface="+mn-lt"/>
            <a:ea typeface="+mn-ea"/>
            <a:cs typeface="+mn-cs"/>
          </a:endParaRPr>
        </a:p>
        <a:p>
          <a:pPr rtl="0"/>
          <a:r>
            <a:rPr lang="en-US" sz="1100" b="0" i="0" baseline="0">
              <a:latin typeface="+mn-lt"/>
              <a:ea typeface="+mn-ea"/>
              <a:cs typeface="+mn-cs"/>
            </a:rPr>
            <a:t>2.1  Pulleys:</a:t>
          </a:r>
          <a:endParaRPr lang="en-US" sz="1000"/>
        </a:p>
        <a:p>
          <a:pPr rtl="0" fontAlgn="base"/>
          <a:endParaRPr lang="en-US" sz="1100" b="0" i="0" baseline="0">
            <a:latin typeface="+mn-lt"/>
            <a:ea typeface="+mn-ea"/>
            <a:cs typeface="+mn-cs"/>
          </a:endParaRPr>
        </a:p>
        <a:p>
          <a:pPr rtl="0"/>
          <a:r>
            <a:rPr lang="en-US" sz="1100" b="0" i="0" baseline="0">
              <a:latin typeface="+mn-lt"/>
              <a:ea typeface="+mn-ea"/>
              <a:cs typeface="+mn-cs"/>
            </a:rPr>
            <a:t>2.2 The head pulley on the Reclaim Conveyor shall be welded 304-SS so as not to interfere with tramp metal removal by the magnet.</a:t>
          </a:r>
          <a:endParaRPr lang="en-US" sz="1000"/>
        </a:p>
        <a:p>
          <a:pPr rtl="0" fontAlgn="base"/>
          <a:endParaRPr lang="en-US" sz="1100" b="0" i="0" baseline="0">
            <a:latin typeface="+mn-lt"/>
            <a:ea typeface="+mn-ea"/>
            <a:cs typeface="+mn-cs"/>
          </a:endParaRPr>
        </a:p>
        <a:p>
          <a:pPr rtl="0"/>
          <a:r>
            <a:rPr lang="en-US" sz="1100" b="0" i="0" baseline="0">
              <a:latin typeface="+mn-lt"/>
              <a:ea typeface="+mn-ea"/>
              <a:cs typeface="+mn-cs"/>
            </a:rPr>
            <a:t>2.3 All pulleys shall be welded steel crown faced, selected in accordance with ratings established by the Mechanical Power Transmission Association Standard No.301-1965 and U.S.A. </a:t>
          </a:r>
          <a:endParaRPr lang="en-US" sz="1000"/>
        </a:p>
        <a:p>
          <a:pPr rtl="0" fontAlgn="base"/>
          <a:endParaRPr lang="en-US" sz="1100" b="0" i="0" baseline="0">
            <a:latin typeface="+mn-lt"/>
            <a:ea typeface="+mn-ea"/>
            <a:cs typeface="+mn-cs"/>
          </a:endParaRPr>
        </a:p>
        <a:p>
          <a:pPr rtl="0"/>
          <a:r>
            <a:rPr lang="en-US" sz="1100" b="0" i="0" baseline="0">
              <a:latin typeface="+mn-lt"/>
              <a:ea typeface="+mn-ea"/>
              <a:cs typeface="+mn-cs"/>
            </a:rPr>
            <a:t>Standard No.B105.1-1966.  In no case shall the pulley shaft loads as listed in the rating tables of these standards be exceeded.</a:t>
          </a:r>
          <a:endParaRPr lang="en-US" sz="1000"/>
        </a:p>
        <a:p>
          <a:pPr rtl="0" fontAlgn="base"/>
          <a:endParaRPr lang="en-US" sz="1100" b="0" i="0" baseline="0">
            <a:latin typeface="+mn-lt"/>
            <a:ea typeface="+mn-ea"/>
            <a:cs typeface="+mn-cs"/>
          </a:endParaRPr>
        </a:p>
        <a:p>
          <a:pPr rtl="0"/>
          <a:r>
            <a:rPr lang="en-US" sz="1100" b="0" i="0" baseline="0">
              <a:latin typeface="+mn-lt"/>
              <a:ea typeface="+mn-ea"/>
              <a:cs typeface="+mn-cs"/>
            </a:rPr>
            <a:t>2.4 All pulleys shall be crowned.</a:t>
          </a:r>
          <a:endParaRPr lang="en-US" sz="1000"/>
        </a:p>
        <a:p>
          <a:pPr rtl="0" fontAlgn="base"/>
          <a:endParaRPr lang="en-US" sz="1100" b="0" i="0" baseline="0">
            <a:latin typeface="+mn-lt"/>
            <a:ea typeface="+mn-ea"/>
            <a:cs typeface="+mn-cs"/>
          </a:endParaRPr>
        </a:p>
        <a:p>
          <a:pPr rtl="0"/>
          <a:r>
            <a:rPr lang="en-US" sz="1100" b="0" i="0" baseline="0">
              <a:latin typeface="+mn-lt"/>
              <a:ea typeface="+mn-ea"/>
              <a:cs typeface="+mn-cs"/>
            </a:rPr>
            <a:t>2.5 All drive pulleys shall be furnished with 1/2 inch thick vulcanized herringbone grooved lagging.</a:t>
          </a:r>
          <a:endParaRPr lang="en-US" sz="1000"/>
        </a:p>
        <a:p>
          <a:pPr rtl="0" fontAlgn="base"/>
          <a:endParaRPr lang="en-US" sz="1100" b="0" i="0" baseline="0">
            <a:latin typeface="+mn-lt"/>
            <a:ea typeface="+mn-ea"/>
            <a:cs typeface="+mn-cs"/>
          </a:endParaRPr>
        </a:p>
        <a:p>
          <a:pPr rtl="0"/>
          <a:r>
            <a:rPr lang="en-US" sz="1100" b="0" i="0" baseline="0">
              <a:latin typeface="+mn-lt"/>
              <a:ea typeface="+mn-ea"/>
              <a:cs typeface="+mn-cs"/>
            </a:rPr>
            <a:t>2.6 Snub pulleys adjacent to drive pulleys shall have a minimum diameter of 16 inches.            End of example.</a:t>
          </a:r>
          <a:endParaRPr lang="en-US" sz="1000"/>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342900</xdr:colOff>
      <xdr:row>459</xdr:row>
      <xdr:rowOff>95250</xdr:rowOff>
    </xdr:from>
    <xdr:to>
      <xdr:col>4</xdr:col>
      <xdr:colOff>333375</xdr:colOff>
      <xdr:row>492</xdr:row>
      <xdr:rowOff>104775</xdr:rowOff>
    </xdr:to>
    <xdr:pic>
      <xdr:nvPicPr>
        <xdr:cNvPr id="7609" name="Picture 67" descr="BELT-CONVEYORS-ASSY-1">
          <a:extLst>
            <a:ext uri="{FF2B5EF4-FFF2-40B4-BE49-F238E27FC236}">
              <a16:creationId xmlns:a16="http://schemas.microsoft.com/office/drawing/2014/main" id="{00000000-0008-0000-0300-0000B91D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342900" y="75552300"/>
          <a:ext cx="5276850" cy="5353050"/>
        </a:xfrm>
        <a:prstGeom prst="rect">
          <a:avLst/>
        </a:prstGeom>
        <a:noFill/>
        <a:ln w="9525">
          <a:noFill/>
          <a:miter lim="800000"/>
          <a:headEnd/>
          <a:tailEnd/>
        </a:ln>
      </xdr:spPr>
    </xdr:pic>
    <xdr:clientData/>
  </xdr:twoCellAnchor>
  <xdr:twoCellAnchor editAs="oneCell">
    <xdr:from>
      <xdr:col>0</xdr:col>
      <xdr:colOff>0</xdr:colOff>
      <xdr:row>529</xdr:row>
      <xdr:rowOff>47625</xdr:rowOff>
    </xdr:from>
    <xdr:to>
      <xdr:col>4</xdr:col>
      <xdr:colOff>695325</xdr:colOff>
      <xdr:row>546</xdr:row>
      <xdr:rowOff>19050</xdr:rowOff>
    </xdr:to>
    <xdr:pic>
      <xdr:nvPicPr>
        <xdr:cNvPr id="7610" name="Picture 68" descr="BELT-CONVEYORS-DWG">
          <a:extLst>
            <a:ext uri="{FF2B5EF4-FFF2-40B4-BE49-F238E27FC236}">
              <a16:creationId xmlns:a16="http://schemas.microsoft.com/office/drawing/2014/main" id="{00000000-0008-0000-0300-0000BA1D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0" y="86667975"/>
          <a:ext cx="5981700" cy="2724150"/>
        </a:xfrm>
        <a:prstGeom prst="rect">
          <a:avLst/>
        </a:prstGeom>
        <a:noFill/>
        <a:ln w="9525">
          <a:noFill/>
          <a:miter lim="800000"/>
          <a:headEnd/>
          <a:tailEnd/>
        </a:ln>
      </xdr:spPr>
    </xdr:pic>
    <xdr:clientData/>
  </xdr:twoCellAnchor>
  <xdr:twoCellAnchor editAs="oneCell">
    <xdr:from>
      <xdr:col>0</xdr:col>
      <xdr:colOff>1190625</xdr:colOff>
      <xdr:row>4</xdr:row>
      <xdr:rowOff>66675</xdr:rowOff>
    </xdr:from>
    <xdr:to>
      <xdr:col>1</xdr:col>
      <xdr:colOff>1238250</xdr:colOff>
      <xdr:row>22</xdr:row>
      <xdr:rowOff>123825</xdr:rowOff>
    </xdr:to>
    <xdr:pic>
      <xdr:nvPicPr>
        <xdr:cNvPr id="19" name="Picture 18" descr="WORM GEARBOX OPEN-1.jpg">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4" cstate="print"/>
        <a:stretch>
          <a:fillRect/>
        </a:stretch>
      </xdr:blipFill>
      <xdr:spPr>
        <a:xfrm>
          <a:off x="1190625" y="428625"/>
          <a:ext cx="2638425" cy="3000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2200275</xdr:colOff>
      <xdr:row>180</xdr:row>
      <xdr:rowOff>133350</xdr:rowOff>
    </xdr:from>
    <xdr:to>
      <xdr:col>3</xdr:col>
      <xdr:colOff>485775</xdr:colOff>
      <xdr:row>191</xdr:row>
      <xdr:rowOff>57150</xdr:rowOff>
    </xdr:to>
    <xdr:pic>
      <xdr:nvPicPr>
        <xdr:cNvPr id="3364" name="Picture 2" descr="SHAFT-IN-HUB">
          <a:extLst>
            <a:ext uri="{FF2B5EF4-FFF2-40B4-BE49-F238E27FC236}">
              <a16:creationId xmlns:a16="http://schemas.microsoft.com/office/drawing/2014/main" id="{00000000-0008-0000-0400-0000240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00275" y="29527500"/>
          <a:ext cx="3238500" cy="1704975"/>
        </a:xfrm>
        <a:prstGeom prst="rect">
          <a:avLst/>
        </a:prstGeom>
        <a:noFill/>
        <a:ln w="9525">
          <a:noFill/>
          <a:miter lim="800000"/>
          <a:headEnd/>
          <a:tailEnd/>
        </a:ln>
      </xdr:spPr>
    </xdr:pic>
    <xdr:clientData/>
  </xdr:twoCellAnchor>
  <xdr:twoCellAnchor editAs="oneCell">
    <xdr:from>
      <xdr:col>0</xdr:col>
      <xdr:colOff>1695450</xdr:colOff>
      <xdr:row>102</xdr:row>
      <xdr:rowOff>123825</xdr:rowOff>
    </xdr:from>
    <xdr:to>
      <xdr:col>1</xdr:col>
      <xdr:colOff>1285875</xdr:colOff>
      <xdr:row>116</xdr:row>
      <xdr:rowOff>57150</xdr:rowOff>
    </xdr:to>
    <xdr:pic>
      <xdr:nvPicPr>
        <xdr:cNvPr id="3365" name="Picture 17" descr="HUB KEY-1">
          <a:extLst>
            <a:ext uri="{FF2B5EF4-FFF2-40B4-BE49-F238E27FC236}">
              <a16:creationId xmlns:a16="http://schemas.microsoft.com/office/drawing/2014/main" id="{00000000-0008-0000-0400-0000250D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95450" y="16878300"/>
          <a:ext cx="2419350" cy="2200275"/>
        </a:xfrm>
        <a:prstGeom prst="rect">
          <a:avLst/>
        </a:prstGeom>
        <a:noFill/>
        <a:ln w="9525">
          <a:noFill/>
          <a:miter lim="800000"/>
          <a:headEnd/>
          <a:tailEnd/>
        </a:ln>
      </xdr:spPr>
    </xdr:pic>
    <xdr:clientData/>
  </xdr:twoCellAnchor>
  <xdr:twoCellAnchor editAs="oneCell">
    <xdr:from>
      <xdr:col>0</xdr:col>
      <xdr:colOff>314325</xdr:colOff>
      <xdr:row>89</xdr:row>
      <xdr:rowOff>142875</xdr:rowOff>
    </xdr:from>
    <xdr:to>
      <xdr:col>0</xdr:col>
      <xdr:colOff>2219325</xdr:colOff>
      <xdr:row>100</xdr:row>
      <xdr:rowOff>38100</xdr:rowOff>
    </xdr:to>
    <xdr:pic>
      <xdr:nvPicPr>
        <xdr:cNvPr id="3366" name="Picture 18" descr="HUB KEY-2">
          <a:extLst>
            <a:ext uri="{FF2B5EF4-FFF2-40B4-BE49-F238E27FC236}">
              <a16:creationId xmlns:a16="http://schemas.microsoft.com/office/drawing/2014/main" id="{00000000-0008-0000-0400-0000260D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14325" y="14792325"/>
          <a:ext cx="1905000" cy="1676400"/>
        </a:xfrm>
        <a:prstGeom prst="rect">
          <a:avLst/>
        </a:prstGeom>
        <a:noFill/>
        <a:ln w="9525">
          <a:noFill/>
          <a:miter lim="800000"/>
          <a:headEnd/>
          <a:tailEnd/>
        </a:ln>
      </xdr:spPr>
    </xdr:pic>
    <xdr:clientData/>
  </xdr:twoCellAnchor>
  <xdr:twoCellAnchor editAs="oneCell">
    <xdr:from>
      <xdr:col>0</xdr:col>
      <xdr:colOff>2743200</xdr:colOff>
      <xdr:row>90</xdr:row>
      <xdr:rowOff>85725</xdr:rowOff>
    </xdr:from>
    <xdr:to>
      <xdr:col>3</xdr:col>
      <xdr:colOff>285750</xdr:colOff>
      <xdr:row>99</xdr:row>
      <xdr:rowOff>19050</xdr:rowOff>
    </xdr:to>
    <xdr:pic>
      <xdr:nvPicPr>
        <xdr:cNvPr id="3367" name="Picture 19" descr="HUB KEY-3">
          <a:extLst>
            <a:ext uri="{FF2B5EF4-FFF2-40B4-BE49-F238E27FC236}">
              <a16:creationId xmlns:a16="http://schemas.microsoft.com/office/drawing/2014/main" id="{00000000-0008-0000-0400-0000270D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2743200" y="14897100"/>
          <a:ext cx="2495550" cy="1390650"/>
        </a:xfrm>
        <a:prstGeom prst="rect">
          <a:avLst/>
        </a:prstGeom>
        <a:noFill/>
        <a:ln w="9525">
          <a:noFill/>
          <a:miter lim="800000"/>
          <a:headEnd/>
          <a:tailEnd/>
        </a:ln>
      </xdr:spPr>
    </xdr:pic>
    <xdr:clientData/>
  </xdr:twoCellAnchor>
  <xdr:twoCellAnchor>
    <xdr:from>
      <xdr:col>0</xdr:col>
      <xdr:colOff>485775</xdr:colOff>
      <xdr:row>176</xdr:row>
      <xdr:rowOff>28575</xdr:rowOff>
    </xdr:from>
    <xdr:to>
      <xdr:col>2</xdr:col>
      <xdr:colOff>609600</xdr:colOff>
      <xdr:row>180</xdr:row>
      <xdr:rowOff>104775</xdr:rowOff>
    </xdr:to>
    <xdr:sp macro="" textlink="">
      <xdr:nvSpPr>
        <xdr:cNvPr id="3092" name="Text Box 20">
          <a:extLst>
            <a:ext uri="{FF2B5EF4-FFF2-40B4-BE49-F238E27FC236}">
              <a16:creationId xmlns:a16="http://schemas.microsoft.com/office/drawing/2014/main" id="{00000000-0008-0000-0400-0000140C0000}"/>
            </a:ext>
          </a:extLst>
        </xdr:cNvPr>
        <xdr:cNvSpPr txBox="1">
          <a:spLocks noChangeArrowheads="1"/>
        </xdr:cNvSpPr>
      </xdr:nvSpPr>
      <xdr:spPr bwMode="auto">
        <a:xfrm>
          <a:off x="485775" y="28775025"/>
          <a:ext cx="4457700" cy="7239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Hub - Shaft Interference Fits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These ridged or, "shrink fits" are used for connecting hubs to shafts, sometimes in addition to keys. Often the computed stress is allowed to approach the yield stress because the stress decreases away from the bore.</a:t>
          </a:r>
        </a:p>
      </xdr:txBody>
    </xdr:sp>
    <xdr:clientData/>
  </xdr:twoCellAnchor>
  <xdr:twoCellAnchor>
    <xdr:from>
      <xdr:col>0</xdr:col>
      <xdr:colOff>114300</xdr:colOff>
      <xdr:row>24</xdr:row>
      <xdr:rowOff>66675</xdr:rowOff>
    </xdr:from>
    <xdr:to>
      <xdr:col>1</xdr:col>
      <xdr:colOff>1447800</xdr:colOff>
      <xdr:row>47</xdr:row>
      <xdr:rowOff>123825</xdr:rowOff>
    </xdr:to>
    <xdr:graphicFrame macro="">
      <xdr:nvGraphicFramePr>
        <xdr:cNvPr id="3369" name="Chart 28">
          <a:extLst>
            <a:ext uri="{FF2B5EF4-FFF2-40B4-BE49-F238E27FC236}">
              <a16:creationId xmlns:a16="http://schemas.microsoft.com/office/drawing/2014/main" id="{00000000-0008-0000-0400-0000290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85725</xdr:colOff>
      <xdr:row>5</xdr:row>
      <xdr:rowOff>76200</xdr:rowOff>
    </xdr:from>
    <xdr:to>
      <xdr:col>0</xdr:col>
      <xdr:colOff>2657475</xdr:colOff>
      <xdr:row>15</xdr:row>
      <xdr:rowOff>0</xdr:rowOff>
    </xdr:to>
    <xdr:sp macro="" textlink="">
      <xdr:nvSpPr>
        <xdr:cNvPr id="3104" name="Text Box 32">
          <a:extLst>
            <a:ext uri="{FF2B5EF4-FFF2-40B4-BE49-F238E27FC236}">
              <a16:creationId xmlns:a16="http://schemas.microsoft.com/office/drawing/2014/main" id="{00000000-0008-0000-0400-0000200C0000}"/>
            </a:ext>
          </a:extLst>
        </xdr:cNvPr>
        <xdr:cNvSpPr txBox="1">
          <a:spLocks noChangeArrowheads="1"/>
        </xdr:cNvSpPr>
      </xdr:nvSpPr>
      <xdr:spPr bwMode="auto">
        <a:xfrm>
          <a:off x="85725" y="962025"/>
          <a:ext cx="2571750" cy="15430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Riged Coupling Design </a:t>
          </a:r>
        </a:p>
        <a:p>
          <a:pPr algn="l" rtl="0">
            <a:defRPr sz="1000"/>
          </a:pPr>
          <a:r>
            <a:rPr lang="en-US" sz="1000" b="0" i="0" u="none" strike="noStrike" baseline="0">
              <a:solidFill>
                <a:srgbClr val="000000"/>
              </a:solidFill>
              <a:latin typeface="Arial"/>
              <a:cs typeface="Arial"/>
            </a:rPr>
            <a:t>Couplings are used to connect rotating shafts continuously. Clutches are used to connect rotating shafts temporarily.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Rigid couplings are used for accurately aligned shafts in slow speed  applications. Refer to  ASME code and coupling vendor design values.</a:t>
          </a:r>
        </a:p>
      </xdr:txBody>
    </xdr:sp>
    <xdr:clientData/>
  </xdr:twoCellAnchor>
  <xdr:twoCellAnchor editAs="oneCell">
    <xdr:from>
      <xdr:col>0</xdr:col>
      <xdr:colOff>38100</xdr:colOff>
      <xdr:row>15</xdr:row>
      <xdr:rowOff>47625</xdr:rowOff>
    </xdr:from>
    <xdr:to>
      <xdr:col>0</xdr:col>
      <xdr:colOff>2676525</xdr:colOff>
      <xdr:row>24</xdr:row>
      <xdr:rowOff>0</xdr:rowOff>
    </xdr:to>
    <xdr:pic>
      <xdr:nvPicPr>
        <xdr:cNvPr id="3371" name="Picture 35" descr="HUB KEY-4">
          <a:extLst>
            <a:ext uri="{FF2B5EF4-FFF2-40B4-BE49-F238E27FC236}">
              <a16:creationId xmlns:a16="http://schemas.microsoft.com/office/drawing/2014/main" id="{00000000-0008-0000-0400-00002B0D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38100" y="2552700"/>
          <a:ext cx="2638425" cy="1409700"/>
        </a:xfrm>
        <a:prstGeom prst="rect">
          <a:avLst/>
        </a:prstGeom>
        <a:noFill/>
        <a:ln w="9525">
          <a:noFill/>
          <a:miter lim="800000"/>
          <a:headEnd/>
          <a:tailEnd/>
        </a:ln>
      </xdr:spPr>
    </xdr:pic>
    <xdr:clientData/>
  </xdr:twoCellAnchor>
  <xdr:twoCellAnchor editAs="oneCell">
    <xdr:from>
      <xdr:col>1</xdr:col>
      <xdr:colOff>0</xdr:colOff>
      <xdr:row>7</xdr:row>
      <xdr:rowOff>0</xdr:rowOff>
    </xdr:from>
    <xdr:to>
      <xdr:col>3</xdr:col>
      <xdr:colOff>400050</xdr:colOff>
      <xdr:row>20</xdr:row>
      <xdr:rowOff>85725</xdr:rowOff>
    </xdr:to>
    <xdr:pic>
      <xdr:nvPicPr>
        <xdr:cNvPr id="3372" name="Picture 36" descr="HUB KEY-0">
          <a:extLst>
            <a:ext uri="{FF2B5EF4-FFF2-40B4-BE49-F238E27FC236}">
              <a16:creationId xmlns:a16="http://schemas.microsoft.com/office/drawing/2014/main" id="{00000000-0008-0000-0400-00002C0D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828925" y="1209675"/>
          <a:ext cx="2524125" cy="2190750"/>
        </a:xfrm>
        <a:prstGeom prst="rect">
          <a:avLst/>
        </a:prstGeom>
        <a:noFill/>
        <a:ln w="9525">
          <a:noFill/>
          <a:miter lim="800000"/>
          <a:headEnd/>
          <a:tailEnd/>
        </a:ln>
      </xdr:spPr>
    </xdr:pic>
    <xdr:clientData/>
  </xdr:twoCellAnchor>
  <xdr:twoCellAnchor>
    <xdr:from>
      <xdr:col>2</xdr:col>
      <xdr:colOff>0</xdr:colOff>
      <xdr:row>74</xdr:row>
      <xdr:rowOff>9525</xdr:rowOff>
    </xdr:from>
    <xdr:to>
      <xdr:col>3</xdr:col>
      <xdr:colOff>447675</xdr:colOff>
      <xdr:row>76</xdr:row>
      <xdr:rowOff>66675</xdr:rowOff>
    </xdr:to>
    <xdr:sp macro="" textlink="">
      <xdr:nvSpPr>
        <xdr:cNvPr id="3109" name="Text Box 37">
          <a:extLst>
            <a:ext uri="{FF2B5EF4-FFF2-40B4-BE49-F238E27FC236}">
              <a16:creationId xmlns:a16="http://schemas.microsoft.com/office/drawing/2014/main" id="{00000000-0008-0000-0400-0000250C0000}"/>
            </a:ext>
          </a:extLst>
        </xdr:cNvPr>
        <xdr:cNvSpPr txBox="1">
          <a:spLocks noChangeArrowheads="1"/>
        </xdr:cNvSpPr>
      </xdr:nvSpPr>
      <xdr:spPr bwMode="auto">
        <a:xfrm>
          <a:off x="4333875" y="12211050"/>
          <a:ext cx="1066800" cy="381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Apply to graph above.</a:t>
          </a:r>
        </a:p>
      </xdr:txBody>
    </xdr:sp>
    <xdr:clientData/>
  </xdr:twoCellAnchor>
  <xdr:twoCellAnchor>
    <xdr:from>
      <xdr:col>2</xdr:col>
      <xdr:colOff>9525</xdr:colOff>
      <xdr:row>81</xdr:row>
      <xdr:rowOff>9525</xdr:rowOff>
    </xdr:from>
    <xdr:to>
      <xdr:col>4</xdr:col>
      <xdr:colOff>38100</xdr:colOff>
      <xdr:row>82</xdr:row>
      <xdr:rowOff>9525</xdr:rowOff>
    </xdr:to>
    <xdr:sp macro="" textlink="">
      <xdr:nvSpPr>
        <xdr:cNvPr id="3110" name="Text Box 38">
          <a:extLst>
            <a:ext uri="{FF2B5EF4-FFF2-40B4-BE49-F238E27FC236}">
              <a16:creationId xmlns:a16="http://schemas.microsoft.com/office/drawing/2014/main" id="{00000000-0008-0000-0400-0000260C0000}"/>
            </a:ext>
          </a:extLst>
        </xdr:cNvPr>
        <xdr:cNvSpPr txBox="1">
          <a:spLocks noChangeArrowheads="1"/>
        </xdr:cNvSpPr>
      </xdr:nvSpPr>
      <xdr:spPr bwMode="auto">
        <a:xfrm>
          <a:off x="4343400" y="13373100"/>
          <a:ext cx="1304925"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&lt; From above graph.</a:t>
          </a:r>
        </a:p>
      </xdr:txBody>
    </xdr:sp>
    <xdr:clientData/>
  </xdr:twoCellAnchor>
  <xdr:twoCellAnchor>
    <xdr:from>
      <xdr:col>0</xdr:col>
      <xdr:colOff>561975</xdr:colOff>
      <xdr:row>183</xdr:row>
      <xdr:rowOff>76200</xdr:rowOff>
    </xdr:from>
    <xdr:to>
      <xdr:col>0</xdr:col>
      <xdr:colOff>1943100</xdr:colOff>
      <xdr:row>189</xdr:row>
      <xdr:rowOff>19050</xdr:rowOff>
    </xdr:to>
    <xdr:sp macro="" textlink="">
      <xdr:nvSpPr>
        <xdr:cNvPr id="3111" name="Text Box 39">
          <a:extLst>
            <a:ext uri="{FF2B5EF4-FFF2-40B4-BE49-F238E27FC236}">
              <a16:creationId xmlns:a16="http://schemas.microsoft.com/office/drawing/2014/main" id="{00000000-0008-0000-0400-0000270C0000}"/>
            </a:ext>
          </a:extLst>
        </xdr:cNvPr>
        <xdr:cNvSpPr txBox="1">
          <a:spLocks noChangeArrowheads="1"/>
        </xdr:cNvSpPr>
      </xdr:nvSpPr>
      <xdr:spPr bwMode="auto">
        <a:xfrm>
          <a:off x="561975" y="29956125"/>
          <a:ext cx="1381125" cy="9144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Shaft in Hub</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hub is the outer ring, Do to Dc. The shaft is the inner ring, Dc to Di</a:t>
          </a:r>
        </a:p>
      </xdr:txBody>
    </xdr:sp>
    <xdr:clientData/>
  </xdr:twoCellAnchor>
  <xdr:twoCellAnchor>
    <xdr:from>
      <xdr:col>5</xdr:col>
      <xdr:colOff>323850</xdr:colOff>
      <xdr:row>123</xdr:row>
      <xdr:rowOff>133350</xdr:rowOff>
    </xdr:from>
    <xdr:to>
      <xdr:col>9</xdr:col>
      <xdr:colOff>276225</xdr:colOff>
      <xdr:row>133</xdr:row>
      <xdr:rowOff>76200</xdr:rowOff>
    </xdr:to>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6953250" y="20354925"/>
          <a:ext cx="239077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REV 5Nov2011</a:t>
          </a:r>
          <a:r>
            <a:rPr lang="en-US" sz="1100">
              <a:solidFill>
                <a:schemeClr val="dk1"/>
              </a:solidFill>
              <a:latin typeface="+mn-lt"/>
              <a:ea typeface="+mn-ea"/>
              <a:cs typeface="+mn-cs"/>
            </a:rPr>
            <a:t> 18. How much torque will a hub, with a 2.000 inch bore 3.00 inches deep, withstand mounted on a 2.000 inch diameter shaft having a key .375 inch square and an effective length of 3.00 inch, if the allowable stress is 85,000 lbf/in^2 and bearing stress is 150,000 lbf/in^2 of the key, shaft, and hub?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552450</xdr:colOff>
      <xdr:row>32</xdr:row>
      <xdr:rowOff>95250</xdr:rowOff>
    </xdr:from>
    <xdr:to>
      <xdr:col>4</xdr:col>
      <xdr:colOff>542925</xdr:colOff>
      <xdr:row>40</xdr:row>
      <xdr:rowOff>38100</xdr:rowOff>
    </xdr:to>
    <xdr:pic>
      <xdr:nvPicPr>
        <xdr:cNvPr id="4225" name="Picture 1" descr="SCREW-THREAD-3">
          <a:extLst>
            <a:ext uri="{FF2B5EF4-FFF2-40B4-BE49-F238E27FC236}">
              <a16:creationId xmlns:a16="http://schemas.microsoft.com/office/drawing/2014/main" id="{00000000-0008-0000-0500-000081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381375" y="4991100"/>
          <a:ext cx="2571750" cy="1238250"/>
        </a:xfrm>
        <a:prstGeom prst="rect">
          <a:avLst/>
        </a:prstGeom>
        <a:noFill/>
        <a:ln w="9525">
          <a:noFill/>
          <a:miter lim="800000"/>
          <a:headEnd/>
          <a:tailEnd/>
        </a:ln>
      </xdr:spPr>
    </xdr:pic>
    <xdr:clientData/>
  </xdr:twoCellAnchor>
  <xdr:twoCellAnchor editAs="oneCell">
    <xdr:from>
      <xdr:col>0</xdr:col>
      <xdr:colOff>457200</xdr:colOff>
      <xdr:row>32</xdr:row>
      <xdr:rowOff>85725</xdr:rowOff>
    </xdr:from>
    <xdr:to>
      <xdr:col>0</xdr:col>
      <xdr:colOff>2667000</xdr:colOff>
      <xdr:row>42</xdr:row>
      <xdr:rowOff>104775</xdr:rowOff>
    </xdr:to>
    <xdr:pic>
      <xdr:nvPicPr>
        <xdr:cNvPr id="4226" name="Picture 2" descr="SCREW-THREAD-1">
          <a:extLst>
            <a:ext uri="{FF2B5EF4-FFF2-40B4-BE49-F238E27FC236}">
              <a16:creationId xmlns:a16="http://schemas.microsoft.com/office/drawing/2014/main" id="{00000000-0008-0000-0500-0000821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7200" y="4981575"/>
          <a:ext cx="2209800" cy="1638300"/>
        </a:xfrm>
        <a:prstGeom prst="rect">
          <a:avLst/>
        </a:prstGeom>
        <a:noFill/>
        <a:ln w="9525">
          <a:noFill/>
          <a:miter lim="800000"/>
          <a:headEnd/>
          <a:tailEnd/>
        </a:ln>
      </xdr:spPr>
    </xdr:pic>
    <xdr:clientData/>
  </xdr:twoCellAnchor>
  <xdr:twoCellAnchor>
    <xdr:from>
      <xdr:col>0</xdr:col>
      <xdr:colOff>371475</xdr:colOff>
      <xdr:row>4</xdr:row>
      <xdr:rowOff>104775</xdr:rowOff>
    </xdr:from>
    <xdr:to>
      <xdr:col>3</xdr:col>
      <xdr:colOff>495300</xdr:colOff>
      <xdr:row>16</xdr:row>
      <xdr:rowOff>57150</xdr:rowOff>
    </xdr:to>
    <xdr:sp macro="" textlink="">
      <xdr:nvSpPr>
        <xdr:cNvPr id="4116" name="Text Box 20">
          <a:extLst>
            <a:ext uri="{FF2B5EF4-FFF2-40B4-BE49-F238E27FC236}">
              <a16:creationId xmlns:a16="http://schemas.microsoft.com/office/drawing/2014/main" id="{00000000-0008-0000-0500-000014100000}"/>
            </a:ext>
          </a:extLst>
        </xdr:cNvPr>
        <xdr:cNvSpPr txBox="1">
          <a:spLocks noChangeArrowheads="1"/>
        </xdr:cNvSpPr>
      </xdr:nvSpPr>
      <xdr:spPr bwMode="auto">
        <a:xfrm>
          <a:off x="371475" y="466725"/>
          <a:ext cx="5029200" cy="1895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none" strike="noStrike" baseline="0">
              <a:solidFill>
                <a:srgbClr val="000000"/>
              </a:solidFill>
              <a:latin typeface="Arial"/>
              <a:cs typeface="Arial"/>
            </a:rPr>
            <a:t>Linear Actuators                                                                                                                        </a:t>
          </a:r>
          <a:r>
            <a:rPr lang="en-US" sz="1000" b="0" i="0" u="none" strike="noStrike" baseline="0">
              <a:solidFill>
                <a:srgbClr val="000000"/>
              </a:solidFill>
              <a:latin typeface="Arial"/>
              <a:cs typeface="Arial"/>
            </a:rPr>
            <a:t>Motor driven: </a:t>
          </a:r>
          <a:r>
            <a:rPr lang="en-US" sz="1000" b="0" i="0" baseline="0">
              <a:latin typeface="Arial" pitchFamily="34" charset="0"/>
              <a:ea typeface="+mn-ea"/>
              <a:cs typeface="Arial" pitchFamily="34" charset="0"/>
            </a:rPr>
            <a:t>linear actuators, </a:t>
          </a:r>
          <a:r>
            <a:rPr lang="en-US" sz="1000" b="0" i="0" u="none" strike="noStrike" baseline="0">
              <a:solidFill>
                <a:srgbClr val="000000"/>
              </a:solidFill>
              <a:latin typeface="Arial"/>
              <a:cs typeface="Arial"/>
            </a:rPr>
            <a:t>screw jacks, and clamps are examples of power screws.</a:t>
          </a:r>
        </a:p>
        <a:p>
          <a:pPr algn="l" rtl="0">
            <a:defRPr sz="1000"/>
          </a:pPr>
          <a:r>
            <a:rPr lang="en-US" sz="1000" b="0" i="0" u="none" strike="noStrike" baseline="0">
              <a:solidFill>
                <a:srgbClr val="000000"/>
              </a:solidFill>
              <a:latin typeface="Arial"/>
              <a:cs typeface="Arial"/>
            </a:rPr>
            <a:t>The essential components are a nut engaging the helical screw threads of a shaft.</a:t>
          </a:r>
        </a:p>
        <a:p>
          <a:pPr algn="l" rtl="0">
            <a:defRPr sz="1000"/>
          </a:pPr>
          <a:r>
            <a:rPr lang="en-US" sz="1000" b="0" i="0" u="none" strike="noStrike" baseline="0">
              <a:solidFill>
                <a:srgbClr val="000000"/>
              </a:solidFill>
              <a:latin typeface="Arial"/>
              <a:cs typeface="Arial"/>
            </a:rPr>
            <a:t>A nut will advance one screw thread pitch per one 360 degree rotation on a single pitch screw. A nut will advance two screw thread pitches per one 360 degree rotation on a double pitch screw, etc.</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actuator nut below advances or retreats as the motor shaft turns clockwise or ant-clockwise. The nut is prevented from rotating by the upper and lower guide slots. The control system of a stepper motor rotates the shaft through a series of small angles very accurately repeatedly. The linear travel of the lug &amp; nut is precise and lockable.</a:t>
          </a:r>
        </a:p>
      </xdr:txBody>
    </xdr:sp>
    <xdr:clientData/>
  </xdr:twoCellAnchor>
  <xdr:twoCellAnchor editAs="oneCell">
    <xdr:from>
      <xdr:col>0</xdr:col>
      <xdr:colOff>304800</xdr:colOff>
      <xdr:row>17</xdr:row>
      <xdr:rowOff>19050</xdr:rowOff>
    </xdr:from>
    <xdr:to>
      <xdr:col>4</xdr:col>
      <xdr:colOff>28575</xdr:colOff>
      <xdr:row>28</xdr:row>
      <xdr:rowOff>95250</xdr:rowOff>
    </xdr:to>
    <xdr:pic>
      <xdr:nvPicPr>
        <xdr:cNvPr id="4228" name="Picture 22" descr="ACTUATOR">
          <a:extLst>
            <a:ext uri="{FF2B5EF4-FFF2-40B4-BE49-F238E27FC236}">
              <a16:creationId xmlns:a16="http://schemas.microsoft.com/office/drawing/2014/main" id="{00000000-0008-0000-0500-0000841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304800" y="2486025"/>
          <a:ext cx="5133975" cy="1857375"/>
        </a:xfrm>
        <a:prstGeom prst="rect">
          <a:avLst/>
        </a:prstGeom>
        <a:noFill/>
        <a:ln w="9525">
          <a:noFill/>
          <a:miter lim="800000"/>
          <a:headEnd/>
          <a:tailEnd/>
        </a:ln>
      </xdr:spPr>
    </xdr:pic>
    <xdr:clientData/>
  </xdr:twoCellAnchor>
  <xdr:twoCellAnchor editAs="oneCell">
    <xdr:from>
      <xdr:col>2</xdr:col>
      <xdr:colOff>266700</xdr:colOff>
      <xdr:row>86</xdr:row>
      <xdr:rowOff>142875</xdr:rowOff>
    </xdr:from>
    <xdr:to>
      <xdr:col>4</xdr:col>
      <xdr:colOff>523875</xdr:colOff>
      <xdr:row>93</xdr:row>
      <xdr:rowOff>85725</xdr:rowOff>
    </xdr:to>
    <xdr:pic>
      <xdr:nvPicPr>
        <xdr:cNvPr id="4229" name="Picture 23" descr="ACME-THREAD-0">
          <a:extLst>
            <a:ext uri="{FF2B5EF4-FFF2-40B4-BE49-F238E27FC236}">
              <a16:creationId xmlns:a16="http://schemas.microsoft.com/office/drawing/2014/main" id="{00000000-0008-0000-0500-0000851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457700" y="13896975"/>
          <a:ext cx="1476375" cy="1085850"/>
        </a:xfrm>
        <a:prstGeom prst="rect">
          <a:avLst/>
        </a:prstGeom>
        <a:noFill/>
        <a:ln w="9525">
          <a:noFill/>
          <a:miter lim="800000"/>
          <a:headEnd/>
          <a:tailEnd/>
        </a:ln>
      </xdr:spPr>
    </xdr:pic>
    <xdr:clientData/>
  </xdr:twoCellAnchor>
  <xdr:twoCellAnchor>
    <xdr:from>
      <xdr:col>5</xdr:col>
      <xdr:colOff>28575</xdr:colOff>
      <xdr:row>59</xdr:row>
      <xdr:rowOff>57150</xdr:rowOff>
    </xdr:from>
    <xdr:to>
      <xdr:col>10</xdr:col>
      <xdr:colOff>352425</xdr:colOff>
      <xdr:row>78</xdr:row>
      <xdr:rowOff>47625</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6048375" y="9791700"/>
          <a:ext cx="3371850" cy="307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REV 5Nov2011</a:t>
          </a:r>
          <a:r>
            <a:rPr lang="en-US" sz="1100">
              <a:solidFill>
                <a:schemeClr val="dk1"/>
              </a:solidFill>
              <a:latin typeface="+mn-lt"/>
              <a:ea typeface="+mn-ea"/>
              <a:cs typeface="+mn-cs"/>
            </a:rPr>
            <a:t> 21. A double lead Acme thread has: a thread face angle of 14.5 degrees, 3 turns per inch, and an outside diameter of 2.25 inches. What is the mean thread radius?</a:t>
          </a:r>
        </a:p>
        <a:p>
          <a:r>
            <a:rPr lang="en-US" sz="1100">
              <a:solidFill>
                <a:schemeClr val="dk1"/>
              </a:solidFill>
              <a:latin typeface="+mn-lt"/>
              <a:ea typeface="+mn-ea"/>
              <a:cs typeface="+mn-cs"/>
            </a:rPr>
            <a:t> </a:t>
          </a:r>
        </a:p>
        <a:p>
          <a:r>
            <a:rPr lang="en-US" sz="1100" b="1">
              <a:solidFill>
                <a:srgbClr val="FF0000"/>
              </a:solidFill>
              <a:latin typeface="+mn-lt"/>
              <a:ea typeface="+mn-ea"/>
              <a:cs typeface="+mn-cs"/>
            </a:rPr>
            <a:t>a. 1.037 inches</a:t>
          </a:r>
        </a:p>
        <a:p>
          <a:r>
            <a:rPr lang="en-US" sz="1100">
              <a:solidFill>
                <a:schemeClr val="dk1"/>
              </a:solidFill>
              <a:latin typeface="+mn-lt"/>
              <a:ea typeface="+mn-ea"/>
              <a:cs typeface="+mn-cs"/>
            </a:rPr>
            <a:t>b. 1.237 inches</a:t>
          </a:r>
        </a:p>
        <a:p>
          <a:r>
            <a:rPr lang="en-US" sz="1100">
              <a:solidFill>
                <a:schemeClr val="dk1"/>
              </a:solidFill>
              <a:latin typeface="+mn-lt"/>
              <a:ea typeface="+mn-ea"/>
              <a:cs typeface="+mn-cs"/>
            </a:rPr>
            <a:t>c. 1.437 inches</a:t>
          </a:r>
        </a:p>
        <a:p>
          <a:r>
            <a:rPr lang="en-US" sz="1100">
              <a:solidFill>
                <a:schemeClr val="dk1"/>
              </a:solidFill>
              <a:latin typeface="+mn-lt"/>
              <a:ea typeface="+mn-ea"/>
              <a:cs typeface="+mn-cs"/>
            </a:rPr>
            <a:t> </a:t>
          </a:r>
        </a:p>
        <a:p>
          <a:r>
            <a:rPr lang="en-US" sz="1100" b="1">
              <a:solidFill>
                <a:schemeClr val="dk1"/>
              </a:solidFill>
              <a:latin typeface="+mn-lt"/>
              <a:ea typeface="+mn-ea"/>
              <a:cs typeface="+mn-cs"/>
            </a:rPr>
            <a:t>REV 5Nov2011</a:t>
          </a:r>
          <a:r>
            <a:rPr lang="en-US" sz="1100">
              <a:solidFill>
                <a:schemeClr val="dk1"/>
              </a:solidFill>
              <a:latin typeface="+mn-lt"/>
              <a:ea typeface="+mn-ea"/>
              <a:cs typeface="+mn-cs"/>
            </a:rPr>
            <a:t> 22.  Calculate the thread helix angle for a 3 T.P.I double lead screw having a 2.25 outside diameter of question 21.   </a:t>
          </a:r>
          <a:r>
            <a:rPr lang="en-US" sz="1100" b="1">
              <a:solidFill>
                <a:schemeClr val="dk1"/>
              </a:solidFill>
              <a:latin typeface="+mn-lt"/>
              <a:ea typeface="+mn-ea"/>
              <a:cs typeface="+mn-cs"/>
            </a:rPr>
            <a:t>17</a:t>
          </a:r>
          <a:r>
            <a:rPr lang="en-US" sz="1100">
              <a:solidFill>
                <a:schemeClr val="dk1"/>
              </a:solidFill>
              <a:latin typeface="+mn-lt"/>
              <a:ea typeface="+mn-ea"/>
              <a:cs typeface="+mn-cs"/>
            </a:rPr>
            <a:t>.</a:t>
          </a:r>
        </a:p>
        <a:p>
          <a:r>
            <a:rPr lang="en-US" sz="1100">
              <a:solidFill>
                <a:schemeClr val="dk1"/>
              </a:solidFill>
              <a:latin typeface="+mn-lt"/>
              <a:ea typeface="+mn-ea"/>
              <a:cs typeface="+mn-cs"/>
            </a:rPr>
            <a:t> </a:t>
          </a:r>
        </a:p>
        <a:p>
          <a:r>
            <a:rPr lang="en-US" sz="1100">
              <a:solidFill>
                <a:schemeClr val="dk1"/>
              </a:solidFill>
              <a:latin typeface="+mn-lt"/>
              <a:ea typeface="+mn-ea"/>
              <a:cs typeface="+mn-cs"/>
            </a:rPr>
            <a:t>a. 5.66 degrees</a:t>
          </a:r>
        </a:p>
        <a:p>
          <a:r>
            <a:rPr lang="en-US" sz="1100" b="1">
              <a:solidFill>
                <a:srgbClr val="FF0000"/>
              </a:solidFill>
              <a:latin typeface="+mn-lt"/>
              <a:ea typeface="+mn-ea"/>
              <a:cs typeface="+mn-cs"/>
            </a:rPr>
            <a:t>b. 5.86 degrees</a:t>
          </a:r>
        </a:p>
        <a:p>
          <a:r>
            <a:rPr lang="en-US" sz="1100">
              <a:solidFill>
                <a:schemeClr val="dk1"/>
              </a:solidFill>
              <a:latin typeface="+mn-lt"/>
              <a:ea typeface="+mn-ea"/>
              <a:cs typeface="+mn-cs"/>
            </a:rPr>
            <a:t>c. 5.70 degrees</a:t>
          </a:r>
        </a:p>
        <a:p>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2305050</xdr:colOff>
      <xdr:row>31</xdr:row>
      <xdr:rowOff>38100</xdr:rowOff>
    </xdr:from>
    <xdr:to>
      <xdr:col>4</xdr:col>
      <xdr:colOff>552450</xdr:colOff>
      <xdr:row>48</xdr:row>
      <xdr:rowOff>38100</xdr:rowOff>
    </xdr:to>
    <xdr:pic>
      <xdr:nvPicPr>
        <xdr:cNvPr id="5212" name="Picture 1" descr="BRAKE-1">
          <a:extLst>
            <a:ext uri="{FF2B5EF4-FFF2-40B4-BE49-F238E27FC236}">
              <a16:creationId xmlns:a16="http://schemas.microsoft.com/office/drawing/2014/main" id="{00000000-0008-0000-0600-00005C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05050" y="5172075"/>
          <a:ext cx="3514725" cy="2752725"/>
        </a:xfrm>
        <a:prstGeom prst="rect">
          <a:avLst/>
        </a:prstGeom>
        <a:noFill/>
        <a:ln w="9525">
          <a:noFill/>
          <a:miter lim="800000"/>
          <a:headEnd/>
          <a:tailEnd/>
        </a:ln>
      </xdr:spPr>
    </xdr:pic>
    <xdr:clientData/>
  </xdr:twoCellAnchor>
  <xdr:twoCellAnchor editAs="oneCell">
    <xdr:from>
      <xdr:col>2</xdr:col>
      <xdr:colOff>304800</xdr:colOff>
      <xdr:row>3</xdr:row>
      <xdr:rowOff>85725</xdr:rowOff>
    </xdr:from>
    <xdr:to>
      <xdr:col>4</xdr:col>
      <xdr:colOff>685800</xdr:colOff>
      <xdr:row>17</xdr:row>
      <xdr:rowOff>0</xdr:rowOff>
    </xdr:to>
    <xdr:pic>
      <xdr:nvPicPr>
        <xdr:cNvPr id="5213" name="Picture 5" descr="DISC BRAKE">
          <a:extLst>
            <a:ext uri="{FF2B5EF4-FFF2-40B4-BE49-F238E27FC236}">
              <a16:creationId xmlns:a16="http://schemas.microsoft.com/office/drawing/2014/main" id="{00000000-0008-0000-0600-00005D1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95775" y="609600"/>
          <a:ext cx="1657350" cy="2276475"/>
        </a:xfrm>
        <a:prstGeom prst="rect">
          <a:avLst/>
        </a:prstGeom>
        <a:noFill/>
        <a:ln w="9525">
          <a:noFill/>
          <a:miter lim="800000"/>
          <a:headEnd/>
          <a:tailEnd/>
        </a:ln>
      </xdr:spPr>
    </xdr:pic>
    <xdr:clientData/>
  </xdr:twoCellAnchor>
  <xdr:twoCellAnchor>
    <xdr:from>
      <xdr:col>0</xdr:col>
      <xdr:colOff>76200</xdr:colOff>
      <xdr:row>6</xdr:row>
      <xdr:rowOff>28575</xdr:rowOff>
    </xdr:from>
    <xdr:to>
      <xdr:col>1</xdr:col>
      <xdr:colOff>809625</xdr:colOff>
      <xdr:row>13</xdr:row>
      <xdr:rowOff>38100</xdr:rowOff>
    </xdr:to>
    <xdr:sp macro="" textlink="">
      <xdr:nvSpPr>
        <xdr:cNvPr id="5126" name="Text Box 6">
          <a:extLst>
            <a:ext uri="{FF2B5EF4-FFF2-40B4-BE49-F238E27FC236}">
              <a16:creationId xmlns:a16="http://schemas.microsoft.com/office/drawing/2014/main" id="{00000000-0008-0000-0600-000006140000}"/>
            </a:ext>
          </a:extLst>
        </xdr:cNvPr>
        <xdr:cNvSpPr txBox="1">
          <a:spLocks noChangeArrowheads="1"/>
        </xdr:cNvSpPr>
      </xdr:nvSpPr>
      <xdr:spPr bwMode="auto">
        <a:xfrm>
          <a:off x="76200" y="1076325"/>
          <a:ext cx="3390900" cy="11430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DISC BRAKE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sectional view of a generic disc brake with calipers is illustrated right.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Equal and opposite clamping forces, F lbf acting at mean radius Rm inches provide rotation stopping torque T in-lbf.</a:t>
          </a:r>
        </a:p>
      </xdr:txBody>
    </xdr:sp>
    <xdr:clientData/>
  </xdr:twoCellAnchor>
  <xdr:twoCellAnchor>
    <xdr:from>
      <xdr:col>0</xdr:col>
      <xdr:colOff>381000</xdr:colOff>
      <xdr:row>35</xdr:row>
      <xdr:rowOff>123826</xdr:rowOff>
    </xdr:from>
    <xdr:to>
      <xdr:col>0</xdr:col>
      <xdr:colOff>2124075</xdr:colOff>
      <xdr:row>41</xdr:row>
      <xdr:rowOff>66676</xdr:rowOff>
    </xdr:to>
    <xdr:sp macro="" textlink="">
      <xdr:nvSpPr>
        <xdr:cNvPr id="5127" name="Text Box 7">
          <a:extLst>
            <a:ext uri="{FF2B5EF4-FFF2-40B4-BE49-F238E27FC236}">
              <a16:creationId xmlns:a16="http://schemas.microsoft.com/office/drawing/2014/main" id="{00000000-0008-0000-0600-000007140000}"/>
            </a:ext>
          </a:extLst>
        </xdr:cNvPr>
        <xdr:cNvSpPr txBox="1">
          <a:spLocks noChangeArrowheads="1"/>
        </xdr:cNvSpPr>
      </xdr:nvSpPr>
      <xdr:spPr bwMode="auto">
        <a:xfrm>
          <a:off x="381000" y="5962651"/>
          <a:ext cx="1743075" cy="9144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Brake</a:t>
          </a:r>
          <a:r>
            <a:rPr lang="en-US" sz="1000" b="0" i="0" u="none" strike="noStrike" baseline="0">
              <a:solidFill>
                <a:srgbClr val="000000"/>
              </a:solidFill>
              <a:latin typeface="Arial"/>
              <a:cs typeface="Arial"/>
            </a:rPr>
            <a:t> stopping capacity is proportional to the normal force of brake shoe against the drum and coefficient of friction.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819149</xdr:colOff>
      <xdr:row>35</xdr:row>
      <xdr:rowOff>133349</xdr:rowOff>
    </xdr:from>
    <xdr:to>
      <xdr:col>3</xdr:col>
      <xdr:colOff>342899</xdr:colOff>
      <xdr:row>44</xdr:row>
      <xdr:rowOff>28575</xdr:rowOff>
    </xdr:to>
    <xdr:sp macro="" textlink="">
      <xdr:nvSpPr>
        <xdr:cNvPr id="8205" name="Text Box 13">
          <a:extLst>
            <a:ext uri="{FF2B5EF4-FFF2-40B4-BE49-F238E27FC236}">
              <a16:creationId xmlns:a16="http://schemas.microsoft.com/office/drawing/2014/main" id="{00000000-0008-0000-0700-00000D200000}"/>
            </a:ext>
          </a:extLst>
        </xdr:cNvPr>
        <xdr:cNvSpPr txBox="1">
          <a:spLocks noChangeArrowheads="1"/>
        </xdr:cNvSpPr>
      </xdr:nvSpPr>
      <xdr:spPr bwMode="auto">
        <a:xfrm>
          <a:off x="819149" y="5943599"/>
          <a:ext cx="3514725" cy="1352551"/>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200" b="1" i="0" u="none" strike="noStrike" baseline="0">
              <a:solidFill>
                <a:srgbClr val="000000"/>
              </a:solidFill>
              <a:latin typeface="Arial"/>
              <a:cs typeface="Arial"/>
            </a:rPr>
            <a:t>V-Belts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V-belts are used to transmit power from motors to machinery.</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Sheaves have a V-groove. Pulleys have a flat or slightly convex circumference.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V-belt may be used in combination with a drive sheave on a motor shaft and a pulley on the driven shaft.</a:t>
          </a:r>
        </a:p>
      </xdr:txBody>
    </xdr:sp>
    <xdr:clientData/>
  </xdr:twoCellAnchor>
  <xdr:twoCellAnchor editAs="oneCell">
    <xdr:from>
      <xdr:col>0</xdr:col>
      <xdr:colOff>28575</xdr:colOff>
      <xdr:row>117</xdr:row>
      <xdr:rowOff>123825</xdr:rowOff>
    </xdr:from>
    <xdr:to>
      <xdr:col>4</xdr:col>
      <xdr:colOff>895350</xdr:colOff>
      <xdr:row>128</xdr:row>
      <xdr:rowOff>90170</xdr:rowOff>
    </xdr:to>
    <xdr:pic>
      <xdr:nvPicPr>
        <xdr:cNvPr id="6" name="Picture 5" descr="GATES V-BELT PROBLEM-3.jpg">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cstate="print"/>
        <a:stretch>
          <a:fillRect/>
        </a:stretch>
      </xdr:blipFill>
      <xdr:spPr>
        <a:xfrm>
          <a:off x="28575" y="5762625"/>
          <a:ext cx="5467350" cy="1747520"/>
        </a:xfrm>
        <a:prstGeom prst="rect">
          <a:avLst/>
        </a:prstGeom>
      </xdr:spPr>
    </xdr:pic>
    <xdr:clientData/>
  </xdr:twoCellAnchor>
  <xdr:twoCellAnchor editAs="oneCell">
    <xdr:from>
      <xdr:col>0</xdr:col>
      <xdr:colOff>733425</xdr:colOff>
      <xdr:row>131</xdr:row>
      <xdr:rowOff>104775</xdr:rowOff>
    </xdr:from>
    <xdr:to>
      <xdr:col>3</xdr:col>
      <xdr:colOff>600075</xdr:colOff>
      <xdr:row>148</xdr:row>
      <xdr:rowOff>142875</xdr:rowOff>
    </xdr:to>
    <xdr:pic>
      <xdr:nvPicPr>
        <xdr:cNvPr id="8" name="Picture 7" descr="V-BELT DRIVE DIMS-I.jpg">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2" cstate="print"/>
        <a:stretch>
          <a:fillRect/>
        </a:stretch>
      </xdr:blipFill>
      <xdr:spPr>
        <a:xfrm>
          <a:off x="733425" y="8048625"/>
          <a:ext cx="3857625" cy="2790825"/>
        </a:xfrm>
        <a:prstGeom prst="rect">
          <a:avLst/>
        </a:prstGeom>
      </xdr:spPr>
    </xdr:pic>
    <xdr:clientData/>
  </xdr:twoCellAnchor>
  <xdr:twoCellAnchor editAs="oneCell">
    <xdr:from>
      <xdr:col>0</xdr:col>
      <xdr:colOff>438150</xdr:colOff>
      <xdr:row>4</xdr:row>
      <xdr:rowOff>28575</xdr:rowOff>
    </xdr:from>
    <xdr:to>
      <xdr:col>4</xdr:col>
      <xdr:colOff>314325</xdr:colOff>
      <xdr:row>22</xdr:row>
      <xdr:rowOff>76200</xdr:rowOff>
    </xdr:to>
    <xdr:pic>
      <xdr:nvPicPr>
        <xdr:cNvPr id="23" name="Picture 22" descr="V-BELT DRIVE-20.jpg">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3" cstate="print"/>
        <a:stretch>
          <a:fillRect/>
        </a:stretch>
      </xdr:blipFill>
      <xdr:spPr>
        <a:xfrm>
          <a:off x="438150" y="752475"/>
          <a:ext cx="4476750" cy="2962275"/>
        </a:xfrm>
        <a:prstGeom prst="rect">
          <a:avLst/>
        </a:prstGeom>
      </xdr:spPr>
    </xdr:pic>
    <xdr:clientData/>
  </xdr:twoCellAnchor>
  <xdr:twoCellAnchor>
    <xdr:from>
      <xdr:col>0</xdr:col>
      <xdr:colOff>390525</xdr:colOff>
      <xdr:row>25</xdr:row>
      <xdr:rowOff>31750</xdr:rowOff>
    </xdr:from>
    <xdr:to>
      <xdr:col>4</xdr:col>
      <xdr:colOff>565150</xdr:colOff>
      <xdr:row>34</xdr:row>
      <xdr:rowOff>31750</xdr:rowOff>
    </xdr:to>
    <xdr:pic>
      <xdr:nvPicPr>
        <xdr:cNvPr id="12" name="Picture 11" descr="V-BELT SHEAVE DIAMETERS-3">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525" y="4298950"/>
          <a:ext cx="477202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400050</xdr:colOff>
      <xdr:row>177</xdr:row>
      <xdr:rowOff>123825</xdr:rowOff>
    </xdr:from>
    <xdr:to>
      <xdr:col>11</xdr:col>
      <xdr:colOff>228600</xdr:colOff>
      <xdr:row>194</xdr:row>
      <xdr:rowOff>114300</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29375" y="28689300"/>
          <a:ext cx="5476875" cy="2781300"/>
        </a:xfrm>
        <a:prstGeom prst="rect">
          <a:avLst/>
        </a:prstGeom>
      </xdr:spPr>
    </xdr:pic>
    <xdr:clientData/>
  </xdr:twoCellAnchor>
  <xdr:twoCellAnchor editAs="oneCell">
    <xdr:from>
      <xdr:col>6</xdr:col>
      <xdr:colOff>942975</xdr:colOff>
      <xdr:row>163</xdr:row>
      <xdr:rowOff>152400</xdr:rowOff>
    </xdr:from>
    <xdr:to>
      <xdr:col>10</xdr:col>
      <xdr:colOff>400050</xdr:colOff>
      <xdr:row>177</xdr:row>
      <xdr:rowOff>114300</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972300" y="26441400"/>
          <a:ext cx="4133850" cy="2286000"/>
        </a:xfrm>
        <a:prstGeom prst="rect">
          <a:avLst/>
        </a:prstGeom>
      </xdr:spPr>
    </xdr:pic>
    <xdr:clientData/>
  </xdr:twoCellAnchor>
  <xdr:twoCellAnchor editAs="oneCell">
    <xdr:from>
      <xdr:col>0</xdr:col>
      <xdr:colOff>0</xdr:colOff>
      <xdr:row>228</xdr:row>
      <xdr:rowOff>114300</xdr:rowOff>
    </xdr:from>
    <xdr:to>
      <xdr:col>6</xdr:col>
      <xdr:colOff>1628775</xdr:colOff>
      <xdr:row>262</xdr:row>
      <xdr:rowOff>0</xdr:rowOff>
    </xdr:to>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37080825"/>
          <a:ext cx="7658100" cy="5391150"/>
        </a:xfrm>
        <a:prstGeom prst="rect">
          <a:avLst/>
        </a:prstGeom>
      </xdr:spPr>
    </xdr:pic>
    <xdr:clientData/>
  </xdr:twoCellAnchor>
  <xdr:twoCellAnchor editAs="oneCell">
    <xdr:from>
      <xdr:col>0</xdr:col>
      <xdr:colOff>66675</xdr:colOff>
      <xdr:row>262</xdr:row>
      <xdr:rowOff>9525</xdr:rowOff>
    </xdr:from>
    <xdr:to>
      <xdr:col>6</xdr:col>
      <xdr:colOff>1638300</xdr:colOff>
      <xdr:row>282</xdr:row>
      <xdr:rowOff>28575</xdr:rowOff>
    </xdr:to>
    <xdr:pic>
      <xdr:nvPicPr>
        <xdr:cNvPr id="17" name="Picture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6675" y="42481500"/>
          <a:ext cx="7600950" cy="3257550"/>
        </a:xfrm>
        <a:prstGeom prst="rect">
          <a:avLst/>
        </a:prstGeom>
      </xdr:spPr>
    </xdr:pic>
    <xdr:clientData/>
  </xdr:twoCellAnchor>
  <xdr:twoCellAnchor>
    <xdr:from>
      <xdr:col>5</xdr:col>
      <xdr:colOff>247650</xdr:colOff>
      <xdr:row>141</xdr:row>
      <xdr:rowOff>114300</xdr:rowOff>
    </xdr:from>
    <xdr:to>
      <xdr:col>10</xdr:col>
      <xdr:colOff>733425</xdr:colOff>
      <xdr:row>163</xdr:row>
      <xdr:rowOff>133350</xdr:rowOff>
    </xdr:to>
    <xdr:pic>
      <xdr:nvPicPr>
        <xdr:cNvPr id="22" name="Picture 2" descr="GATES V-BELT PROBLEM-4.jpg">
          <a:extLst>
            <a:ext uri="{FF2B5EF4-FFF2-40B4-BE49-F238E27FC236}">
              <a16:creationId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00750" y="22717125"/>
          <a:ext cx="5438775" cy="3686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46</xdr:row>
      <xdr:rowOff>38100</xdr:rowOff>
    </xdr:from>
    <xdr:to>
      <xdr:col>4</xdr:col>
      <xdr:colOff>419100</xdr:colOff>
      <xdr:row>58</xdr:row>
      <xdr:rowOff>152400</xdr:rowOff>
    </xdr:to>
    <xdr:pic>
      <xdr:nvPicPr>
        <xdr:cNvPr id="15" name="Picture 14" descr="V-BELT SELECTION-00">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5250" y="6172200"/>
          <a:ext cx="4924425"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74</xdr:row>
      <xdr:rowOff>98425</xdr:rowOff>
    </xdr:from>
    <xdr:to>
      <xdr:col>5</xdr:col>
      <xdr:colOff>3175</xdr:colOff>
      <xdr:row>80</xdr:row>
      <xdr:rowOff>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165850" y="5089525"/>
          <a:ext cx="5622925" cy="917575"/>
        </a:xfrm>
        <a:prstGeom prst="rect">
          <a:avLst/>
        </a:prstGeom>
      </xdr:spPr>
    </xdr:pic>
    <xdr:clientData/>
  </xdr:twoCellAnchor>
  <xdr:twoCellAnchor editAs="oneCell">
    <xdr:from>
      <xdr:col>0</xdr:col>
      <xdr:colOff>120650</xdr:colOff>
      <xdr:row>80</xdr:row>
      <xdr:rowOff>76200</xdr:rowOff>
    </xdr:from>
    <xdr:to>
      <xdr:col>4</xdr:col>
      <xdr:colOff>460375</xdr:colOff>
      <xdr:row>86</xdr:row>
      <xdr:rowOff>76200</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153150" y="6083300"/>
          <a:ext cx="4937125" cy="990600"/>
        </a:xfrm>
        <a:prstGeom prst="rect">
          <a:avLst/>
        </a:prstGeom>
      </xdr:spPr>
    </xdr:pic>
    <xdr:clientData/>
  </xdr:twoCellAnchor>
  <xdr:twoCellAnchor editAs="oneCell">
    <xdr:from>
      <xdr:col>0</xdr:col>
      <xdr:colOff>161925</xdr:colOff>
      <xdr:row>88</xdr:row>
      <xdr:rowOff>50800</xdr:rowOff>
    </xdr:from>
    <xdr:to>
      <xdr:col>5</xdr:col>
      <xdr:colOff>165100</xdr:colOff>
      <xdr:row>93</xdr:row>
      <xdr:rowOff>101600</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194425" y="7416800"/>
          <a:ext cx="5756275" cy="876300"/>
        </a:xfrm>
        <a:prstGeom prst="rect">
          <a:avLst/>
        </a:prstGeom>
      </xdr:spPr>
    </xdr:pic>
    <xdr:clientData/>
  </xdr:twoCellAnchor>
  <xdr:twoCellAnchor editAs="oneCell">
    <xdr:from>
      <xdr:col>0</xdr:col>
      <xdr:colOff>657225</xdr:colOff>
      <xdr:row>93</xdr:row>
      <xdr:rowOff>161925</xdr:rowOff>
    </xdr:from>
    <xdr:to>
      <xdr:col>4</xdr:col>
      <xdr:colOff>558800</xdr:colOff>
      <xdr:row>99</xdr:row>
      <xdr:rowOff>53975</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689725" y="8353425"/>
          <a:ext cx="4498975" cy="882650"/>
        </a:xfrm>
        <a:prstGeom prst="rect">
          <a:avLst/>
        </a:prstGeom>
      </xdr:spPr>
    </xdr:pic>
    <xdr:clientData/>
  </xdr:twoCellAnchor>
  <xdr:twoCellAnchor editAs="oneCell">
    <xdr:from>
      <xdr:col>0</xdr:col>
      <xdr:colOff>73025</xdr:colOff>
      <xdr:row>100</xdr:row>
      <xdr:rowOff>6350</xdr:rowOff>
    </xdr:from>
    <xdr:to>
      <xdr:col>5</xdr:col>
      <xdr:colOff>66675</xdr:colOff>
      <xdr:row>105</xdr:row>
      <xdr:rowOff>15875</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105525" y="9353550"/>
          <a:ext cx="5746750" cy="873125"/>
        </a:xfrm>
        <a:prstGeom prst="rect">
          <a:avLst/>
        </a:prstGeom>
      </xdr:spPr>
    </xdr:pic>
    <xdr:clientData/>
  </xdr:twoCellAnchor>
  <xdr:twoCellAnchor editAs="oneCell">
    <xdr:from>
      <xdr:col>0</xdr:col>
      <xdr:colOff>1111250</xdr:colOff>
      <xdr:row>105</xdr:row>
      <xdr:rowOff>95250</xdr:rowOff>
    </xdr:from>
    <xdr:to>
      <xdr:col>4</xdr:col>
      <xdr:colOff>669925</xdr:colOff>
      <xdr:row>111</xdr:row>
      <xdr:rowOff>73025</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143750" y="10306050"/>
          <a:ext cx="4156075" cy="968375"/>
        </a:xfrm>
        <a:prstGeom prst="rect">
          <a:avLst/>
        </a:prstGeom>
      </xdr:spPr>
    </xdr:pic>
    <xdr:clientData/>
  </xdr:twoCellAnchor>
  <xdr:twoCellAnchor editAs="oneCell">
    <xdr:from>
      <xdr:col>5</xdr:col>
      <xdr:colOff>228600</xdr:colOff>
      <xdr:row>211</xdr:row>
      <xdr:rowOff>114300</xdr:rowOff>
    </xdr:from>
    <xdr:to>
      <xdr:col>9</xdr:col>
      <xdr:colOff>85725</xdr:colOff>
      <xdr:row>229</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981700" y="34947225"/>
          <a:ext cx="4200525" cy="2819400"/>
        </a:xfrm>
        <a:prstGeom prst="rect">
          <a:avLst/>
        </a:prstGeom>
      </xdr:spPr>
    </xdr:pic>
    <xdr:clientData/>
  </xdr:twoCellAnchor>
  <xdr:twoCellAnchor editAs="oneCell">
    <xdr:from>
      <xdr:col>9</xdr:col>
      <xdr:colOff>104775</xdr:colOff>
      <xdr:row>211</xdr:row>
      <xdr:rowOff>95250</xdr:rowOff>
    </xdr:from>
    <xdr:to>
      <xdr:col>15</xdr:col>
      <xdr:colOff>256442</xdr:colOff>
      <xdr:row>229</xdr:row>
      <xdr:rowOff>0</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201275" y="34928175"/>
          <a:ext cx="4200525" cy="28384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1828800</xdr:colOff>
      <xdr:row>30</xdr:row>
      <xdr:rowOff>123825</xdr:rowOff>
    </xdr:from>
    <xdr:to>
      <xdr:col>4</xdr:col>
      <xdr:colOff>123825</xdr:colOff>
      <xdr:row>44</xdr:row>
      <xdr:rowOff>120015</xdr:rowOff>
    </xdr:to>
    <xdr:pic>
      <xdr:nvPicPr>
        <xdr:cNvPr id="2" name="Picture 1" descr="PULLEY-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28800" y="5095875"/>
          <a:ext cx="3495675" cy="2263140"/>
        </a:xfrm>
        <a:prstGeom prst="rect">
          <a:avLst/>
        </a:prstGeom>
        <a:noFill/>
        <a:ln w="9525">
          <a:noFill/>
          <a:miter lim="800000"/>
          <a:headEnd/>
          <a:tailEnd/>
        </a:ln>
      </xdr:spPr>
    </xdr:pic>
    <xdr:clientData/>
  </xdr:twoCellAnchor>
  <xdr:twoCellAnchor>
    <xdr:from>
      <xdr:col>0</xdr:col>
      <xdr:colOff>133349</xdr:colOff>
      <xdr:row>29</xdr:row>
      <xdr:rowOff>9525</xdr:rowOff>
    </xdr:from>
    <xdr:to>
      <xdr:col>0</xdr:col>
      <xdr:colOff>1714499</xdr:colOff>
      <xdr:row>44</xdr:row>
      <xdr:rowOff>104776</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5886449" y="6305550"/>
          <a:ext cx="1857375" cy="2533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latin typeface="Arial" pitchFamily="34" charset="0"/>
              <a:cs typeface="Arial" pitchFamily="34" charset="0"/>
            </a:rPr>
            <a:t>Gear Belts                      </a:t>
          </a:r>
          <a:r>
            <a:rPr lang="en-US" sz="1200" b="0">
              <a:latin typeface="Arial" pitchFamily="34" charset="0"/>
              <a:cs typeface="Arial" pitchFamily="34" charset="0"/>
            </a:rPr>
            <a:t>Gear belts also</a:t>
          </a:r>
          <a:r>
            <a:rPr lang="en-US" sz="1200" b="0" baseline="0">
              <a:latin typeface="Arial" pitchFamily="34" charset="0"/>
              <a:cs typeface="Arial" pitchFamily="34" charset="0"/>
            </a:rPr>
            <a:t> known as </a:t>
          </a:r>
          <a:r>
            <a:rPr lang="en-US" sz="1200" b="0" baseline="0">
              <a:solidFill>
                <a:schemeClr val="dk1"/>
              </a:solidFill>
              <a:latin typeface="Arial" pitchFamily="34" charset="0"/>
              <a:ea typeface="+mn-ea"/>
              <a:cs typeface="Arial" pitchFamily="34" charset="0"/>
            </a:rPr>
            <a:t>Timing belts are used in many kinds of machinery and equipment because they easily and efficiently synchronize</a:t>
          </a:r>
        </a:p>
        <a:p>
          <a:r>
            <a:rPr lang="en-US" sz="1200" b="0" baseline="0">
              <a:solidFill>
                <a:schemeClr val="dk1"/>
              </a:solidFill>
              <a:latin typeface="Arial" pitchFamily="34" charset="0"/>
              <a:ea typeface="+mn-ea"/>
              <a:cs typeface="Arial" pitchFamily="34" charset="0"/>
            </a:rPr>
            <a:t>one shaft speed to another. They are ideal for inaccessible drives that require no lubrication and minimal</a:t>
          </a:r>
          <a:endParaRPr lang="en-US" sz="1400">
            <a:latin typeface="Arial" pitchFamily="34" charset="0"/>
            <a:cs typeface="Arial" pitchFamily="34" charset="0"/>
          </a:endParaRPr>
        </a:p>
        <a:p>
          <a:r>
            <a:rPr lang="en-US" sz="1200" b="0" baseline="0">
              <a:solidFill>
                <a:schemeClr val="dk1"/>
              </a:solidFill>
              <a:latin typeface="Arial" pitchFamily="34" charset="0"/>
              <a:ea typeface="+mn-ea"/>
              <a:cs typeface="Arial" pitchFamily="34" charset="0"/>
            </a:rPr>
            <a:t>maintenance.</a:t>
          </a:r>
          <a:endParaRPr lang="en-US" sz="1200" b="0">
            <a:solidFill>
              <a:schemeClr val="dk1"/>
            </a:solidFill>
            <a:latin typeface="Arial" pitchFamily="34" charset="0"/>
            <a:ea typeface="+mn-ea"/>
            <a:cs typeface="Arial" pitchFamily="34" charset="0"/>
          </a:endParaRPr>
        </a:p>
        <a:p>
          <a:r>
            <a:rPr lang="en-US" sz="1200" b="0" baseline="0">
              <a:solidFill>
                <a:schemeClr val="dk1"/>
              </a:solidFill>
              <a:latin typeface="Arial" pitchFamily="34" charset="0"/>
              <a:ea typeface="+mn-ea"/>
              <a:cs typeface="Arial" pitchFamily="34" charset="0"/>
            </a:rPr>
            <a:t>                          </a:t>
          </a:r>
          <a:endParaRPr lang="en-US" sz="1200" b="0">
            <a:latin typeface="Arial" pitchFamily="34" charset="0"/>
            <a:cs typeface="Arial" pitchFamily="34" charset="0"/>
          </a:endParaRPr>
        </a:p>
      </xdr:txBody>
    </xdr:sp>
    <xdr:clientData/>
  </xdr:twoCellAnchor>
  <xdr:twoCellAnchor>
    <xdr:from>
      <xdr:col>0</xdr:col>
      <xdr:colOff>444500</xdr:colOff>
      <xdr:row>5</xdr:row>
      <xdr:rowOff>31750</xdr:rowOff>
    </xdr:from>
    <xdr:to>
      <xdr:col>4</xdr:col>
      <xdr:colOff>762000</xdr:colOff>
      <xdr:row>26</xdr:row>
      <xdr:rowOff>111125</xdr:rowOff>
    </xdr:to>
    <xdr:pic>
      <xdr:nvPicPr>
        <xdr:cNvPr id="4" name="Picture 1" descr="Synch-Pulley&amp;Belt-A">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473825" y="917575"/>
          <a:ext cx="4994275" cy="3546475"/>
        </a:xfrm>
        <a:prstGeom prst="rect">
          <a:avLst/>
        </a:prstGeom>
        <a:noFill/>
        <a:ln w="9525">
          <a:noFill/>
          <a:miter lim="800000"/>
          <a:headEnd/>
          <a:tailEnd/>
        </a:ln>
      </xdr:spPr>
    </xdr:pic>
    <xdr:clientData/>
  </xdr:twoCellAnchor>
  <xdr:twoCellAnchor editAs="oneCell">
    <xdr:from>
      <xdr:col>8</xdr:col>
      <xdr:colOff>252411</xdr:colOff>
      <xdr:row>22</xdr:row>
      <xdr:rowOff>87316</xdr:rowOff>
    </xdr:from>
    <xdr:to>
      <xdr:col>21</xdr:col>
      <xdr:colOff>200025</xdr:colOff>
      <xdr:row>71</xdr:row>
      <xdr:rowOff>143266</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9508930" y="3832422"/>
          <a:ext cx="8085525" cy="7872414"/>
        </a:xfrm>
        <a:prstGeom prst="rect">
          <a:avLst/>
        </a:prstGeom>
      </xdr:spPr>
    </xdr:pic>
    <xdr:clientData/>
  </xdr:twoCellAnchor>
  <xdr:twoCellAnchor editAs="oneCell">
    <xdr:from>
      <xdr:col>5</xdr:col>
      <xdr:colOff>256107</xdr:colOff>
      <xdr:row>22</xdr:row>
      <xdr:rowOff>85726</xdr:rowOff>
    </xdr:from>
    <xdr:to>
      <xdr:col>8</xdr:col>
      <xdr:colOff>266698</xdr:colOff>
      <xdr:row>71</xdr:row>
      <xdr:rowOff>133351</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5400000">
          <a:off x="3752315" y="5962118"/>
          <a:ext cx="8077200" cy="3677716"/>
        </a:xfrm>
        <a:prstGeom prst="rect">
          <a:avLst/>
        </a:prstGeom>
      </xdr:spPr>
    </xdr:pic>
    <xdr:clientData/>
  </xdr:twoCellAnchor>
  <xdr:twoCellAnchor editAs="oneCell">
    <xdr:from>
      <xdr:col>6</xdr:col>
      <xdr:colOff>95250</xdr:colOff>
      <xdr:row>3</xdr:row>
      <xdr:rowOff>57150</xdr:rowOff>
    </xdr:from>
    <xdr:to>
      <xdr:col>6</xdr:col>
      <xdr:colOff>2276475</xdr:colOff>
      <xdr:row>20</xdr:row>
      <xdr:rowOff>114300</xdr:rowOff>
    </xdr:to>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86475" y="581025"/>
          <a:ext cx="2181225" cy="2847975"/>
        </a:xfrm>
        <a:prstGeom prst="rect">
          <a:avLst/>
        </a:prstGeom>
      </xdr:spPr>
    </xdr:pic>
    <xdr:clientData/>
  </xdr:twoCellAnchor>
  <xdr:twoCellAnchor editAs="oneCell">
    <xdr:from>
      <xdr:col>0</xdr:col>
      <xdr:colOff>66675</xdr:colOff>
      <xdr:row>72</xdr:row>
      <xdr:rowOff>47625</xdr:rowOff>
    </xdr:from>
    <xdr:to>
      <xdr:col>6</xdr:col>
      <xdr:colOff>1590675</xdr:colOff>
      <xdr:row>107</xdr:row>
      <xdr:rowOff>47625</xdr:rowOff>
    </xdr:to>
    <xdr:pic>
      <xdr:nvPicPr>
        <xdr:cNvPr id="10" name="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 y="11915775"/>
          <a:ext cx="7629525" cy="5705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ngineering-spreadsheets.co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hopswarf.orconhosting.net.nz/spur.html" TargetMode="External"/><Relationship Id="rId2" Type="http://schemas.openxmlformats.org/officeDocument/2006/relationships/hyperlink" Target="http://en.wikipedia.org/wiki/Involute_gear" TargetMode="External"/><Relationship Id="rId1" Type="http://schemas.openxmlformats.org/officeDocument/2006/relationships/hyperlink" Target="http://www.rushgears.com/?referrer=GoogleGeneralGears&amp;gclid=CP7nssOukaUCFYNl7AodhV9PMQ"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speedreducer.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9"/>
  <sheetViews>
    <sheetView tabSelected="1" workbookViewId="0">
      <selection activeCell="K3" sqref="K3:K4"/>
    </sheetView>
  </sheetViews>
  <sheetFormatPr defaultRowHeight="12.5" x14ac:dyDescent="0.25"/>
  <cols>
    <col min="6" max="6" width="9.90625" bestFit="1" customWidth="1"/>
  </cols>
  <sheetData>
    <row r="1" spans="1:19" ht="25" x14ac:dyDescent="0.5">
      <c r="A1" s="249"/>
      <c r="B1" s="250" t="s">
        <v>892</v>
      </c>
      <c r="C1" s="249"/>
      <c r="D1" s="135"/>
      <c r="E1" s="135"/>
      <c r="F1" s="135"/>
      <c r="G1" s="135"/>
      <c r="H1" s="135"/>
      <c r="I1" s="135"/>
      <c r="J1" s="135"/>
      <c r="K1" s="135"/>
      <c r="L1" s="135"/>
      <c r="M1" s="135"/>
      <c r="N1" s="135"/>
      <c r="O1" s="135"/>
      <c r="P1" s="135"/>
      <c r="Q1" s="135"/>
      <c r="R1" s="135"/>
      <c r="S1" s="135"/>
    </row>
    <row r="2" spans="1:19" x14ac:dyDescent="0.25">
      <c r="J2" s="135"/>
      <c r="K2" s="135"/>
      <c r="L2" s="135"/>
      <c r="M2" s="135"/>
      <c r="N2" s="135"/>
      <c r="O2" s="135"/>
      <c r="P2" s="135"/>
      <c r="Q2" s="135"/>
      <c r="R2" s="135"/>
      <c r="S2" s="135"/>
    </row>
    <row r="3" spans="1:19" ht="21" x14ac:dyDescent="0.5">
      <c r="B3" s="356" t="s">
        <v>1169</v>
      </c>
      <c r="C3" s="356"/>
      <c r="D3" s="356"/>
      <c r="E3" s="357"/>
      <c r="F3" s="352">
        <v>45281</v>
      </c>
      <c r="K3" s="135"/>
      <c r="L3" s="135"/>
      <c r="M3" s="135"/>
      <c r="N3" s="135"/>
      <c r="O3" s="135"/>
      <c r="P3" s="135"/>
      <c r="Q3" s="135"/>
      <c r="R3" s="135"/>
      <c r="S3" s="135"/>
    </row>
    <row r="4" spans="1:19" x14ac:dyDescent="0.25">
      <c r="K4" s="135"/>
      <c r="L4" s="135"/>
      <c r="M4" s="135"/>
      <c r="N4" s="135"/>
      <c r="O4" s="135"/>
      <c r="P4" s="135"/>
      <c r="Q4" s="135"/>
      <c r="R4" s="135"/>
      <c r="S4" s="135"/>
    </row>
    <row r="5" spans="1:19" x14ac:dyDescent="0.25">
      <c r="J5" s="135"/>
      <c r="K5" s="135"/>
      <c r="L5" s="135"/>
      <c r="M5" s="135"/>
      <c r="N5" s="135"/>
      <c r="O5" s="135"/>
      <c r="P5" s="135"/>
      <c r="Q5" s="135"/>
      <c r="R5" s="135"/>
      <c r="S5" s="135"/>
    </row>
    <row r="6" spans="1:19" x14ac:dyDescent="0.25">
      <c r="J6" s="135"/>
      <c r="K6" s="135"/>
      <c r="L6" s="135"/>
      <c r="M6" s="135"/>
      <c r="N6" s="135"/>
      <c r="O6" s="135"/>
      <c r="P6" s="135"/>
      <c r="Q6" s="135"/>
      <c r="R6" s="135"/>
      <c r="S6" s="135"/>
    </row>
    <row r="7" spans="1:19" x14ac:dyDescent="0.25">
      <c r="J7" s="135"/>
      <c r="K7" s="135"/>
      <c r="L7" s="135"/>
      <c r="M7" s="135"/>
      <c r="N7" s="135"/>
      <c r="O7" s="135"/>
      <c r="P7" s="135"/>
      <c r="Q7" s="135"/>
      <c r="R7" s="135"/>
      <c r="S7" s="135"/>
    </row>
    <row r="8" spans="1:19" x14ac:dyDescent="0.25">
      <c r="J8" s="135"/>
      <c r="K8" s="135"/>
      <c r="L8" s="135"/>
      <c r="M8" s="135"/>
      <c r="N8" s="135"/>
      <c r="O8" s="135"/>
      <c r="P8" s="135"/>
      <c r="Q8" s="135"/>
      <c r="R8" s="135"/>
      <c r="S8" s="135"/>
    </row>
    <row r="9" spans="1:19" x14ac:dyDescent="0.25">
      <c r="J9" s="135"/>
      <c r="K9" s="135"/>
      <c r="L9" s="135"/>
      <c r="M9" s="135"/>
      <c r="N9" s="135"/>
      <c r="O9" s="135"/>
      <c r="P9" s="135"/>
      <c r="Q9" s="135"/>
      <c r="R9" s="135"/>
      <c r="S9" s="135"/>
    </row>
    <row r="10" spans="1:19" x14ac:dyDescent="0.25">
      <c r="J10" s="135"/>
      <c r="K10" s="135"/>
      <c r="L10" s="135"/>
      <c r="M10" s="135"/>
      <c r="N10" s="135"/>
      <c r="O10" s="135"/>
      <c r="P10" s="135"/>
      <c r="Q10" s="135"/>
      <c r="R10" s="135"/>
      <c r="S10" s="135"/>
    </row>
    <row r="11" spans="1:19" x14ac:dyDescent="0.25">
      <c r="J11" s="135"/>
      <c r="K11" s="135"/>
      <c r="L11" s="135"/>
      <c r="M11" s="135"/>
      <c r="N11" s="135"/>
      <c r="O11" s="135"/>
      <c r="P11" s="135"/>
      <c r="Q11" s="135"/>
      <c r="R11" s="135"/>
      <c r="S11" s="135"/>
    </row>
    <row r="12" spans="1:19" x14ac:dyDescent="0.25">
      <c r="J12" s="135"/>
      <c r="K12" s="135"/>
      <c r="L12" s="135"/>
      <c r="M12" s="135"/>
      <c r="N12" s="135"/>
      <c r="O12" s="135"/>
      <c r="P12" s="135"/>
      <c r="Q12" s="135"/>
      <c r="R12" s="135"/>
      <c r="S12" s="135"/>
    </row>
    <row r="13" spans="1:19" x14ac:dyDescent="0.25">
      <c r="J13" s="135"/>
      <c r="K13" s="135"/>
      <c r="L13" s="135"/>
      <c r="M13" s="135"/>
      <c r="N13" s="135"/>
      <c r="O13" s="135"/>
      <c r="P13" s="135"/>
      <c r="Q13" s="135"/>
      <c r="R13" s="135"/>
      <c r="S13" s="135"/>
    </row>
    <row r="14" spans="1:19" x14ac:dyDescent="0.25">
      <c r="J14" s="135"/>
      <c r="K14" s="135"/>
      <c r="L14" s="135"/>
      <c r="M14" s="135"/>
      <c r="N14" s="135"/>
      <c r="O14" s="135"/>
      <c r="P14" s="135"/>
      <c r="Q14" s="135"/>
      <c r="R14" s="135"/>
      <c r="S14" s="135"/>
    </row>
    <row r="15" spans="1:19" x14ac:dyDescent="0.25">
      <c r="J15" s="135"/>
      <c r="K15" s="135"/>
      <c r="L15" s="135"/>
      <c r="M15" s="135"/>
      <c r="N15" s="135"/>
      <c r="O15" s="135"/>
      <c r="P15" s="135"/>
      <c r="Q15" s="135"/>
      <c r="R15" s="135"/>
      <c r="S15" s="135"/>
    </row>
    <row r="16" spans="1:19" x14ac:dyDescent="0.25">
      <c r="J16" s="135"/>
      <c r="K16" s="135"/>
      <c r="L16" s="135"/>
      <c r="M16" s="135"/>
      <c r="N16" s="135"/>
      <c r="O16" s="135"/>
      <c r="P16" s="135"/>
      <c r="Q16" s="135"/>
      <c r="R16" s="135"/>
      <c r="S16" s="135"/>
    </row>
    <row r="17" spans="10:19" x14ac:dyDescent="0.25">
      <c r="J17" s="135"/>
      <c r="K17" s="135"/>
      <c r="L17" s="135"/>
      <c r="M17" s="135"/>
      <c r="N17" s="135"/>
      <c r="O17" s="135"/>
      <c r="P17" s="135"/>
      <c r="Q17" s="135"/>
      <c r="R17" s="135"/>
      <c r="S17" s="135"/>
    </row>
    <row r="18" spans="10:19" x14ac:dyDescent="0.25">
      <c r="J18" s="135"/>
      <c r="K18" s="135"/>
      <c r="L18" s="135"/>
      <c r="M18" s="135"/>
      <c r="N18" s="135"/>
      <c r="O18" s="135"/>
      <c r="P18" s="135"/>
      <c r="Q18" s="135"/>
      <c r="R18" s="135"/>
      <c r="S18" s="135"/>
    </row>
    <row r="19" spans="10:19" x14ac:dyDescent="0.25">
      <c r="J19" s="135"/>
      <c r="K19" s="135"/>
      <c r="L19" s="135"/>
      <c r="M19" s="135"/>
      <c r="N19" s="135"/>
      <c r="O19" s="135"/>
      <c r="P19" s="135"/>
      <c r="Q19" s="135"/>
      <c r="R19" s="135"/>
      <c r="S19" s="135"/>
    </row>
    <row r="20" spans="10:19" x14ac:dyDescent="0.25">
      <c r="J20" s="135"/>
      <c r="K20" s="135"/>
      <c r="L20" s="135"/>
      <c r="M20" s="135"/>
      <c r="N20" s="135"/>
      <c r="O20" s="135"/>
      <c r="P20" s="135"/>
      <c r="Q20" s="135"/>
      <c r="R20" s="135"/>
      <c r="S20" s="135"/>
    </row>
    <row r="21" spans="10:19" x14ac:dyDescent="0.25">
      <c r="J21" s="135"/>
      <c r="K21" s="135"/>
      <c r="L21" s="135"/>
      <c r="M21" s="135"/>
      <c r="N21" s="135"/>
      <c r="O21" s="135"/>
      <c r="P21" s="135"/>
      <c r="Q21" s="135"/>
      <c r="R21" s="135"/>
      <c r="S21" s="135"/>
    </row>
    <row r="22" spans="10:19" x14ac:dyDescent="0.25">
      <c r="K22" s="135"/>
      <c r="L22" s="135"/>
      <c r="M22" s="135"/>
      <c r="N22" s="135"/>
      <c r="O22" s="135"/>
      <c r="P22" s="135"/>
      <c r="Q22" s="135"/>
      <c r="R22" s="135"/>
      <c r="S22" s="135"/>
    </row>
    <row r="23" spans="10:19" x14ac:dyDescent="0.25">
      <c r="K23" s="135"/>
      <c r="L23" s="135"/>
      <c r="M23" s="135"/>
      <c r="N23" s="135"/>
      <c r="O23" s="135"/>
      <c r="P23" s="135"/>
      <c r="Q23" s="135"/>
      <c r="R23" s="135"/>
      <c r="S23" s="135"/>
    </row>
    <row r="24" spans="10:19" x14ac:dyDescent="0.25">
      <c r="K24" s="135"/>
      <c r="L24" s="135"/>
      <c r="M24" s="135"/>
      <c r="N24" s="135"/>
      <c r="O24" s="135"/>
      <c r="P24" s="135"/>
      <c r="Q24" s="135"/>
      <c r="R24" s="135"/>
      <c r="S24" s="135"/>
    </row>
    <row r="25" spans="10:19" x14ac:dyDescent="0.25">
      <c r="K25" s="135"/>
      <c r="L25" s="135"/>
      <c r="M25" s="135"/>
      <c r="N25" s="135"/>
      <c r="O25" s="135"/>
      <c r="P25" s="135"/>
      <c r="Q25" s="135"/>
      <c r="R25" s="135"/>
      <c r="S25" s="135"/>
    </row>
    <row r="26" spans="10:19" x14ac:dyDescent="0.25">
      <c r="K26" s="135"/>
      <c r="L26" s="135"/>
      <c r="M26" s="135"/>
      <c r="N26" s="135"/>
      <c r="O26" s="135"/>
      <c r="P26" s="135"/>
      <c r="Q26" s="135"/>
      <c r="R26" s="135"/>
      <c r="S26" s="135"/>
    </row>
    <row r="27" spans="10:19" x14ac:dyDescent="0.25">
      <c r="K27" s="135"/>
      <c r="L27" s="135"/>
      <c r="M27" s="135"/>
      <c r="N27" s="135"/>
      <c r="O27" s="135"/>
      <c r="P27" s="135"/>
      <c r="Q27" s="135"/>
      <c r="R27" s="135"/>
      <c r="S27" s="135"/>
    </row>
    <row r="28" spans="10:19" x14ac:dyDescent="0.25">
      <c r="K28" s="135"/>
      <c r="L28" s="135"/>
      <c r="M28" s="135"/>
      <c r="N28" s="135"/>
      <c r="O28" s="135"/>
      <c r="P28" s="135"/>
      <c r="Q28" s="135"/>
      <c r="R28" s="135"/>
      <c r="S28" s="135"/>
    </row>
    <row r="29" spans="10:19" x14ac:dyDescent="0.25">
      <c r="K29" s="135"/>
      <c r="L29" s="135"/>
      <c r="M29" s="135"/>
      <c r="N29" s="135"/>
      <c r="O29" s="135"/>
      <c r="P29" s="135"/>
      <c r="Q29" s="135"/>
      <c r="R29" s="135"/>
      <c r="S29" s="135"/>
    </row>
    <row r="30" spans="10:19" x14ac:dyDescent="0.25">
      <c r="K30" s="135"/>
      <c r="L30" s="135"/>
      <c r="M30" s="135"/>
      <c r="N30" s="135"/>
      <c r="O30" s="135"/>
      <c r="P30" s="135"/>
      <c r="Q30" s="135"/>
      <c r="R30" s="135"/>
      <c r="S30" s="135"/>
    </row>
    <row r="31" spans="10:19" x14ac:dyDescent="0.25">
      <c r="K31" s="135"/>
      <c r="L31" s="135"/>
      <c r="M31" s="135"/>
      <c r="N31" s="135"/>
      <c r="O31" s="135"/>
      <c r="P31" s="135"/>
      <c r="Q31" s="135"/>
      <c r="R31" s="135"/>
      <c r="S31" s="135"/>
    </row>
    <row r="32" spans="10:19" x14ac:dyDescent="0.25">
      <c r="K32" s="135"/>
      <c r="L32" s="135"/>
      <c r="M32" s="135"/>
      <c r="N32" s="135"/>
      <c r="O32" s="135"/>
      <c r="P32" s="135"/>
      <c r="Q32" s="135"/>
      <c r="R32" s="135"/>
      <c r="S32" s="135"/>
    </row>
    <row r="33" spans="2:19" x14ac:dyDescent="0.25">
      <c r="K33" s="135"/>
      <c r="L33" s="135"/>
      <c r="M33" s="135"/>
      <c r="N33" s="135"/>
      <c r="O33" s="135"/>
      <c r="P33" s="135"/>
      <c r="Q33" s="135"/>
      <c r="R33" s="135"/>
      <c r="S33" s="135"/>
    </row>
    <row r="34" spans="2:19" x14ac:dyDescent="0.25">
      <c r="K34" s="135"/>
      <c r="L34" s="135"/>
      <c r="M34" s="135"/>
      <c r="N34" s="135"/>
      <c r="O34" s="135"/>
      <c r="P34" s="135"/>
      <c r="Q34" s="135"/>
      <c r="R34" s="135"/>
      <c r="S34" s="135"/>
    </row>
    <row r="35" spans="2:19" x14ac:dyDescent="0.25">
      <c r="K35" s="135"/>
      <c r="L35" s="135"/>
      <c r="M35" s="135"/>
      <c r="N35" s="135"/>
      <c r="O35" s="135"/>
      <c r="P35" s="135"/>
      <c r="Q35" s="135"/>
      <c r="R35" s="135"/>
      <c r="S35" s="135"/>
    </row>
    <row r="36" spans="2:19" x14ac:dyDescent="0.25">
      <c r="K36" s="135"/>
      <c r="L36" s="135"/>
      <c r="M36" s="135"/>
      <c r="N36" s="135"/>
      <c r="O36" s="135"/>
      <c r="P36" s="135"/>
      <c r="Q36" s="135"/>
      <c r="R36" s="135"/>
      <c r="S36" s="135"/>
    </row>
    <row r="37" spans="2:19" x14ac:dyDescent="0.25">
      <c r="K37" s="135"/>
      <c r="L37" s="135"/>
      <c r="M37" s="135"/>
      <c r="N37" s="135"/>
      <c r="O37" s="135"/>
      <c r="P37" s="135"/>
      <c r="Q37" s="135"/>
      <c r="R37" s="135"/>
      <c r="S37" s="135"/>
    </row>
    <row r="38" spans="2:19" x14ac:dyDescent="0.25">
      <c r="K38" s="135"/>
      <c r="L38" s="135"/>
      <c r="M38" s="135"/>
      <c r="N38" s="135"/>
      <c r="O38" s="135"/>
      <c r="P38" s="135"/>
      <c r="Q38" s="135"/>
      <c r="R38" s="135"/>
      <c r="S38" s="135"/>
    </row>
    <row r="39" spans="2:19" x14ac:dyDescent="0.25">
      <c r="K39" s="135"/>
      <c r="L39" s="135"/>
      <c r="M39" s="135"/>
      <c r="N39" s="135"/>
      <c r="O39" s="135"/>
      <c r="P39" s="135"/>
      <c r="Q39" s="135"/>
      <c r="R39" s="135"/>
      <c r="S39" s="135"/>
    </row>
    <row r="40" spans="2:19" x14ac:dyDescent="0.25">
      <c r="K40" s="135"/>
      <c r="L40" s="135"/>
      <c r="M40" s="135"/>
      <c r="N40" s="135"/>
      <c r="O40" s="135"/>
      <c r="P40" s="135"/>
      <c r="Q40" s="135"/>
      <c r="R40" s="135"/>
      <c r="S40" s="135"/>
    </row>
    <row r="41" spans="2:19" ht="13" x14ac:dyDescent="0.3">
      <c r="B41" s="251" t="s">
        <v>803</v>
      </c>
      <c r="K41" s="135"/>
      <c r="L41" s="135"/>
      <c r="M41" s="135"/>
      <c r="N41" s="135"/>
      <c r="O41" s="135"/>
      <c r="P41" s="135"/>
      <c r="Q41" s="135"/>
      <c r="R41" s="135"/>
      <c r="S41" s="135"/>
    </row>
    <row r="42" spans="2:19" ht="13" x14ac:dyDescent="0.3">
      <c r="B42" s="10" t="s">
        <v>804</v>
      </c>
      <c r="K42" s="135"/>
      <c r="L42" s="135"/>
      <c r="M42" s="135"/>
      <c r="N42" s="135"/>
      <c r="O42" s="135"/>
      <c r="P42" s="135"/>
      <c r="Q42" s="135"/>
      <c r="R42" s="135"/>
      <c r="S42" s="135"/>
    </row>
    <row r="43" spans="2:19" ht="13" x14ac:dyDescent="0.3">
      <c r="B43" s="251" t="s">
        <v>893</v>
      </c>
      <c r="K43" s="135"/>
      <c r="L43" s="135"/>
      <c r="M43" s="135"/>
      <c r="N43" s="135"/>
      <c r="O43" s="135"/>
      <c r="P43" s="135"/>
      <c r="Q43" s="135"/>
      <c r="R43" s="135"/>
      <c r="S43" s="135"/>
    </row>
    <row r="44" spans="2:19" ht="13" x14ac:dyDescent="0.3">
      <c r="B44" s="251" t="s">
        <v>805</v>
      </c>
      <c r="K44" s="135"/>
      <c r="L44" s="135"/>
      <c r="M44" s="135"/>
      <c r="N44" s="135"/>
      <c r="O44" s="135"/>
      <c r="P44" s="135"/>
      <c r="Q44" s="135"/>
      <c r="R44" s="135"/>
      <c r="S44" s="135"/>
    </row>
    <row r="45" spans="2:19" ht="13" x14ac:dyDescent="0.3">
      <c r="B45" s="251" t="s">
        <v>806</v>
      </c>
      <c r="K45" s="135"/>
      <c r="L45" s="135"/>
      <c r="M45" s="135"/>
      <c r="N45" s="135"/>
      <c r="O45" s="135"/>
      <c r="P45" s="135"/>
      <c r="Q45" s="135"/>
      <c r="R45" s="135"/>
      <c r="S45" s="135"/>
    </row>
    <row r="46" spans="2:19" ht="13" x14ac:dyDescent="0.3">
      <c r="B46" s="252" t="s">
        <v>807</v>
      </c>
      <c r="K46" s="135"/>
      <c r="L46" s="135"/>
      <c r="M46" s="135"/>
      <c r="N46" s="135"/>
      <c r="O46" s="135"/>
      <c r="P46" s="135"/>
      <c r="Q46" s="135"/>
      <c r="R46" s="135"/>
      <c r="S46" s="135"/>
    </row>
    <row r="47" spans="2:19" x14ac:dyDescent="0.25">
      <c r="K47" s="135"/>
      <c r="L47" s="135"/>
      <c r="M47" s="135"/>
      <c r="N47" s="135"/>
      <c r="O47" s="135"/>
      <c r="P47" s="135"/>
      <c r="Q47" s="135"/>
      <c r="R47" s="135"/>
      <c r="S47" s="135"/>
    </row>
    <row r="48" spans="2:19" x14ac:dyDescent="0.25">
      <c r="K48" s="135"/>
      <c r="L48" s="135"/>
      <c r="M48" s="135"/>
      <c r="N48" s="135"/>
      <c r="O48" s="135"/>
      <c r="P48" s="135"/>
      <c r="Q48" s="135"/>
      <c r="R48" s="135"/>
      <c r="S48" s="135"/>
    </row>
    <row r="49" spans="11:19" x14ac:dyDescent="0.25">
      <c r="K49" s="135"/>
      <c r="L49" s="135"/>
      <c r="M49" s="135"/>
      <c r="N49" s="135"/>
      <c r="O49" s="135"/>
      <c r="P49" s="135"/>
      <c r="Q49" s="135"/>
      <c r="R49" s="135"/>
      <c r="S49" s="135"/>
    </row>
    <row r="50" spans="11:19" x14ac:dyDescent="0.25">
      <c r="K50" s="135"/>
      <c r="L50" s="135"/>
      <c r="M50" s="135"/>
      <c r="N50" s="135"/>
      <c r="O50" s="135"/>
      <c r="P50" s="135"/>
      <c r="Q50" s="135"/>
      <c r="R50" s="135"/>
      <c r="S50" s="135"/>
    </row>
    <row r="51" spans="11:19" x14ac:dyDescent="0.25">
      <c r="K51" s="135"/>
      <c r="L51" s="135"/>
      <c r="M51" s="135"/>
      <c r="N51" s="135"/>
      <c r="O51" s="135"/>
      <c r="P51" s="135"/>
      <c r="Q51" s="135"/>
      <c r="R51" s="135"/>
      <c r="S51" s="135"/>
    </row>
    <row r="52" spans="11:19" x14ac:dyDescent="0.25">
      <c r="K52" s="135"/>
      <c r="L52" s="135"/>
      <c r="M52" s="135"/>
      <c r="N52" s="135"/>
      <c r="O52" s="135"/>
      <c r="P52" s="135"/>
      <c r="Q52" s="135"/>
      <c r="R52" s="135"/>
      <c r="S52" s="135"/>
    </row>
    <row r="53" spans="11:19" x14ac:dyDescent="0.25">
      <c r="K53" s="135"/>
      <c r="L53" s="135"/>
      <c r="M53" s="135"/>
      <c r="N53" s="135"/>
      <c r="O53" s="135"/>
      <c r="P53" s="135"/>
      <c r="Q53" s="135"/>
      <c r="R53" s="135"/>
      <c r="S53" s="135"/>
    </row>
    <row r="54" spans="11:19" x14ac:dyDescent="0.25">
      <c r="K54" s="135"/>
      <c r="L54" s="135"/>
      <c r="M54" s="135"/>
      <c r="N54" s="135"/>
      <c r="O54" s="135"/>
      <c r="P54" s="135"/>
      <c r="Q54" s="135"/>
      <c r="R54" s="135"/>
      <c r="S54" s="135"/>
    </row>
    <row r="55" spans="11:19" x14ac:dyDescent="0.25">
      <c r="K55" s="135"/>
      <c r="L55" s="135"/>
      <c r="M55" s="135"/>
      <c r="N55" s="135"/>
      <c r="O55" s="135"/>
      <c r="P55" s="135"/>
      <c r="Q55" s="135"/>
      <c r="R55" s="135"/>
      <c r="S55" s="135"/>
    </row>
    <row r="56" spans="11:19" x14ac:dyDescent="0.25">
      <c r="K56" s="135"/>
      <c r="L56" s="135"/>
      <c r="M56" s="135"/>
      <c r="N56" s="135"/>
      <c r="O56" s="135"/>
      <c r="P56" s="135"/>
      <c r="Q56" s="135"/>
      <c r="R56" s="135"/>
      <c r="S56" s="135"/>
    </row>
    <row r="57" spans="11:19" x14ac:dyDescent="0.25">
      <c r="K57" s="135"/>
      <c r="L57" s="135"/>
      <c r="M57" s="135"/>
      <c r="N57" s="135"/>
      <c r="O57" s="135"/>
      <c r="P57" s="135"/>
      <c r="Q57" s="135"/>
      <c r="R57" s="135"/>
      <c r="S57" s="135"/>
    </row>
    <row r="58" spans="11:19" x14ac:dyDescent="0.25">
      <c r="K58" s="135"/>
      <c r="L58" s="135"/>
      <c r="M58" s="135"/>
      <c r="N58" s="135"/>
      <c r="O58" s="135"/>
      <c r="P58" s="135"/>
      <c r="Q58" s="135"/>
      <c r="R58" s="135"/>
      <c r="S58" s="135"/>
    </row>
    <row r="59" spans="11:19" x14ac:dyDescent="0.25">
      <c r="K59" s="135"/>
      <c r="L59" s="135"/>
      <c r="M59" s="135"/>
      <c r="N59" s="135"/>
      <c r="O59" s="135"/>
      <c r="P59" s="135"/>
      <c r="Q59" s="135"/>
      <c r="R59" s="135"/>
      <c r="S59" s="135"/>
    </row>
    <row r="60" spans="11:19" x14ac:dyDescent="0.25">
      <c r="K60" s="135"/>
      <c r="L60" s="135"/>
      <c r="M60" s="135"/>
      <c r="N60" s="135"/>
      <c r="O60" s="135"/>
      <c r="P60" s="135"/>
      <c r="Q60" s="135"/>
      <c r="R60" s="135"/>
      <c r="S60" s="135"/>
    </row>
    <row r="61" spans="11:19" x14ac:dyDescent="0.25">
      <c r="K61" s="135"/>
      <c r="L61" s="135"/>
      <c r="M61" s="135"/>
      <c r="N61" s="135"/>
      <c r="O61" s="135"/>
      <c r="P61" s="135"/>
      <c r="Q61" s="135"/>
      <c r="R61" s="135"/>
      <c r="S61" s="135"/>
    </row>
    <row r="62" spans="11:19" x14ac:dyDescent="0.25">
      <c r="K62" s="135"/>
      <c r="L62" s="135"/>
      <c r="M62" s="135"/>
      <c r="N62" s="135"/>
      <c r="O62" s="135"/>
      <c r="P62" s="135"/>
      <c r="Q62" s="135"/>
      <c r="R62" s="135"/>
      <c r="S62" s="135"/>
    </row>
    <row r="63" spans="11:19" x14ac:dyDescent="0.25">
      <c r="K63" s="135"/>
      <c r="L63" s="135"/>
      <c r="M63" s="135"/>
      <c r="N63" s="135"/>
      <c r="O63" s="135"/>
      <c r="P63" s="135"/>
      <c r="Q63" s="135"/>
      <c r="R63" s="135"/>
      <c r="S63" s="135"/>
    </row>
    <row r="64" spans="11:19" x14ac:dyDescent="0.25">
      <c r="K64" s="135"/>
      <c r="L64" s="135"/>
      <c r="M64" s="135"/>
      <c r="N64" s="135"/>
      <c r="O64" s="135"/>
      <c r="P64" s="135"/>
      <c r="Q64" s="135"/>
      <c r="R64" s="135"/>
      <c r="S64" s="135"/>
    </row>
    <row r="65" spans="2:19" x14ac:dyDescent="0.25">
      <c r="K65" s="135"/>
      <c r="L65" s="135"/>
      <c r="M65" s="135"/>
      <c r="N65" s="135"/>
      <c r="O65" s="135"/>
      <c r="P65" s="135"/>
      <c r="Q65" s="135"/>
      <c r="R65" s="135"/>
      <c r="S65" s="135"/>
    </row>
    <row r="66" spans="2:19" x14ac:dyDescent="0.25">
      <c r="K66" s="135"/>
      <c r="L66" s="135"/>
      <c r="M66" s="135"/>
      <c r="N66" s="135"/>
      <c r="O66" s="135"/>
      <c r="P66" s="135"/>
      <c r="Q66" s="135"/>
      <c r="R66" s="135"/>
      <c r="S66" s="135"/>
    </row>
    <row r="67" spans="2:19" x14ac:dyDescent="0.25">
      <c r="K67" s="135"/>
      <c r="L67" s="135"/>
      <c r="M67" s="135"/>
      <c r="N67" s="135"/>
      <c r="O67" s="135"/>
      <c r="P67" s="135"/>
      <c r="Q67" s="135"/>
      <c r="R67" s="135"/>
      <c r="S67" s="135"/>
    </row>
    <row r="68" spans="2:19" x14ac:dyDescent="0.25">
      <c r="K68" s="135"/>
      <c r="L68" s="135"/>
      <c r="M68" s="135"/>
      <c r="N68" s="135"/>
      <c r="O68" s="135"/>
      <c r="P68" s="135"/>
      <c r="Q68" s="135"/>
      <c r="R68" s="135"/>
      <c r="S68" s="135"/>
    </row>
    <row r="69" spans="2:19" x14ac:dyDescent="0.25">
      <c r="B69" s="135"/>
      <c r="C69" s="135"/>
      <c r="D69" s="135"/>
      <c r="E69" s="135"/>
      <c r="F69" s="135"/>
      <c r="K69" s="135"/>
      <c r="L69" s="135"/>
      <c r="M69" s="135"/>
      <c r="N69" s="135"/>
      <c r="O69" s="135"/>
      <c r="P69" s="135"/>
      <c r="Q69" s="135"/>
      <c r="R69" s="135"/>
      <c r="S69" s="135"/>
    </row>
    <row r="70" spans="2:19" x14ac:dyDescent="0.25">
      <c r="K70" s="135"/>
      <c r="L70" s="135"/>
      <c r="M70" s="135"/>
      <c r="N70" s="135"/>
      <c r="O70" s="135"/>
      <c r="P70" s="135"/>
      <c r="Q70" s="135"/>
      <c r="R70" s="135"/>
      <c r="S70" s="135"/>
    </row>
    <row r="71" spans="2:19" x14ac:dyDescent="0.25">
      <c r="K71" s="135"/>
      <c r="L71" s="135"/>
      <c r="M71" s="135"/>
      <c r="N71" s="135"/>
      <c r="O71" s="135"/>
      <c r="P71" s="135"/>
      <c r="Q71" s="135"/>
      <c r="R71" s="135"/>
      <c r="S71" s="135"/>
    </row>
    <row r="72" spans="2:19" x14ac:dyDescent="0.25">
      <c r="K72" s="135"/>
      <c r="L72" s="135"/>
      <c r="M72" s="135"/>
      <c r="N72" s="135"/>
      <c r="O72" s="135"/>
      <c r="P72" s="135"/>
      <c r="Q72" s="135"/>
      <c r="R72" s="135"/>
      <c r="S72" s="135"/>
    </row>
    <row r="73" spans="2:19" x14ac:dyDescent="0.25">
      <c r="K73" s="135"/>
      <c r="L73" s="135"/>
      <c r="M73" s="135"/>
      <c r="N73" s="135"/>
      <c r="O73" s="135"/>
      <c r="P73" s="135"/>
      <c r="Q73" s="135"/>
      <c r="R73" s="135"/>
      <c r="S73" s="135"/>
    </row>
    <row r="74" spans="2:19" x14ac:dyDescent="0.25">
      <c r="K74" s="135"/>
      <c r="L74" s="135"/>
      <c r="M74" s="135"/>
      <c r="N74" s="135"/>
      <c r="O74" s="135"/>
      <c r="P74" s="135"/>
      <c r="Q74" s="135"/>
      <c r="R74" s="135"/>
      <c r="S74" s="135"/>
    </row>
    <row r="75" spans="2:19" x14ac:dyDescent="0.25">
      <c r="K75" s="135"/>
      <c r="L75" s="135"/>
      <c r="M75" s="135"/>
      <c r="N75" s="135"/>
      <c r="O75" s="135"/>
      <c r="P75" s="135"/>
      <c r="Q75" s="135"/>
      <c r="R75" s="135"/>
      <c r="S75" s="135"/>
    </row>
    <row r="76" spans="2:19" x14ac:dyDescent="0.25">
      <c r="K76" s="135"/>
      <c r="L76" s="135"/>
      <c r="M76" s="135"/>
      <c r="N76" s="135"/>
      <c r="O76" s="135"/>
      <c r="P76" s="135"/>
      <c r="Q76" s="135"/>
      <c r="R76" s="135"/>
      <c r="S76" s="135"/>
    </row>
    <row r="77" spans="2:19" x14ac:dyDescent="0.25">
      <c r="K77" s="135"/>
      <c r="L77" s="135"/>
      <c r="M77" s="135"/>
      <c r="N77" s="135"/>
      <c r="O77" s="135"/>
      <c r="P77" s="135"/>
      <c r="Q77" s="135"/>
      <c r="R77" s="135"/>
      <c r="S77" s="135"/>
    </row>
    <row r="78" spans="2:19" x14ac:dyDescent="0.25">
      <c r="K78" s="135"/>
      <c r="L78" s="135"/>
      <c r="M78" s="135"/>
      <c r="N78" s="135"/>
      <c r="O78" s="135"/>
      <c r="P78" s="135"/>
      <c r="Q78" s="135"/>
      <c r="R78" s="135"/>
      <c r="S78" s="135"/>
    </row>
    <row r="79" spans="2:19" x14ac:dyDescent="0.25">
      <c r="K79" s="135"/>
      <c r="L79" s="135"/>
      <c r="M79" s="135"/>
      <c r="N79" s="135"/>
      <c r="O79" s="135"/>
      <c r="P79" s="135"/>
      <c r="Q79" s="135"/>
      <c r="R79" s="135"/>
      <c r="S79" s="135"/>
    </row>
  </sheetData>
  <sheetProtection sheet="1" objects="1" scenarios="1" formatCells="0" selectLockedCells="1"/>
  <hyperlinks>
    <hyperlink ref="B1" r:id="rId1" xr:uid="{00000000-0004-0000-0000-000000000000}"/>
  </hyperlinks>
  <pageMargins left="0.7" right="0.7" top="0.75" bottom="0.75" header="0.3" footer="0.3"/>
  <pageSetup paperSize="24" orientation="portrait" horizont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B608"/>
  <sheetViews>
    <sheetView zoomScaleNormal="100" workbookViewId="0">
      <selection activeCell="H1" sqref="H1"/>
    </sheetView>
  </sheetViews>
  <sheetFormatPr defaultRowHeight="12.5" x14ac:dyDescent="0.25"/>
  <cols>
    <col min="1" max="1" width="4.453125" customWidth="1"/>
    <col min="2" max="2" width="40.81640625" customWidth="1"/>
    <col min="3" max="3" width="18.26953125" customWidth="1"/>
    <col min="4" max="4" width="11" style="8" customWidth="1"/>
    <col min="5" max="5" width="10" customWidth="1"/>
    <col min="6" max="6" width="3.26953125" customWidth="1"/>
    <col min="7" max="7" width="16.1796875" customWidth="1"/>
    <col min="8" max="8" width="28.54296875" customWidth="1"/>
    <col min="9" max="9" width="19.1796875" customWidth="1"/>
    <col min="10" max="10" width="18.1796875" customWidth="1"/>
  </cols>
  <sheetData>
    <row r="1" spans="2:14" ht="15.5" x14ac:dyDescent="0.35">
      <c r="B1" s="144" t="s">
        <v>1171</v>
      </c>
      <c r="D1" s="10"/>
      <c r="E1" s="162"/>
      <c r="G1" s="4" t="s">
        <v>201</v>
      </c>
      <c r="H1" s="136"/>
      <c r="I1" s="139"/>
      <c r="J1" s="135"/>
      <c r="K1" s="135"/>
      <c r="L1" s="135"/>
      <c r="M1" s="135"/>
      <c r="N1" s="135"/>
    </row>
    <row r="2" spans="2:14" x14ac:dyDescent="0.25">
      <c r="B2" s="66" t="s">
        <v>801</v>
      </c>
      <c r="E2" s="8"/>
      <c r="H2" s="136"/>
      <c r="I2" s="139"/>
      <c r="J2" s="135"/>
      <c r="K2" s="135"/>
      <c r="L2" s="135"/>
      <c r="M2" s="135"/>
      <c r="N2" s="135"/>
    </row>
    <row r="3" spans="2:14" x14ac:dyDescent="0.25">
      <c r="B3" t="s">
        <v>1059</v>
      </c>
      <c r="E3" s="8"/>
      <c r="H3" s="136"/>
      <c r="I3" s="139"/>
      <c r="J3" s="135"/>
      <c r="K3" s="135"/>
      <c r="L3" s="135"/>
      <c r="M3" s="135"/>
      <c r="N3" s="135"/>
    </row>
    <row r="4" spans="2:14" x14ac:dyDescent="0.25">
      <c r="B4" s="44" t="s">
        <v>1121</v>
      </c>
      <c r="C4" s="3"/>
      <c r="E4" s="8"/>
      <c r="G4" s="1"/>
      <c r="H4" s="136"/>
      <c r="I4" s="139"/>
      <c r="J4" s="135"/>
      <c r="K4" s="135"/>
      <c r="L4" s="135"/>
      <c r="M4" s="135"/>
      <c r="N4" s="135"/>
    </row>
    <row r="5" spans="2:14" ht="15.5" x14ac:dyDescent="0.35">
      <c r="B5" s="68" t="s">
        <v>1060</v>
      </c>
      <c r="C5" s="3"/>
      <c r="E5" s="8"/>
      <c r="G5" s="1"/>
      <c r="H5" s="136"/>
      <c r="I5" s="139"/>
      <c r="J5" s="135"/>
      <c r="K5" s="135"/>
      <c r="L5" s="135"/>
      <c r="M5" s="135"/>
      <c r="N5" s="135"/>
    </row>
    <row r="6" spans="2:14" x14ac:dyDescent="0.25">
      <c r="C6" s="3"/>
      <c r="E6" s="8"/>
      <c r="G6" s="1"/>
      <c r="H6" s="136"/>
      <c r="I6" s="139"/>
      <c r="J6" s="135"/>
      <c r="K6" s="135"/>
      <c r="L6" s="135"/>
      <c r="M6" s="135"/>
      <c r="N6" s="135"/>
    </row>
    <row r="7" spans="2:14" ht="13" x14ac:dyDescent="0.3">
      <c r="B7" s="10" t="s">
        <v>148</v>
      </c>
      <c r="C7" s="3"/>
      <c r="E7" s="8"/>
      <c r="G7" s="1"/>
      <c r="H7" s="136"/>
      <c r="I7" s="139"/>
      <c r="J7" s="135"/>
      <c r="K7" s="135"/>
      <c r="L7" s="135"/>
      <c r="M7" s="135"/>
      <c r="N7" s="135"/>
    </row>
    <row r="8" spans="2:14" x14ac:dyDescent="0.25">
      <c r="B8" s="8" t="s">
        <v>150</v>
      </c>
      <c r="C8" s="3"/>
      <c r="E8" s="8"/>
      <c r="G8" s="1"/>
      <c r="H8" s="136"/>
      <c r="I8" s="139"/>
      <c r="J8" s="135"/>
      <c r="K8" s="135"/>
      <c r="L8" s="135"/>
      <c r="M8" s="135"/>
      <c r="N8" s="135"/>
    </row>
    <row r="9" spans="2:14" x14ac:dyDescent="0.25">
      <c r="B9" s="8" t="s">
        <v>408</v>
      </c>
      <c r="C9" s="3"/>
      <c r="E9" s="8"/>
      <c r="G9" s="1"/>
      <c r="H9" s="136"/>
      <c r="I9" s="139"/>
      <c r="J9" s="135"/>
      <c r="K9" s="135"/>
      <c r="L9" s="135"/>
      <c r="M9" s="135"/>
      <c r="N9" s="135"/>
    </row>
    <row r="10" spans="2:14" ht="13" x14ac:dyDescent="0.3">
      <c r="B10" s="10" t="s">
        <v>151</v>
      </c>
      <c r="C10" s="3"/>
      <c r="E10" s="8"/>
      <c r="G10" s="1"/>
      <c r="H10" s="136"/>
      <c r="I10" s="139" t="s">
        <v>201</v>
      </c>
      <c r="J10" s="135"/>
      <c r="K10" s="135"/>
      <c r="L10" s="135"/>
      <c r="M10" s="135"/>
      <c r="N10" s="135"/>
    </row>
    <row r="11" spans="2:14" x14ac:dyDescent="0.25">
      <c r="B11" t="s">
        <v>152</v>
      </c>
      <c r="C11" s="3"/>
      <c r="E11" s="8"/>
      <c r="G11" s="1"/>
      <c r="H11" s="136"/>
      <c r="I11" s="139"/>
      <c r="J11" s="135"/>
      <c r="K11" s="135"/>
      <c r="L11" s="135"/>
      <c r="M11" s="135"/>
      <c r="N11" s="135"/>
    </row>
    <row r="12" spans="2:14" x14ac:dyDescent="0.25">
      <c r="C12" s="3"/>
      <c r="E12" s="8"/>
      <c r="G12" s="1"/>
      <c r="H12" s="136"/>
      <c r="I12" s="139"/>
      <c r="J12" s="135"/>
      <c r="K12" s="135"/>
      <c r="L12" s="135"/>
      <c r="M12" s="135"/>
      <c r="N12" s="135"/>
    </row>
    <row r="13" spans="2:14" ht="13" x14ac:dyDescent="0.3">
      <c r="B13" s="254" t="s">
        <v>1061</v>
      </c>
      <c r="C13" s="3"/>
      <c r="E13" s="8"/>
      <c r="G13" s="1"/>
      <c r="H13" s="136"/>
      <c r="I13" s="139"/>
      <c r="J13" s="135"/>
      <c r="K13" s="135"/>
      <c r="L13" s="135"/>
      <c r="M13" s="135"/>
      <c r="N13" s="135"/>
    </row>
    <row r="14" spans="2:14" ht="25" x14ac:dyDescent="0.25">
      <c r="B14" s="306" t="s">
        <v>1057</v>
      </c>
      <c r="C14" s="3"/>
      <c r="E14" s="8"/>
      <c r="G14" s="1"/>
      <c r="H14" s="136"/>
      <c r="I14" s="139"/>
      <c r="J14" s="135"/>
      <c r="K14" s="135"/>
      <c r="L14" s="135"/>
      <c r="M14" s="135"/>
      <c r="N14" s="135"/>
    </row>
    <row r="15" spans="2:14" ht="15.5" x14ac:dyDescent="0.35">
      <c r="B15" s="254" t="s">
        <v>1062</v>
      </c>
      <c r="C15" s="3"/>
      <c r="E15" s="8"/>
      <c r="G15" s="1"/>
      <c r="I15" s="302" t="s">
        <v>1065</v>
      </c>
      <c r="J15" s="135"/>
      <c r="K15" s="135"/>
      <c r="L15" s="135"/>
      <c r="M15" s="135"/>
      <c r="N15" s="135"/>
    </row>
    <row r="16" spans="2:14" ht="25" x14ac:dyDescent="0.25">
      <c r="B16" s="306" t="s">
        <v>1058</v>
      </c>
      <c r="C16" s="3"/>
      <c r="E16" s="8"/>
      <c r="G16" s="1"/>
      <c r="H16" s="333"/>
      <c r="I16" s="334" t="s">
        <v>1066</v>
      </c>
      <c r="J16" s="135"/>
      <c r="K16" s="135"/>
      <c r="L16" s="135"/>
      <c r="M16" s="135"/>
      <c r="N16" s="135"/>
    </row>
    <row r="17" spans="2:14" ht="13" x14ac:dyDescent="0.25">
      <c r="B17" s="308" t="s">
        <v>1063</v>
      </c>
      <c r="C17" s="3"/>
      <c r="E17" s="8"/>
      <c r="G17" s="1"/>
      <c r="H17" s="136"/>
      <c r="I17" s="139"/>
      <c r="J17" s="135"/>
      <c r="K17" s="135"/>
      <c r="L17" s="135"/>
      <c r="M17" s="135"/>
      <c r="N17" s="135"/>
    </row>
    <row r="18" spans="2:14" x14ac:dyDescent="0.25">
      <c r="B18" s="44" t="s">
        <v>1064</v>
      </c>
      <c r="E18" s="8"/>
      <c r="G18" s="1"/>
      <c r="H18" s="136"/>
      <c r="I18" s="139"/>
      <c r="J18" s="135"/>
      <c r="K18" s="135"/>
      <c r="L18" s="135"/>
      <c r="M18" s="135"/>
      <c r="N18" s="135"/>
    </row>
    <row r="19" spans="2:14" ht="15.5" x14ac:dyDescent="0.35">
      <c r="B19" s="82" t="s">
        <v>1126</v>
      </c>
      <c r="E19" s="8"/>
      <c r="H19" s="82" t="s">
        <v>1124</v>
      </c>
      <c r="J19" s="8"/>
      <c r="K19" s="8"/>
      <c r="M19" s="1"/>
      <c r="N19" s="135"/>
    </row>
    <row r="20" spans="2:14" ht="13.5" thickBot="1" x14ac:dyDescent="0.35">
      <c r="C20" s="309"/>
      <c r="D20" s="14" t="s">
        <v>486</v>
      </c>
      <c r="E20" s="245"/>
      <c r="I20" s="309"/>
      <c r="J20" s="14" t="s">
        <v>486</v>
      </c>
      <c r="K20" s="245"/>
      <c r="M20" s="1"/>
      <c r="N20" s="135"/>
    </row>
    <row r="21" spans="2:14" ht="13" x14ac:dyDescent="0.3">
      <c r="B21" s="156" t="s">
        <v>678</v>
      </c>
      <c r="C21" s="4" t="s">
        <v>403</v>
      </c>
      <c r="D21" s="268">
        <v>20</v>
      </c>
      <c r="E21" s="10" t="s">
        <v>397</v>
      </c>
      <c r="H21" s="156" t="s">
        <v>678</v>
      </c>
      <c r="I21" s="4" t="s">
        <v>403</v>
      </c>
      <c r="J21" s="268">
        <v>20</v>
      </c>
      <c r="K21" s="10" t="s">
        <v>397</v>
      </c>
      <c r="M21" s="1"/>
      <c r="N21" s="135"/>
    </row>
    <row r="22" spans="2:14" ht="13.5" x14ac:dyDescent="0.35">
      <c r="B22" s="156" t="s">
        <v>966</v>
      </c>
      <c r="C22" s="4" t="s">
        <v>446</v>
      </c>
      <c r="D22" s="330">
        <v>5.9919673846843535</v>
      </c>
      <c r="E22" s="10" t="s">
        <v>406</v>
      </c>
      <c r="H22" s="156" t="s">
        <v>966</v>
      </c>
      <c r="I22" s="4" t="s">
        <v>446</v>
      </c>
      <c r="J22" s="330">
        <v>5.9919673846843535</v>
      </c>
      <c r="K22" s="10" t="s">
        <v>406</v>
      </c>
      <c r="M22" s="1"/>
      <c r="N22" s="135"/>
    </row>
    <row r="23" spans="2:14" ht="13.5" x14ac:dyDescent="0.35">
      <c r="B23" s="156" t="s">
        <v>1099</v>
      </c>
      <c r="C23" s="4" t="s">
        <v>406</v>
      </c>
      <c r="D23" s="269">
        <v>18</v>
      </c>
      <c r="E23" s="10" t="s">
        <v>406</v>
      </c>
      <c r="H23" s="156" t="s">
        <v>1099</v>
      </c>
      <c r="I23" s="4" t="s">
        <v>406</v>
      </c>
      <c r="J23" s="269">
        <v>18</v>
      </c>
      <c r="K23" s="10" t="s">
        <v>406</v>
      </c>
      <c r="M23" s="1"/>
      <c r="N23" s="135"/>
    </row>
    <row r="24" spans="2:14" ht="13" x14ac:dyDescent="0.3">
      <c r="B24" s="156" t="s">
        <v>1032</v>
      </c>
      <c r="C24" s="4" t="s">
        <v>406</v>
      </c>
      <c r="D24" s="310"/>
      <c r="E24" s="10" t="s">
        <v>209</v>
      </c>
      <c r="H24" s="156" t="s">
        <v>1032</v>
      </c>
      <c r="I24" s="4" t="s">
        <v>406</v>
      </c>
      <c r="J24" s="310"/>
      <c r="K24" s="10" t="s">
        <v>209</v>
      </c>
      <c r="M24" s="1"/>
      <c r="N24" s="135"/>
    </row>
    <row r="25" spans="2:14" ht="13" x14ac:dyDescent="0.3">
      <c r="B25" s="156" t="s">
        <v>1031</v>
      </c>
      <c r="C25" s="4" t="s">
        <v>406</v>
      </c>
      <c r="D25" s="310"/>
      <c r="E25" s="10" t="s">
        <v>209</v>
      </c>
      <c r="H25" s="156" t="s">
        <v>1031</v>
      </c>
      <c r="I25" s="4" t="s">
        <v>406</v>
      </c>
      <c r="J25" s="310"/>
      <c r="K25" s="10" t="s">
        <v>209</v>
      </c>
      <c r="M25" s="1"/>
      <c r="N25" s="135"/>
    </row>
    <row r="26" spans="2:14" ht="13.5" thickBot="1" x14ac:dyDescent="0.35">
      <c r="B26" s="156" t="s">
        <v>1030</v>
      </c>
      <c r="C26" s="4" t="s">
        <v>406</v>
      </c>
      <c r="D26" s="311"/>
      <c r="E26" s="10" t="s">
        <v>209</v>
      </c>
      <c r="H26" s="156" t="s">
        <v>1030</v>
      </c>
      <c r="I26" s="4" t="s">
        <v>406</v>
      </c>
      <c r="J26" s="311"/>
      <c r="K26" s="10" t="s">
        <v>209</v>
      </c>
      <c r="M26" s="1"/>
      <c r="N26" s="135"/>
    </row>
    <row r="27" spans="2:14" ht="13.5" thickBot="1" x14ac:dyDescent="0.35">
      <c r="C27" s="309" t="s">
        <v>201</v>
      </c>
      <c r="D27" s="14" t="s">
        <v>139</v>
      </c>
      <c r="E27" s="245"/>
      <c r="I27" s="309" t="s">
        <v>201</v>
      </c>
      <c r="J27" s="14" t="s">
        <v>139</v>
      </c>
      <c r="K27" s="245"/>
      <c r="M27" s="1"/>
      <c r="N27" s="135"/>
    </row>
    <row r="28" spans="2:14" ht="13.5" thickBot="1" x14ac:dyDescent="0.35">
      <c r="B28" s="156" t="s">
        <v>680</v>
      </c>
      <c r="C28" s="4" t="s">
        <v>398</v>
      </c>
      <c r="D28" s="327">
        <f>D23/D22</f>
        <v>3.0040216917749811</v>
      </c>
      <c r="E28" s="10" t="s">
        <v>209</v>
      </c>
      <c r="H28" s="156" t="s">
        <v>680</v>
      </c>
      <c r="I28" s="4" t="s">
        <v>398</v>
      </c>
      <c r="J28" s="327">
        <f>J23/J22</f>
        <v>3.0040216917749811</v>
      </c>
      <c r="K28" s="10" t="s">
        <v>209</v>
      </c>
      <c r="M28" s="1"/>
      <c r="N28" s="135"/>
    </row>
    <row r="29" spans="2:14" ht="13.5" x14ac:dyDescent="0.35">
      <c r="B29" s="156" t="s">
        <v>681</v>
      </c>
      <c r="C29" s="4" t="s">
        <v>193</v>
      </c>
      <c r="D29" s="178">
        <f>1/D22</f>
        <v>0.16689009398749893</v>
      </c>
      <c r="E29" s="10" t="s">
        <v>209</v>
      </c>
      <c r="H29" s="156" t="s">
        <v>681</v>
      </c>
      <c r="I29" s="4" t="s">
        <v>1125</v>
      </c>
      <c r="J29" s="178">
        <f>0.8/J22</f>
        <v>0.13351207518999916</v>
      </c>
      <c r="K29" s="10" t="s">
        <v>209</v>
      </c>
      <c r="M29" s="1"/>
      <c r="N29" s="135"/>
    </row>
    <row r="30" spans="2:14" ht="13.5" x14ac:dyDescent="0.35">
      <c r="B30" s="156" t="s">
        <v>682</v>
      </c>
      <c r="C30" s="4" t="s">
        <v>194</v>
      </c>
      <c r="D30" s="178">
        <f>1.157/D22</f>
        <v>0.19309183874353628</v>
      </c>
      <c r="E30" s="10" t="s">
        <v>209</v>
      </c>
      <c r="H30" s="156" t="s">
        <v>682</v>
      </c>
      <c r="I30" s="4" t="s">
        <v>193</v>
      </c>
      <c r="J30" s="178">
        <f>1/J22</f>
        <v>0.16689009398749893</v>
      </c>
      <c r="K30" s="10" t="s">
        <v>209</v>
      </c>
      <c r="M30" s="1"/>
      <c r="N30" s="135"/>
    </row>
    <row r="31" spans="2:14" ht="13.5" x14ac:dyDescent="0.35">
      <c r="B31" s="156" t="s">
        <v>1114</v>
      </c>
      <c r="C31" s="4" t="s">
        <v>195</v>
      </c>
      <c r="D31" s="178">
        <f>2.157/D22</f>
        <v>0.35998193273103524</v>
      </c>
      <c r="E31" s="10" t="s">
        <v>209</v>
      </c>
      <c r="H31" s="156" t="s">
        <v>1114</v>
      </c>
      <c r="I31" s="4" t="s">
        <v>1116</v>
      </c>
      <c r="J31" s="178">
        <f>1.8/J22</f>
        <v>0.30040216917749812</v>
      </c>
      <c r="K31" s="10" t="s">
        <v>209</v>
      </c>
      <c r="M31" s="1"/>
      <c r="N31" s="135"/>
    </row>
    <row r="32" spans="2:14" ht="13.5" x14ac:dyDescent="0.35">
      <c r="B32" s="156" t="s">
        <v>684</v>
      </c>
      <c r="C32" s="4" t="s">
        <v>196</v>
      </c>
      <c r="D32" s="178">
        <f>0.157/D22</f>
        <v>2.6201744756037336E-2</v>
      </c>
      <c r="E32" s="10" t="s">
        <v>209</v>
      </c>
      <c r="H32" s="156" t="s">
        <v>684</v>
      </c>
      <c r="I32" s="4" t="s">
        <v>1115</v>
      </c>
      <c r="J32" s="178">
        <f>0.2/J22</f>
        <v>3.3378018797499791E-2</v>
      </c>
      <c r="K32" s="10" t="s">
        <v>209</v>
      </c>
      <c r="M32" s="1"/>
      <c r="N32" s="135"/>
    </row>
    <row r="33" spans="2:14" ht="13.5" x14ac:dyDescent="0.35">
      <c r="B33" s="156" t="s">
        <v>685</v>
      </c>
      <c r="C33" s="4" t="s">
        <v>399</v>
      </c>
      <c r="D33" s="178">
        <f>D28+(2*D29)</f>
        <v>3.3378018797499789</v>
      </c>
      <c r="E33" s="10" t="s">
        <v>209</v>
      </c>
      <c r="H33" s="156" t="s">
        <v>685</v>
      </c>
      <c r="I33" s="4" t="s">
        <v>399</v>
      </c>
      <c r="J33" s="178">
        <f>J28+(2*J29)</f>
        <v>3.2710458421549795</v>
      </c>
      <c r="K33" s="10" t="s">
        <v>209</v>
      </c>
      <c r="N33" s="135"/>
    </row>
    <row r="34" spans="2:14" ht="13.5" x14ac:dyDescent="0.35">
      <c r="B34" s="156" t="s">
        <v>686</v>
      </c>
      <c r="C34" s="4" t="s">
        <v>400</v>
      </c>
      <c r="D34" s="178">
        <f>D28-(2*D30)</f>
        <v>2.6178380142879085</v>
      </c>
      <c r="E34" s="10" t="s">
        <v>209</v>
      </c>
      <c r="H34" s="156" t="s">
        <v>686</v>
      </c>
      <c r="I34" s="4" t="s">
        <v>400</v>
      </c>
      <c r="J34" s="178">
        <f>J28-(2*J30)</f>
        <v>2.6702415037999834</v>
      </c>
      <c r="K34" s="10" t="s">
        <v>209</v>
      </c>
      <c r="N34" s="135"/>
    </row>
    <row r="35" spans="2:14" ht="13.5" x14ac:dyDescent="0.35">
      <c r="B35" s="156" t="s">
        <v>1067</v>
      </c>
      <c r="C35" s="4" t="s">
        <v>860</v>
      </c>
      <c r="D35" s="178">
        <f>D28*COS(D21/57.3)</f>
        <v>2.8228834316907672</v>
      </c>
      <c r="E35" s="10" t="s">
        <v>209</v>
      </c>
      <c r="H35" s="156" t="s">
        <v>1067</v>
      </c>
      <c r="I35" s="4" t="s">
        <v>860</v>
      </c>
      <c r="J35" s="178">
        <f>J28*COS(J21/57.3)</f>
        <v>2.8228834316907672</v>
      </c>
      <c r="K35" s="10" t="s">
        <v>209</v>
      </c>
      <c r="M35" s="1"/>
      <c r="N35" s="135"/>
    </row>
    <row r="36" spans="2:14" ht="13.5" x14ac:dyDescent="0.35">
      <c r="B36" s="156" t="s">
        <v>1026</v>
      </c>
      <c r="C36" s="4" t="s">
        <v>407</v>
      </c>
      <c r="D36" s="178">
        <f>(3.1416*D28)/D23</f>
        <v>0.52430191927112668</v>
      </c>
      <c r="E36" s="10" t="s">
        <v>209</v>
      </c>
      <c r="H36" s="156" t="s">
        <v>1026</v>
      </c>
      <c r="I36" s="4" t="s">
        <v>407</v>
      </c>
      <c r="J36" s="178">
        <f>(3.1416*J28)/J23</f>
        <v>0.52430191927112668</v>
      </c>
      <c r="K36" s="10" t="s">
        <v>209</v>
      </c>
      <c r="M36" s="136"/>
      <c r="N36" s="135"/>
    </row>
    <row r="37" spans="2:14" ht="13.5" x14ac:dyDescent="0.35">
      <c r="B37" s="156" t="s">
        <v>1028</v>
      </c>
      <c r="C37" s="4" t="s">
        <v>1027</v>
      </c>
      <c r="D37" s="178">
        <f>D36/2</f>
        <v>0.26215095963556334</v>
      </c>
      <c r="E37" s="10" t="s">
        <v>209</v>
      </c>
      <c r="H37" s="156" t="s">
        <v>1028</v>
      </c>
      <c r="I37" s="4" t="s">
        <v>1027</v>
      </c>
      <c r="J37" s="178">
        <f>J36/2</f>
        <v>0.26215095963556334</v>
      </c>
      <c r="K37" s="10" t="s">
        <v>209</v>
      </c>
      <c r="M37" s="136"/>
      <c r="N37" s="135"/>
    </row>
    <row r="38" spans="2:14" ht="13.5" x14ac:dyDescent="0.35">
      <c r="B38" s="156" t="s">
        <v>689</v>
      </c>
      <c r="C38" s="4" t="s">
        <v>1029</v>
      </c>
      <c r="D38" s="178">
        <f>D28*SIN(90/57.3)/D23</f>
        <v>0.16689009287049117</v>
      </c>
      <c r="E38" s="10" t="s">
        <v>209</v>
      </c>
      <c r="F38" s="92"/>
      <c r="H38" s="156" t="s">
        <v>689</v>
      </c>
      <c r="I38" s="4" t="s">
        <v>1029</v>
      </c>
      <c r="J38" s="178">
        <f>J28*SIN(90/57.3)/J23</f>
        <v>0.16689009287049117</v>
      </c>
      <c r="K38" s="10" t="s">
        <v>209</v>
      </c>
      <c r="L38" s="92"/>
      <c r="M38" s="136"/>
      <c r="N38" s="135"/>
    </row>
    <row r="39" spans="2:14" ht="13" x14ac:dyDescent="0.3">
      <c r="B39" s="156" t="s">
        <v>1093</v>
      </c>
      <c r="C39" s="4" t="s">
        <v>1094</v>
      </c>
      <c r="D39" s="178">
        <f>D29+(D37^2/(4*D28))</f>
        <v>0.1726093540902148</v>
      </c>
      <c r="H39" s="156" t="s">
        <v>1093</v>
      </c>
      <c r="I39" s="4" t="s">
        <v>1094</v>
      </c>
      <c r="J39" s="178">
        <f>J29+(J37^2/(4*J28))</f>
        <v>0.13923133529271503</v>
      </c>
      <c r="M39" s="136"/>
      <c r="N39" s="135"/>
    </row>
    <row r="40" spans="2:14" ht="13.5" x14ac:dyDescent="0.35">
      <c r="B40" s="156" t="s">
        <v>693</v>
      </c>
      <c r="C40" s="4" t="s">
        <v>401</v>
      </c>
      <c r="D40" s="178">
        <f>D29*2</f>
        <v>0.33378018797499787</v>
      </c>
      <c r="E40" s="10" t="s">
        <v>209</v>
      </c>
      <c r="H40" s="156" t="s">
        <v>693</v>
      </c>
      <c r="I40" s="4" t="s">
        <v>401</v>
      </c>
      <c r="J40" s="178">
        <f>J29*2</f>
        <v>0.26702415037999833</v>
      </c>
      <c r="K40" s="10" t="s">
        <v>209</v>
      </c>
      <c r="M40" s="136"/>
    </row>
    <row r="41" spans="2:14" ht="14.5" x14ac:dyDescent="0.35">
      <c r="B41" s="156" t="s">
        <v>1068</v>
      </c>
      <c r="C41" s="4" t="s">
        <v>1069</v>
      </c>
      <c r="D41" s="312">
        <f>0.35/D22</f>
        <v>5.8411532895624625E-2</v>
      </c>
      <c r="E41" s="10" t="s">
        <v>209</v>
      </c>
      <c r="H41" s="156" t="s">
        <v>1068</v>
      </c>
      <c r="I41" s="4" t="s">
        <v>1069</v>
      </c>
      <c r="J41" s="312">
        <f>0.35/J22</f>
        <v>5.8411532895624625E-2</v>
      </c>
      <c r="K41" s="10" t="s">
        <v>209</v>
      </c>
      <c r="M41" s="135"/>
      <c r="N41" s="135"/>
    </row>
    <row r="42" spans="2:14" x14ac:dyDescent="0.25">
      <c r="K42" s="8"/>
      <c r="M42" s="136"/>
      <c r="N42" s="135"/>
    </row>
    <row r="43" spans="2:14" x14ac:dyDescent="0.25">
      <c r="B43" s="8" t="s">
        <v>145</v>
      </c>
      <c r="C43" s="3"/>
      <c r="E43" s="8"/>
      <c r="H43" s="8" t="s">
        <v>145</v>
      </c>
      <c r="I43" s="3"/>
      <c r="J43" s="8"/>
      <c r="K43" s="8"/>
      <c r="M43" s="136"/>
      <c r="N43" s="135"/>
    </row>
    <row r="44" spans="2:14" x14ac:dyDescent="0.25">
      <c r="B44" s="1" t="s">
        <v>773</v>
      </c>
      <c r="C44" s="3">
        <v>3.1415999999999999</v>
      </c>
      <c r="E44" s="8"/>
      <c r="H44" s="1" t="s">
        <v>773</v>
      </c>
      <c r="I44" s="3">
        <v>3.1415999999999999</v>
      </c>
      <c r="J44" s="8"/>
      <c r="K44" s="8"/>
      <c r="M44" s="135"/>
    </row>
    <row r="45" spans="2:14" ht="15" customHeight="1" x14ac:dyDescent="0.3">
      <c r="B45" s="10" t="s">
        <v>695</v>
      </c>
      <c r="C45" s="3"/>
      <c r="E45" s="8"/>
      <c r="H45" s="10" t="s">
        <v>695</v>
      </c>
      <c r="I45" s="3"/>
      <c r="J45" s="8"/>
    </row>
    <row r="46" spans="2:14" x14ac:dyDescent="0.25">
      <c r="J46" s="8"/>
    </row>
    <row r="47" spans="2:14" x14ac:dyDescent="0.25">
      <c r="B47" s="120"/>
      <c r="C47" s="120"/>
      <c r="D47" s="125"/>
      <c r="E47" s="125"/>
      <c r="F47" s="120"/>
      <c r="H47" s="120"/>
      <c r="I47" s="120"/>
      <c r="J47" s="125"/>
      <c r="K47" s="125"/>
      <c r="L47" s="120"/>
      <c r="M47" s="135"/>
    </row>
    <row r="48" spans="2:14" x14ac:dyDescent="0.25">
      <c r="G48" s="135"/>
      <c r="H48" s="135"/>
      <c r="I48" s="135"/>
    </row>
    <row r="49" spans="2:9" ht="15.5" x14ac:dyDescent="0.35">
      <c r="B49" s="68" t="s">
        <v>430</v>
      </c>
      <c r="E49" s="8"/>
      <c r="G49" s="135"/>
      <c r="H49" s="135"/>
      <c r="I49" s="135"/>
    </row>
    <row r="50" spans="2:9" ht="13.5" thickBot="1" x14ac:dyDescent="0.35">
      <c r="B50" s="10" t="s">
        <v>855</v>
      </c>
      <c r="C50" s="29" t="s">
        <v>486</v>
      </c>
      <c r="E50" s="8"/>
      <c r="G50" s="135"/>
      <c r="H50" s="135"/>
      <c r="I50" s="135"/>
    </row>
    <row r="51" spans="2:9" ht="13.5" x14ac:dyDescent="0.35">
      <c r="B51" s="156" t="s">
        <v>1070</v>
      </c>
      <c r="C51" s="313">
        <v>3.75</v>
      </c>
      <c r="D51" s="8" t="s">
        <v>209</v>
      </c>
      <c r="E51" s="8"/>
    </row>
    <row r="52" spans="2:9" ht="13.5" x14ac:dyDescent="0.35">
      <c r="B52" s="156" t="s">
        <v>1071</v>
      </c>
      <c r="C52" s="259">
        <v>1.25</v>
      </c>
      <c r="D52" s="8" t="s">
        <v>209</v>
      </c>
      <c r="E52" s="8"/>
    </row>
    <row r="53" spans="2:9" ht="13.5" x14ac:dyDescent="0.35">
      <c r="B53" s="156" t="s">
        <v>1072</v>
      </c>
      <c r="C53" s="259">
        <v>0.125</v>
      </c>
      <c r="D53" s="8" t="s">
        <v>209</v>
      </c>
      <c r="E53" s="8"/>
    </row>
    <row r="54" spans="2:9" ht="13.5" thickBot="1" x14ac:dyDescent="0.35">
      <c r="B54" s="30" t="s">
        <v>1073</v>
      </c>
      <c r="C54" s="175">
        <v>20</v>
      </c>
      <c r="D54" s="8" t="s">
        <v>397</v>
      </c>
    </row>
    <row r="55" spans="2:9" ht="13" x14ac:dyDescent="0.3">
      <c r="C55" s="29" t="s">
        <v>139</v>
      </c>
      <c r="E55" s="8"/>
    </row>
    <row r="56" spans="2:9" ht="13" x14ac:dyDescent="0.3">
      <c r="B56" s="2" t="s">
        <v>1074</v>
      </c>
      <c r="C56" s="10" t="s">
        <v>1075</v>
      </c>
      <c r="D56" s="10"/>
      <c r="E56" s="8"/>
    </row>
    <row r="57" spans="2:9" ht="14.5" x14ac:dyDescent="0.35">
      <c r="B57" s="314" t="s">
        <v>101</v>
      </c>
      <c r="C57" s="312">
        <f>C51/2</f>
        <v>1.875</v>
      </c>
      <c r="D57" s="315" t="s">
        <v>209</v>
      </c>
    </row>
    <row r="58" spans="2:9" ht="14.5" x14ac:dyDescent="0.35">
      <c r="B58" s="314" t="s">
        <v>1076</v>
      </c>
      <c r="C58" s="315" t="s">
        <v>1077</v>
      </c>
      <c r="D58" s="315"/>
    </row>
    <row r="59" spans="2:9" ht="14.5" x14ac:dyDescent="0.35">
      <c r="B59" s="314" t="s">
        <v>101</v>
      </c>
      <c r="C59" s="316">
        <f>C57*SIN(C54/57.3)</f>
        <v>0.64124246808702168</v>
      </c>
      <c r="D59" s="315"/>
    </row>
    <row r="60" spans="2:9" ht="14.5" x14ac:dyDescent="0.35">
      <c r="B60" s="2" t="s">
        <v>1078</v>
      </c>
      <c r="C60" s="315" t="s">
        <v>1079</v>
      </c>
      <c r="D60" s="315"/>
    </row>
    <row r="61" spans="2:9" ht="14.5" x14ac:dyDescent="0.35">
      <c r="B61" s="314" t="s">
        <v>101</v>
      </c>
      <c r="C61" s="312">
        <f>C52/2</f>
        <v>0.625</v>
      </c>
      <c r="D61" s="315" t="s">
        <v>209</v>
      </c>
    </row>
    <row r="62" spans="2:9" ht="14.5" x14ac:dyDescent="0.35">
      <c r="B62" s="314" t="s">
        <v>1080</v>
      </c>
      <c r="C62" s="315" t="s">
        <v>1081</v>
      </c>
      <c r="D62" s="315"/>
    </row>
    <row r="63" spans="2:9" ht="14.5" x14ac:dyDescent="0.35">
      <c r="B63" s="314" t="s">
        <v>101</v>
      </c>
      <c r="C63" s="316">
        <f>C61*SIN(C54/57.3)</f>
        <v>0.21374748936234056</v>
      </c>
      <c r="D63" s="315" t="s">
        <v>209</v>
      </c>
    </row>
    <row r="64" spans="2:9" ht="14.5" x14ac:dyDescent="0.35">
      <c r="B64" s="314" t="s">
        <v>1082</v>
      </c>
      <c r="C64" s="315" t="s">
        <v>1083</v>
      </c>
      <c r="D64" s="315"/>
    </row>
    <row r="65" spans="2:23" ht="14.5" x14ac:dyDescent="0.35">
      <c r="B65" s="314" t="s">
        <v>101</v>
      </c>
      <c r="C65" s="316">
        <f>C59+C63</f>
        <v>0.85498995744936224</v>
      </c>
      <c r="D65" s="315" t="s">
        <v>209</v>
      </c>
      <c r="F65" s="135"/>
      <c r="G65" s="135"/>
    </row>
    <row r="66" spans="2:23" ht="13" x14ac:dyDescent="0.3">
      <c r="B66" s="2" t="s">
        <v>1084</v>
      </c>
      <c r="C66" s="41" t="s">
        <v>1085</v>
      </c>
      <c r="D66" s="10"/>
      <c r="E66" s="8"/>
      <c r="F66" s="135"/>
      <c r="G66" s="135"/>
    </row>
    <row r="67" spans="2:23" ht="14.5" x14ac:dyDescent="0.35">
      <c r="B67" s="314" t="s">
        <v>101</v>
      </c>
      <c r="C67" s="178">
        <f>(C57^2 + C65^2)^0.5</f>
        <v>2.060735991663964</v>
      </c>
      <c r="D67" s="315" t="s">
        <v>209</v>
      </c>
      <c r="F67" s="135"/>
      <c r="G67" s="135"/>
    </row>
    <row r="68" spans="2:23" ht="13" x14ac:dyDescent="0.3">
      <c r="B68" s="2" t="s">
        <v>1084</v>
      </c>
      <c r="C68" s="10" t="s">
        <v>1086</v>
      </c>
      <c r="E68" s="8"/>
      <c r="F68" s="135"/>
      <c r="G68" s="135"/>
    </row>
    <row r="69" spans="2:23" ht="14.5" x14ac:dyDescent="0.35">
      <c r="B69" s="314" t="s">
        <v>101</v>
      </c>
      <c r="C69" s="312">
        <f>C57+C53</f>
        <v>2</v>
      </c>
      <c r="D69" s="315" t="s">
        <v>209</v>
      </c>
      <c r="E69" s="307" t="str">
        <f>IF(C69&lt;C67,"&lt;&lt;No interference","&lt;&lt;Interference")</f>
        <v>&lt;&lt;No interference</v>
      </c>
    </row>
    <row r="71" spans="2:23" x14ac:dyDescent="0.25">
      <c r="B71" s="120"/>
      <c r="C71" s="120"/>
      <c r="D71" s="125"/>
      <c r="E71" s="125"/>
      <c r="F71" s="120"/>
    </row>
    <row r="72" spans="2:23" x14ac:dyDescent="0.25">
      <c r="E72" s="8"/>
      <c r="K72" s="44"/>
      <c r="M72" s="135"/>
      <c r="N72" s="135"/>
    </row>
    <row r="73" spans="2:23" ht="15.5" x14ac:dyDescent="0.35">
      <c r="B73" s="302" t="s">
        <v>1087</v>
      </c>
      <c r="M73" s="135"/>
      <c r="N73" s="135"/>
    </row>
    <row r="74" spans="2:23" x14ac:dyDescent="0.25">
      <c r="E74" s="8"/>
      <c r="M74" s="135"/>
      <c r="N74" s="135"/>
    </row>
    <row r="76" spans="2:23" x14ac:dyDescent="0.25">
      <c r="H76" s="1"/>
      <c r="I76" s="8"/>
    </row>
    <row r="77" spans="2:23" x14ac:dyDescent="0.25">
      <c r="H77" s="1"/>
      <c r="I77" s="245"/>
    </row>
    <row r="78" spans="2:23" x14ac:dyDescent="0.25">
      <c r="H78" s="1"/>
      <c r="I78" s="8"/>
    </row>
    <row r="79" spans="2:23" x14ac:dyDescent="0.25">
      <c r="G79" s="135"/>
      <c r="H79" s="136"/>
      <c r="I79" s="139"/>
      <c r="J79" s="135"/>
      <c r="K79" s="135"/>
      <c r="L79" s="135"/>
      <c r="M79" s="135"/>
      <c r="W79" s="8"/>
    </row>
    <row r="80" spans="2:23" x14ac:dyDescent="0.25">
      <c r="G80" s="135"/>
      <c r="H80" s="136"/>
      <c r="I80" s="139"/>
      <c r="J80" s="135"/>
      <c r="K80" s="135"/>
      <c r="L80" s="135"/>
      <c r="M80" s="135"/>
      <c r="W80" s="8"/>
    </row>
    <row r="81" spans="3:23" x14ac:dyDescent="0.25">
      <c r="G81" s="135"/>
      <c r="H81" s="136"/>
      <c r="I81" s="139"/>
      <c r="J81" s="135"/>
      <c r="K81" s="135"/>
      <c r="L81" s="135"/>
      <c r="M81" s="135"/>
      <c r="W81" s="8"/>
    </row>
    <row r="82" spans="3:23" x14ac:dyDescent="0.25">
      <c r="G82" s="135"/>
      <c r="H82" s="136"/>
      <c r="I82" s="139"/>
      <c r="J82" s="135"/>
      <c r="K82" s="135"/>
      <c r="L82" s="135"/>
      <c r="M82" s="135"/>
      <c r="W82" s="8"/>
    </row>
    <row r="83" spans="3:23" x14ac:dyDescent="0.25">
      <c r="G83" s="135"/>
      <c r="H83" s="136"/>
      <c r="I83" s="139"/>
      <c r="J83" s="135"/>
      <c r="K83" s="135"/>
      <c r="L83" s="135"/>
      <c r="M83" s="135"/>
      <c r="W83" s="8"/>
    </row>
    <row r="84" spans="3:23" x14ac:dyDescent="0.25">
      <c r="E84" s="8"/>
      <c r="G84" s="135"/>
      <c r="H84" s="136"/>
      <c r="I84" s="139"/>
      <c r="J84" s="135"/>
      <c r="K84" s="135"/>
      <c r="L84" s="135"/>
      <c r="M84" s="135"/>
      <c r="W84" s="8"/>
    </row>
    <row r="85" spans="3:23" x14ac:dyDescent="0.25">
      <c r="G85" s="135"/>
      <c r="H85" s="136"/>
      <c r="I85" s="139"/>
      <c r="J85" s="135"/>
      <c r="K85" s="135"/>
      <c r="L85" s="135"/>
      <c r="M85" s="135"/>
      <c r="W85" s="8"/>
    </row>
    <row r="86" spans="3:23" x14ac:dyDescent="0.25">
      <c r="G86" s="135"/>
      <c r="H86" s="136"/>
      <c r="I86" s="139"/>
      <c r="J86" s="135"/>
      <c r="K86" s="135"/>
      <c r="L86" s="135"/>
      <c r="M86" s="135"/>
      <c r="W86" s="139"/>
    </row>
    <row r="87" spans="3:23" x14ac:dyDescent="0.25">
      <c r="G87" s="135"/>
      <c r="H87" s="136"/>
      <c r="I87" s="139"/>
      <c r="J87" s="135"/>
      <c r="K87" s="135"/>
      <c r="L87" s="135"/>
      <c r="M87" s="135"/>
      <c r="W87" s="139"/>
    </row>
    <row r="88" spans="3:23" x14ac:dyDescent="0.25">
      <c r="G88" s="135"/>
      <c r="H88" s="136"/>
      <c r="I88" s="139"/>
      <c r="J88" s="135"/>
      <c r="K88" s="135"/>
      <c r="L88" s="135"/>
      <c r="M88" s="135"/>
      <c r="W88" s="139"/>
    </row>
    <row r="89" spans="3:23" x14ac:dyDescent="0.25">
      <c r="E89" s="8"/>
      <c r="G89" s="135"/>
      <c r="H89" s="136"/>
      <c r="I89" s="135"/>
      <c r="J89" s="135"/>
      <c r="K89" s="135"/>
      <c r="L89" s="135"/>
      <c r="M89" s="135"/>
      <c r="W89" s="139"/>
    </row>
    <row r="90" spans="3:23" x14ac:dyDescent="0.25">
      <c r="E90" s="8"/>
      <c r="G90" s="135"/>
      <c r="H90" s="136"/>
      <c r="I90" s="135"/>
      <c r="J90" s="135"/>
      <c r="K90" s="135"/>
      <c r="L90" s="135"/>
      <c r="M90" s="135"/>
      <c r="W90" s="139"/>
    </row>
    <row r="91" spans="3:23" x14ac:dyDescent="0.25">
      <c r="G91" s="135"/>
      <c r="H91" s="135"/>
      <c r="I91" s="135"/>
      <c r="J91" s="135"/>
      <c r="K91" s="135"/>
      <c r="L91" s="135"/>
      <c r="M91" s="135"/>
      <c r="W91" s="139"/>
    </row>
    <row r="92" spans="3:23" x14ac:dyDescent="0.25">
      <c r="G92" s="135"/>
      <c r="H92" s="136"/>
      <c r="I92" s="135"/>
      <c r="J92" s="135"/>
      <c r="K92" s="135"/>
      <c r="L92" s="135"/>
      <c r="M92" s="135"/>
      <c r="W92" s="139"/>
    </row>
    <row r="93" spans="3:23" x14ac:dyDescent="0.25">
      <c r="G93" s="135"/>
      <c r="H93" s="136"/>
      <c r="I93" s="135"/>
      <c r="J93" s="135"/>
      <c r="K93" s="135"/>
      <c r="L93" s="135"/>
      <c r="M93" s="135"/>
      <c r="W93" s="139"/>
    </row>
    <row r="94" spans="3:23" x14ac:dyDescent="0.25">
      <c r="G94" s="135"/>
      <c r="H94" s="136"/>
      <c r="I94" s="135"/>
      <c r="J94" s="135"/>
      <c r="K94" s="135"/>
      <c r="L94" s="135"/>
      <c r="M94" s="135"/>
      <c r="W94" s="139"/>
    </row>
    <row r="95" spans="3:23" ht="13.5" thickBot="1" x14ac:dyDescent="0.35">
      <c r="C95" s="156"/>
      <c r="D95" s="14" t="s">
        <v>486</v>
      </c>
      <c r="E95" s="14"/>
      <c r="G95" s="135"/>
      <c r="H95" s="139"/>
      <c r="I95" s="135"/>
      <c r="J95" s="135"/>
      <c r="K95" s="135"/>
      <c r="L95" s="135"/>
      <c r="M95" s="135"/>
      <c r="W95" s="139"/>
    </row>
    <row r="96" spans="3:23" ht="15.5" x14ac:dyDescent="0.35">
      <c r="C96" s="156" t="s">
        <v>1097</v>
      </c>
      <c r="D96" s="173">
        <v>800</v>
      </c>
      <c r="E96" t="s">
        <v>217</v>
      </c>
      <c r="F96" s="135"/>
      <c r="G96" s="135"/>
      <c r="H96" s="68" t="s">
        <v>1092</v>
      </c>
      <c r="K96" s="135"/>
      <c r="L96" s="135"/>
      <c r="M96" s="135"/>
      <c r="W96" s="139"/>
    </row>
    <row r="97" spans="3:28" x14ac:dyDescent="0.25">
      <c r="C97" s="156" t="s">
        <v>1113</v>
      </c>
      <c r="D97" s="174">
        <v>200</v>
      </c>
      <c r="E97" t="s">
        <v>217</v>
      </c>
      <c r="F97" s="135"/>
      <c r="G97" s="135"/>
      <c r="H97" s="8"/>
      <c r="K97" s="135"/>
      <c r="L97" s="135"/>
      <c r="M97" s="135"/>
      <c r="W97" s="139"/>
      <c r="X97" s="135"/>
      <c r="AA97" s="135"/>
      <c r="AB97" s="135"/>
    </row>
    <row r="98" spans="3:28" ht="13" x14ac:dyDescent="0.3">
      <c r="C98" s="156" t="s">
        <v>1096</v>
      </c>
      <c r="D98" s="257">
        <v>3</v>
      </c>
      <c r="E98" s="178"/>
      <c r="G98" s="135"/>
      <c r="H98" s="8"/>
      <c r="K98" s="135"/>
      <c r="L98" s="135"/>
      <c r="M98" s="135"/>
      <c r="W98" s="139"/>
      <c r="X98" s="135"/>
      <c r="AA98" s="135"/>
      <c r="AB98" s="135"/>
    </row>
    <row r="99" spans="3:28" ht="14" thickBot="1" x14ac:dyDescent="0.4">
      <c r="C99" s="156" t="s">
        <v>1110</v>
      </c>
      <c r="D99" s="305">
        <v>5</v>
      </c>
      <c r="E99" s="328" t="s">
        <v>1109</v>
      </c>
      <c r="F99" s="10"/>
      <c r="G99" s="135"/>
      <c r="H99" s="8"/>
      <c r="K99" s="135"/>
      <c r="L99" s="135"/>
      <c r="M99" s="135"/>
    </row>
    <row r="100" spans="3:28" ht="13" x14ac:dyDescent="0.3">
      <c r="D100" s="14" t="s">
        <v>139</v>
      </c>
      <c r="G100" s="135"/>
      <c r="H100" s="8"/>
      <c r="K100" s="135"/>
      <c r="L100" s="135"/>
      <c r="M100" s="135"/>
    </row>
    <row r="101" spans="3:28" ht="13" x14ac:dyDescent="0.3">
      <c r="C101" s="2" t="s">
        <v>1100</v>
      </c>
      <c r="D101" s="10" t="s">
        <v>1104</v>
      </c>
      <c r="G101" s="135"/>
      <c r="H101" s="8"/>
      <c r="K101" s="135"/>
      <c r="L101" s="135"/>
      <c r="M101" s="135"/>
    </row>
    <row r="102" spans="3:28" ht="13" x14ac:dyDescent="0.3">
      <c r="C102" s="2" t="s">
        <v>101</v>
      </c>
      <c r="D102" s="10">
        <f>D98*D99</f>
        <v>15</v>
      </c>
      <c r="E102" s="138" t="s">
        <v>406</v>
      </c>
      <c r="F102" s="135"/>
      <c r="G102" s="135"/>
      <c r="H102" s="8"/>
      <c r="J102" s="135"/>
      <c r="K102" s="135"/>
      <c r="L102" s="135"/>
      <c r="M102" s="135"/>
    </row>
    <row r="103" spans="3:28" ht="13" x14ac:dyDescent="0.3">
      <c r="C103" s="2" t="s">
        <v>1033</v>
      </c>
      <c r="D103" s="10" t="s">
        <v>1098</v>
      </c>
      <c r="G103" s="135"/>
      <c r="H103" s="8"/>
      <c r="J103" s="135"/>
      <c r="K103" s="135"/>
      <c r="L103" s="135"/>
      <c r="M103" s="135"/>
    </row>
    <row r="104" spans="3:28" ht="13" x14ac:dyDescent="0.3">
      <c r="C104" s="2" t="s">
        <v>101</v>
      </c>
      <c r="D104" s="178">
        <f>D96/D97</f>
        <v>4</v>
      </c>
      <c r="E104" s="14" t="s">
        <v>1106</v>
      </c>
      <c r="G104" s="135"/>
      <c r="H104" s="8"/>
      <c r="J104" s="135"/>
      <c r="K104" s="135"/>
      <c r="L104" s="135"/>
      <c r="M104" s="135"/>
    </row>
    <row r="105" spans="3:28" ht="13.5" thickBot="1" x14ac:dyDescent="0.35">
      <c r="C105" s="2" t="s">
        <v>1101</v>
      </c>
      <c r="D105" s="10" t="s">
        <v>1102</v>
      </c>
      <c r="E105" s="14" t="s">
        <v>1107</v>
      </c>
      <c r="G105" s="135"/>
      <c r="H105" s="139"/>
      <c r="J105" s="135"/>
      <c r="K105" s="135"/>
      <c r="L105" s="135"/>
      <c r="M105" s="135"/>
    </row>
    <row r="106" spans="3:28" ht="13.5" thickBot="1" x14ac:dyDescent="0.35">
      <c r="C106" s="2" t="s">
        <v>101</v>
      </c>
      <c r="D106" s="331">
        <f>D104*D102</f>
        <v>60</v>
      </c>
      <c r="E106" s="329">
        <v>60</v>
      </c>
      <c r="F106" s="135"/>
      <c r="G106" s="135"/>
      <c r="H106" s="139"/>
      <c r="J106" s="135"/>
      <c r="K106" s="135"/>
      <c r="L106" s="135"/>
      <c r="M106" s="135"/>
    </row>
    <row r="107" spans="3:28" ht="13" x14ac:dyDescent="0.3">
      <c r="C107" s="2" t="s">
        <v>1103</v>
      </c>
      <c r="D107" s="10" t="s">
        <v>1105</v>
      </c>
      <c r="F107" s="135"/>
      <c r="G107" s="135"/>
      <c r="H107" s="139"/>
      <c r="J107" s="135"/>
      <c r="K107" s="135"/>
      <c r="L107" s="135"/>
      <c r="M107" s="135"/>
    </row>
    <row r="108" spans="3:28" ht="13" x14ac:dyDescent="0.3">
      <c r="C108" s="2" t="s">
        <v>101</v>
      </c>
      <c r="D108" s="178">
        <f>D106/D99</f>
        <v>12</v>
      </c>
      <c r="G108" s="135"/>
      <c r="H108" s="139"/>
      <c r="J108" s="135"/>
      <c r="K108" s="135"/>
      <c r="L108" s="135"/>
      <c r="M108" s="135"/>
    </row>
    <row r="109" spans="3:28" ht="13" x14ac:dyDescent="0.3">
      <c r="C109" s="2" t="s">
        <v>1111</v>
      </c>
      <c r="D109" s="10" t="s">
        <v>1112</v>
      </c>
      <c r="E109" s="137"/>
      <c r="F109" s="135"/>
      <c r="G109" s="136"/>
      <c r="H109" s="139"/>
      <c r="J109" s="135"/>
      <c r="K109" s="135"/>
      <c r="L109" s="135"/>
      <c r="M109" s="135"/>
    </row>
    <row r="110" spans="3:28" ht="13" x14ac:dyDescent="0.3">
      <c r="C110" s="2" t="s">
        <v>101</v>
      </c>
      <c r="D110" s="244">
        <f>D96/D104</f>
        <v>200</v>
      </c>
      <c r="E110" s="253" t="s">
        <v>217</v>
      </c>
      <c r="F110" s="135"/>
      <c r="G110" s="135"/>
      <c r="H110" s="139"/>
      <c r="J110" s="135"/>
      <c r="K110" s="135"/>
      <c r="L110" s="135"/>
      <c r="M110" s="135"/>
      <c r="N110" s="135"/>
      <c r="O110" s="135"/>
      <c r="P110" s="135"/>
      <c r="Q110" s="135"/>
    </row>
    <row r="111" spans="3:28" ht="13.5" thickBot="1" x14ac:dyDescent="0.35">
      <c r="C111" s="199" t="s">
        <v>1108</v>
      </c>
      <c r="D111" s="137" t="s">
        <v>1095</v>
      </c>
      <c r="G111" s="135"/>
      <c r="H111" s="139"/>
      <c r="J111" s="135"/>
      <c r="K111" s="135"/>
      <c r="L111" s="135"/>
      <c r="M111" s="135"/>
    </row>
    <row r="112" spans="3:28" ht="13.5" thickBot="1" x14ac:dyDescent="0.35">
      <c r="C112" s="199" t="s">
        <v>101</v>
      </c>
      <c r="D112" s="327">
        <f>(D98 + D108) / 2</f>
        <v>7.5</v>
      </c>
      <c r="G112" s="135"/>
      <c r="H112" s="139"/>
      <c r="J112" s="135"/>
      <c r="K112" s="135"/>
      <c r="L112" s="135"/>
      <c r="M112" s="135"/>
    </row>
    <row r="113" spans="2:15" x14ac:dyDescent="0.25">
      <c r="G113" s="135"/>
      <c r="H113" s="135"/>
      <c r="I113" s="135"/>
      <c r="J113" s="135"/>
      <c r="K113" s="135"/>
      <c r="L113" s="135"/>
      <c r="M113" s="135"/>
    </row>
    <row r="114" spans="2:15" x14ac:dyDescent="0.25">
      <c r="B114" s="120"/>
      <c r="C114" s="124"/>
      <c r="D114" s="125"/>
      <c r="E114" s="125"/>
      <c r="F114" s="120"/>
      <c r="G114" s="135"/>
      <c r="H114" s="135"/>
      <c r="I114" s="135"/>
      <c r="J114" s="135"/>
      <c r="K114" s="135"/>
      <c r="L114" s="135"/>
      <c r="M114" s="135"/>
    </row>
    <row r="115" spans="2:15" x14ac:dyDescent="0.25">
      <c r="G115" s="135"/>
      <c r="H115" s="136"/>
      <c r="J115" s="135"/>
      <c r="K115" s="135"/>
      <c r="L115" s="135"/>
      <c r="M115" s="135"/>
    </row>
    <row r="116" spans="2:15" ht="15.5" x14ac:dyDescent="0.35">
      <c r="B116" s="68" t="s">
        <v>866</v>
      </c>
      <c r="C116" s="3"/>
      <c r="G116" s="136"/>
      <c r="H116" s="136"/>
      <c r="I116" s="135"/>
      <c r="J116" s="135"/>
      <c r="K116" s="135"/>
      <c r="L116" s="135"/>
      <c r="M116" s="135"/>
    </row>
    <row r="117" spans="2:15" x14ac:dyDescent="0.25">
      <c r="B117" s="1"/>
      <c r="C117" s="3"/>
      <c r="E117" s="8"/>
      <c r="G117" s="136"/>
      <c r="H117" s="136"/>
      <c r="I117" s="135"/>
      <c r="J117" s="135"/>
      <c r="K117" s="135"/>
      <c r="L117" s="135"/>
      <c r="M117" s="135"/>
    </row>
    <row r="118" spans="2:15" x14ac:dyDescent="0.25">
      <c r="B118" s="1"/>
      <c r="C118" s="3"/>
      <c r="E118" s="8"/>
      <c r="G118" s="136"/>
      <c r="H118" s="136"/>
      <c r="I118" s="135"/>
      <c r="J118" s="135"/>
      <c r="K118" s="135"/>
      <c r="L118" s="135"/>
      <c r="M118" s="135"/>
    </row>
    <row r="119" spans="2:15" ht="13" x14ac:dyDescent="0.3">
      <c r="B119" s="1"/>
      <c r="C119" s="3"/>
      <c r="E119" s="8"/>
      <c r="G119" s="136"/>
      <c r="H119" s="136"/>
      <c r="I119" s="135"/>
      <c r="J119" s="136"/>
      <c r="K119" s="199"/>
      <c r="L119" s="139"/>
      <c r="M119" s="135"/>
    </row>
    <row r="120" spans="2:15" x14ac:dyDescent="0.25">
      <c r="B120" s="1"/>
      <c r="C120" s="3"/>
      <c r="E120" s="8"/>
      <c r="G120" s="136"/>
      <c r="H120" s="136"/>
      <c r="I120" s="139"/>
      <c r="J120" s="135"/>
      <c r="K120" s="135"/>
      <c r="L120" s="135"/>
      <c r="M120" s="135"/>
      <c r="N120" s="135"/>
      <c r="O120" s="135"/>
    </row>
    <row r="121" spans="2:15" x14ac:dyDescent="0.25">
      <c r="B121" s="1"/>
      <c r="C121" s="3"/>
      <c r="E121" s="8"/>
      <c r="G121" s="136"/>
      <c r="H121" s="136"/>
      <c r="I121" s="139"/>
      <c r="J121" s="135"/>
      <c r="K121" s="135"/>
      <c r="L121" s="135"/>
      <c r="M121" s="135"/>
      <c r="N121" s="135"/>
      <c r="O121" s="135"/>
    </row>
    <row r="122" spans="2:15" x14ac:dyDescent="0.25">
      <c r="B122" s="1"/>
      <c r="C122" s="3"/>
      <c r="E122" s="8"/>
      <c r="G122" s="136"/>
      <c r="H122" s="136"/>
      <c r="I122" s="139"/>
      <c r="J122" s="135"/>
      <c r="K122" s="135"/>
      <c r="L122" s="135"/>
      <c r="M122" s="135"/>
      <c r="N122" s="135"/>
      <c r="O122" s="135"/>
    </row>
    <row r="123" spans="2:15" x14ac:dyDescent="0.25">
      <c r="B123" s="1"/>
      <c r="C123" s="3"/>
      <c r="E123" s="8"/>
      <c r="G123" s="136"/>
      <c r="H123" s="136"/>
      <c r="I123" s="139"/>
      <c r="J123" s="135"/>
      <c r="K123" s="135"/>
      <c r="L123" s="135"/>
      <c r="M123" s="135"/>
      <c r="N123" s="135"/>
      <c r="O123" s="135"/>
    </row>
    <row r="124" spans="2:15" x14ac:dyDescent="0.25">
      <c r="B124" s="1"/>
      <c r="C124" s="3"/>
      <c r="E124" s="8"/>
      <c r="G124" s="136"/>
      <c r="H124" s="136"/>
      <c r="I124" s="139"/>
      <c r="J124" s="135"/>
      <c r="K124" s="135"/>
      <c r="L124" s="135"/>
      <c r="M124" s="135"/>
      <c r="N124" s="135"/>
      <c r="O124" s="135"/>
    </row>
    <row r="125" spans="2:15" x14ac:dyDescent="0.25">
      <c r="B125" s="1"/>
      <c r="C125" s="3"/>
      <c r="E125" s="8"/>
      <c r="G125" s="136"/>
      <c r="H125" s="136"/>
      <c r="I125" s="139"/>
      <c r="J125" s="135"/>
      <c r="K125" s="135"/>
      <c r="L125" s="135"/>
      <c r="M125" s="135"/>
      <c r="N125" s="135"/>
      <c r="O125" s="135"/>
    </row>
    <row r="126" spans="2:15" x14ac:dyDescent="0.25">
      <c r="B126" s="1"/>
      <c r="C126" s="3"/>
      <c r="E126" s="8"/>
      <c r="G126" s="136"/>
      <c r="H126" s="136"/>
      <c r="I126" s="135"/>
      <c r="J126" s="135"/>
      <c r="K126" s="135"/>
      <c r="L126" s="135"/>
      <c r="M126" s="135"/>
      <c r="N126" s="135"/>
      <c r="O126" s="135"/>
    </row>
    <row r="127" spans="2:15" x14ac:dyDescent="0.25">
      <c r="B127" s="1"/>
      <c r="C127" s="3"/>
      <c r="E127" s="8"/>
      <c r="G127" s="136"/>
      <c r="H127" s="136"/>
      <c r="I127" s="139"/>
      <c r="J127" s="135"/>
      <c r="K127" s="135"/>
      <c r="L127" s="135"/>
      <c r="M127" s="135"/>
      <c r="N127" s="135"/>
      <c r="O127" s="135"/>
    </row>
    <row r="128" spans="2:15" x14ac:dyDescent="0.25">
      <c r="B128" s="1"/>
      <c r="C128" s="3"/>
      <c r="E128" s="8"/>
      <c r="G128" s="136"/>
      <c r="H128" s="136"/>
      <c r="I128" s="139"/>
      <c r="J128" s="135"/>
      <c r="K128" s="135"/>
      <c r="L128" s="135"/>
      <c r="M128" s="135"/>
      <c r="N128" s="135"/>
      <c r="O128" s="135"/>
    </row>
    <row r="129" spans="2:15" x14ac:dyDescent="0.25">
      <c r="B129" s="1"/>
      <c r="C129" s="3"/>
      <c r="E129" s="8"/>
      <c r="G129" s="1"/>
      <c r="H129" s="1"/>
      <c r="N129" s="135"/>
      <c r="O129" s="135"/>
    </row>
    <row r="130" spans="2:15" ht="15.5" x14ac:dyDescent="0.35">
      <c r="B130" s="82" t="s">
        <v>865</v>
      </c>
      <c r="C130" s="29"/>
      <c r="E130" s="8"/>
      <c r="G130" s="1"/>
      <c r="H130" s="1"/>
      <c r="N130" s="135"/>
      <c r="O130" s="135"/>
    </row>
    <row r="131" spans="2:15" ht="13.5" thickBot="1" x14ac:dyDescent="0.35">
      <c r="B131" s="63"/>
      <c r="C131" s="29" t="s">
        <v>484</v>
      </c>
      <c r="D131" s="139"/>
      <c r="E131" s="135"/>
      <c r="H131" s="1"/>
      <c r="N131" s="135"/>
      <c r="O131" s="135"/>
    </row>
    <row r="132" spans="2:15" x14ac:dyDescent="0.25">
      <c r="B132" s="156" t="s">
        <v>864</v>
      </c>
      <c r="C132" s="317">
        <v>2000</v>
      </c>
      <c r="D132" s="8" t="s">
        <v>230</v>
      </c>
      <c r="E132" s="135"/>
      <c r="H132" s="1"/>
      <c r="N132" s="135"/>
      <c r="O132" s="135"/>
    </row>
    <row r="133" spans="2:15" x14ac:dyDescent="0.25">
      <c r="B133" s="156" t="s">
        <v>409</v>
      </c>
      <c r="C133" s="259">
        <v>1.5</v>
      </c>
      <c r="D133" s="8" t="s">
        <v>209</v>
      </c>
      <c r="E133" s="135"/>
      <c r="G133" s="1"/>
      <c r="H133" s="1"/>
      <c r="N133" s="135"/>
      <c r="O133" s="135"/>
    </row>
    <row r="134" spans="2:15" x14ac:dyDescent="0.25">
      <c r="B134" s="156" t="s">
        <v>420</v>
      </c>
      <c r="C134" s="259">
        <v>1</v>
      </c>
      <c r="D134" s="8" t="s">
        <v>209</v>
      </c>
      <c r="G134" s="1"/>
      <c r="H134" s="1"/>
      <c r="N134" s="135"/>
      <c r="O134" s="135"/>
    </row>
    <row r="135" spans="2:15" x14ac:dyDescent="0.25">
      <c r="B135" s="156" t="s">
        <v>857</v>
      </c>
      <c r="C135" s="174">
        <v>20</v>
      </c>
      <c r="D135" s="318" t="s">
        <v>741</v>
      </c>
      <c r="E135" s="135"/>
      <c r="G135" s="1"/>
      <c r="H135" s="1"/>
      <c r="N135" s="135"/>
      <c r="O135" s="135"/>
    </row>
    <row r="136" spans="2:15" ht="13.5" x14ac:dyDescent="0.35">
      <c r="B136" s="156" t="s">
        <v>858</v>
      </c>
      <c r="C136" s="174">
        <v>4</v>
      </c>
      <c r="D136" s="318" t="s">
        <v>406</v>
      </c>
      <c r="E136" s="135"/>
      <c r="G136" s="156"/>
      <c r="H136" s="1"/>
      <c r="N136" s="135"/>
      <c r="O136" s="135"/>
    </row>
    <row r="137" spans="2:15" ht="14" thickBot="1" x14ac:dyDescent="0.4">
      <c r="B137" s="1" t="s">
        <v>679</v>
      </c>
      <c r="C137" s="319">
        <v>27.318241249405553</v>
      </c>
      <c r="D137" s="318" t="s">
        <v>406</v>
      </c>
      <c r="E137" s="135"/>
      <c r="G137" s="1"/>
      <c r="H137" s="1"/>
      <c r="O137" s="135"/>
    </row>
    <row r="138" spans="2:15" ht="13" x14ac:dyDescent="0.3">
      <c r="C138" s="29" t="s">
        <v>139</v>
      </c>
      <c r="E138" s="135"/>
      <c r="G138" s="1"/>
      <c r="H138" s="1"/>
      <c r="N138" s="135"/>
    </row>
    <row r="139" spans="2:15" ht="13" x14ac:dyDescent="0.3">
      <c r="B139" s="2" t="s">
        <v>859</v>
      </c>
      <c r="C139" s="10" t="s">
        <v>398</v>
      </c>
      <c r="D139" s="137"/>
      <c r="E139" s="135"/>
      <c r="G139" s="121" t="s">
        <v>201</v>
      </c>
      <c r="H139" s="136"/>
      <c r="N139" s="135"/>
    </row>
    <row r="140" spans="2:15" ht="13" x14ac:dyDescent="0.3">
      <c r="B140" s="2" t="s">
        <v>101</v>
      </c>
      <c r="C140" s="178">
        <f>C137 / C136</f>
        <v>6.8295603123513882</v>
      </c>
      <c r="D140" s="10"/>
      <c r="E140" s="135"/>
      <c r="G140" s="136"/>
      <c r="H140" s="136"/>
      <c r="N140" s="135"/>
    </row>
    <row r="141" spans="2:15" ht="13.5" x14ac:dyDescent="0.35">
      <c r="B141" s="2" t="s">
        <v>863</v>
      </c>
      <c r="C141" s="10" t="s">
        <v>860</v>
      </c>
      <c r="D141" s="137"/>
      <c r="E141" s="135"/>
      <c r="G141" s="136"/>
      <c r="H141" s="136"/>
      <c r="N141" s="135"/>
    </row>
    <row r="142" spans="2:15" ht="14.5" x14ac:dyDescent="0.35">
      <c r="B142" s="2" t="s">
        <v>101</v>
      </c>
      <c r="C142" s="178">
        <f>C140*COS(C135/57.3)</f>
        <v>6.4177474830676653</v>
      </c>
      <c r="D142" s="137"/>
      <c r="E142" s="320" t="s">
        <v>1088</v>
      </c>
      <c r="G142" s="136"/>
      <c r="H142" s="136"/>
      <c r="N142" s="135"/>
    </row>
    <row r="143" spans="2:15" ht="13" x14ac:dyDescent="0.3">
      <c r="B143" s="2" t="s">
        <v>410</v>
      </c>
      <c r="C143" s="137" t="s">
        <v>856</v>
      </c>
      <c r="D143" s="137"/>
      <c r="E143" s="135" t="s">
        <v>1089</v>
      </c>
      <c r="G143" s="135"/>
      <c r="H143" s="136"/>
      <c r="N143" s="135"/>
    </row>
    <row r="144" spans="2:15" ht="13" x14ac:dyDescent="0.3">
      <c r="B144" s="199" t="s">
        <v>101</v>
      </c>
      <c r="C144" s="253">
        <f>(C140 - C142)/2</f>
        <v>0.20590641464186143</v>
      </c>
      <c r="D144" s="137" t="s">
        <v>209</v>
      </c>
      <c r="E144" s="135" t="s">
        <v>1090</v>
      </c>
      <c r="G144" s="136"/>
      <c r="H144" s="136"/>
      <c r="N144" s="135"/>
    </row>
    <row r="145" spans="2:14" ht="13" x14ac:dyDescent="0.3">
      <c r="B145" s="2" t="s">
        <v>414</v>
      </c>
      <c r="C145" s="10" t="s">
        <v>411</v>
      </c>
      <c r="E145" s="8"/>
      <c r="G145" s="136"/>
      <c r="H145" s="136"/>
      <c r="N145" s="135"/>
    </row>
    <row r="146" spans="2:14" ht="13" x14ac:dyDescent="0.3">
      <c r="B146" s="2" t="s">
        <v>263</v>
      </c>
      <c r="C146" s="178">
        <f>C140/2</f>
        <v>3.4147801561756941</v>
      </c>
      <c r="D146" s="10" t="s">
        <v>204</v>
      </c>
      <c r="E146" s="8"/>
      <c r="G146" s="136"/>
      <c r="H146" s="136"/>
      <c r="N146" s="135"/>
    </row>
    <row r="147" spans="2:14" ht="13" x14ac:dyDescent="0.3">
      <c r="B147" s="2" t="s">
        <v>412</v>
      </c>
      <c r="C147" s="10" t="s">
        <v>413</v>
      </c>
      <c r="D147" s="10"/>
      <c r="E147" s="8"/>
      <c r="G147" s="136"/>
      <c r="H147" s="136"/>
      <c r="I147" s="139"/>
      <c r="J147" s="135"/>
      <c r="K147" s="135"/>
      <c r="L147" s="135"/>
      <c r="M147" s="135"/>
      <c r="N147" s="135"/>
    </row>
    <row r="148" spans="2:14" ht="15.5" x14ac:dyDescent="0.35">
      <c r="B148" s="2" t="s">
        <v>415</v>
      </c>
      <c r="C148" s="10">
        <f>C134*C133^3 / 12</f>
        <v>0.28125</v>
      </c>
      <c r="D148" s="10" t="s">
        <v>417</v>
      </c>
      <c r="E148" s="8"/>
      <c r="G148" s="136"/>
      <c r="H148" s="136"/>
      <c r="I148" s="139"/>
      <c r="J148" s="71" t="s">
        <v>968</v>
      </c>
      <c r="K148" s="135"/>
      <c r="L148" s="135"/>
      <c r="M148" s="135"/>
      <c r="N148" s="135"/>
    </row>
    <row r="149" spans="2:14" ht="13" x14ac:dyDescent="0.3">
      <c r="B149" s="2" t="s">
        <v>861</v>
      </c>
      <c r="C149" s="10" t="s">
        <v>862</v>
      </c>
      <c r="G149" s="136"/>
      <c r="H149" s="136"/>
      <c r="I149" s="139"/>
      <c r="J149" s="135"/>
      <c r="K149" s="135"/>
      <c r="L149" s="135"/>
      <c r="M149" s="135"/>
      <c r="N149" s="135"/>
    </row>
    <row r="150" spans="2:14" ht="13" x14ac:dyDescent="0.3">
      <c r="B150" s="2" t="s">
        <v>101</v>
      </c>
      <c r="C150" s="91">
        <f>C132*C144</f>
        <v>411.81282928372286</v>
      </c>
      <c r="D150" s="10" t="s">
        <v>854</v>
      </c>
      <c r="G150" s="136"/>
      <c r="H150" s="136"/>
      <c r="I150" s="139"/>
      <c r="J150" s="135"/>
      <c r="K150" s="135"/>
      <c r="L150" s="135"/>
      <c r="M150" s="135"/>
      <c r="N150" s="135"/>
    </row>
    <row r="151" spans="2:14" ht="13" x14ac:dyDescent="0.3">
      <c r="B151" s="2" t="s">
        <v>867</v>
      </c>
      <c r="C151" s="10" t="s">
        <v>228</v>
      </c>
      <c r="D151" s="10"/>
      <c r="E151" s="8"/>
      <c r="G151" s="136"/>
      <c r="H151" s="136"/>
      <c r="I151" s="139"/>
      <c r="J151" s="135"/>
      <c r="K151" s="135"/>
      <c r="L151" s="135"/>
      <c r="M151" s="135"/>
      <c r="N151" s="135"/>
    </row>
    <row r="152" spans="2:14" ht="13" x14ac:dyDescent="0.3">
      <c r="B152" s="2" t="s">
        <v>416</v>
      </c>
      <c r="C152" s="198">
        <f>C150*C146 / C148</f>
        <v>5000.0009866546688</v>
      </c>
      <c r="D152" s="10" t="s">
        <v>275</v>
      </c>
      <c r="E152" s="8"/>
      <c r="G152" s="136"/>
      <c r="H152" s="136"/>
      <c r="I152" s="139"/>
      <c r="J152" s="135"/>
      <c r="K152" s="135"/>
      <c r="L152" s="135"/>
      <c r="M152" s="135"/>
      <c r="N152" s="135"/>
    </row>
    <row r="153" spans="2:14" ht="13" x14ac:dyDescent="0.3">
      <c r="B153" s="10" t="s">
        <v>240</v>
      </c>
      <c r="C153" s="3"/>
      <c r="E153" s="8"/>
      <c r="G153" s="136"/>
      <c r="H153" s="136"/>
      <c r="I153" s="139"/>
      <c r="J153" s="135"/>
      <c r="K153" s="135"/>
      <c r="L153" s="135"/>
      <c r="M153" s="135"/>
      <c r="N153" s="135"/>
    </row>
    <row r="154" spans="2:14" x14ac:dyDescent="0.25">
      <c r="E154" s="8"/>
      <c r="G154" s="136"/>
      <c r="H154" s="136"/>
      <c r="I154" s="139"/>
      <c r="J154" s="135"/>
      <c r="K154" s="135"/>
      <c r="L154" s="135"/>
      <c r="M154" s="135"/>
      <c r="N154" s="135"/>
    </row>
    <row r="155" spans="2:14" ht="13" x14ac:dyDescent="0.3">
      <c r="B155" s="134" t="s">
        <v>201</v>
      </c>
      <c r="C155" s="124"/>
      <c r="D155" s="125"/>
      <c r="E155" s="125"/>
      <c r="F155" s="120"/>
      <c r="G155" s="136"/>
      <c r="H155" s="136"/>
      <c r="I155" s="139"/>
      <c r="J155" s="135"/>
      <c r="K155" s="135"/>
      <c r="L155" s="135"/>
      <c r="M155" s="135"/>
      <c r="N155" s="135"/>
    </row>
    <row r="156" spans="2:14" x14ac:dyDescent="0.25">
      <c r="E156" s="8"/>
      <c r="G156" s="136"/>
      <c r="H156" s="136"/>
      <c r="I156" s="139"/>
      <c r="J156" s="135"/>
      <c r="K156" s="135"/>
      <c r="L156" s="135"/>
      <c r="M156" s="135"/>
      <c r="N156" s="135"/>
    </row>
    <row r="157" spans="2:14" ht="16" thickBot="1" x14ac:dyDescent="0.4">
      <c r="B157" s="68" t="s">
        <v>241</v>
      </c>
      <c r="C157" s="29" t="s">
        <v>486</v>
      </c>
      <c r="E157" s="8"/>
      <c r="G157" s="136"/>
      <c r="H157" s="136"/>
      <c r="I157" s="139"/>
      <c r="J157" s="135"/>
      <c r="K157" s="135"/>
      <c r="L157" s="135"/>
      <c r="M157" s="135"/>
      <c r="N157" s="135"/>
    </row>
    <row r="158" spans="2:14" x14ac:dyDescent="0.25">
      <c r="B158" s="1" t="s">
        <v>418</v>
      </c>
      <c r="C158" s="173">
        <v>100</v>
      </c>
      <c r="D158" s="8" t="s">
        <v>427</v>
      </c>
      <c r="E158" s="8"/>
      <c r="G158" s="136"/>
      <c r="H158" s="136"/>
      <c r="I158" s="139"/>
      <c r="J158" s="135"/>
      <c r="K158" s="135"/>
      <c r="L158" s="135"/>
      <c r="M158" s="135"/>
      <c r="N158" s="135"/>
    </row>
    <row r="159" spans="2:14" x14ac:dyDescent="0.25">
      <c r="B159" s="1" t="s">
        <v>419</v>
      </c>
      <c r="C159" s="321">
        <v>3.125</v>
      </c>
      <c r="D159" s="8" t="s">
        <v>209</v>
      </c>
      <c r="E159" s="8"/>
      <c r="G159" s="136"/>
      <c r="H159" s="136"/>
      <c r="I159" s="139"/>
      <c r="J159" s="135"/>
      <c r="K159" s="135"/>
      <c r="L159" s="135"/>
      <c r="M159" s="135"/>
      <c r="N159" s="135"/>
    </row>
    <row r="160" spans="2:14" x14ac:dyDescent="0.25">
      <c r="B160" s="1" t="s">
        <v>421</v>
      </c>
      <c r="C160" s="174">
        <v>1836</v>
      </c>
      <c r="D160" s="8" t="s">
        <v>205</v>
      </c>
      <c r="E160" s="8"/>
      <c r="G160" s="136"/>
      <c r="H160" s="136"/>
      <c r="I160" s="139"/>
      <c r="J160" s="135"/>
      <c r="K160" s="135"/>
      <c r="L160" s="135"/>
      <c r="M160" s="135"/>
      <c r="N160" s="135"/>
    </row>
    <row r="161" spans="2:14" x14ac:dyDescent="0.25">
      <c r="B161" s="1" t="s">
        <v>146</v>
      </c>
      <c r="C161" s="321">
        <v>3</v>
      </c>
      <c r="D161" s="8" t="s">
        <v>209</v>
      </c>
      <c r="E161" s="8"/>
      <c r="G161" s="136"/>
      <c r="H161" s="136"/>
      <c r="I161" s="139"/>
      <c r="J161" s="135"/>
      <c r="K161" s="135"/>
      <c r="L161" s="135"/>
      <c r="M161" s="135"/>
      <c r="N161" s="135"/>
    </row>
    <row r="162" spans="2:14" ht="13" thickBot="1" x14ac:dyDescent="0.3">
      <c r="B162" s="1" t="s">
        <v>422</v>
      </c>
      <c r="C162" s="175">
        <v>2950</v>
      </c>
      <c r="D162" s="8" t="s">
        <v>406</v>
      </c>
      <c r="E162" s="8">
        <v>4980</v>
      </c>
      <c r="G162" s="136"/>
      <c r="H162" s="136"/>
      <c r="I162" s="139"/>
      <c r="J162" s="135"/>
      <c r="K162" s="135"/>
      <c r="L162" s="135"/>
      <c r="M162" s="135"/>
      <c r="N162" s="135"/>
    </row>
    <row r="163" spans="2:14" ht="13" x14ac:dyDescent="0.3">
      <c r="B163" s="15" t="s">
        <v>201</v>
      </c>
      <c r="C163" s="29" t="s">
        <v>139</v>
      </c>
      <c r="E163" s="8"/>
      <c r="G163" s="136"/>
      <c r="H163" s="136"/>
      <c r="I163" s="139"/>
      <c r="J163" s="135"/>
      <c r="K163" s="135"/>
      <c r="L163" s="135"/>
      <c r="M163" s="135"/>
      <c r="N163" s="135"/>
    </row>
    <row r="164" spans="2:14" ht="13" x14ac:dyDescent="0.3">
      <c r="B164" s="2" t="s">
        <v>425</v>
      </c>
      <c r="C164" s="10" t="s">
        <v>426</v>
      </c>
      <c r="D164" s="10"/>
      <c r="E164" s="10"/>
      <c r="G164" s="136"/>
      <c r="H164" s="136"/>
      <c r="I164" s="139"/>
      <c r="J164" s="135"/>
      <c r="K164" s="135"/>
      <c r="L164" s="135"/>
      <c r="M164" s="135"/>
      <c r="N164" s="135"/>
    </row>
    <row r="165" spans="2:14" ht="13" x14ac:dyDescent="0.3">
      <c r="B165" s="2" t="s">
        <v>428</v>
      </c>
      <c r="C165" s="198">
        <f>2*C160/C161</f>
        <v>1224</v>
      </c>
      <c r="D165" s="10" t="s">
        <v>230</v>
      </c>
      <c r="E165" s="10"/>
      <c r="G165" s="136"/>
      <c r="H165" s="136"/>
      <c r="I165" s="139"/>
      <c r="J165" s="135"/>
      <c r="K165" s="135"/>
      <c r="L165" s="135"/>
      <c r="M165" s="135"/>
      <c r="N165" s="135"/>
    </row>
    <row r="166" spans="2:14" ht="13" x14ac:dyDescent="0.3">
      <c r="B166" s="2" t="s">
        <v>423</v>
      </c>
      <c r="C166" s="10" t="s">
        <v>424</v>
      </c>
      <c r="D166" s="10"/>
      <c r="E166" s="10"/>
      <c r="G166" s="136"/>
      <c r="H166" s="136"/>
      <c r="I166" s="139"/>
      <c r="J166" s="135"/>
      <c r="K166" s="135"/>
      <c r="L166" s="135"/>
      <c r="M166" s="135"/>
      <c r="N166" s="135"/>
    </row>
    <row r="167" spans="2:14" ht="13" x14ac:dyDescent="0.3">
      <c r="B167" s="2" t="s">
        <v>429</v>
      </c>
      <c r="C167" s="198">
        <f>((0.05*C158*(C159*C162+C165))/(0.05*C158+(C159*C162+C165)^0.5))+C165</f>
        <v>1711.1150282106496</v>
      </c>
      <c r="D167" s="10" t="s">
        <v>230</v>
      </c>
      <c r="E167" s="10"/>
      <c r="G167" s="136"/>
      <c r="H167" s="136"/>
      <c r="I167" s="139"/>
      <c r="J167" s="135"/>
      <c r="K167" s="135"/>
      <c r="L167" s="135"/>
      <c r="M167" s="135"/>
      <c r="N167" s="135"/>
    </row>
    <row r="168" spans="2:14" x14ac:dyDescent="0.25">
      <c r="B168" s="1"/>
      <c r="C168" s="3"/>
      <c r="E168" s="8"/>
      <c r="G168" s="136"/>
      <c r="H168" s="136"/>
      <c r="I168" s="139"/>
      <c r="J168" s="135"/>
      <c r="K168" s="135"/>
      <c r="L168" s="135"/>
      <c r="M168" s="135"/>
      <c r="N168" s="135"/>
    </row>
    <row r="169" spans="2:14" x14ac:dyDescent="0.25">
      <c r="B169" s="1"/>
      <c r="C169" s="3"/>
      <c r="E169" s="8"/>
      <c r="G169" s="136"/>
      <c r="H169" s="136"/>
      <c r="I169" s="139"/>
      <c r="J169" s="135"/>
      <c r="K169" s="135"/>
      <c r="L169" s="135"/>
      <c r="M169" s="135"/>
      <c r="N169" s="135"/>
    </row>
    <row r="170" spans="2:14" ht="13" x14ac:dyDescent="0.3">
      <c r="B170" s="1"/>
      <c r="C170" s="3"/>
      <c r="E170" s="8"/>
      <c r="G170" s="121" t="s">
        <v>201</v>
      </c>
      <c r="H170" s="136"/>
      <c r="I170" s="139"/>
      <c r="J170" s="135"/>
      <c r="K170" s="135"/>
      <c r="L170" s="135"/>
      <c r="M170" s="135"/>
      <c r="N170" s="135"/>
    </row>
    <row r="171" spans="2:14" x14ac:dyDescent="0.25">
      <c r="B171" s="1"/>
      <c r="C171" s="3"/>
      <c r="E171" s="8"/>
      <c r="G171" s="136"/>
      <c r="H171" s="136"/>
      <c r="I171" s="139"/>
      <c r="J171" s="135"/>
      <c r="K171" s="135"/>
      <c r="L171" s="135"/>
      <c r="M171" s="135"/>
      <c r="N171" s="135"/>
    </row>
    <row r="172" spans="2:14" x14ac:dyDescent="0.25">
      <c r="B172" s="1"/>
      <c r="C172" s="3"/>
      <c r="E172" s="8"/>
      <c r="G172" s="136"/>
      <c r="H172" s="136"/>
      <c r="I172" s="139"/>
      <c r="J172" s="135"/>
      <c r="K172" s="135"/>
      <c r="L172" s="135"/>
      <c r="M172" s="135"/>
      <c r="N172" s="135"/>
    </row>
    <row r="173" spans="2:14" x14ac:dyDescent="0.25">
      <c r="B173" s="1"/>
      <c r="C173" s="3"/>
      <c r="E173" s="8"/>
      <c r="G173" s="136"/>
      <c r="H173" s="136"/>
      <c r="I173" s="139"/>
      <c r="J173" s="135"/>
      <c r="K173" s="135"/>
      <c r="L173" s="135"/>
      <c r="M173" s="135"/>
      <c r="N173" s="135"/>
    </row>
    <row r="174" spans="2:14" x14ac:dyDescent="0.25">
      <c r="B174" s="1"/>
      <c r="C174" s="3"/>
      <c r="E174" s="8"/>
      <c r="G174" s="136"/>
      <c r="H174" s="136"/>
      <c r="I174" s="139"/>
      <c r="J174" s="135"/>
      <c r="K174" s="135"/>
      <c r="L174" s="135"/>
      <c r="M174" s="135"/>
      <c r="N174" s="135"/>
    </row>
    <row r="175" spans="2:14" x14ac:dyDescent="0.25">
      <c r="B175" s="1"/>
      <c r="C175" s="3"/>
      <c r="E175" s="8"/>
      <c r="G175" s="136"/>
      <c r="H175" s="136"/>
      <c r="I175" s="139"/>
      <c r="J175" s="135"/>
      <c r="K175" s="135"/>
      <c r="L175" s="135"/>
      <c r="M175" s="135"/>
      <c r="N175" s="135"/>
    </row>
    <row r="176" spans="2:14" x14ac:dyDescent="0.25">
      <c r="B176" s="1"/>
      <c r="C176" s="3"/>
      <c r="E176" s="8"/>
      <c r="G176" s="136"/>
      <c r="H176" s="136"/>
      <c r="I176" s="139"/>
      <c r="J176" s="135"/>
      <c r="K176" s="135"/>
      <c r="L176" s="135"/>
      <c r="M176" s="135"/>
      <c r="N176" s="135"/>
    </row>
    <row r="177" spans="2:14" x14ac:dyDescent="0.25">
      <c r="B177" s="1"/>
      <c r="C177" s="3"/>
      <c r="E177" s="8"/>
      <c r="G177" s="136"/>
      <c r="H177" s="136"/>
      <c r="I177" s="139"/>
      <c r="J177" s="135"/>
      <c r="K177" s="135"/>
      <c r="L177" s="135"/>
      <c r="M177" s="135"/>
      <c r="N177" s="135"/>
    </row>
    <row r="178" spans="2:14" x14ac:dyDescent="0.25">
      <c r="B178" s="1"/>
      <c r="C178" s="3"/>
      <c r="E178" s="8"/>
      <c r="G178" s="136"/>
      <c r="H178" s="136"/>
      <c r="I178" s="139"/>
      <c r="J178" s="135"/>
      <c r="K178" s="135"/>
      <c r="L178" s="135"/>
      <c r="M178" s="135"/>
      <c r="N178" s="135"/>
    </row>
    <row r="179" spans="2:14" x14ac:dyDescent="0.25">
      <c r="B179" s="1"/>
      <c r="C179" s="3"/>
      <c r="E179" s="8"/>
      <c r="G179" s="136"/>
      <c r="H179" s="136"/>
      <c r="I179" s="139"/>
      <c r="J179" s="135"/>
      <c r="K179" s="135"/>
      <c r="L179" s="135"/>
      <c r="M179" s="135"/>
      <c r="N179" s="135"/>
    </row>
    <row r="180" spans="2:14" ht="16" thickBot="1" x14ac:dyDescent="0.4">
      <c r="B180" s="82" t="s">
        <v>239</v>
      </c>
      <c r="E180" s="8"/>
      <c r="G180" s="136"/>
      <c r="H180" s="136"/>
      <c r="I180" s="139"/>
      <c r="J180" s="135"/>
      <c r="K180" s="135"/>
      <c r="L180" s="135"/>
      <c r="M180" s="135"/>
      <c r="N180" s="135"/>
    </row>
    <row r="181" spans="2:14" ht="13.5" thickBot="1" x14ac:dyDescent="0.35">
      <c r="B181" s="10" t="s">
        <v>442</v>
      </c>
      <c r="C181" s="3"/>
      <c r="E181" s="8"/>
      <c r="G181" s="18" t="s">
        <v>1091</v>
      </c>
      <c r="H181" s="19"/>
      <c r="I181" s="163"/>
      <c r="J181" s="135"/>
      <c r="K181" s="135"/>
      <c r="L181" s="135"/>
      <c r="M181" s="135"/>
      <c r="N181" s="135"/>
    </row>
    <row r="182" spans="2:14" ht="13.5" thickBot="1" x14ac:dyDescent="0.35">
      <c r="C182" s="29" t="s">
        <v>486</v>
      </c>
      <c r="E182" s="8"/>
      <c r="G182" s="20"/>
      <c r="H182" s="98" t="s">
        <v>431</v>
      </c>
      <c r="I182" s="164" t="s">
        <v>431</v>
      </c>
      <c r="J182" s="135"/>
      <c r="K182" s="135"/>
      <c r="L182" s="135"/>
      <c r="M182" s="135"/>
      <c r="N182" s="135"/>
    </row>
    <row r="183" spans="2:14" ht="13.5" thickBot="1" x14ac:dyDescent="0.35">
      <c r="B183" s="1" t="s">
        <v>438</v>
      </c>
      <c r="C183" s="317">
        <v>5000</v>
      </c>
      <c r="D183" s="8" t="s">
        <v>275</v>
      </c>
      <c r="E183" s="8"/>
      <c r="G183" s="21" t="s">
        <v>433</v>
      </c>
      <c r="H183" s="21" t="s">
        <v>432</v>
      </c>
      <c r="I183" s="165" t="s">
        <v>436</v>
      </c>
      <c r="J183" s="135"/>
      <c r="K183" s="135"/>
      <c r="L183" s="135"/>
      <c r="M183" s="135"/>
      <c r="N183" s="135"/>
    </row>
    <row r="184" spans="2:14" ht="13" x14ac:dyDescent="0.3">
      <c r="B184" s="1" t="s">
        <v>439</v>
      </c>
      <c r="C184" s="174">
        <v>3.5</v>
      </c>
      <c r="D184" s="8" t="s">
        <v>209</v>
      </c>
      <c r="E184" s="8"/>
      <c r="G184" s="48">
        <v>12</v>
      </c>
      <c r="H184" s="103">
        <v>6.7000000000000004E-2</v>
      </c>
      <c r="I184" s="103">
        <v>7.8E-2</v>
      </c>
      <c r="J184" s="135"/>
      <c r="K184" s="135"/>
      <c r="L184" s="135"/>
      <c r="M184" s="135"/>
      <c r="N184" s="135"/>
    </row>
    <row r="185" spans="2:14" ht="13" x14ac:dyDescent="0.3">
      <c r="B185" s="1" t="s">
        <v>469</v>
      </c>
      <c r="C185" s="174">
        <v>1.0472999999999999</v>
      </c>
      <c r="D185" s="8" t="s">
        <v>209</v>
      </c>
      <c r="E185" s="8"/>
      <c r="G185" s="48">
        <v>14</v>
      </c>
      <c r="H185" s="106">
        <v>7.4999999999999997E-2</v>
      </c>
      <c r="I185" s="106">
        <v>8.7999999999999995E-2</v>
      </c>
      <c r="J185" s="135"/>
      <c r="K185" s="135"/>
      <c r="L185" s="135"/>
      <c r="M185" s="135"/>
      <c r="N185" s="135"/>
    </row>
    <row r="186" spans="2:14" ht="13.5" thickBot="1" x14ac:dyDescent="0.35">
      <c r="B186" s="1" t="s">
        <v>440</v>
      </c>
      <c r="C186" s="175">
        <v>9.4E-2</v>
      </c>
      <c r="D186" s="8" t="s">
        <v>406</v>
      </c>
      <c r="E186" s="8"/>
      <c r="G186" s="48">
        <v>16</v>
      </c>
      <c r="H186" s="106">
        <v>8.1000000000000003E-2</v>
      </c>
      <c r="I186" s="106">
        <v>9.4E-2</v>
      </c>
      <c r="J186" s="135"/>
      <c r="K186" s="135"/>
      <c r="L186" s="135"/>
      <c r="M186" s="135"/>
      <c r="N186" s="135"/>
    </row>
    <row r="187" spans="2:14" ht="13" x14ac:dyDescent="0.3">
      <c r="C187" s="29" t="s">
        <v>139</v>
      </c>
      <c r="E187" s="8"/>
      <c r="G187" s="48">
        <v>18</v>
      </c>
      <c r="H187" s="106">
        <v>8.5999999999999993E-2</v>
      </c>
      <c r="I187" s="106">
        <v>9.8000000000000004E-2</v>
      </c>
      <c r="J187" s="135"/>
      <c r="K187" s="135"/>
      <c r="L187" s="135"/>
      <c r="M187" s="135"/>
      <c r="N187" s="135"/>
    </row>
    <row r="188" spans="2:14" ht="13" x14ac:dyDescent="0.3">
      <c r="B188" s="2" t="s">
        <v>441</v>
      </c>
      <c r="C188" s="10" t="s">
        <v>437</v>
      </c>
      <c r="D188" s="10"/>
      <c r="E188" s="8"/>
      <c r="G188" s="48">
        <v>20</v>
      </c>
      <c r="H188" s="106">
        <v>0.09</v>
      </c>
      <c r="I188" s="106">
        <v>0.10199999999999999</v>
      </c>
      <c r="J188" s="135"/>
      <c r="K188" s="135"/>
      <c r="L188" s="135"/>
      <c r="M188" s="135"/>
      <c r="N188" s="135"/>
    </row>
    <row r="189" spans="2:14" ht="13" x14ac:dyDescent="0.3">
      <c r="B189" s="2" t="s">
        <v>428</v>
      </c>
      <c r="C189" s="198">
        <f>C183*C184*C185*C186</f>
        <v>1722.8085000000001</v>
      </c>
      <c r="D189" s="10" t="s">
        <v>230</v>
      </c>
      <c r="E189" s="8"/>
      <c r="G189" s="48">
        <v>25</v>
      </c>
      <c r="H189" s="106">
        <v>9.7000000000000003E-2</v>
      </c>
      <c r="I189" s="106">
        <v>0.108</v>
      </c>
      <c r="J189" s="135"/>
      <c r="K189" s="135"/>
      <c r="L189" s="135"/>
      <c r="M189" s="135"/>
      <c r="N189" s="135"/>
    </row>
    <row r="190" spans="2:14" ht="13" x14ac:dyDescent="0.3">
      <c r="E190" s="8"/>
      <c r="G190" s="48">
        <v>30</v>
      </c>
      <c r="H190" s="106">
        <v>0.10100000000000001</v>
      </c>
      <c r="I190" s="106">
        <v>0.114</v>
      </c>
      <c r="J190" s="135"/>
      <c r="K190" s="135"/>
      <c r="L190" s="135"/>
      <c r="M190" s="135"/>
      <c r="N190" s="135"/>
    </row>
    <row r="191" spans="2:14" ht="13" x14ac:dyDescent="0.3">
      <c r="B191" s="10" t="s">
        <v>443</v>
      </c>
      <c r="C191" s="3"/>
      <c r="E191" s="8"/>
      <c r="G191" s="48">
        <v>50</v>
      </c>
      <c r="H191" s="106">
        <v>0.11</v>
      </c>
      <c r="I191" s="106">
        <v>0.13</v>
      </c>
      <c r="J191" s="135"/>
      <c r="K191" s="135"/>
      <c r="L191" s="135"/>
      <c r="M191" s="135"/>
      <c r="N191" s="135"/>
    </row>
    <row r="192" spans="2:14" ht="13.5" thickBot="1" x14ac:dyDescent="0.35">
      <c r="C192" s="29" t="s">
        <v>486</v>
      </c>
      <c r="E192" s="8"/>
      <c r="G192" s="48">
        <v>60</v>
      </c>
      <c r="H192" s="106">
        <v>0.113</v>
      </c>
      <c r="I192" s="106">
        <v>0.13400000000000001</v>
      </c>
      <c r="J192" s="135"/>
      <c r="K192" s="135"/>
      <c r="L192" s="135"/>
      <c r="M192" s="135"/>
      <c r="N192" s="135"/>
    </row>
    <row r="193" spans="2:14" ht="13" x14ac:dyDescent="0.3">
      <c r="B193" s="1" t="s">
        <v>445</v>
      </c>
      <c r="C193" s="317">
        <v>15300</v>
      </c>
      <c r="D193" s="8" t="s">
        <v>205</v>
      </c>
      <c r="E193" s="8"/>
      <c r="G193" s="48">
        <v>75</v>
      </c>
      <c r="H193" s="106">
        <v>0.115</v>
      </c>
      <c r="I193" s="106">
        <v>0.13800000000000001</v>
      </c>
      <c r="J193" s="135"/>
      <c r="K193" s="135"/>
      <c r="L193" s="135"/>
      <c r="M193" s="135"/>
      <c r="N193" s="135"/>
    </row>
    <row r="194" spans="2:14" ht="13" x14ac:dyDescent="0.3">
      <c r="B194" s="1" t="s">
        <v>447</v>
      </c>
      <c r="C194" s="321">
        <v>5</v>
      </c>
      <c r="D194" s="8" t="s">
        <v>204</v>
      </c>
      <c r="E194" s="8"/>
      <c r="G194" s="48">
        <v>100</v>
      </c>
      <c r="H194" s="106">
        <v>0.11700000000000001</v>
      </c>
      <c r="I194" s="106">
        <v>0.14199999999999999</v>
      </c>
      <c r="J194" s="135"/>
      <c r="K194" s="135"/>
      <c r="L194" s="135"/>
      <c r="M194" s="135"/>
      <c r="N194" s="135"/>
    </row>
    <row r="195" spans="2:14" ht="13" x14ac:dyDescent="0.3">
      <c r="B195" s="1" t="s">
        <v>448</v>
      </c>
      <c r="C195" s="174">
        <v>4</v>
      </c>
      <c r="D195" s="8" t="s">
        <v>449</v>
      </c>
      <c r="E195" s="8"/>
      <c r="G195" s="48">
        <v>150</v>
      </c>
      <c r="H195" s="106">
        <v>0.11899999999999999</v>
      </c>
      <c r="I195" s="106">
        <v>0.14599999999999999</v>
      </c>
      <c r="J195" s="135"/>
      <c r="K195" s="135"/>
      <c r="L195" s="135"/>
      <c r="M195" s="135"/>
      <c r="N195" s="135"/>
    </row>
    <row r="196" spans="2:14" ht="13" x14ac:dyDescent="0.3">
      <c r="B196" s="1" t="s">
        <v>440</v>
      </c>
      <c r="C196" s="174">
        <v>0.161</v>
      </c>
      <c r="D196" s="8" t="s">
        <v>406</v>
      </c>
      <c r="E196" s="8"/>
      <c r="G196" s="48">
        <v>300</v>
      </c>
      <c r="H196" s="106">
        <v>0.122</v>
      </c>
      <c r="I196" s="106">
        <v>0.15</v>
      </c>
      <c r="J196" s="135"/>
      <c r="K196" s="135"/>
      <c r="L196" s="135"/>
      <c r="M196" s="135"/>
      <c r="N196" s="135"/>
    </row>
    <row r="197" spans="2:14" ht="13.5" thickBot="1" x14ac:dyDescent="0.35">
      <c r="B197" s="1" t="s">
        <v>450</v>
      </c>
      <c r="C197" s="175">
        <v>100</v>
      </c>
      <c r="D197" s="8" t="s">
        <v>406</v>
      </c>
      <c r="E197" s="8"/>
      <c r="G197" s="17" t="s">
        <v>434</v>
      </c>
      <c r="H197" s="108">
        <v>0.124</v>
      </c>
      <c r="I197" s="108">
        <v>0.154</v>
      </c>
      <c r="J197" s="135"/>
      <c r="K197" s="135"/>
      <c r="L197" s="135"/>
      <c r="M197" s="135"/>
      <c r="N197" s="135"/>
    </row>
    <row r="198" spans="2:14" ht="13" x14ac:dyDescent="0.3">
      <c r="C198" s="29" t="s">
        <v>139</v>
      </c>
      <c r="E198" s="8"/>
      <c r="H198" s="121"/>
      <c r="I198" s="136"/>
      <c r="J198" s="135"/>
      <c r="K198" s="135"/>
      <c r="L198" s="135"/>
      <c r="M198" s="135"/>
      <c r="N198" s="135"/>
    </row>
    <row r="199" spans="2:14" ht="13" x14ac:dyDescent="0.3">
      <c r="B199" s="2" t="s">
        <v>444</v>
      </c>
      <c r="C199" s="10" t="s">
        <v>467</v>
      </c>
      <c r="D199" s="10"/>
      <c r="E199" s="8"/>
      <c r="G199" s="135"/>
      <c r="H199" s="136"/>
      <c r="I199" s="139"/>
      <c r="J199" s="135"/>
      <c r="K199" s="135"/>
      <c r="L199" s="135"/>
      <c r="M199" s="135"/>
      <c r="N199" s="135"/>
    </row>
    <row r="200" spans="2:14" ht="13" x14ac:dyDescent="0.3">
      <c r="B200" s="2" t="s">
        <v>451</v>
      </c>
      <c r="C200" s="5">
        <f>2*C193*C194^3/(C195*3.142^2*C196*C197)</f>
        <v>6016.3516264405862</v>
      </c>
      <c r="D200" s="10" t="s">
        <v>275</v>
      </c>
      <c r="E200" s="8"/>
      <c r="G200" s="136"/>
      <c r="H200" s="136"/>
      <c r="I200" s="139"/>
      <c r="J200" s="135"/>
      <c r="K200" s="135"/>
      <c r="L200" s="135"/>
      <c r="M200" s="135"/>
      <c r="N200" s="135"/>
    </row>
    <row r="201" spans="2:14" x14ac:dyDescent="0.25">
      <c r="B201" s="1"/>
      <c r="C201" s="3"/>
      <c r="E201" s="8"/>
      <c r="G201" s="135"/>
      <c r="H201" s="136"/>
      <c r="I201" s="139"/>
      <c r="J201" s="135"/>
      <c r="K201" s="135"/>
      <c r="L201" s="135"/>
      <c r="M201" s="135"/>
      <c r="N201" s="135"/>
    </row>
    <row r="202" spans="2:14" ht="13.5" thickBot="1" x14ac:dyDescent="0.35">
      <c r="B202" s="2" t="s">
        <v>453</v>
      </c>
      <c r="C202" s="29" t="s">
        <v>486</v>
      </c>
      <c r="E202" s="8"/>
      <c r="G202" s="136"/>
      <c r="H202" s="136"/>
      <c r="I202" s="139"/>
      <c r="J202" s="135"/>
      <c r="K202" s="135"/>
      <c r="L202" s="135"/>
      <c r="M202" s="135"/>
      <c r="N202" s="135"/>
    </row>
    <row r="203" spans="2:14" x14ac:dyDescent="0.25">
      <c r="B203" s="1" t="s">
        <v>454</v>
      </c>
      <c r="C203" s="173">
        <v>5.33</v>
      </c>
      <c r="D203" s="8" t="s">
        <v>209</v>
      </c>
      <c r="E203" s="8"/>
      <c r="G203" s="136"/>
      <c r="H203" s="136"/>
      <c r="I203" s="139"/>
      <c r="J203" s="135"/>
      <c r="K203" s="135"/>
      <c r="L203" s="135"/>
      <c r="M203" s="135"/>
      <c r="N203" s="135"/>
    </row>
    <row r="204" spans="2:14" x14ac:dyDescent="0.25">
      <c r="B204" s="1" t="s">
        <v>460</v>
      </c>
      <c r="C204" s="174">
        <v>800</v>
      </c>
      <c r="D204" s="8" t="s">
        <v>217</v>
      </c>
      <c r="E204" s="8"/>
      <c r="G204" s="136"/>
      <c r="H204" s="136"/>
      <c r="I204" s="139"/>
      <c r="J204" s="135"/>
      <c r="K204" s="135"/>
      <c r="L204" s="135"/>
      <c r="M204" s="135"/>
      <c r="N204" s="135"/>
    </row>
    <row r="205" spans="2:14" x14ac:dyDescent="0.25">
      <c r="B205" s="156" t="s">
        <v>464</v>
      </c>
      <c r="C205" s="322" t="s">
        <v>465</v>
      </c>
      <c r="E205" s="8"/>
      <c r="G205" s="136"/>
      <c r="H205" s="136"/>
      <c r="I205" s="139"/>
      <c r="J205" s="135"/>
      <c r="K205" s="135"/>
      <c r="L205" s="135"/>
      <c r="M205" s="135"/>
      <c r="N205" s="135"/>
    </row>
    <row r="206" spans="2:14" x14ac:dyDescent="0.25">
      <c r="B206" s="1" t="s">
        <v>466</v>
      </c>
      <c r="C206" s="323">
        <f>3.142*C203*C204/12</f>
        <v>1116.4573333333331</v>
      </c>
      <c r="D206" s="8" t="s">
        <v>427</v>
      </c>
      <c r="E206" s="8"/>
      <c r="G206" s="136"/>
      <c r="H206" s="136"/>
      <c r="I206" s="139"/>
      <c r="J206" s="135"/>
      <c r="K206" s="135"/>
      <c r="L206" s="135"/>
      <c r="M206" s="135"/>
      <c r="N206" s="135"/>
    </row>
    <row r="207" spans="2:14" x14ac:dyDescent="0.25">
      <c r="B207" s="156" t="s">
        <v>441</v>
      </c>
      <c r="C207" s="166">
        <v>1722</v>
      </c>
      <c r="D207" s="8" t="s">
        <v>230</v>
      </c>
      <c r="E207" s="8"/>
      <c r="G207" s="136"/>
      <c r="H207" s="136"/>
      <c r="I207" s="139"/>
      <c r="J207" s="135"/>
      <c r="K207" s="135"/>
      <c r="L207" s="135"/>
      <c r="M207" s="135"/>
      <c r="N207" s="135"/>
    </row>
    <row r="208" spans="2:14" ht="13" thickBot="1" x14ac:dyDescent="0.3">
      <c r="B208" s="156" t="s">
        <v>464</v>
      </c>
      <c r="C208" s="167">
        <v>840</v>
      </c>
      <c r="D208" s="8" t="s">
        <v>427</v>
      </c>
      <c r="E208" s="8"/>
      <c r="G208" s="136"/>
      <c r="H208" s="136"/>
      <c r="I208" s="139"/>
      <c r="J208" s="135"/>
      <c r="K208" s="135"/>
      <c r="L208" s="135"/>
      <c r="M208" s="135"/>
      <c r="N208" s="135"/>
    </row>
    <row r="209" spans="2:14" ht="13" x14ac:dyDescent="0.3">
      <c r="B209" s="2" t="s">
        <v>201</v>
      </c>
      <c r="C209" s="29" t="s">
        <v>139</v>
      </c>
      <c r="E209" s="10" t="s">
        <v>128</v>
      </c>
      <c r="F209" s="4"/>
      <c r="G209" s="136"/>
      <c r="H209" s="136"/>
      <c r="I209" s="139"/>
      <c r="J209" s="135"/>
      <c r="K209" s="135"/>
      <c r="L209" s="135"/>
      <c r="M209" s="135"/>
      <c r="N209" s="135"/>
    </row>
    <row r="210" spans="2:14" ht="13" x14ac:dyDescent="0.3">
      <c r="B210" s="2" t="s">
        <v>461</v>
      </c>
      <c r="C210" s="10" t="s">
        <v>462</v>
      </c>
      <c r="D210" s="10"/>
      <c r="E210" s="10" t="s">
        <v>127</v>
      </c>
      <c r="F210" s="4">
        <v>33000</v>
      </c>
      <c r="G210" s="136"/>
      <c r="H210" s="136"/>
      <c r="I210" s="139"/>
      <c r="J210" s="135"/>
      <c r="K210" s="135"/>
      <c r="L210" s="135"/>
      <c r="M210" s="135"/>
      <c r="N210" s="135"/>
    </row>
    <row r="211" spans="2:14" ht="13" x14ac:dyDescent="0.3">
      <c r="B211" s="2" t="s">
        <v>463</v>
      </c>
      <c r="C211" s="91">
        <f>C207*C208/33000</f>
        <v>43.832727272727276</v>
      </c>
      <c r="D211" s="10" t="s">
        <v>218</v>
      </c>
      <c r="E211" s="8"/>
      <c r="F211" s="4" t="s">
        <v>427</v>
      </c>
      <c r="G211" s="136"/>
      <c r="H211" s="136"/>
      <c r="I211" s="139"/>
      <c r="J211" s="135"/>
      <c r="K211" s="135"/>
      <c r="L211" s="135"/>
      <c r="M211" s="135"/>
      <c r="N211" s="135"/>
    </row>
    <row r="212" spans="2:14" x14ac:dyDescent="0.25">
      <c r="E212" s="8"/>
      <c r="G212" s="136"/>
      <c r="H212" s="136"/>
      <c r="I212" s="139"/>
      <c r="J212" s="135"/>
      <c r="K212" s="135"/>
      <c r="L212" s="135"/>
      <c r="M212" s="135"/>
      <c r="N212" s="135"/>
    </row>
    <row r="213" spans="2:14" x14ac:dyDescent="0.25">
      <c r="B213" s="120"/>
      <c r="C213" s="124"/>
      <c r="D213" s="125"/>
      <c r="E213" s="125"/>
      <c r="F213" s="120"/>
      <c r="G213" s="136"/>
      <c r="H213" s="136"/>
      <c r="I213" s="139"/>
      <c r="J213" s="135"/>
      <c r="K213" s="135"/>
      <c r="L213" s="135"/>
      <c r="M213" s="135"/>
      <c r="N213" s="135"/>
    </row>
    <row r="214" spans="2:14" x14ac:dyDescent="0.25">
      <c r="B214" s="1"/>
      <c r="C214" s="3"/>
      <c r="E214" s="8"/>
      <c r="G214" s="136"/>
      <c r="H214" s="136"/>
      <c r="I214" s="139"/>
      <c r="J214" s="135"/>
      <c r="K214" s="135"/>
      <c r="L214" s="135"/>
      <c r="M214" s="135"/>
      <c r="N214" s="135"/>
    </row>
    <row r="215" spans="2:14" ht="15.5" x14ac:dyDescent="0.35">
      <c r="B215" s="68" t="s">
        <v>991</v>
      </c>
      <c r="C215" s="3"/>
      <c r="E215" s="8"/>
      <c r="G215" s="136"/>
      <c r="H215" s="136"/>
      <c r="I215" s="139"/>
      <c r="J215" s="135"/>
      <c r="K215" s="135"/>
      <c r="L215" s="135"/>
      <c r="M215" s="135"/>
      <c r="N215" s="135"/>
    </row>
    <row r="216" spans="2:14" x14ac:dyDescent="0.25">
      <c r="B216" s="1"/>
      <c r="C216" s="3"/>
      <c r="E216" s="8"/>
      <c r="G216" s="135"/>
      <c r="H216" s="136"/>
      <c r="I216" s="139"/>
      <c r="J216" s="135"/>
      <c r="K216" s="135"/>
      <c r="L216" s="135"/>
      <c r="M216" s="135"/>
      <c r="N216" s="135"/>
    </row>
    <row r="217" spans="2:14" ht="13" x14ac:dyDescent="0.3">
      <c r="B217" s="10" t="s">
        <v>201</v>
      </c>
      <c r="C217" s="3"/>
      <c r="E217" s="8"/>
      <c r="G217" s="135"/>
      <c r="H217" s="136"/>
      <c r="I217" s="139"/>
      <c r="J217" s="135"/>
      <c r="K217" s="135"/>
      <c r="L217" s="135"/>
      <c r="M217" s="135"/>
      <c r="N217" s="135"/>
    </row>
    <row r="218" spans="2:14" x14ac:dyDescent="0.25">
      <c r="B218" s="1"/>
      <c r="C218" s="3"/>
      <c r="E218" s="8"/>
      <c r="G218" s="135"/>
      <c r="H218" s="136"/>
      <c r="I218" s="139"/>
      <c r="J218" s="135"/>
      <c r="K218" s="135"/>
      <c r="L218" s="135"/>
      <c r="M218" s="135"/>
      <c r="N218" s="135"/>
    </row>
    <row r="219" spans="2:14" x14ac:dyDescent="0.25">
      <c r="B219" s="1"/>
      <c r="C219" s="3"/>
      <c r="E219" s="8"/>
      <c r="G219" s="135"/>
      <c r="H219" s="136"/>
      <c r="I219" s="139"/>
      <c r="J219" s="135"/>
      <c r="K219" s="135"/>
      <c r="L219" s="135"/>
      <c r="M219" s="135"/>
      <c r="N219" s="135"/>
    </row>
    <row r="220" spans="2:14" x14ac:dyDescent="0.25">
      <c r="B220" s="1"/>
      <c r="C220" s="3"/>
      <c r="E220" s="8"/>
      <c r="G220" s="136"/>
      <c r="H220" s="136"/>
      <c r="I220" s="139"/>
      <c r="J220" s="135"/>
      <c r="K220" s="135"/>
      <c r="L220" s="135"/>
      <c r="M220" s="135"/>
      <c r="N220" s="135"/>
    </row>
    <row r="221" spans="2:14" x14ac:dyDescent="0.25">
      <c r="B221" s="1"/>
      <c r="C221" s="3"/>
      <c r="E221" s="8"/>
      <c r="G221" s="136"/>
      <c r="H221" s="136"/>
      <c r="I221" s="139"/>
      <c r="J221" s="135"/>
      <c r="K221" s="135"/>
      <c r="L221" s="135"/>
      <c r="M221" s="135"/>
      <c r="N221" s="135"/>
    </row>
    <row r="222" spans="2:14" ht="13" x14ac:dyDescent="0.3">
      <c r="B222" s="1"/>
      <c r="C222" s="3"/>
      <c r="E222" s="8"/>
      <c r="G222" s="121" t="s">
        <v>201</v>
      </c>
      <c r="H222" s="136"/>
      <c r="I222" s="139"/>
      <c r="J222" s="135"/>
      <c r="K222" s="135"/>
      <c r="L222" s="135"/>
      <c r="M222" s="135"/>
      <c r="N222" s="135"/>
    </row>
    <row r="223" spans="2:14" x14ac:dyDescent="0.25">
      <c r="B223" s="1"/>
      <c r="C223" s="3"/>
      <c r="E223" s="8"/>
      <c r="G223" s="135"/>
      <c r="H223" s="136"/>
      <c r="I223" s="139"/>
      <c r="J223" s="135"/>
      <c r="K223" s="135"/>
      <c r="L223" s="135"/>
      <c r="M223" s="135"/>
      <c r="N223" s="135"/>
    </row>
    <row r="224" spans="2:14" x14ac:dyDescent="0.25">
      <c r="B224" s="1"/>
      <c r="C224" s="3"/>
      <c r="E224" s="8"/>
      <c r="G224" s="135"/>
      <c r="H224" s="136"/>
      <c r="I224" s="139"/>
      <c r="J224" s="135"/>
      <c r="K224" s="135"/>
      <c r="L224" s="135"/>
      <c r="M224" s="135"/>
      <c r="N224" s="135"/>
    </row>
    <row r="225" spans="2:14" x14ac:dyDescent="0.25">
      <c r="E225" s="8"/>
      <c r="G225" s="135"/>
      <c r="H225" s="136"/>
      <c r="I225" s="139"/>
      <c r="J225" s="135"/>
      <c r="K225" s="135"/>
      <c r="L225" s="135"/>
      <c r="M225" s="135"/>
      <c r="N225" s="135"/>
    </row>
    <row r="226" spans="2:14" x14ac:dyDescent="0.25">
      <c r="E226" s="8"/>
      <c r="G226" s="135"/>
      <c r="H226" s="136"/>
      <c r="I226" s="139"/>
      <c r="J226" s="135"/>
      <c r="K226" s="135"/>
      <c r="L226" s="135"/>
      <c r="M226" s="135"/>
      <c r="N226" s="135"/>
    </row>
    <row r="227" spans="2:14" x14ac:dyDescent="0.25">
      <c r="E227" s="8"/>
      <c r="G227" s="135"/>
      <c r="H227" s="136"/>
      <c r="I227" s="139"/>
      <c r="J227" s="135"/>
      <c r="K227" s="135"/>
      <c r="L227" s="135"/>
      <c r="M227" s="135"/>
      <c r="N227" s="135"/>
    </row>
    <row r="228" spans="2:14" x14ac:dyDescent="0.25">
      <c r="E228" s="8"/>
      <c r="G228" s="136"/>
      <c r="H228" s="136"/>
      <c r="I228" s="139"/>
      <c r="J228" s="135"/>
      <c r="K228" s="135"/>
      <c r="L228" s="135"/>
      <c r="M228" s="135"/>
      <c r="N228" s="135"/>
    </row>
    <row r="229" spans="2:14" x14ac:dyDescent="0.25">
      <c r="E229" s="8"/>
      <c r="G229" s="136"/>
      <c r="H229" s="136"/>
      <c r="I229" s="139"/>
      <c r="J229" s="135"/>
      <c r="K229" s="135"/>
      <c r="L229" s="135"/>
      <c r="M229" s="135"/>
      <c r="N229" s="135"/>
    </row>
    <row r="230" spans="2:14" x14ac:dyDescent="0.25">
      <c r="B230" s="1"/>
      <c r="C230" s="3"/>
      <c r="E230" s="8"/>
      <c r="G230" s="136"/>
      <c r="H230" s="136"/>
      <c r="I230" s="139"/>
      <c r="J230" s="135"/>
      <c r="K230" s="135"/>
      <c r="L230" s="135"/>
      <c r="M230" s="135"/>
      <c r="N230" s="135"/>
    </row>
    <row r="231" spans="2:14" x14ac:dyDescent="0.25">
      <c r="B231" s="1"/>
      <c r="C231" s="3"/>
      <c r="E231" s="8"/>
      <c r="G231" s="136"/>
      <c r="H231" s="136"/>
      <c r="I231" s="139"/>
      <c r="J231" s="135"/>
      <c r="K231" s="135"/>
      <c r="L231" s="135"/>
      <c r="M231" s="135"/>
      <c r="N231" s="135"/>
    </row>
    <row r="232" spans="2:14" x14ac:dyDescent="0.25">
      <c r="B232" s="1"/>
      <c r="C232" s="3"/>
      <c r="E232" s="8"/>
      <c r="G232" s="136"/>
      <c r="H232" s="136"/>
      <c r="I232" s="139"/>
      <c r="J232" s="135"/>
      <c r="K232" s="135"/>
      <c r="L232" s="135"/>
      <c r="M232" s="135"/>
      <c r="N232" s="135"/>
    </row>
    <row r="233" spans="2:14" x14ac:dyDescent="0.25">
      <c r="E233" s="8"/>
      <c r="G233" s="136"/>
      <c r="H233" s="136"/>
      <c r="I233" s="139"/>
      <c r="J233" s="135"/>
      <c r="K233" s="135"/>
      <c r="L233" s="135"/>
      <c r="M233" s="135"/>
      <c r="N233" s="135"/>
    </row>
    <row r="234" spans="2:14" x14ac:dyDescent="0.25">
      <c r="E234" s="8"/>
      <c r="G234" s="136"/>
      <c r="H234" s="136"/>
      <c r="I234" s="139"/>
      <c r="J234" s="135"/>
      <c r="K234" s="135"/>
      <c r="L234" s="135"/>
      <c r="M234" s="135"/>
      <c r="N234" s="135"/>
    </row>
    <row r="235" spans="2:14" x14ac:dyDescent="0.25">
      <c r="E235" s="8"/>
      <c r="G235" s="136"/>
      <c r="H235" s="136"/>
      <c r="I235" s="139"/>
      <c r="J235" s="135"/>
      <c r="K235" s="135"/>
      <c r="L235" s="135"/>
      <c r="M235" s="135"/>
      <c r="N235" s="135"/>
    </row>
    <row r="236" spans="2:14" x14ac:dyDescent="0.25">
      <c r="E236" s="8"/>
      <c r="G236" s="136"/>
      <c r="H236" s="136"/>
      <c r="I236" s="139"/>
      <c r="J236" s="135"/>
      <c r="K236" s="135"/>
      <c r="L236" s="135"/>
      <c r="M236" s="135"/>
      <c r="N236" s="135"/>
    </row>
    <row r="237" spans="2:14" x14ac:dyDescent="0.25">
      <c r="E237" s="8"/>
      <c r="G237" s="135"/>
      <c r="H237" s="136"/>
      <c r="I237" s="139"/>
      <c r="J237" s="135"/>
      <c r="K237" s="135"/>
      <c r="L237" s="135"/>
      <c r="M237" s="135"/>
      <c r="N237" s="135"/>
    </row>
    <row r="238" spans="2:14" x14ac:dyDescent="0.25">
      <c r="E238" s="8"/>
      <c r="G238" s="135"/>
      <c r="H238" s="136"/>
      <c r="I238" s="139"/>
      <c r="J238" s="135"/>
      <c r="K238" s="135"/>
      <c r="L238" s="135"/>
      <c r="M238" s="135"/>
      <c r="N238" s="135"/>
    </row>
    <row r="239" spans="2:14" x14ac:dyDescent="0.25">
      <c r="E239" s="8"/>
      <c r="G239" s="135"/>
      <c r="H239" s="136"/>
      <c r="I239" s="139"/>
      <c r="J239" s="135"/>
      <c r="K239" s="135"/>
      <c r="L239" s="135"/>
      <c r="M239" s="135"/>
      <c r="N239" s="135"/>
    </row>
    <row r="240" spans="2:14" x14ac:dyDescent="0.25">
      <c r="E240" s="8"/>
      <c r="G240" s="135"/>
      <c r="H240" s="136"/>
      <c r="I240" s="139"/>
      <c r="J240" s="135"/>
      <c r="K240" s="135"/>
      <c r="L240" s="135"/>
      <c r="M240" s="135"/>
      <c r="N240" s="135"/>
    </row>
    <row r="241" spans="2:14" x14ac:dyDescent="0.25">
      <c r="E241" s="8"/>
      <c r="G241" s="135"/>
      <c r="H241" s="136"/>
      <c r="I241" s="139"/>
      <c r="J241" s="135"/>
      <c r="K241" s="135"/>
      <c r="L241" s="135"/>
      <c r="M241" s="135"/>
      <c r="N241" s="135"/>
    </row>
    <row r="242" spans="2:14" x14ac:dyDescent="0.25">
      <c r="E242" s="8"/>
      <c r="G242" s="135"/>
      <c r="H242" s="136"/>
      <c r="I242" s="139"/>
      <c r="J242" s="135"/>
      <c r="K242" s="135"/>
      <c r="L242" s="135"/>
      <c r="M242" s="135"/>
      <c r="N242" s="135"/>
    </row>
    <row r="243" spans="2:14" x14ac:dyDescent="0.25">
      <c r="E243" s="8"/>
      <c r="G243" s="135"/>
      <c r="H243" s="136"/>
      <c r="I243" s="139"/>
      <c r="J243" s="135"/>
      <c r="K243" s="135"/>
      <c r="L243" s="135"/>
      <c r="M243" s="135"/>
      <c r="N243" s="135"/>
    </row>
    <row r="244" spans="2:14" x14ac:dyDescent="0.25">
      <c r="E244" s="8"/>
      <c r="G244" s="135"/>
      <c r="H244" s="136"/>
      <c r="I244" s="139"/>
      <c r="J244" s="135"/>
      <c r="K244" s="135"/>
      <c r="L244" s="135"/>
      <c r="M244" s="135"/>
      <c r="N244" s="135"/>
    </row>
    <row r="245" spans="2:14" x14ac:dyDescent="0.25">
      <c r="E245" s="8"/>
      <c r="G245" s="135"/>
      <c r="H245" s="136"/>
      <c r="I245" s="139"/>
      <c r="J245" s="135"/>
      <c r="K245" s="135"/>
      <c r="L245" s="135"/>
      <c r="M245" s="135"/>
      <c r="N245" s="135"/>
    </row>
    <row r="246" spans="2:14" x14ac:dyDescent="0.25">
      <c r="E246" s="8"/>
      <c r="G246" s="135"/>
      <c r="H246" s="136"/>
      <c r="I246" s="139"/>
      <c r="J246" s="135"/>
      <c r="K246" s="135"/>
      <c r="L246" s="135"/>
      <c r="M246" s="135"/>
      <c r="N246" s="135"/>
    </row>
    <row r="247" spans="2:14" x14ac:dyDescent="0.25">
      <c r="E247" s="8"/>
      <c r="G247" s="135"/>
      <c r="H247" s="136"/>
      <c r="I247" s="139"/>
      <c r="J247" s="135"/>
      <c r="K247" s="135"/>
      <c r="L247" s="135"/>
      <c r="M247" s="135"/>
      <c r="N247" s="135"/>
    </row>
    <row r="248" spans="2:14" x14ac:dyDescent="0.25">
      <c r="E248" s="8"/>
      <c r="G248" s="135"/>
      <c r="H248" s="136"/>
      <c r="I248" s="139"/>
      <c r="J248" s="135"/>
      <c r="K248" s="135"/>
      <c r="L248" s="135"/>
      <c r="M248" s="135"/>
      <c r="N248" s="135"/>
    </row>
    <row r="249" spans="2:14" ht="15.5" x14ac:dyDescent="0.35">
      <c r="B249" s="68" t="s">
        <v>242</v>
      </c>
      <c r="E249" s="8"/>
      <c r="G249" s="135"/>
      <c r="H249" s="136"/>
      <c r="I249" s="139"/>
      <c r="J249" s="135"/>
      <c r="K249" s="135"/>
      <c r="L249" s="135"/>
      <c r="M249" s="135"/>
      <c r="N249" s="135"/>
    </row>
    <row r="250" spans="2:14" ht="13" x14ac:dyDescent="0.3">
      <c r="B250" s="2" t="s">
        <v>1016</v>
      </c>
      <c r="C250" s="10" t="s">
        <v>545</v>
      </c>
      <c r="E250" s="8"/>
      <c r="G250" s="135"/>
      <c r="H250" s="136"/>
      <c r="I250" s="139"/>
      <c r="J250" s="135"/>
      <c r="K250" s="135"/>
      <c r="L250" s="135"/>
      <c r="M250" s="135"/>
      <c r="N250" s="135"/>
    </row>
    <row r="251" spans="2:14" ht="13" x14ac:dyDescent="0.3">
      <c r="B251" s="2" t="s">
        <v>1017</v>
      </c>
      <c r="C251" s="16" t="s">
        <v>1015</v>
      </c>
      <c r="E251" s="8"/>
      <c r="G251" s="135"/>
      <c r="H251" s="136"/>
      <c r="I251" s="139"/>
      <c r="J251" s="135"/>
      <c r="K251" s="135"/>
      <c r="L251" s="135"/>
      <c r="M251" s="135"/>
      <c r="N251" s="135"/>
    </row>
    <row r="252" spans="2:14" x14ac:dyDescent="0.25">
      <c r="E252" s="8"/>
      <c r="G252" s="135"/>
      <c r="H252" s="136"/>
      <c r="I252" s="139"/>
      <c r="J252" s="135"/>
      <c r="K252" s="135"/>
      <c r="L252" s="135"/>
      <c r="M252" s="135"/>
      <c r="N252" s="135"/>
    </row>
    <row r="253" spans="2:14" ht="15.5" x14ac:dyDescent="0.35">
      <c r="B253" s="82" t="s">
        <v>1127</v>
      </c>
      <c r="C253" s="309"/>
      <c r="E253" s="245"/>
      <c r="F253" s="135"/>
      <c r="G253" s="135"/>
      <c r="H253" s="136"/>
      <c r="I253" s="139"/>
      <c r="J253" s="135"/>
    </row>
    <row r="254" spans="2:14" ht="13.5" thickBot="1" x14ac:dyDescent="0.35">
      <c r="B254" s="2"/>
      <c r="C254" s="29" t="s">
        <v>486</v>
      </c>
      <c r="D254" s="10"/>
      <c r="F254" s="135"/>
      <c r="G254" s="135"/>
      <c r="H254" s="136"/>
      <c r="I254" s="139"/>
      <c r="J254" s="135"/>
    </row>
    <row r="255" spans="2:14" ht="13.5" x14ac:dyDescent="0.35">
      <c r="B255" s="156" t="s">
        <v>1128</v>
      </c>
      <c r="C255" s="292">
        <v>20</v>
      </c>
      <c r="D255" t="s">
        <v>406</v>
      </c>
      <c r="F255" s="135"/>
      <c r="G255" s="135"/>
      <c r="H255" s="135"/>
      <c r="I255" s="135"/>
      <c r="J255" s="135"/>
    </row>
    <row r="256" spans="2:14" ht="13.5" x14ac:dyDescent="0.35">
      <c r="B256" s="156" t="s">
        <v>1129</v>
      </c>
      <c r="C256" s="294">
        <v>6</v>
      </c>
      <c r="D256" s="10" t="s">
        <v>406</v>
      </c>
      <c r="F256" s="135"/>
      <c r="G256" s="135"/>
      <c r="H256" s="136"/>
      <c r="I256" s="139"/>
      <c r="J256" s="135"/>
    </row>
    <row r="257" spans="2:19" ht="13.5" thickBot="1" x14ac:dyDescent="0.35">
      <c r="B257" s="156" t="s">
        <v>1130</v>
      </c>
      <c r="C257" s="293">
        <v>2</v>
      </c>
      <c r="F257" s="135"/>
      <c r="G257" s="135" t="s">
        <v>694</v>
      </c>
      <c r="H257" s="136"/>
      <c r="I257" s="139"/>
      <c r="J257" s="135"/>
      <c r="R257" s="10"/>
    </row>
    <row r="258" spans="2:19" ht="13.5" thickBot="1" x14ac:dyDescent="0.35">
      <c r="B258" s="156" t="s">
        <v>989</v>
      </c>
      <c r="C258" s="293">
        <v>0.375</v>
      </c>
      <c r="D258" s="10" t="s">
        <v>209</v>
      </c>
      <c r="G258" s="298" t="s">
        <v>1005</v>
      </c>
      <c r="H258" s="300"/>
      <c r="I258" s="301"/>
      <c r="J258" s="299"/>
      <c r="R258" s="4"/>
      <c r="S258" s="4"/>
    </row>
    <row r="259" spans="2:19" ht="13.5" thickBot="1" x14ac:dyDescent="0.35">
      <c r="B259" s="156" t="s">
        <v>987</v>
      </c>
      <c r="C259" s="335">
        <v>3.5</v>
      </c>
      <c r="D259" s="10" t="s">
        <v>209</v>
      </c>
      <c r="G259" s="21" t="s">
        <v>993</v>
      </c>
      <c r="H259" s="21" t="s">
        <v>992</v>
      </c>
      <c r="I259" s="21" t="s">
        <v>1004</v>
      </c>
      <c r="J259" s="21" t="s">
        <v>1006</v>
      </c>
      <c r="R259" s="3"/>
      <c r="S259" s="3"/>
    </row>
    <row r="260" spans="2:19" ht="13" x14ac:dyDescent="0.3">
      <c r="B260" s="156" t="s">
        <v>994</v>
      </c>
      <c r="C260" s="293">
        <v>0.318</v>
      </c>
      <c r="D260" s="8" t="s">
        <v>406</v>
      </c>
      <c r="G260" s="20">
        <v>1</v>
      </c>
      <c r="H260" s="20">
        <v>0.318</v>
      </c>
      <c r="I260" s="20">
        <v>0.68600000000000005</v>
      </c>
      <c r="J260" s="20">
        <v>0.47749999999999998</v>
      </c>
      <c r="R260" s="3"/>
      <c r="S260" s="3"/>
    </row>
    <row r="261" spans="2:19" ht="13" x14ac:dyDescent="0.3">
      <c r="B261" s="156" t="s">
        <v>1053</v>
      </c>
      <c r="C261" s="293">
        <v>0.68600000000000005</v>
      </c>
      <c r="D261" s="8" t="s">
        <v>406</v>
      </c>
      <c r="G261" s="60">
        <v>2</v>
      </c>
      <c r="H261" s="60">
        <v>0.318</v>
      </c>
      <c r="I261" s="60">
        <v>0.68600000000000005</v>
      </c>
      <c r="J261" s="60">
        <v>0.47749999999999998</v>
      </c>
      <c r="R261" s="3"/>
      <c r="S261" s="3"/>
    </row>
    <row r="262" spans="2:19" ht="13" x14ac:dyDescent="0.3">
      <c r="B262" s="156" t="s">
        <v>1007</v>
      </c>
      <c r="C262" s="293">
        <v>0.47749999999999998</v>
      </c>
      <c r="D262" s="8" t="s">
        <v>406</v>
      </c>
      <c r="G262" s="60">
        <v>3</v>
      </c>
      <c r="H262" s="60">
        <v>0.28599999999999998</v>
      </c>
      <c r="I262" s="60">
        <v>0.623</v>
      </c>
      <c r="J262" s="60">
        <v>0.31830000000000003</v>
      </c>
      <c r="R262" s="3"/>
      <c r="S262" s="3"/>
    </row>
    <row r="263" spans="2:19" ht="13.5" thickBot="1" x14ac:dyDescent="0.35">
      <c r="B263" s="156" t="s">
        <v>405</v>
      </c>
      <c r="C263" s="294"/>
      <c r="D263" s="10" t="s">
        <v>209</v>
      </c>
      <c r="G263" s="62">
        <v>4</v>
      </c>
      <c r="H263" s="62">
        <v>0.28599999999999998</v>
      </c>
      <c r="I263" s="62">
        <v>0.623</v>
      </c>
      <c r="J263" s="62">
        <v>0.31830000000000003</v>
      </c>
    </row>
    <row r="264" spans="2:19" ht="13" x14ac:dyDescent="0.3">
      <c r="B264" s="156" t="s">
        <v>404</v>
      </c>
      <c r="C264" s="294"/>
      <c r="D264" s="10" t="s">
        <v>209</v>
      </c>
      <c r="F264" s="135"/>
      <c r="G264" s="63"/>
      <c r="H264" s="136"/>
      <c r="I264" s="139"/>
      <c r="J264" s="135"/>
    </row>
    <row r="265" spans="2:19" ht="13.5" thickBot="1" x14ac:dyDescent="0.35">
      <c r="B265" s="156" t="s">
        <v>402</v>
      </c>
      <c r="C265" s="295"/>
      <c r="D265" s="10" t="s">
        <v>209</v>
      </c>
      <c r="F265" s="135"/>
      <c r="G265" s="135"/>
      <c r="H265" s="136"/>
      <c r="I265" s="139"/>
      <c r="J265" s="135"/>
    </row>
    <row r="266" spans="2:19" ht="13" x14ac:dyDescent="0.3">
      <c r="C266" s="29" t="s">
        <v>1131</v>
      </c>
      <c r="D266" s="29" t="s">
        <v>139</v>
      </c>
      <c r="E266" s="245"/>
      <c r="F266" s="135"/>
      <c r="G266" s="63"/>
      <c r="H266" s="136"/>
      <c r="I266" s="139"/>
      <c r="J266" s="135"/>
    </row>
    <row r="267" spans="2:19" ht="15" thickBot="1" x14ac:dyDescent="0.4">
      <c r="B267" s="156" t="s">
        <v>990</v>
      </c>
      <c r="C267" s="336" t="s">
        <v>1132</v>
      </c>
      <c r="D267" s="315">
        <f>C258*C257</f>
        <v>0.75</v>
      </c>
      <c r="E267" s="337" t="s">
        <v>209</v>
      </c>
      <c r="F267" s="135"/>
      <c r="G267" s="63"/>
      <c r="H267" s="136"/>
      <c r="I267" s="139"/>
      <c r="J267" s="135"/>
    </row>
    <row r="268" spans="2:19" ht="13.5" thickBot="1" x14ac:dyDescent="0.35">
      <c r="B268" s="156" t="s">
        <v>1133</v>
      </c>
      <c r="C268" s="4" t="s">
        <v>1134</v>
      </c>
      <c r="D268" s="342">
        <f>C257*C255</f>
        <v>40</v>
      </c>
      <c r="E268" s="146" t="s">
        <v>1139</v>
      </c>
      <c r="F268" s="135"/>
      <c r="G268" s="135"/>
      <c r="H268" s="135"/>
      <c r="I268" s="135"/>
      <c r="J268" s="135"/>
    </row>
    <row r="269" spans="2:19" ht="13" x14ac:dyDescent="0.3">
      <c r="B269" s="156" t="s">
        <v>996</v>
      </c>
      <c r="C269" s="4" t="s">
        <v>1135</v>
      </c>
      <c r="D269" s="178">
        <f>D268/C256</f>
        <v>6.666666666666667</v>
      </c>
      <c r="E269" s="10" t="s">
        <v>209</v>
      </c>
      <c r="F269" s="135"/>
      <c r="G269" s="135"/>
      <c r="H269" s="135"/>
      <c r="I269" s="135"/>
      <c r="J269" s="135"/>
    </row>
    <row r="270" spans="2:19" ht="13.5" x14ac:dyDescent="0.35">
      <c r="B270" s="156" t="s">
        <v>1136</v>
      </c>
      <c r="C270" s="4" t="s">
        <v>997</v>
      </c>
      <c r="D270" s="178">
        <f>(C259 + D269) / 2</f>
        <v>5.0833333333333339</v>
      </c>
      <c r="E270" s="10" t="s">
        <v>209</v>
      </c>
      <c r="F270" s="135"/>
      <c r="G270" s="121"/>
      <c r="H270" s="135"/>
      <c r="I270" s="135"/>
      <c r="J270" s="135"/>
    </row>
    <row r="271" spans="2:19" ht="13" x14ac:dyDescent="0.3">
      <c r="B271" s="338" t="s">
        <v>1137</v>
      </c>
      <c r="C271" s="339" t="s">
        <v>1138</v>
      </c>
      <c r="D271" s="340">
        <f>2*D270 - D269</f>
        <v>3.5000000000000009</v>
      </c>
      <c r="E271" s="10" t="s">
        <v>209</v>
      </c>
      <c r="F271" s="135"/>
      <c r="G271" s="135"/>
      <c r="H271" s="135"/>
      <c r="I271" s="135"/>
      <c r="J271" s="135"/>
    </row>
    <row r="272" spans="2:19" ht="13.5" x14ac:dyDescent="0.35">
      <c r="B272" s="156" t="s">
        <v>998</v>
      </c>
      <c r="C272" s="4" t="s">
        <v>995</v>
      </c>
      <c r="D272" s="178">
        <f>C260 *C258</f>
        <v>0.11924999999999999</v>
      </c>
      <c r="E272" s="10" t="s">
        <v>209</v>
      </c>
      <c r="F272" s="135"/>
      <c r="G272" s="135"/>
      <c r="H272" s="136"/>
      <c r="I272" s="139"/>
      <c r="J272" s="135"/>
    </row>
    <row r="273" spans="2:10" ht="13" x14ac:dyDescent="0.3">
      <c r="B273" s="156" t="s">
        <v>1055</v>
      </c>
      <c r="C273" s="4" t="s">
        <v>1054</v>
      </c>
      <c r="D273" s="178">
        <f>C261 * C258</f>
        <v>0.25725000000000003</v>
      </c>
      <c r="E273" s="10" t="s">
        <v>209</v>
      </c>
      <c r="F273" s="135"/>
      <c r="G273" s="136"/>
      <c r="H273" s="139"/>
      <c r="I273" s="136"/>
      <c r="J273" s="139"/>
    </row>
    <row r="274" spans="2:10" ht="13.5" x14ac:dyDescent="0.35">
      <c r="B274" s="156" t="s">
        <v>1056</v>
      </c>
      <c r="C274" s="4" t="s">
        <v>999</v>
      </c>
      <c r="D274" s="178">
        <f>D267 / C257</f>
        <v>0.375</v>
      </c>
      <c r="E274" s="10" t="s">
        <v>209</v>
      </c>
      <c r="F274" s="135"/>
      <c r="G274" s="136"/>
      <c r="H274" s="139"/>
      <c r="I274" s="136"/>
      <c r="J274" s="139"/>
    </row>
    <row r="275" spans="2:10" ht="13" x14ac:dyDescent="0.3">
      <c r="B275" s="156" t="s">
        <v>1000</v>
      </c>
      <c r="C275" s="4" t="s">
        <v>1001</v>
      </c>
      <c r="D275" s="178">
        <f>C259 + 2 *D272</f>
        <v>3.7385000000000002</v>
      </c>
      <c r="E275" s="10" t="s">
        <v>209</v>
      </c>
      <c r="F275" s="135"/>
      <c r="G275" s="136"/>
      <c r="H275" s="139"/>
      <c r="I275" s="136"/>
      <c r="J275" s="139"/>
    </row>
    <row r="276" spans="2:10" ht="13" x14ac:dyDescent="0.3">
      <c r="B276" s="156" t="s">
        <v>1009</v>
      </c>
      <c r="C276" s="4" t="s">
        <v>1002</v>
      </c>
      <c r="D276" s="178">
        <f>D269 + 2*D272</f>
        <v>6.9051666666666671</v>
      </c>
      <c r="E276" s="10" t="s">
        <v>209</v>
      </c>
      <c r="F276" s="135"/>
      <c r="G276" s="136"/>
      <c r="H276" s="139"/>
      <c r="I276" s="136"/>
      <c r="J276" s="139"/>
    </row>
    <row r="277" spans="2:10" ht="13.5" thickBot="1" x14ac:dyDescent="0.35">
      <c r="B277" s="156" t="s">
        <v>1003</v>
      </c>
      <c r="C277" s="4" t="s">
        <v>1008</v>
      </c>
      <c r="D277" s="178">
        <f>D276 + C262 *C258</f>
        <v>7.0842291666666668</v>
      </c>
      <c r="E277" s="10" t="s">
        <v>209</v>
      </c>
      <c r="F277" s="135"/>
      <c r="G277" s="136"/>
      <c r="H277" s="139"/>
      <c r="I277" s="136"/>
      <c r="J277" s="139"/>
    </row>
    <row r="278" spans="2:10" ht="13.5" thickBot="1" x14ac:dyDescent="0.35">
      <c r="B278" s="156" t="s">
        <v>1012</v>
      </c>
      <c r="C278" s="4" t="s">
        <v>1010</v>
      </c>
      <c r="D278" s="178">
        <f>2.38*C258 + 0.25</f>
        <v>1.1425000000000001</v>
      </c>
      <c r="E278" s="10" t="s">
        <v>1025</v>
      </c>
      <c r="F278" s="297" t="str">
        <f>IF(C257&lt;3,"n &lt; 3, OK","n &gt; 2, Not OK")</f>
        <v>n &lt; 3, OK</v>
      </c>
      <c r="G278" s="341"/>
      <c r="H278" s="136"/>
      <c r="I278" s="139"/>
      <c r="J278" s="135"/>
    </row>
    <row r="279" spans="2:10" ht="13.5" thickBot="1" x14ac:dyDescent="0.35">
      <c r="B279" s="156" t="s">
        <v>1013</v>
      </c>
      <c r="C279" s="4" t="s">
        <v>1011</v>
      </c>
      <c r="D279" s="178">
        <f>2.15*C258 + 0.2</f>
        <v>1.0062499999999999</v>
      </c>
      <c r="E279" s="10" t="s">
        <v>1025</v>
      </c>
      <c r="F279" s="297" t="str">
        <f>IF(C257&gt;2,"n &gt; 2, OK","n &lt; 3, Not OK")</f>
        <v>n &lt; 3, Not OK</v>
      </c>
      <c r="G279" s="341"/>
      <c r="H279" s="136"/>
      <c r="I279" s="139"/>
      <c r="J279" s="135"/>
    </row>
    <row r="280" spans="2:10" ht="13" x14ac:dyDescent="0.3">
      <c r="B280" s="156" t="s">
        <v>1018</v>
      </c>
      <c r="C280" s="4" t="s">
        <v>1014</v>
      </c>
      <c r="D280" s="10">
        <f>6*C258</f>
        <v>2.25</v>
      </c>
      <c r="E280" s="8"/>
      <c r="F280" s="135"/>
      <c r="G280" s="135"/>
      <c r="H280" s="136"/>
      <c r="I280" s="139"/>
      <c r="J280" s="135"/>
    </row>
    <row r="281" spans="2:10" ht="13" x14ac:dyDescent="0.3">
      <c r="B281" s="156" t="s">
        <v>1019</v>
      </c>
      <c r="C281" s="10" t="s">
        <v>1021</v>
      </c>
      <c r="E281" s="8"/>
      <c r="F281" s="135"/>
      <c r="G281" s="135"/>
      <c r="H281" s="136"/>
      <c r="I281" s="139"/>
      <c r="J281" s="135"/>
    </row>
    <row r="282" spans="2:10" ht="13" x14ac:dyDescent="0.3">
      <c r="D282" s="178">
        <f>57.3*(ATAN(D267/(C259*3.1416)))</f>
        <v>3.9023371738930166</v>
      </c>
      <c r="E282" s="10" t="s">
        <v>214</v>
      </c>
      <c r="F282" s="135"/>
      <c r="G282" s="135"/>
      <c r="H282" s="136"/>
      <c r="I282" s="139"/>
      <c r="J282" s="135"/>
    </row>
    <row r="283" spans="2:10" ht="13" x14ac:dyDescent="0.3">
      <c r="B283" s="156" t="s">
        <v>1022</v>
      </c>
      <c r="C283" s="4" t="s">
        <v>1020</v>
      </c>
      <c r="D283" s="178">
        <f>(0.5*C259) - D272</f>
        <v>1.6307499999999999</v>
      </c>
      <c r="E283" s="10" t="s">
        <v>209</v>
      </c>
      <c r="F283" s="135"/>
      <c r="G283" s="135"/>
      <c r="H283" s="136"/>
      <c r="I283" s="139"/>
      <c r="J283" s="135"/>
    </row>
    <row r="284" spans="2:10" ht="13" x14ac:dyDescent="0.3">
      <c r="B284" s="156" t="s">
        <v>1023</v>
      </c>
      <c r="C284" s="4" t="s">
        <v>1024</v>
      </c>
      <c r="D284" s="178">
        <f>(0.5*C259) + C258</f>
        <v>2.125</v>
      </c>
      <c r="E284" s="10" t="s">
        <v>209</v>
      </c>
      <c r="F284" s="135"/>
      <c r="G284" s="135"/>
      <c r="H284" s="136"/>
      <c r="I284" s="139"/>
      <c r="J284" s="135"/>
    </row>
    <row r="285" spans="2:10" x14ac:dyDescent="0.25">
      <c r="D285"/>
      <c r="F285" s="135"/>
      <c r="G285" s="135"/>
      <c r="H285" s="135"/>
      <c r="I285" s="135"/>
      <c r="J285" s="135"/>
    </row>
    <row r="286" spans="2:10" x14ac:dyDescent="0.25">
      <c r="B286" s="8" t="s">
        <v>145</v>
      </c>
      <c r="C286" s="3"/>
      <c r="E286" s="8"/>
      <c r="F286" s="135"/>
      <c r="G286" s="135"/>
      <c r="H286" s="136"/>
      <c r="I286" s="139"/>
      <c r="J286" s="135"/>
    </row>
    <row r="287" spans="2:10" x14ac:dyDescent="0.25">
      <c r="B287" s="1" t="s">
        <v>773</v>
      </c>
      <c r="C287" s="8">
        <v>3.1415999999999999</v>
      </c>
      <c r="E287" s="8"/>
      <c r="F287" s="135"/>
      <c r="G287" s="135"/>
      <c r="H287" s="136"/>
      <c r="I287" s="139"/>
      <c r="J287" s="135"/>
    </row>
    <row r="288" spans="2:10" ht="13" x14ac:dyDescent="0.3">
      <c r="B288" s="10" t="s">
        <v>988</v>
      </c>
      <c r="E288" s="8"/>
      <c r="F288" s="135"/>
      <c r="G288" s="135"/>
      <c r="H288" s="136"/>
      <c r="I288" s="139"/>
      <c r="J288" s="135"/>
    </row>
    <row r="289" spans="2:17" ht="13" x14ac:dyDescent="0.3">
      <c r="B289" s="10"/>
      <c r="E289" s="8"/>
      <c r="G289" s="135"/>
      <c r="K289" s="8"/>
      <c r="L289" s="8"/>
      <c r="M289" s="135"/>
      <c r="N289" s="135"/>
      <c r="O289" s="136"/>
      <c r="P289" s="139"/>
      <c r="Q289" s="135"/>
    </row>
    <row r="290" spans="2:17" x14ac:dyDescent="0.25">
      <c r="E290" s="8"/>
      <c r="G290" s="135"/>
      <c r="K290" s="8"/>
      <c r="L290" s="8"/>
      <c r="M290" s="135"/>
      <c r="N290" s="136"/>
      <c r="O290" s="136"/>
      <c r="P290" s="139"/>
      <c r="Q290" s="135"/>
    </row>
    <row r="291" spans="2:17" x14ac:dyDescent="0.25">
      <c r="E291" s="8"/>
      <c r="G291" s="1"/>
      <c r="K291" s="8"/>
      <c r="L291" s="8"/>
      <c r="M291" s="135"/>
      <c r="N291" s="136"/>
      <c r="O291" s="136"/>
      <c r="P291" s="139"/>
      <c r="Q291" s="135"/>
    </row>
    <row r="292" spans="2:17" x14ac:dyDescent="0.25">
      <c r="B292" s="120"/>
      <c r="C292" s="120"/>
      <c r="D292" s="125"/>
      <c r="E292" s="125"/>
      <c r="F292" s="120"/>
      <c r="G292" s="1"/>
      <c r="H292" s="136"/>
      <c r="I292" s="139"/>
      <c r="J292" s="135"/>
      <c r="K292" s="135"/>
      <c r="L292" s="135"/>
      <c r="M292" s="135"/>
      <c r="N292" s="135"/>
    </row>
    <row r="293" spans="2:17" x14ac:dyDescent="0.25">
      <c r="E293" s="8"/>
      <c r="G293" s="1"/>
      <c r="H293" s="136"/>
      <c r="I293" s="139"/>
      <c r="J293" s="135"/>
      <c r="K293" s="135"/>
      <c r="L293" s="135"/>
      <c r="M293" s="135"/>
      <c r="N293" s="135"/>
    </row>
    <row r="294" spans="2:17" x14ac:dyDescent="0.25">
      <c r="E294" s="8"/>
      <c r="G294" s="1"/>
      <c r="H294" s="136"/>
      <c r="I294" s="139"/>
      <c r="J294" s="135"/>
      <c r="K294" s="135"/>
      <c r="L294" s="135"/>
      <c r="M294" s="135"/>
      <c r="N294" s="135"/>
    </row>
    <row r="295" spans="2:17" ht="15.5" x14ac:dyDescent="0.35">
      <c r="B295" s="68" t="s">
        <v>468</v>
      </c>
      <c r="C295" s="3"/>
      <c r="E295" s="8"/>
      <c r="G295" s="1"/>
      <c r="H295" s="136"/>
      <c r="I295" s="139"/>
      <c r="J295" s="135"/>
      <c r="K295" s="135"/>
      <c r="L295" s="135"/>
      <c r="M295" s="135"/>
      <c r="N295" s="135"/>
    </row>
    <row r="296" spans="2:17" ht="13.5" thickBot="1" x14ac:dyDescent="0.35">
      <c r="B296" s="2" t="s">
        <v>201</v>
      </c>
      <c r="C296" s="29" t="s">
        <v>486</v>
      </c>
      <c r="E296" s="8"/>
      <c r="G296" s="1"/>
      <c r="H296" s="136"/>
      <c r="I296" s="139"/>
      <c r="J296" s="135"/>
      <c r="K296" s="135"/>
      <c r="L296" s="135"/>
      <c r="M296" s="135"/>
      <c r="N296" s="135"/>
    </row>
    <row r="297" spans="2:17" x14ac:dyDescent="0.25">
      <c r="B297" s="1" t="s">
        <v>454</v>
      </c>
      <c r="C297" s="173">
        <v>5.33</v>
      </c>
      <c r="D297" s="8" t="s">
        <v>209</v>
      </c>
      <c r="E297" s="8"/>
      <c r="G297" s="1"/>
      <c r="H297" s="136"/>
      <c r="I297" s="139"/>
      <c r="J297" s="135"/>
      <c r="K297" s="135"/>
      <c r="L297" s="135"/>
      <c r="M297" s="135"/>
      <c r="N297" s="135"/>
    </row>
    <row r="298" spans="2:17" x14ac:dyDescent="0.25">
      <c r="B298" s="1" t="s">
        <v>460</v>
      </c>
      <c r="C298" s="174">
        <v>600</v>
      </c>
      <c r="D298" s="8" t="s">
        <v>217</v>
      </c>
      <c r="E298" s="8"/>
      <c r="G298" s="1"/>
      <c r="H298" s="136"/>
      <c r="I298" s="139"/>
      <c r="J298" s="135"/>
      <c r="K298" s="135"/>
      <c r="L298" s="135"/>
      <c r="M298" s="135"/>
      <c r="N298" s="135"/>
    </row>
    <row r="299" spans="2:17" ht="13" thickBot="1" x14ac:dyDescent="0.3">
      <c r="B299" s="1" t="s">
        <v>496</v>
      </c>
      <c r="C299" s="263">
        <v>20000</v>
      </c>
      <c r="D299" s="8" t="s">
        <v>275</v>
      </c>
      <c r="E299" s="8"/>
      <c r="G299" s="1"/>
      <c r="H299" s="136"/>
      <c r="I299" s="139"/>
      <c r="J299" s="135"/>
      <c r="K299" s="135"/>
      <c r="L299" s="135"/>
      <c r="M299" s="135"/>
      <c r="N299" s="135"/>
    </row>
    <row r="300" spans="2:17" ht="13" x14ac:dyDescent="0.3">
      <c r="B300" s="2" t="s">
        <v>201</v>
      </c>
      <c r="C300" s="29" t="s">
        <v>139</v>
      </c>
      <c r="E300" s="8"/>
      <c r="G300" s="1"/>
      <c r="H300" s="136"/>
      <c r="I300" s="139"/>
      <c r="J300" s="135"/>
      <c r="K300" s="135"/>
      <c r="L300" s="135"/>
      <c r="M300" s="135"/>
      <c r="N300" s="135"/>
    </row>
    <row r="301" spans="2:17" ht="13" x14ac:dyDescent="0.3">
      <c r="B301" s="2" t="s">
        <v>471</v>
      </c>
      <c r="C301" s="10" t="s">
        <v>500</v>
      </c>
      <c r="D301" s="10"/>
      <c r="E301" s="8"/>
      <c r="G301" s="1"/>
      <c r="H301" s="136"/>
      <c r="I301" s="139"/>
      <c r="J301" s="135"/>
      <c r="K301" s="135"/>
      <c r="L301" s="135"/>
      <c r="M301" s="135"/>
      <c r="N301" s="135"/>
    </row>
    <row r="302" spans="2:17" ht="13" x14ac:dyDescent="0.3">
      <c r="B302" s="2" t="s">
        <v>472</v>
      </c>
      <c r="C302" s="91">
        <f>3.142*C297*C298/12</f>
        <v>837.34299999999985</v>
      </c>
      <c r="D302" s="10" t="s">
        <v>427</v>
      </c>
      <c r="E302" s="8"/>
      <c r="G302" s="1"/>
      <c r="H302" s="136"/>
      <c r="I302" s="139"/>
      <c r="J302" s="135"/>
      <c r="K302" s="135"/>
      <c r="L302" s="135"/>
      <c r="M302" s="135"/>
      <c r="N302" s="135"/>
    </row>
    <row r="303" spans="2:17" ht="13" x14ac:dyDescent="0.3">
      <c r="B303" s="2" t="s">
        <v>474</v>
      </c>
      <c r="C303" s="10" t="s">
        <v>497</v>
      </c>
      <c r="D303" s="10"/>
      <c r="E303" s="8"/>
      <c r="G303" s="1"/>
      <c r="H303" s="136"/>
      <c r="I303" s="139"/>
      <c r="J303" s="135"/>
      <c r="K303" s="135"/>
      <c r="L303" s="135"/>
      <c r="M303" s="135"/>
      <c r="N303" s="135"/>
    </row>
    <row r="304" spans="2:17" ht="13" x14ac:dyDescent="0.3">
      <c r="B304" s="2" t="s">
        <v>495</v>
      </c>
      <c r="C304" s="198">
        <f>C299/3</f>
        <v>6666.666666666667</v>
      </c>
      <c r="D304" s="10" t="s">
        <v>275</v>
      </c>
      <c r="E304" s="8"/>
      <c r="G304" s="1"/>
      <c r="H304" s="136"/>
      <c r="I304" s="139"/>
      <c r="J304" s="135"/>
      <c r="K304" s="135"/>
      <c r="L304" s="135"/>
      <c r="M304" s="135"/>
      <c r="N304" s="135"/>
    </row>
    <row r="305" spans="2:14" ht="13" x14ac:dyDescent="0.3">
      <c r="B305" s="2" t="s">
        <v>498</v>
      </c>
      <c r="C305" s="10" t="s">
        <v>473</v>
      </c>
      <c r="D305" s="10"/>
      <c r="E305" s="8"/>
      <c r="H305" s="136"/>
      <c r="I305" s="139"/>
      <c r="J305" s="135"/>
      <c r="K305" s="135"/>
      <c r="L305" s="135"/>
      <c r="M305" s="135"/>
      <c r="N305" s="135"/>
    </row>
    <row r="306" spans="2:14" ht="13" x14ac:dyDescent="0.3">
      <c r="B306" s="2" t="s">
        <v>499</v>
      </c>
      <c r="C306" s="198">
        <f>C304*1200/(1200+C302)</f>
        <v>3926.6829394952156</v>
      </c>
      <c r="D306" s="10" t="s">
        <v>275</v>
      </c>
      <c r="E306" s="8"/>
      <c r="G306" s="1"/>
      <c r="H306" s="136"/>
      <c r="I306" s="139"/>
      <c r="J306" s="135"/>
      <c r="K306" s="135"/>
      <c r="L306" s="135"/>
      <c r="M306" s="135"/>
      <c r="N306" s="135"/>
    </row>
    <row r="307" spans="2:14" x14ac:dyDescent="0.25">
      <c r="B307" s="1"/>
      <c r="C307" s="3"/>
      <c r="E307" s="8"/>
      <c r="G307" s="1"/>
      <c r="H307" s="136"/>
      <c r="I307" s="139"/>
      <c r="J307" s="135"/>
      <c r="K307" s="135"/>
      <c r="L307" s="135"/>
      <c r="M307" s="135"/>
      <c r="N307" s="135"/>
    </row>
    <row r="308" spans="2:14" ht="13.5" thickBot="1" x14ac:dyDescent="0.35">
      <c r="B308" s="1"/>
      <c r="C308" s="29" t="s">
        <v>486</v>
      </c>
      <c r="E308" s="8"/>
      <c r="G308" s="1"/>
      <c r="H308" s="136"/>
      <c r="I308" s="139"/>
      <c r="J308" s="135"/>
      <c r="K308" s="135"/>
      <c r="L308" s="135"/>
      <c r="M308" s="135"/>
      <c r="N308" s="135"/>
    </row>
    <row r="309" spans="2:14" x14ac:dyDescent="0.25">
      <c r="B309" s="1" t="s">
        <v>499</v>
      </c>
      <c r="C309" s="317">
        <v>3927</v>
      </c>
      <c r="D309" s="8" t="s">
        <v>275</v>
      </c>
      <c r="E309" s="8"/>
      <c r="G309" s="1"/>
      <c r="H309" s="136"/>
      <c r="I309" s="139"/>
      <c r="J309" s="135"/>
      <c r="K309" s="135"/>
      <c r="L309" s="135"/>
      <c r="M309" s="135"/>
      <c r="N309" s="135"/>
    </row>
    <row r="310" spans="2:14" x14ac:dyDescent="0.25">
      <c r="B310" s="1" t="s">
        <v>439</v>
      </c>
      <c r="C310" s="174">
        <v>1.5</v>
      </c>
      <c r="D310" s="8" t="s">
        <v>209</v>
      </c>
      <c r="E310" s="8"/>
      <c r="G310" s="1"/>
      <c r="H310" s="136"/>
      <c r="I310" s="139"/>
      <c r="J310" s="135"/>
      <c r="K310" s="135"/>
      <c r="L310" s="135"/>
      <c r="M310" s="135"/>
      <c r="N310" s="135"/>
    </row>
    <row r="311" spans="2:14" x14ac:dyDescent="0.25">
      <c r="B311" s="1" t="s">
        <v>470</v>
      </c>
      <c r="C311" s="174">
        <v>1.0472999999999999</v>
      </c>
      <c r="D311" s="8" t="s">
        <v>209</v>
      </c>
      <c r="E311" s="8"/>
      <c r="G311" s="1"/>
      <c r="H311" s="136"/>
      <c r="I311" s="139"/>
      <c r="J311" s="135"/>
      <c r="K311" s="135"/>
      <c r="L311" s="135"/>
      <c r="M311" s="135"/>
      <c r="N311" s="135"/>
    </row>
    <row r="312" spans="2:14" ht="13" thickBot="1" x14ac:dyDescent="0.3">
      <c r="B312" s="1" t="s">
        <v>440</v>
      </c>
      <c r="C312" s="175">
        <v>9.4E-2</v>
      </c>
      <c r="D312" s="8" t="s">
        <v>406</v>
      </c>
      <c r="E312" s="8"/>
      <c r="G312" s="1"/>
      <c r="H312" s="136"/>
      <c r="I312" s="139"/>
      <c r="J312" s="135"/>
      <c r="K312" s="135"/>
      <c r="L312" s="135"/>
      <c r="M312" s="135"/>
      <c r="N312" s="135"/>
    </row>
    <row r="313" spans="2:14" ht="13" x14ac:dyDescent="0.3">
      <c r="C313" s="29" t="s">
        <v>139</v>
      </c>
      <c r="E313" s="8"/>
      <c r="G313" s="1"/>
      <c r="H313" s="136"/>
      <c r="I313" s="139"/>
      <c r="J313" s="135"/>
      <c r="K313" s="135"/>
      <c r="L313" s="135"/>
      <c r="M313" s="135"/>
      <c r="N313" s="135"/>
    </row>
    <row r="314" spans="2:14" ht="13" x14ac:dyDescent="0.3">
      <c r="B314" s="2" t="s">
        <v>441</v>
      </c>
      <c r="C314" s="10" t="s">
        <v>509</v>
      </c>
      <c r="D314" s="10" t="s">
        <v>406</v>
      </c>
      <c r="E314" s="8"/>
      <c r="H314" s="136"/>
      <c r="I314" s="139"/>
      <c r="J314" s="135"/>
      <c r="K314" s="135"/>
      <c r="L314" s="135"/>
      <c r="M314" s="135"/>
      <c r="N314" s="135"/>
    </row>
    <row r="315" spans="2:14" ht="13" x14ac:dyDescent="0.3">
      <c r="B315" s="2" t="s">
        <v>428</v>
      </c>
      <c r="C315" s="91">
        <f>C309*C310*C311*C312</f>
        <v>579.89734109999995</v>
      </c>
      <c r="D315" s="10" t="s">
        <v>230</v>
      </c>
      <c r="E315" s="8"/>
      <c r="G315" s="1"/>
      <c r="H315" s="136"/>
      <c r="I315" s="139"/>
      <c r="J315" s="135"/>
      <c r="K315" s="135"/>
      <c r="L315" s="135"/>
      <c r="M315" s="135"/>
      <c r="N315" s="135"/>
    </row>
    <row r="316" spans="2:14" x14ac:dyDescent="0.25">
      <c r="E316" s="8"/>
      <c r="H316" s="136"/>
      <c r="I316" s="139"/>
      <c r="J316" s="135"/>
      <c r="K316" s="135"/>
      <c r="L316" s="135"/>
      <c r="M316" s="135"/>
      <c r="N316" s="135"/>
    </row>
    <row r="317" spans="2:14" ht="13" x14ac:dyDescent="0.3">
      <c r="B317" s="120"/>
      <c r="C317" s="120"/>
      <c r="D317" s="125"/>
      <c r="E317" s="125"/>
      <c r="F317" s="120"/>
      <c r="G317" s="4" t="s">
        <v>201</v>
      </c>
      <c r="H317" s="136"/>
      <c r="I317" s="139"/>
      <c r="J317" s="135"/>
      <c r="K317" s="135"/>
      <c r="L317" s="135"/>
      <c r="M317" s="135"/>
      <c r="N317" s="135"/>
    </row>
    <row r="318" spans="2:14" x14ac:dyDescent="0.25">
      <c r="E318" s="8"/>
      <c r="G318" s="1"/>
      <c r="H318" s="136"/>
      <c r="I318" s="139"/>
      <c r="J318" s="135"/>
      <c r="K318" s="135"/>
      <c r="L318" s="135"/>
      <c r="M318" s="135"/>
      <c r="N318" s="135"/>
    </row>
    <row r="319" spans="2:14" ht="16" thickBot="1" x14ac:dyDescent="0.4">
      <c r="B319" s="68" t="s">
        <v>503</v>
      </c>
      <c r="C319" s="29" t="s">
        <v>484</v>
      </c>
      <c r="E319" s="8"/>
      <c r="G319" s="1"/>
      <c r="H319" s="136"/>
      <c r="I319" s="139"/>
      <c r="J319" s="135"/>
      <c r="K319" s="135"/>
      <c r="L319" s="135"/>
      <c r="M319" s="135"/>
      <c r="N319" s="135"/>
    </row>
    <row r="320" spans="2:14" x14ac:dyDescent="0.25">
      <c r="B320" s="1" t="s">
        <v>425</v>
      </c>
      <c r="C320" s="317">
        <v>1723</v>
      </c>
      <c r="D320" s="8" t="s">
        <v>230</v>
      </c>
      <c r="E320" s="8"/>
      <c r="G320" s="1"/>
      <c r="H320" s="136"/>
      <c r="I320" s="139"/>
      <c r="J320" s="135"/>
      <c r="K320" s="135"/>
      <c r="L320" s="135"/>
      <c r="M320" s="135"/>
      <c r="N320" s="135"/>
    </row>
    <row r="321" spans="2:14" ht="13" thickBot="1" x14ac:dyDescent="0.3">
      <c r="B321" s="156" t="s">
        <v>471</v>
      </c>
      <c r="C321" s="175">
        <v>800</v>
      </c>
      <c r="D321" s="8" t="s">
        <v>427</v>
      </c>
      <c r="E321" s="8"/>
      <c r="G321" s="1"/>
      <c r="H321" s="136"/>
      <c r="I321" s="139"/>
      <c r="J321" s="135"/>
      <c r="K321" s="135"/>
      <c r="L321" s="135"/>
      <c r="M321" s="135"/>
      <c r="N321" s="135"/>
    </row>
    <row r="322" spans="2:14" ht="13" x14ac:dyDescent="0.3">
      <c r="C322" s="29" t="s">
        <v>139</v>
      </c>
      <c r="E322" s="8"/>
      <c r="G322" s="1"/>
      <c r="H322" s="136"/>
      <c r="I322" s="139"/>
      <c r="J322" s="135"/>
      <c r="K322" s="135"/>
      <c r="L322" s="135"/>
      <c r="M322" s="135"/>
      <c r="N322" s="135"/>
    </row>
    <row r="323" spans="2:14" ht="13" x14ac:dyDescent="0.3">
      <c r="B323" s="2" t="s">
        <v>504</v>
      </c>
      <c r="C323" s="10" t="s">
        <v>505</v>
      </c>
      <c r="D323" s="10"/>
      <c r="E323" s="8"/>
      <c r="G323" s="1"/>
      <c r="H323" s="136"/>
      <c r="I323" s="139"/>
      <c r="J323" s="135"/>
      <c r="K323" s="135"/>
      <c r="L323" s="135"/>
      <c r="M323" s="135"/>
      <c r="N323" s="135"/>
    </row>
    <row r="324" spans="2:14" ht="13" x14ac:dyDescent="0.3">
      <c r="B324" s="2" t="s">
        <v>506</v>
      </c>
      <c r="C324" s="198">
        <f>C320*(1200+C321)/1200</f>
        <v>2871.6666666666665</v>
      </c>
      <c r="D324" s="10" t="s">
        <v>230</v>
      </c>
      <c r="E324" s="8"/>
      <c r="G324" s="1"/>
      <c r="H324" s="136"/>
      <c r="I324" s="139"/>
      <c r="J324" s="135"/>
      <c r="K324" s="135"/>
      <c r="L324" s="135"/>
      <c r="M324" s="135"/>
      <c r="N324" s="135"/>
    </row>
    <row r="325" spans="2:14" x14ac:dyDescent="0.25">
      <c r="E325" s="8"/>
      <c r="H325" s="136"/>
      <c r="I325" s="139"/>
      <c r="J325" s="135"/>
      <c r="K325" s="135"/>
      <c r="L325" s="135"/>
      <c r="M325" s="135"/>
      <c r="N325" s="135"/>
    </row>
    <row r="326" spans="2:14" x14ac:dyDescent="0.25">
      <c r="B326" s="123" t="s">
        <v>201</v>
      </c>
      <c r="C326" s="124"/>
      <c r="D326" s="125"/>
      <c r="E326" s="125"/>
      <c r="F326" s="120"/>
      <c r="G326" s="1"/>
      <c r="H326" s="136"/>
      <c r="I326" s="139"/>
      <c r="J326" s="135"/>
      <c r="K326" s="135"/>
      <c r="L326" s="135"/>
      <c r="M326" s="135"/>
      <c r="N326" s="135"/>
    </row>
    <row r="327" spans="2:14" x14ac:dyDescent="0.25">
      <c r="E327" s="8"/>
      <c r="G327" s="1"/>
      <c r="H327" s="136"/>
      <c r="I327" s="139"/>
      <c r="J327" s="135"/>
      <c r="K327" s="135"/>
      <c r="L327" s="135"/>
      <c r="M327" s="135"/>
      <c r="N327" s="135"/>
    </row>
    <row r="328" spans="2:14" ht="16" thickBot="1" x14ac:dyDescent="0.4">
      <c r="B328" s="68" t="s">
        <v>507</v>
      </c>
      <c r="C328" s="29" t="s">
        <v>486</v>
      </c>
      <c r="E328" s="8"/>
      <c r="G328" s="1"/>
      <c r="H328" s="136"/>
      <c r="I328" s="139"/>
      <c r="J328" s="135"/>
      <c r="K328" s="135"/>
      <c r="L328" s="135"/>
      <c r="M328" s="135"/>
      <c r="N328" s="135"/>
    </row>
    <row r="329" spans="2:14" x14ac:dyDescent="0.25">
      <c r="B329" s="156" t="s">
        <v>498</v>
      </c>
      <c r="C329" s="317">
        <v>4000</v>
      </c>
      <c r="D329" s="8" t="s">
        <v>275</v>
      </c>
      <c r="E329" s="8"/>
      <c r="G329" s="1"/>
      <c r="H329" s="136"/>
      <c r="I329" s="139"/>
      <c r="J329" s="135"/>
      <c r="K329" s="135"/>
      <c r="L329" s="135"/>
      <c r="M329" s="135"/>
      <c r="N329" s="135"/>
    </row>
    <row r="330" spans="2:14" x14ac:dyDescent="0.25">
      <c r="B330" s="1" t="s">
        <v>439</v>
      </c>
      <c r="C330" s="174">
        <v>1.5</v>
      </c>
      <c r="D330" s="8" t="s">
        <v>209</v>
      </c>
      <c r="E330" s="8"/>
      <c r="G330" s="1"/>
      <c r="H330" s="136"/>
      <c r="I330" s="139"/>
      <c r="J330" s="135"/>
      <c r="K330" s="135"/>
      <c r="L330" s="135"/>
      <c r="M330" s="135"/>
      <c r="N330" s="135"/>
    </row>
    <row r="331" spans="2:14" x14ac:dyDescent="0.25">
      <c r="B331" s="1" t="s">
        <v>440</v>
      </c>
      <c r="C331" s="174">
        <v>9.4E-2</v>
      </c>
      <c r="E331" s="8"/>
      <c r="G331" s="1"/>
      <c r="H331" s="136"/>
      <c r="I331" s="139"/>
      <c r="J331" s="135"/>
      <c r="K331" s="135"/>
      <c r="L331" s="135"/>
      <c r="M331" s="135"/>
      <c r="N331" s="135"/>
    </row>
    <row r="332" spans="2:14" ht="13" thickBot="1" x14ac:dyDescent="0.3">
      <c r="B332" s="1" t="s">
        <v>510</v>
      </c>
      <c r="C332" s="175">
        <v>5.3</v>
      </c>
      <c r="D332" s="8" t="s">
        <v>209</v>
      </c>
      <c r="E332" s="8"/>
      <c r="G332" s="1"/>
      <c r="H332" s="136"/>
      <c r="I332" s="139"/>
      <c r="J332" s="135"/>
      <c r="K332" s="135"/>
      <c r="L332" s="135"/>
      <c r="M332" s="135"/>
      <c r="N332" s="135"/>
    </row>
    <row r="333" spans="2:14" ht="13" x14ac:dyDescent="0.3">
      <c r="C333" s="29" t="s">
        <v>139</v>
      </c>
      <c r="E333" s="8"/>
      <c r="G333" s="1"/>
      <c r="H333" s="136"/>
      <c r="I333" s="139"/>
      <c r="J333" s="135"/>
      <c r="K333" s="135"/>
      <c r="L333" s="135"/>
      <c r="M333" s="135"/>
      <c r="N333" s="135"/>
    </row>
    <row r="334" spans="2:14" ht="13" x14ac:dyDescent="0.3">
      <c r="B334" s="2" t="s">
        <v>508</v>
      </c>
      <c r="C334" s="10" t="s">
        <v>529</v>
      </c>
      <c r="E334" s="8"/>
      <c r="H334" s="136"/>
      <c r="I334" s="139"/>
      <c r="J334" s="135"/>
      <c r="K334" s="135"/>
      <c r="L334" s="135"/>
      <c r="M334" s="135"/>
      <c r="N334" s="135"/>
    </row>
    <row r="335" spans="2:14" ht="13" x14ac:dyDescent="0.3">
      <c r="B335" s="2" t="s">
        <v>536</v>
      </c>
      <c r="C335" s="91">
        <f>C329*C330*C331*3.142/C332</f>
        <v>334.35622641509434</v>
      </c>
      <c r="D335" s="10" t="s">
        <v>535</v>
      </c>
      <c r="E335" s="8"/>
      <c r="H335" s="136"/>
      <c r="I335" s="139"/>
      <c r="J335" s="135"/>
      <c r="K335" s="135"/>
      <c r="L335" s="135"/>
      <c r="M335" s="135"/>
      <c r="N335" s="135"/>
    </row>
    <row r="336" spans="2:14" x14ac:dyDescent="0.25">
      <c r="E336" s="8"/>
      <c r="H336" s="136"/>
      <c r="I336" s="139"/>
      <c r="J336" s="135"/>
      <c r="K336" s="135"/>
      <c r="L336" s="135"/>
      <c r="M336" s="135"/>
      <c r="N336" s="135"/>
    </row>
    <row r="337" spans="2:14" x14ac:dyDescent="0.25">
      <c r="B337" s="123"/>
      <c r="C337" s="124"/>
      <c r="D337" s="125"/>
      <c r="E337" s="125"/>
      <c r="F337" s="120"/>
      <c r="H337" s="136"/>
      <c r="I337" s="139"/>
      <c r="J337" s="135"/>
      <c r="K337" s="135"/>
      <c r="L337" s="135"/>
      <c r="M337" s="135"/>
      <c r="N337" s="135"/>
    </row>
    <row r="338" spans="2:14" x14ac:dyDescent="0.25">
      <c r="E338" s="8"/>
      <c r="G338" s="1"/>
      <c r="H338" s="136"/>
      <c r="I338" s="139"/>
      <c r="J338" s="135"/>
      <c r="K338" s="135"/>
      <c r="L338" s="135"/>
      <c r="M338" s="135"/>
      <c r="N338" s="135"/>
    </row>
    <row r="339" spans="2:14" ht="16" thickBot="1" x14ac:dyDescent="0.4">
      <c r="B339" s="68" t="s">
        <v>530</v>
      </c>
      <c r="C339" s="29" t="s">
        <v>486</v>
      </c>
      <c r="E339" s="8"/>
      <c r="G339" s="1"/>
      <c r="H339" s="136"/>
      <c r="I339" s="139"/>
      <c r="J339" s="135"/>
      <c r="K339" s="135"/>
      <c r="L339" s="135"/>
      <c r="M339" s="135"/>
      <c r="N339" s="135"/>
    </row>
    <row r="340" spans="2:14" x14ac:dyDescent="0.25">
      <c r="B340" s="1" t="s">
        <v>532</v>
      </c>
      <c r="C340" s="173">
        <v>5.3</v>
      </c>
      <c r="D340" s="8" t="s">
        <v>209</v>
      </c>
      <c r="E340" s="8"/>
      <c r="H340" s="136"/>
      <c r="I340" s="139"/>
      <c r="J340" s="135"/>
      <c r="K340" s="135"/>
      <c r="L340" s="135"/>
      <c r="M340" s="135"/>
      <c r="N340" s="135"/>
    </row>
    <row r="341" spans="2:14" x14ac:dyDescent="0.25">
      <c r="B341" s="1" t="s">
        <v>439</v>
      </c>
      <c r="C341" s="174">
        <v>1.5</v>
      </c>
      <c r="D341" s="8" t="s">
        <v>209</v>
      </c>
      <c r="E341" s="8"/>
      <c r="H341" s="136"/>
      <c r="I341" s="139"/>
      <c r="J341" s="135"/>
      <c r="K341" s="135"/>
      <c r="L341" s="135"/>
      <c r="M341" s="135"/>
      <c r="N341" s="135"/>
    </row>
    <row r="342" spans="2:14" ht="13" thickBot="1" x14ac:dyDescent="0.3">
      <c r="B342" s="1" t="s">
        <v>533</v>
      </c>
      <c r="C342" s="175">
        <v>60</v>
      </c>
      <c r="D342" s="8" t="s">
        <v>406</v>
      </c>
      <c r="E342" s="8"/>
      <c r="H342" s="136"/>
      <c r="I342" s="139"/>
      <c r="J342" s="135"/>
      <c r="K342" s="135"/>
      <c r="L342" s="135"/>
      <c r="M342" s="135"/>
      <c r="N342" s="135"/>
    </row>
    <row r="343" spans="2:14" ht="13" x14ac:dyDescent="0.3">
      <c r="C343" s="29" t="s">
        <v>139</v>
      </c>
      <c r="E343" s="8"/>
      <c r="H343" s="136"/>
      <c r="I343" s="139"/>
      <c r="J343" s="135"/>
      <c r="K343" s="135"/>
      <c r="L343" s="135"/>
      <c r="M343" s="135"/>
      <c r="N343" s="135"/>
    </row>
    <row r="344" spans="2:14" ht="13" x14ac:dyDescent="0.3">
      <c r="B344" s="2" t="s">
        <v>534</v>
      </c>
      <c r="C344" s="4" t="s">
        <v>779</v>
      </c>
      <c r="D344" s="10"/>
      <c r="E344" s="8"/>
      <c r="H344" s="136"/>
      <c r="I344" s="139"/>
      <c r="J344" s="135"/>
      <c r="K344" s="135"/>
      <c r="L344" s="135"/>
      <c r="M344" s="135"/>
      <c r="N344" s="135"/>
    </row>
    <row r="345" spans="2:14" ht="13" x14ac:dyDescent="0.3">
      <c r="B345" s="2" t="s">
        <v>531</v>
      </c>
      <c r="C345" s="4">
        <f>C340*C341*C342</f>
        <v>476.99999999999994</v>
      </c>
      <c r="D345" s="10" t="s">
        <v>230</v>
      </c>
      <c r="E345" s="8" t="s">
        <v>201</v>
      </c>
      <c r="H345" s="136"/>
      <c r="I345" s="139"/>
      <c r="J345" s="135"/>
      <c r="K345" s="135"/>
      <c r="L345" s="135"/>
      <c r="M345" s="135"/>
      <c r="N345" s="135"/>
    </row>
    <row r="346" spans="2:14" x14ac:dyDescent="0.25">
      <c r="E346" s="8"/>
      <c r="H346" s="136"/>
      <c r="I346" s="139"/>
      <c r="J346" s="135"/>
      <c r="K346" s="135"/>
      <c r="L346" s="135"/>
      <c r="M346" s="135"/>
      <c r="N346" s="135"/>
    </row>
    <row r="347" spans="2:14" x14ac:dyDescent="0.25">
      <c r="B347" s="120"/>
      <c r="C347" s="120"/>
      <c r="D347" s="125"/>
      <c r="E347" s="125"/>
      <c r="F347" s="120"/>
      <c r="H347" s="136"/>
      <c r="I347" s="139"/>
      <c r="J347" s="135"/>
      <c r="K347" s="135"/>
      <c r="L347" s="135"/>
      <c r="M347" s="135"/>
      <c r="N347" s="135"/>
    </row>
    <row r="348" spans="2:14" x14ac:dyDescent="0.25">
      <c r="E348" s="8"/>
      <c r="H348" s="136"/>
      <c r="I348" s="139"/>
      <c r="J348" s="135"/>
      <c r="K348" s="135"/>
      <c r="L348" s="135"/>
      <c r="M348" s="135"/>
      <c r="N348" s="135"/>
    </row>
    <row r="349" spans="2:14" ht="16" thickBot="1" x14ac:dyDescent="0.4">
      <c r="B349" s="68" t="s">
        <v>569</v>
      </c>
      <c r="E349" s="8"/>
      <c r="H349" s="136"/>
      <c r="I349" s="139"/>
      <c r="J349" s="135"/>
      <c r="K349" s="135"/>
      <c r="L349" s="135"/>
      <c r="M349" s="135"/>
      <c r="N349" s="135"/>
    </row>
    <row r="350" spans="2:14" ht="13.5" thickBot="1" x14ac:dyDescent="0.35">
      <c r="B350" s="1"/>
      <c r="C350" s="27" t="s">
        <v>543</v>
      </c>
      <c r="D350" s="324"/>
      <c r="E350" s="8"/>
      <c r="H350" s="136"/>
      <c r="I350" s="139"/>
      <c r="J350" s="135"/>
      <c r="K350" s="135"/>
      <c r="L350" s="135"/>
      <c r="M350" s="135"/>
      <c r="N350" s="135"/>
    </row>
    <row r="351" spans="2:14" ht="13.5" thickBot="1" x14ac:dyDescent="0.35">
      <c r="B351" s="26" t="s">
        <v>537</v>
      </c>
      <c r="C351" s="84" t="s">
        <v>435</v>
      </c>
      <c r="D351" s="168" t="s">
        <v>265</v>
      </c>
      <c r="E351" s="8"/>
      <c r="H351" s="136"/>
      <c r="I351" s="139"/>
      <c r="J351" s="135"/>
      <c r="K351" s="135"/>
      <c r="L351" s="135"/>
      <c r="M351" s="135"/>
      <c r="N351" s="135"/>
    </row>
    <row r="352" spans="2:14" x14ac:dyDescent="0.25">
      <c r="B352" s="23" t="s">
        <v>538</v>
      </c>
      <c r="C352" s="60" t="s">
        <v>540</v>
      </c>
      <c r="D352" s="325">
        <v>50</v>
      </c>
      <c r="E352" s="8"/>
      <c r="H352" s="136"/>
      <c r="I352" s="139"/>
      <c r="J352" s="135"/>
      <c r="K352" s="135"/>
      <c r="L352" s="135"/>
      <c r="M352" s="135"/>
      <c r="N352" s="135"/>
    </row>
    <row r="353" spans="2:14" x14ac:dyDescent="0.25">
      <c r="B353" s="23" t="s">
        <v>539</v>
      </c>
      <c r="C353" s="60" t="s">
        <v>541</v>
      </c>
      <c r="D353" s="325">
        <v>60</v>
      </c>
      <c r="E353" s="8"/>
      <c r="H353" s="136"/>
      <c r="I353" s="139"/>
      <c r="J353" s="135"/>
      <c r="K353" s="135"/>
      <c r="L353" s="135"/>
      <c r="M353" s="135"/>
      <c r="N353" s="135"/>
    </row>
    <row r="354" spans="2:14" x14ac:dyDescent="0.25">
      <c r="B354" s="23" t="s">
        <v>538</v>
      </c>
      <c r="C354" s="60" t="s">
        <v>541</v>
      </c>
      <c r="D354" s="325">
        <v>80</v>
      </c>
      <c r="E354" s="8"/>
      <c r="H354" s="136"/>
      <c r="I354" s="139"/>
      <c r="J354" s="135"/>
      <c r="K354" s="135"/>
      <c r="L354" s="135"/>
      <c r="M354" s="135"/>
      <c r="N354" s="135"/>
    </row>
    <row r="355" spans="2:14" x14ac:dyDescent="0.25">
      <c r="B355" s="23" t="s">
        <v>538</v>
      </c>
      <c r="C355" s="60" t="s">
        <v>542</v>
      </c>
      <c r="D355" s="325">
        <v>120</v>
      </c>
      <c r="E355" s="8"/>
      <c r="H355" s="136"/>
      <c r="I355" s="139"/>
      <c r="J355" s="135"/>
      <c r="K355" s="135"/>
      <c r="L355" s="135"/>
      <c r="M355" s="135"/>
      <c r="N355" s="135"/>
    </row>
    <row r="356" spans="2:14" ht="13" thickBot="1" x14ac:dyDescent="0.3">
      <c r="B356" s="24" t="s">
        <v>540</v>
      </c>
      <c r="C356" s="62" t="s">
        <v>541</v>
      </c>
      <c r="D356" s="326">
        <v>150</v>
      </c>
      <c r="E356" s="8"/>
      <c r="H356" s="136"/>
      <c r="I356" s="139"/>
      <c r="J356" s="135"/>
      <c r="K356" s="135"/>
      <c r="L356" s="135"/>
      <c r="M356" s="135"/>
      <c r="N356" s="135"/>
    </row>
    <row r="357" spans="2:14" x14ac:dyDescent="0.25">
      <c r="B357" s="1"/>
      <c r="C357" s="3"/>
      <c r="E357" s="8"/>
      <c r="H357" s="136"/>
      <c r="I357" s="139"/>
      <c r="J357" s="135"/>
      <c r="K357" s="135"/>
      <c r="L357" s="135"/>
      <c r="M357" s="135"/>
      <c r="N357" s="135"/>
    </row>
    <row r="358" spans="2:14" ht="13.5" thickBot="1" x14ac:dyDescent="0.35">
      <c r="C358" s="29" t="s">
        <v>501</v>
      </c>
      <c r="E358" s="8"/>
      <c r="H358" s="136"/>
      <c r="I358" s="139"/>
      <c r="J358" s="135"/>
      <c r="K358" s="135"/>
      <c r="L358" s="135"/>
      <c r="M358" s="135"/>
      <c r="N358" s="135"/>
    </row>
    <row r="359" spans="2:14" x14ac:dyDescent="0.25">
      <c r="B359" s="1" t="s">
        <v>570</v>
      </c>
      <c r="C359" s="173">
        <v>0.1</v>
      </c>
      <c r="D359" s="8" t="s">
        <v>406</v>
      </c>
      <c r="E359" s="8"/>
      <c r="H359" s="136"/>
      <c r="I359" s="139"/>
      <c r="J359" s="135"/>
      <c r="K359" s="135"/>
      <c r="L359" s="135"/>
      <c r="M359" s="135"/>
      <c r="N359" s="135"/>
    </row>
    <row r="360" spans="2:14" ht="13" thickBot="1" x14ac:dyDescent="0.3">
      <c r="B360" s="1" t="s">
        <v>571</v>
      </c>
      <c r="C360" s="175">
        <v>12</v>
      </c>
      <c r="D360" s="8" t="s">
        <v>214</v>
      </c>
      <c r="E360" s="8"/>
      <c r="H360" s="136"/>
      <c r="I360" s="139"/>
      <c r="J360" s="135"/>
      <c r="K360" s="135"/>
      <c r="L360" s="135"/>
      <c r="M360" s="135"/>
      <c r="N360" s="135"/>
    </row>
    <row r="361" spans="2:14" ht="13" x14ac:dyDescent="0.3">
      <c r="C361" s="29" t="s">
        <v>139</v>
      </c>
      <c r="E361" s="8"/>
      <c r="H361" s="136"/>
      <c r="I361" s="139"/>
      <c r="J361" s="135"/>
      <c r="K361" s="135"/>
      <c r="L361" s="135"/>
      <c r="M361" s="135"/>
      <c r="N361" s="135"/>
    </row>
    <row r="362" spans="2:14" ht="13" x14ac:dyDescent="0.3">
      <c r="B362" s="2" t="s">
        <v>572</v>
      </c>
      <c r="C362" s="10" t="s">
        <v>573</v>
      </c>
      <c r="D362" s="10"/>
      <c r="E362" s="8"/>
      <c r="H362" s="136"/>
      <c r="I362" s="139"/>
      <c r="J362" s="135"/>
      <c r="K362" s="135"/>
      <c r="L362" s="135"/>
      <c r="M362" s="135"/>
      <c r="N362" s="135"/>
    </row>
    <row r="363" spans="2:14" ht="13" x14ac:dyDescent="0.3">
      <c r="B363" s="2" t="s">
        <v>574</v>
      </c>
      <c r="C363" s="178">
        <f>(1-C359*TAN(C360/57.2975)/(1+C359/TAN(C360/57.2975)))</f>
        <v>0.98554551293689441</v>
      </c>
      <c r="D363" s="10"/>
      <c r="E363" s="8"/>
      <c r="H363" s="136"/>
      <c r="I363" s="139"/>
      <c r="J363" s="135"/>
      <c r="K363" s="135"/>
      <c r="L363" s="135"/>
      <c r="M363" s="135"/>
      <c r="N363" s="135"/>
    </row>
    <row r="364" spans="2:14" x14ac:dyDescent="0.25">
      <c r="E364" s="8"/>
      <c r="H364" s="136"/>
      <c r="I364" s="139"/>
      <c r="J364" s="135"/>
      <c r="K364" s="135"/>
      <c r="L364" s="135"/>
      <c r="M364" s="135"/>
      <c r="N364" s="135"/>
    </row>
    <row r="365" spans="2:14" ht="13" x14ac:dyDescent="0.3">
      <c r="B365" s="10" t="s">
        <v>575</v>
      </c>
      <c r="C365" s="3"/>
      <c r="E365" s="8"/>
      <c r="H365" s="136"/>
      <c r="I365" s="139"/>
      <c r="J365" s="135"/>
      <c r="K365" s="135"/>
      <c r="L365" s="135"/>
      <c r="M365" s="135"/>
      <c r="N365" s="135"/>
    </row>
    <row r="366" spans="2:14" ht="13.5" thickBot="1" x14ac:dyDescent="0.35">
      <c r="C366" s="29" t="s">
        <v>486</v>
      </c>
      <c r="E366" s="8"/>
      <c r="H366" s="136"/>
      <c r="I366" s="139"/>
      <c r="J366" s="135"/>
      <c r="K366" s="135"/>
      <c r="L366" s="135"/>
      <c r="M366" s="135"/>
      <c r="N366" s="135"/>
    </row>
    <row r="367" spans="2:14" x14ac:dyDescent="0.25">
      <c r="B367" s="1" t="s">
        <v>147</v>
      </c>
      <c r="C367" s="173">
        <v>3</v>
      </c>
      <c r="D367" s="8" t="s">
        <v>209</v>
      </c>
      <c r="E367" s="8"/>
      <c r="H367" s="136"/>
      <c r="I367" s="139"/>
      <c r="J367" s="135"/>
      <c r="K367" s="135"/>
      <c r="L367" s="135"/>
      <c r="M367" s="135"/>
      <c r="N367" s="135"/>
    </row>
    <row r="368" spans="2:14" ht="13" thickBot="1" x14ac:dyDescent="0.3">
      <c r="B368" s="1" t="s">
        <v>568</v>
      </c>
      <c r="C368" s="175">
        <v>25</v>
      </c>
      <c r="D368" s="8" t="s">
        <v>406</v>
      </c>
      <c r="E368" s="8"/>
      <c r="H368" s="136"/>
      <c r="I368" s="139"/>
      <c r="J368" s="135"/>
      <c r="K368" s="135"/>
      <c r="L368" s="135"/>
      <c r="M368" s="135"/>
      <c r="N368" s="135"/>
    </row>
    <row r="369" spans="2:14" ht="13" x14ac:dyDescent="0.3">
      <c r="C369" s="29" t="s">
        <v>139</v>
      </c>
      <c r="D369" s="10"/>
      <c r="E369" s="8"/>
      <c r="H369" s="136"/>
      <c r="I369" s="139"/>
      <c r="J369" s="135"/>
      <c r="K369" s="135"/>
      <c r="L369" s="135"/>
      <c r="M369" s="135"/>
      <c r="N369" s="135"/>
    </row>
    <row r="370" spans="2:14" ht="13" x14ac:dyDescent="0.3">
      <c r="B370" s="2" t="s">
        <v>577</v>
      </c>
      <c r="C370" s="10" t="s">
        <v>576</v>
      </c>
      <c r="D370" s="10" t="s">
        <v>218</v>
      </c>
      <c r="E370" s="8"/>
      <c r="H370" s="136"/>
      <c r="I370" s="139"/>
      <c r="J370" s="135"/>
      <c r="K370" s="135"/>
      <c r="L370" s="135"/>
      <c r="M370" s="135"/>
      <c r="N370" s="135"/>
    </row>
    <row r="371" spans="2:14" ht="13" x14ac:dyDescent="0.3">
      <c r="B371" s="2" t="s">
        <v>578</v>
      </c>
      <c r="C371" s="41">
        <f>9.5*C367^1.7/(C368+5)</f>
        <v>2.0497858159758637</v>
      </c>
      <c r="E371" s="8"/>
      <c r="H371" s="136"/>
      <c r="I371" s="139"/>
      <c r="J371" s="135"/>
      <c r="K371" s="135"/>
      <c r="L371" s="135"/>
      <c r="M371" s="135"/>
      <c r="N371" s="135"/>
    </row>
    <row r="372" spans="2:14" x14ac:dyDescent="0.25">
      <c r="E372" s="8"/>
      <c r="H372" s="136"/>
      <c r="I372" s="139"/>
      <c r="J372" s="135"/>
      <c r="K372" s="135"/>
      <c r="L372" s="135"/>
      <c r="M372" s="135"/>
      <c r="N372" s="135"/>
    </row>
    <row r="373" spans="2:14" x14ac:dyDescent="0.25">
      <c r="B373" s="120"/>
      <c r="C373" s="120"/>
      <c r="D373" s="125"/>
      <c r="E373" s="125"/>
      <c r="F373" s="120"/>
      <c r="H373" s="136"/>
      <c r="I373" s="139"/>
      <c r="J373" s="135"/>
      <c r="K373" s="135"/>
      <c r="L373" s="135"/>
      <c r="M373" s="135"/>
      <c r="N373" s="135"/>
    </row>
    <row r="374" spans="2:14" x14ac:dyDescent="0.25">
      <c r="E374" s="8"/>
      <c r="H374" s="1"/>
      <c r="I374" s="139"/>
      <c r="J374" s="135"/>
      <c r="K374" s="135"/>
      <c r="L374" s="135"/>
      <c r="M374" s="135"/>
      <c r="N374" s="135"/>
    </row>
    <row r="375" spans="2:14" ht="15.5" x14ac:dyDescent="0.35">
      <c r="B375" s="68" t="s">
        <v>956</v>
      </c>
      <c r="E375" s="8"/>
      <c r="G375" s="135"/>
      <c r="H375" s="136"/>
      <c r="I375" s="139"/>
      <c r="J375" s="135"/>
      <c r="K375" s="135"/>
      <c r="L375" s="135"/>
      <c r="M375" s="135"/>
      <c r="N375" s="135"/>
    </row>
    <row r="376" spans="2:14" x14ac:dyDescent="0.25">
      <c r="E376" s="8"/>
      <c r="G376" s="135"/>
      <c r="H376" s="136"/>
      <c r="I376" s="139"/>
      <c r="J376" s="135"/>
      <c r="K376" s="135"/>
      <c r="L376" s="135"/>
      <c r="M376" s="135"/>
      <c r="N376" s="135"/>
    </row>
    <row r="377" spans="2:14" x14ac:dyDescent="0.25">
      <c r="E377" s="8"/>
      <c r="G377" s="135"/>
      <c r="H377" s="136"/>
      <c r="I377" s="139"/>
      <c r="J377" s="135"/>
      <c r="K377" s="135"/>
      <c r="L377" s="135"/>
      <c r="M377" s="135"/>
      <c r="N377" s="135"/>
    </row>
    <row r="378" spans="2:14" x14ac:dyDescent="0.25">
      <c r="E378" s="8"/>
      <c r="G378" s="135"/>
      <c r="H378" s="136"/>
      <c r="I378" s="139"/>
      <c r="J378" s="135"/>
      <c r="K378" s="135"/>
      <c r="L378" s="135"/>
      <c r="M378" s="135"/>
      <c r="N378" s="135"/>
    </row>
    <row r="379" spans="2:14" x14ac:dyDescent="0.25">
      <c r="E379" s="8"/>
      <c r="G379" s="135"/>
      <c r="H379" s="136"/>
      <c r="I379" s="139"/>
      <c r="J379" s="135"/>
      <c r="K379" s="135"/>
      <c r="L379" s="135"/>
      <c r="M379" s="135"/>
      <c r="N379" s="135"/>
    </row>
    <row r="380" spans="2:14" x14ac:dyDescent="0.25">
      <c r="D380"/>
      <c r="E380" s="8"/>
      <c r="G380" s="135"/>
      <c r="H380" s="136"/>
      <c r="I380" s="139"/>
      <c r="J380" s="135"/>
      <c r="K380" s="135"/>
      <c r="L380" s="135"/>
      <c r="M380" s="135"/>
      <c r="N380" s="135"/>
    </row>
    <row r="381" spans="2:14" x14ac:dyDescent="0.25">
      <c r="D381"/>
      <c r="E381" s="8"/>
      <c r="G381" s="135"/>
      <c r="H381" s="136"/>
      <c r="I381" s="139"/>
      <c r="J381" s="135"/>
      <c r="K381" s="135"/>
      <c r="L381" s="135"/>
      <c r="M381" s="135"/>
      <c r="N381" s="135"/>
    </row>
    <row r="382" spans="2:14" x14ac:dyDescent="0.25">
      <c r="D382"/>
      <c r="E382" s="8"/>
      <c r="G382" s="135"/>
      <c r="H382" s="136"/>
      <c r="I382" s="139"/>
      <c r="J382" s="135"/>
      <c r="K382" s="135"/>
      <c r="L382" s="135"/>
      <c r="M382" s="135"/>
      <c r="N382" s="135"/>
    </row>
    <row r="383" spans="2:14" x14ac:dyDescent="0.25">
      <c r="D383"/>
      <c r="E383" s="8"/>
      <c r="G383" s="135"/>
      <c r="H383" s="136"/>
      <c r="I383" s="139"/>
      <c r="J383" s="135"/>
      <c r="K383" s="135"/>
      <c r="L383" s="135"/>
      <c r="M383" s="135"/>
      <c r="N383" s="135"/>
    </row>
    <row r="384" spans="2:14" x14ac:dyDescent="0.25">
      <c r="D384"/>
      <c r="E384" s="8"/>
      <c r="G384" s="135"/>
      <c r="H384" s="136"/>
      <c r="I384" s="139"/>
      <c r="J384" s="135"/>
      <c r="K384" s="135"/>
      <c r="L384" s="135"/>
      <c r="M384" s="135"/>
      <c r="N384" s="135"/>
    </row>
    <row r="385" spans="4:14" x14ac:dyDescent="0.25">
      <c r="D385"/>
      <c r="E385" s="8"/>
      <c r="G385" s="135"/>
      <c r="H385" s="136"/>
      <c r="I385" s="139"/>
      <c r="J385" s="135"/>
      <c r="K385" s="135"/>
      <c r="L385" s="135"/>
      <c r="M385" s="135"/>
      <c r="N385" s="135"/>
    </row>
    <row r="386" spans="4:14" x14ac:dyDescent="0.25">
      <c r="D386"/>
      <c r="E386" s="8"/>
      <c r="G386" s="135"/>
      <c r="H386" s="136"/>
      <c r="I386" s="139"/>
      <c r="J386" s="135"/>
      <c r="K386" s="135"/>
      <c r="L386" s="135"/>
      <c r="M386" s="135"/>
      <c r="N386" s="135"/>
    </row>
    <row r="387" spans="4:14" x14ac:dyDescent="0.25">
      <c r="D387"/>
      <c r="E387" s="8"/>
      <c r="G387" s="135"/>
      <c r="H387" s="136"/>
      <c r="I387" s="139"/>
      <c r="J387" s="135"/>
      <c r="K387" s="135"/>
      <c r="L387" s="135"/>
      <c r="M387" s="135"/>
      <c r="N387" s="135"/>
    </row>
    <row r="388" spans="4:14" x14ac:dyDescent="0.25">
      <c r="D388"/>
      <c r="E388" s="8"/>
      <c r="G388" s="135"/>
      <c r="H388" s="136"/>
      <c r="I388" s="139"/>
      <c r="J388" s="135"/>
      <c r="K388" s="135"/>
      <c r="L388" s="135"/>
      <c r="M388" s="135"/>
      <c r="N388" s="135"/>
    </row>
    <row r="389" spans="4:14" x14ac:dyDescent="0.25">
      <c r="D389"/>
      <c r="E389" s="8"/>
      <c r="G389" s="135"/>
      <c r="H389" s="136"/>
      <c r="I389" s="139"/>
      <c r="J389" s="135"/>
      <c r="K389" s="135"/>
      <c r="L389" s="135"/>
      <c r="N389" s="135"/>
    </row>
    <row r="390" spans="4:14" x14ac:dyDescent="0.25">
      <c r="D390"/>
      <c r="E390" s="8"/>
      <c r="G390" s="135"/>
      <c r="H390" s="136"/>
      <c r="I390" s="139"/>
      <c r="J390" s="135"/>
      <c r="K390" s="135"/>
      <c r="L390" s="135"/>
      <c r="N390" s="135"/>
    </row>
    <row r="391" spans="4:14" x14ac:dyDescent="0.25">
      <c r="D391"/>
      <c r="E391" s="8"/>
      <c r="G391" s="135"/>
      <c r="H391" s="136"/>
      <c r="I391" s="139"/>
      <c r="J391" s="135"/>
      <c r="M391" s="135"/>
      <c r="N391" s="135"/>
    </row>
    <row r="392" spans="4:14" x14ac:dyDescent="0.25">
      <c r="D392"/>
      <c r="E392" s="8"/>
      <c r="G392" s="135"/>
      <c r="H392" s="136"/>
      <c r="I392" s="139"/>
      <c r="J392" s="135"/>
      <c r="M392" s="135"/>
      <c r="N392" s="135"/>
    </row>
    <row r="393" spans="4:14" x14ac:dyDescent="0.25">
      <c r="D393"/>
      <c r="E393" s="8"/>
      <c r="G393" s="135"/>
      <c r="H393" s="136"/>
      <c r="I393" s="139"/>
      <c r="J393" s="135"/>
      <c r="K393" s="135"/>
      <c r="L393" s="135"/>
      <c r="M393" s="135"/>
      <c r="N393" s="135"/>
    </row>
    <row r="394" spans="4:14" x14ac:dyDescent="0.25">
      <c r="D394"/>
      <c r="E394" s="8"/>
      <c r="G394" s="135"/>
      <c r="H394" s="136"/>
      <c r="I394" s="139"/>
      <c r="J394" s="135"/>
      <c r="K394" s="135"/>
      <c r="L394" s="135"/>
      <c r="M394" s="135"/>
      <c r="N394" s="135"/>
    </row>
    <row r="395" spans="4:14" x14ac:dyDescent="0.25">
      <c r="D395"/>
      <c r="E395" s="8"/>
      <c r="G395" s="135"/>
      <c r="H395" s="136"/>
      <c r="I395" s="139"/>
      <c r="J395" s="135"/>
      <c r="K395" s="135"/>
      <c r="L395" s="135"/>
      <c r="M395" s="135"/>
      <c r="N395" s="135"/>
    </row>
    <row r="396" spans="4:14" x14ac:dyDescent="0.25">
      <c r="E396" s="8"/>
      <c r="G396" s="135"/>
      <c r="H396" s="136"/>
      <c r="I396" s="139"/>
      <c r="J396" s="135"/>
      <c r="K396" s="135"/>
      <c r="L396" s="135"/>
      <c r="M396" s="135"/>
      <c r="N396" s="135"/>
    </row>
    <row r="397" spans="4:14" x14ac:dyDescent="0.25">
      <c r="E397" s="8"/>
      <c r="G397" s="135"/>
      <c r="H397" s="136"/>
      <c r="I397" s="139"/>
      <c r="J397" s="135"/>
      <c r="K397" s="135"/>
      <c r="L397" s="135"/>
      <c r="M397" s="135"/>
      <c r="N397" s="135"/>
    </row>
    <row r="398" spans="4:14" x14ac:dyDescent="0.25">
      <c r="E398" s="8"/>
      <c r="G398" s="135"/>
      <c r="H398" s="136"/>
      <c r="I398" s="139"/>
      <c r="J398" s="135"/>
      <c r="K398" s="135"/>
      <c r="L398" s="135"/>
      <c r="M398" s="135"/>
      <c r="N398" s="135"/>
    </row>
    <row r="399" spans="4:14" x14ac:dyDescent="0.25">
      <c r="E399" s="8"/>
      <c r="G399" s="135"/>
      <c r="H399" s="136"/>
      <c r="I399" s="139"/>
      <c r="J399" s="135"/>
      <c r="K399" s="135"/>
      <c r="L399" s="135"/>
      <c r="M399" s="135"/>
      <c r="N399" s="135"/>
    </row>
    <row r="400" spans="4:14" x14ac:dyDescent="0.25">
      <c r="E400" s="8"/>
      <c r="G400" s="135"/>
      <c r="H400" s="136"/>
      <c r="I400" s="139"/>
      <c r="J400" s="135"/>
      <c r="K400" s="135"/>
      <c r="L400" s="135"/>
      <c r="M400" s="135"/>
      <c r="N400" s="135"/>
    </row>
    <row r="401" spans="2:14" x14ac:dyDescent="0.25">
      <c r="E401" s="8"/>
      <c r="G401" s="135"/>
      <c r="H401" s="136"/>
      <c r="I401" s="139"/>
      <c r="J401" s="135"/>
      <c r="K401" s="135"/>
      <c r="L401" s="135"/>
      <c r="M401" s="135"/>
      <c r="N401" s="135"/>
    </row>
    <row r="402" spans="2:14" x14ac:dyDescent="0.25">
      <c r="E402" s="8"/>
      <c r="G402" s="135"/>
      <c r="H402" s="136"/>
      <c r="I402" s="8"/>
      <c r="J402" s="135"/>
      <c r="K402" s="135"/>
      <c r="L402" s="135"/>
      <c r="M402" s="135"/>
      <c r="N402" s="135"/>
    </row>
    <row r="403" spans="2:14" ht="15.5" x14ac:dyDescent="0.35">
      <c r="B403" s="68" t="s">
        <v>1052</v>
      </c>
      <c r="C403" s="29" t="s">
        <v>985</v>
      </c>
      <c r="E403" s="8"/>
      <c r="G403" s="135"/>
      <c r="H403" s="136"/>
      <c r="I403" s="139"/>
      <c r="J403" s="135"/>
      <c r="K403" s="135"/>
      <c r="L403" s="135"/>
      <c r="M403" s="135"/>
      <c r="N403" s="135"/>
    </row>
    <row r="404" spans="2:14" ht="13.5" thickBot="1" x14ac:dyDescent="0.35">
      <c r="C404" s="4" t="s">
        <v>961</v>
      </c>
      <c r="E404" s="8"/>
      <c r="G404" s="135"/>
      <c r="H404" s="136"/>
      <c r="I404" s="139"/>
      <c r="J404" s="135"/>
      <c r="K404" s="135"/>
      <c r="L404" s="135"/>
      <c r="M404" s="135"/>
      <c r="N404" s="135"/>
    </row>
    <row r="405" spans="2:14" x14ac:dyDescent="0.25">
      <c r="B405" s="156" t="s">
        <v>957</v>
      </c>
      <c r="C405" s="264">
        <v>24</v>
      </c>
      <c r="D405" s="245" t="s">
        <v>406</v>
      </c>
      <c r="E405" s="8"/>
      <c r="G405" s="135"/>
      <c r="H405" s="136"/>
      <c r="I405" s="139"/>
      <c r="J405" s="135"/>
      <c r="K405" s="135"/>
      <c r="L405" s="135"/>
      <c r="M405" s="135"/>
      <c r="N405" s="135"/>
    </row>
    <row r="406" spans="2:14" x14ac:dyDescent="0.25">
      <c r="B406" s="156" t="s">
        <v>1036</v>
      </c>
      <c r="C406" s="304">
        <v>6</v>
      </c>
      <c r="D406" s="245" t="s">
        <v>406</v>
      </c>
      <c r="E406" s="8"/>
      <c r="G406" s="135"/>
      <c r="H406" s="136"/>
      <c r="I406" s="139"/>
      <c r="J406" s="135"/>
      <c r="K406" s="135"/>
      <c r="L406" s="135"/>
      <c r="M406" s="135"/>
      <c r="N406" s="135"/>
    </row>
    <row r="407" spans="2:14" ht="13" thickBot="1" x14ac:dyDescent="0.3">
      <c r="B407" s="156" t="s">
        <v>958</v>
      </c>
      <c r="C407" s="305">
        <v>24</v>
      </c>
      <c r="D407" s="245" t="s">
        <v>406</v>
      </c>
      <c r="E407" s="8"/>
      <c r="G407" s="135"/>
      <c r="H407" s="136"/>
      <c r="I407" s="139"/>
      <c r="J407" s="135"/>
      <c r="K407" s="135"/>
      <c r="L407" s="135"/>
      <c r="M407" s="135"/>
      <c r="N407" s="135"/>
    </row>
    <row r="408" spans="2:14" ht="13" x14ac:dyDescent="0.3">
      <c r="B408" s="1"/>
      <c r="C408" s="29" t="s">
        <v>982</v>
      </c>
      <c r="E408" s="8"/>
      <c r="G408" s="135"/>
      <c r="H408" s="136"/>
      <c r="I408" s="139"/>
      <c r="J408" s="135"/>
      <c r="K408" s="135"/>
      <c r="L408" s="135"/>
      <c r="M408" s="135"/>
      <c r="N408" s="135"/>
    </row>
    <row r="409" spans="2:14" ht="13" x14ac:dyDescent="0.3">
      <c r="B409" s="2" t="s">
        <v>1034</v>
      </c>
      <c r="C409" s="303" t="s">
        <v>1035</v>
      </c>
      <c r="D409" s="10"/>
      <c r="E409" s="8"/>
      <c r="G409" s="135"/>
      <c r="H409" s="136"/>
      <c r="I409" s="139"/>
      <c r="J409" s="135"/>
      <c r="K409" s="135"/>
      <c r="L409" s="135"/>
      <c r="M409" s="135"/>
      <c r="N409" s="135"/>
    </row>
    <row r="410" spans="2:14" ht="13" x14ac:dyDescent="0.3">
      <c r="B410" s="2" t="s">
        <v>101</v>
      </c>
      <c r="C410" s="91">
        <f>C406</f>
        <v>6</v>
      </c>
      <c r="D410" s="10"/>
      <c r="E410" s="8"/>
      <c r="G410" s="135"/>
      <c r="H410" s="136"/>
      <c r="I410" s="139"/>
      <c r="J410" s="135"/>
      <c r="K410" s="135"/>
      <c r="L410" s="135"/>
      <c r="M410" s="135"/>
      <c r="N410" s="135"/>
    </row>
    <row r="411" spans="2:14" ht="13" x14ac:dyDescent="0.3">
      <c r="B411" s="2" t="s">
        <v>1037</v>
      </c>
      <c r="C411" s="16" t="s">
        <v>960</v>
      </c>
      <c r="D411" s="10"/>
      <c r="E411" s="8"/>
      <c r="G411" s="135"/>
      <c r="H411" s="136"/>
      <c r="I411" s="139"/>
      <c r="J411" s="135"/>
      <c r="K411" s="135"/>
      <c r="L411" s="135"/>
      <c r="M411" s="135"/>
      <c r="N411" s="135"/>
    </row>
    <row r="412" spans="2:14" ht="13" x14ac:dyDescent="0.3">
      <c r="B412" s="2" t="s">
        <v>101</v>
      </c>
      <c r="C412" s="178">
        <f>C405/C406</f>
        <v>4</v>
      </c>
      <c r="D412" s="10" t="s">
        <v>209</v>
      </c>
      <c r="E412" s="8"/>
      <c r="G412" s="135"/>
      <c r="H412" s="136"/>
      <c r="I412" s="139"/>
      <c r="J412" s="135"/>
      <c r="K412" s="135"/>
      <c r="L412" s="135"/>
      <c r="M412" s="135"/>
      <c r="N412" s="135"/>
    </row>
    <row r="413" spans="2:14" ht="13" x14ac:dyDescent="0.3">
      <c r="B413" s="2" t="s">
        <v>1038</v>
      </c>
      <c r="C413" s="16" t="s">
        <v>959</v>
      </c>
      <c r="D413" s="10"/>
      <c r="E413" s="8"/>
      <c r="G413" s="135"/>
      <c r="H413" s="136"/>
      <c r="I413" s="139"/>
      <c r="J413" s="135"/>
      <c r="K413" s="135"/>
      <c r="L413" s="135"/>
      <c r="M413" s="135"/>
      <c r="N413" s="135"/>
    </row>
    <row r="414" spans="2:14" ht="13" x14ac:dyDescent="0.3">
      <c r="B414" s="2" t="s">
        <v>101</v>
      </c>
      <c r="C414" s="178">
        <f>C407/C406</f>
        <v>4</v>
      </c>
      <c r="D414" s="10" t="s">
        <v>209</v>
      </c>
      <c r="E414" s="8"/>
      <c r="G414" s="135"/>
      <c r="H414" s="136"/>
      <c r="I414" s="139"/>
      <c r="J414" s="135"/>
      <c r="K414" s="135"/>
      <c r="L414" s="135"/>
      <c r="M414" s="135"/>
      <c r="N414" s="135"/>
    </row>
    <row r="415" spans="2:14" ht="13" x14ac:dyDescent="0.3">
      <c r="B415" s="2" t="s">
        <v>1039</v>
      </c>
      <c r="C415" s="16" t="s">
        <v>962</v>
      </c>
      <c r="D415" s="10"/>
      <c r="E415" s="8"/>
      <c r="G415" s="135"/>
      <c r="H415" s="136"/>
      <c r="I415" s="139"/>
      <c r="J415" s="135"/>
      <c r="K415" s="135"/>
      <c r="L415" s="135"/>
      <c r="M415" s="135"/>
      <c r="N415" s="135"/>
    </row>
    <row r="416" spans="2:14" ht="13" x14ac:dyDescent="0.3">
      <c r="B416" s="2" t="s">
        <v>101</v>
      </c>
      <c r="C416" s="178">
        <f>57.3*ATAN(C405 / C407)</f>
        <v>45.003314762673782</v>
      </c>
      <c r="D416" s="10" t="s">
        <v>214</v>
      </c>
      <c r="E416" s="8"/>
      <c r="G416" s="135"/>
      <c r="H416" s="136"/>
      <c r="I416" s="139"/>
      <c r="J416" s="135"/>
      <c r="K416" s="135"/>
      <c r="L416" s="135"/>
      <c r="M416" s="135"/>
      <c r="N416" s="135"/>
    </row>
    <row r="417" spans="2:14" ht="13" x14ac:dyDescent="0.3">
      <c r="B417" s="2" t="s">
        <v>1040</v>
      </c>
      <c r="C417" s="16" t="s">
        <v>963</v>
      </c>
      <c r="D417" s="10"/>
      <c r="E417" s="8"/>
      <c r="G417" s="135"/>
      <c r="H417" s="136"/>
      <c r="I417" s="139"/>
      <c r="J417" s="135"/>
      <c r="K417" s="135"/>
      <c r="L417" s="135"/>
      <c r="M417" s="135"/>
      <c r="N417" s="135"/>
    </row>
    <row r="418" spans="2:14" ht="13" x14ac:dyDescent="0.3">
      <c r="B418" s="2" t="s">
        <v>101</v>
      </c>
      <c r="C418" s="178">
        <f>57.3*ATAN(C407 / C405)</f>
        <v>45.003314762673782</v>
      </c>
      <c r="D418" s="10" t="s">
        <v>214</v>
      </c>
      <c r="E418" s="8"/>
      <c r="G418" s="135"/>
      <c r="H418" s="136"/>
      <c r="I418" s="139"/>
      <c r="J418" s="135"/>
      <c r="K418" s="135"/>
      <c r="L418" s="135"/>
      <c r="M418" s="135"/>
      <c r="N418" s="135"/>
    </row>
    <row r="419" spans="2:14" ht="13" x14ac:dyDescent="0.3">
      <c r="B419" s="2" t="s">
        <v>1041</v>
      </c>
      <c r="C419" s="178">
        <f>C416+C418</f>
        <v>90.006629525347563</v>
      </c>
      <c r="D419" s="10" t="s">
        <v>214</v>
      </c>
      <c r="E419" s="8"/>
      <c r="G419" s="135"/>
      <c r="H419" s="136"/>
      <c r="I419" s="139"/>
      <c r="J419" s="135"/>
      <c r="K419" s="135"/>
      <c r="L419" s="135"/>
      <c r="M419" s="135"/>
      <c r="N419" s="135"/>
    </row>
    <row r="420" spans="2:14" ht="13" x14ac:dyDescent="0.3">
      <c r="B420" s="2" t="s">
        <v>1042</v>
      </c>
      <c r="C420" s="16" t="s">
        <v>1043</v>
      </c>
      <c r="D420" s="10"/>
      <c r="E420" s="8"/>
      <c r="G420" s="135"/>
      <c r="H420" s="136"/>
      <c r="I420" s="139"/>
      <c r="J420" s="135"/>
      <c r="K420" s="135"/>
      <c r="L420" s="135"/>
      <c r="M420" s="135"/>
      <c r="N420" s="135"/>
    </row>
    <row r="421" spans="2:14" ht="13" x14ac:dyDescent="0.3">
      <c r="B421" s="2" t="s">
        <v>101</v>
      </c>
      <c r="C421" s="178">
        <f>C412/(2*SIN(C416/57.3))</f>
        <v>2.8284271247461903</v>
      </c>
      <c r="D421" s="10" t="s">
        <v>209</v>
      </c>
      <c r="E421" s="8"/>
      <c r="G421" s="135"/>
      <c r="H421" s="136"/>
      <c r="I421" s="139"/>
      <c r="J421" s="135"/>
      <c r="K421" s="135"/>
      <c r="L421" s="135"/>
      <c r="M421" s="135"/>
      <c r="N421" s="135"/>
    </row>
    <row r="422" spans="2:14" ht="13" x14ac:dyDescent="0.3">
      <c r="B422" s="2" t="s">
        <v>970</v>
      </c>
      <c r="C422" s="16" t="s">
        <v>1044</v>
      </c>
      <c r="D422" s="10"/>
      <c r="E422" s="8"/>
      <c r="G422" s="135"/>
      <c r="H422" s="136"/>
      <c r="I422" s="139"/>
      <c r="J422" s="135"/>
      <c r="K422" s="135"/>
      <c r="L422" s="135"/>
      <c r="M422" s="135"/>
      <c r="N422" s="135"/>
    </row>
    <row r="423" spans="2:14" ht="13" x14ac:dyDescent="0.3">
      <c r="B423" s="2" t="s">
        <v>101</v>
      </c>
      <c r="C423" s="178">
        <f>C414/(2*SIN(C418/57.3))</f>
        <v>2.8284271247461903</v>
      </c>
      <c r="D423" s="10" t="s">
        <v>209</v>
      </c>
      <c r="E423" s="8"/>
      <c r="G423" s="135"/>
      <c r="H423" s="136"/>
      <c r="I423" s="139"/>
      <c r="J423" s="135"/>
      <c r="K423" s="135"/>
      <c r="L423" s="135"/>
      <c r="M423" s="135"/>
      <c r="N423" s="135"/>
    </row>
    <row r="424" spans="2:14" x14ac:dyDescent="0.25">
      <c r="E424" s="8"/>
      <c r="G424" s="135"/>
      <c r="H424" s="136"/>
      <c r="I424" s="139"/>
      <c r="J424" s="135"/>
      <c r="K424" s="135"/>
      <c r="L424" s="135"/>
      <c r="M424" s="135"/>
      <c r="N424" s="135"/>
    </row>
    <row r="425" spans="2:14" ht="16" thickBot="1" x14ac:dyDescent="0.4">
      <c r="B425" s="68" t="s">
        <v>1051</v>
      </c>
      <c r="C425" s="309"/>
      <c r="D425" s="14" t="s">
        <v>986</v>
      </c>
      <c r="E425" s="245"/>
      <c r="G425" s="135"/>
      <c r="H425" s="136"/>
      <c r="I425" s="139"/>
      <c r="J425" s="135"/>
      <c r="K425" s="135"/>
      <c r="L425" s="135"/>
      <c r="M425" s="135"/>
      <c r="N425" s="135"/>
    </row>
    <row r="426" spans="2:14" ht="13" x14ac:dyDescent="0.3">
      <c r="B426" s="156" t="s">
        <v>980</v>
      </c>
      <c r="C426" s="4" t="s">
        <v>403</v>
      </c>
      <c r="D426" s="292">
        <v>20</v>
      </c>
      <c r="E426" s="10" t="s">
        <v>397</v>
      </c>
      <c r="G426" s="135"/>
      <c r="H426" s="136"/>
      <c r="I426" s="139"/>
      <c r="J426" s="135"/>
      <c r="K426" s="135"/>
      <c r="L426" s="135"/>
      <c r="M426" s="135"/>
      <c r="N426" s="135"/>
    </row>
    <row r="427" spans="2:14" ht="13.5" x14ac:dyDescent="0.35">
      <c r="B427" s="156" t="s">
        <v>979</v>
      </c>
      <c r="C427" s="4" t="s">
        <v>446</v>
      </c>
      <c r="D427" s="293">
        <v>6</v>
      </c>
      <c r="E427" s="10" t="s">
        <v>406</v>
      </c>
      <c r="G427" s="135"/>
      <c r="H427" s="136"/>
      <c r="I427" s="139"/>
      <c r="J427" s="135"/>
      <c r="K427" s="135"/>
      <c r="L427" s="135"/>
      <c r="M427" s="135"/>
      <c r="N427" s="135"/>
    </row>
    <row r="428" spans="2:14" ht="13.5" x14ac:dyDescent="0.35">
      <c r="B428" s="156" t="s">
        <v>967</v>
      </c>
      <c r="C428" s="4" t="s">
        <v>406</v>
      </c>
      <c r="D428" s="293">
        <v>24</v>
      </c>
      <c r="E428" s="10" t="s">
        <v>406</v>
      </c>
      <c r="H428" s="136"/>
      <c r="I428" s="139"/>
      <c r="J428" s="135"/>
      <c r="K428" s="135"/>
      <c r="L428" s="135"/>
      <c r="M428" s="135"/>
      <c r="N428" s="135"/>
    </row>
    <row r="429" spans="2:14" ht="13" x14ac:dyDescent="0.3">
      <c r="B429" s="156" t="s">
        <v>405</v>
      </c>
      <c r="C429" s="4" t="s">
        <v>406</v>
      </c>
      <c r="D429" s="294"/>
      <c r="E429" s="10" t="s">
        <v>209</v>
      </c>
      <c r="G429" s="135"/>
      <c r="H429" s="136"/>
      <c r="I429" s="139"/>
      <c r="J429" s="135"/>
      <c r="K429" s="135"/>
      <c r="L429" s="135"/>
      <c r="M429" s="135"/>
      <c r="N429" s="135"/>
    </row>
    <row r="430" spans="2:14" ht="13" x14ac:dyDescent="0.3">
      <c r="B430" s="156" t="s">
        <v>404</v>
      </c>
      <c r="C430" s="4" t="s">
        <v>406</v>
      </c>
      <c r="D430" s="294"/>
      <c r="E430" s="10" t="s">
        <v>209</v>
      </c>
      <c r="G430" s="135"/>
      <c r="H430" s="136"/>
      <c r="I430" s="139"/>
      <c r="J430" s="135"/>
      <c r="K430" s="135"/>
      <c r="L430" s="135"/>
      <c r="M430" s="135"/>
      <c r="N430" s="135"/>
    </row>
    <row r="431" spans="2:14" ht="13.5" thickBot="1" x14ac:dyDescent="0.35">
      <c r="B431" s="156" t="s">
        <v>402</v>
      </c>
      <c r="C431" s="4" t="s">
        <v>406</v>
      </c>
      <c r="D431" s="295"/>
      <c r="E431" s="10" t="s">
        <v>209</v>
      </c>
      <c r="G431" s="135"/>
      <c r="H431" s="136"/>
      <c r="I431" s="139"/>
      <c r="J431" s="135"/>
      <c r="K431" s="135"/>
      <c r="L431" s="135"/>
      <c r="M431" s="135"/>
      <c r="N431" s="135"/>
    </row>
    <row r="432" spans="2:14" ht="13" x14ac:dyDescent="0.3">
      <c r="C432" s="245" t="s">
        <v>201</v>
      </c>
      <c r="D432" s="14" t="s">
        <v>983</v>
      </c>
      <c r="E432" s="245"/>
      <c r="G432" s="135"/>
      <c r="H432" s="136"/>
      <c r="I432" s="139"/>
      <c r="J432" s="135"/>
      <c r="K432" s="135"/>
      <c r="L432" s="135"/>
      <c r="M432" s="135"/>
      <c r="N432" s="135"/>
    </row>
    <row r="433" spans="2:14" ht="13" x14ac:dyDescent="0.3">
      <c r="B433" s="156" t="s">
        <v>680</v>
      </c>
      <c r="C433" s="4" t="s">
        <v>398</v>
      </c>
      <c r="D433" s="9">
        <f>D428/D427</f>
        <v>4</v>
      </c>
      <c r="E433" s="10" t="s">
        <v>209</v>
      </c>
      <c r="G433" s="135"/>
      <c r="H433" s="136"/>
      <c r="I433" s="139"/>
      <c r="J433" s="135"/>
      <c r="K433" s="135"/>
      <c r="L433" s="135"/>
      <c r="M433" s="135"/>
      <c r="N433" s="135"/>
    </row>
    <row r="434" spans="2:14" ht="13.5" x14ac:dyDescent="0.35">
      <c r="B434" s="156" t="s">
        <v>681</v>
      </c>
      <c r="C434" s="4" t="s">
        <v>193</v>
      </c>
      <c r="D434" s="178">
        <f>1/D427</f>
        <v>0.16666666666666666</v>
      </c>
      <c r="E434" s="10" t="s">
        <v>209</v>
      </c>
      <c r="G434" s="135"/>
      <c r="H434" s="136"/>
      <c r="I434" s="139"/>
      <c r="J434" s="135"/>
      <c r="K434" s="135"/>
      <c r="L434" s="135"/>
      <c r="M434" s="135"/>
      <c r="N434" s="135"/>
    </row>
    <row r="435" spans="2:14" ht="13.5" x14ac:dyDescent="0.35">
      <c r="B435" s="156" t="s">
        <v>682</v>
      </c>
      <c r="C435" s="4" t="s">
        <v>194</v>
      </c>
      <c r="D435" s="178">
        <f>1.157/D427</f>
        <v>0.19283333333333333</v>
      </c>
      <c r="E435" s="10" t="s">
        <v>209</v>
      </c>
      <c r="G435" s="135"/>
      <c r="H435" s="136"/>
      <c r="I435" s="139"/>
      <c r="J435" s="135"/>
      <c r="K435" s="135"/>
      <c r="L435" s="135"/>
      <c r="M435" s="135"/>
      <c r="N435" s="135"/>
    </row>
    <row r="436" spans="2:14" ht="13.5" x14ac:dyDescent="0.35">
      <c r="B436" s="156" t="s">
        <v>683</v>
      </c>
      <c r="C436" s="4" t="s">
        <v>195</v>
      </c>
      <c r="D436" s="178">
        <f>2.157/D427</f>
        <v>0.35949999999999999</v>
      </c>
      <c r="E436" s="10" t="s">
        <v>209</v>
      </c>
      <c r="G436" s="135"/>
      <c r="H436" s="136"/>
      <c r="I436" s="139"/>
      <c r="J436" s="135"/>
      <c r="K436" s="135"/>
      <c r="L436" s="135"/>
      <c r="M436" s="135"/>
      <c r="N436" s="135"/>
    </row>
    <row r="437" spans="2:14" ht="13.5" x14ac:dyDescent="0.35">
      <c r="B437" s="156" t="s">
        <v>684</v>
      </c>
      <c r="C437" s="4" t="s">
        <v>196</v>
      </c>
      <c r="D437" s="178">
        <f>0.157/D427</f>
        <v>2.6166666666666668E-2</v>
      </c>
      <c r="E437" s="10" t="s">
        <v>209</v>
      </c>
      <c r="G437" s="135"/>
      <c r="H437" s="136"/>
      <c r="I437" s="139"/>
      <c r="J437" s="135"/>
      <c r="K437" s="135"/>
      <c r="L437" s="135"/>
      <c r="M437" s="135"/>
      <c r="N437" s="135"/>
    </row>
    <row r="438" spans="2:14" ht="13.5" x14ac:dyDescent="0.35">
      <c r="B438" s="156" t="s">
        <v>685</v>
      </c>
      <c r="C438" s="4" t="s">
        <v>399</v>
      </c>
      <c r="D438" s="9">
        <f>D433+(2*D434)</f>
        <v>4.333333333333333</v>
      </c>
      <c r="E438" s="10" t="s">
        <v>209</v>
      </c>
      <c r="G438" s="135"/>
      <c r="H438" s="136"/>
      <c r="I438" s="139"/>
      <c r="J438" s="135"/>
      <c r="K438" s="135"/>
      <c r="L438" s="135"/>
      <c r="M438" s="135"/>
      <c r="N438" s="135"/>
    </row>
    <row r="439" spans="2:14" ht="13.5" x14ac:dyDescent="0.35">
      <c r="B439" s="156" t="s">
        <v>686</v>
      </c>
      <c r="C439" s="4" t="s">
        <v>400</v>
      </c>
      <c r="D439" s="9">
        <f>D433-(2*D435)</f>
        <v>3.6143333333333332</v>
      </c>
      <c r="E439" s="10" t="s">
        <v>209</v>
      </c>
      <c r="G439" s="135"/>
      <c r="H439" s="136"/>
      <c r="I439" s="139"/>
      <c r="J439" s="135"/>
      <c r="K439" s="135"/>
      <c r="L439" s="135"/>
      <c r="M439" s="135"/>
      <c r="N439" s="135"/>
    </row>
    <row r="440" spans="2:14" ht="13.5" x14ac:dyDescent="0.35">
      <c r="B440" s="156" t="s">
        <v>687</v>
      </c>
      <c r="C440" s="4" t="s">
        <v>860</v>
      </c>
      <c r="D440" s="9">
        <f>D433*COS(D426/57.3)</f>
        <v>3.7588056563237595</v>
      </c>
      <c r="E440" s="10" t="s">
        <v>209</v>
      </c>
      <c r="G440" s="135"/>
      <c r="H440" s="136"/>
      <c r="I440" s="139"/>
      <c r="J440" s="135"/>
      <c r="K440" s="135"/>
      <c r="L440" s="135"/>
      <c r="M440" s="135"/>
      <c r="N440" s="135"/>
    </row>
    <row r="441" spans="2:14" ht="13.5" x14ac:dyDescent="0.35">
      <c r="B441" s="156" t="s">
        <v>1026</v>
      </c>
      <c r="C441" s="4" t="s">
        <v>407</v>
      </c>
      <c r="D441" s="9">
        <f>(3.1416*D433)/D428</f>
        <v>0.52359999999999995</v>
      </c>
      <c r="E441" s="10" t="s">
        <v>209</v>
      </c>
      <c r="G441" s="135"/>
      <c r="H441" s="136"/>
      <c r="I441" s="139"/>
      <c r="J441" s="135"/>
      <c r="K441" s="135"/>
      <c r="L441" s="135"/>
      <c r="M441" s="135"/>
      <c r="N441" s="135"/>
    </row>
    <row r="442" spans="2:14" ht="13.5" x14ac:dyDescent="0.35">
      <c r="B442" s="156" t="s">
        <v>1028</v>
      </c>
      <c r="C442" s="4" t="s">
        <v>1027</v>
      </c>
      <c r="D442" s="9">
        <f>D441/2</f>
        <v>0.26179999999999998</v>
      </c>
      <c r="E442" s="10" t="s">
        <v>209</v>
      </c>
      <c r="G442" s="135"/>
      <c r="H442" s="136"/>
      <c r="I442" s="139"/>
      <c r="J442" s="135"/>
      <c r="K442" s="135"/>
      <c r="L442" s="135"/>
      <c r="M442" s="135"/>
      <c r="N442" s="135"/>
    </row>
    <row r="443" spans="2:14" ht="13.5" x14ac:dyDescent="0.35">
      <c r="B443" s="156" t="s">
        <v>689</v>
      </c>
      <c r="C443" s="4" t="s">
        <v>1029</v>
      </c>
      <c r="D443" s="9">
        <f>D433*SIN(90/57.3)/D428</f>
        <v>0.16666666555115431</v>
      </c>
      <c r="E443" s="10" t="s">
        <v>209</v>
      </c>
      <c r="G443" s="135"/>
      <c r="H443" s="136"/>
      <c r="I443" s="139"/>
      <c r="J443" s="135"/>
      <c r="K443" s="135"/>
      <c r="L443" s="135"/>
      <c r="M443" s="135"/>
      <c r="N443" s="135"/>
    </row>
    <row r="444" spans="2:14" ht="13.5" x14ac:dyDescent="0.35">
      <c r="B444" s="156" t="s">
        <v>693</v>
      </c>
      <c r="C444" s="4" t="s">
        <v>401</v>
      </c>
      <c r="D444" s="9">
        <f>D434*2</f>
        <v>0.33333333333333331</v>
      </c>
      <c r="E444" s="10" t="s">
        <v>209</v>
      </c>
      <c r="G444" s="135"/>
      <c r="H444" s="136"/>
      <c r="I444" s="139"/>
      <c r="J444" s="135"/>
      <c r="K444" s="135"/>
      <c r="L444" s="135"/>
      <c r="M444" s="135"/>
      <c r="N444" s="135"/>
    </row>
    <row r="445" spans="2:14" ht="13" x14ac:dyDescent="0.3">
      <c r="B445" s="156"/>
      <c r="C445" s="10"/>
      <c r="D445" s="178"/>
      <c r="E445" s="10"/>
      <c r="G445" s="135"/>
      <c r="H445" s="136"/>
      <c r="I445" s="139"/>
      <c r="J445" s="135"/>
      <c r="K445" s="135"/>
      <c r="L445" s="135"/>
      <c r="M445" s="135"/>
      <c r="N445" s="135"/>
    </row>
    <row r="446" spans="2:14" ht="13" x14ac:dyDescent="0.3">
      <c r="B446" s="8"/>
      <c r="C446" s="29" t="s">
        <v>984</v>
      </c>
      <c r="E446" s="8"/>
      <c r="G446" s="135"/>
      <c r="H446" s="136"/>
      <c r="I446" s="139"/>
      <c r="J446" s="135"/>
      <c r="K446" s="135"/>
      <c r="L446" s="135"/>
      <c r="M446" s="135"/>
      <c r="N446" s="135"/>
    </row>
    <row r="447" spans="2:14" ht="13.5" x14ac:dyDescent="0.35">
      <c r="B447" s="156" t="s">
        <v>964</v>
      </c>
      <c r="C447" s="245" t="s">
        <v>965</v>
      </c>
      <c r="E447" s="8"/>
      <c r="G447" s="135"/>
      <c r="H447" s="136"/>
      <c r="I447" s="139"/>
      <c r="J447" s="135"/>
      <c r="K447" s="135"/>
      <c r="L447" s="135"/>
      <c r="M447" s="135"/>
      <c r="N447" s="135"/>
    </row>
    <row r="448" spans="2:14" ht="13" x14ac:dyDescent="0.3">
      <c r="B448" s="2" t="s">
        <v>101</v>
      </c>
      <c r="C448" s="291">
        <f>57.3*ATAN(D434 /C423)</f>
        <v>3.3725350907677538</v>
      </c>
      <c r="D448" s="245" t="s">
        <v>741</v>
      </c>
      <c r="E448" s="8"/>
      <c r="G448" s="135"/>
      <c r="H448" s="136"/>
      <c r="I448" s="139"/>
      <c r="J448" s="135"/>
      <c r="K448" s="135"/>
      <c r="L448" s="135"/>
      <c r="M448" s="135"/>
      <c r="N448" s="135"/>
    </row>
    <row r="449" spans="2:14" ht="13.5" x14ac:dyDescent="0.35">
      <c r="B449" s="156" t="s">
        <v>1117</v>
      </c>
      <c r="C449" s="245" t="s">
        <v>969</v>
      </c>
      <c r="E449" s="8"/>
      <c r="G449" s="135"/>
      <c r="H449" s="136"/>
      <c r="I449" s="139"/>
      <c r="J449" s="135"/>
      <c r="K449" s="135"/>
      <c r="L449" s="135"/>
      <c r="M449" s="135"/>
      <c r="N449" s="135"/>
    </row>
    <row r="450" spans="2:14" ht="13" x14ac:dyDescent="0.3">
      <c r="B450" s="2" t="s">
        <v>101</v>
      </c>
      <c r="C450" s="291">
        <f>57.3*ATAN(D435 / C423)</f>
        <v>3.9004993422519507</v>
      </c>
      <c r="D450" s="245" t="s">
        <v>741</v>
      </c>
      <c r="E450" s="8"/>
      <c r="G450" s="135"/>
      <c r="H450" s="136"/>
      <c r="I450" s="139"/>
      <c r="J450" s="135"/>
      <c r="K450" s="135"/>
      <c r="L450" s="135"/>
      <c r="M450" s="135"/>
      <c r="N450" s="135"/>
    </row>
    <row r="451" spans="2:14" ht="13" x14ac:dyDescent="0.3">
      <c r="B451" s="156" t="s">
        <v>973</v>
      </c>
      <c r="C451" s="290">
        <f>C418</f>
        <v>45.003314762673782</v>
      </c>
      <c r="D451" s="245" t="s">
        <v>741</v>
      </c>
      <c r="E451" s="8"/>
      <c r="G451" s="135"/>
      <c r="H451" s="136"/>
      <c r="I451" s="139"/>
      <c r="J451" s="135"/>
      <c r="K451" s="135"/>
      <c r="L451" s="135"/>
      <c r="M451" s="135"/>
      <c r="N451" s="135"/>
    </row>
    <row r="452" spans="2:14" ht="13.5" x14ac:dyDescent="0.35">
      <c r="B452" s="156" t="s">
        <v>1118</v>
      </c>
      <c r="C452" s="245" t="s">
        <v>971</v>
      </c>
      <c r="E452" s="8"/>
      <c r="G452" s="135"/>
      <c r="H452" s="136"/>
      <c r="I452" s="139"/>
      <c r="J452" s="135"/>
      <c r="K452" s="135"/>
      <c r="L452" s="135"/>
      <c r="M452" s="135"/>
      <c r="N452" s="135"/>
    </row>
    <row r="453" spans="2:14" x14ac:dyDescent="0.25">
      <c r="B453" s="156" t="s">
        <v>101</v>
      </c>
      <c r="C453" s="290">
        <f>C451-C448</f>
        <v>41.630779671906026</v>
      </c>
      <c r="D453" s="245" t="s">
        <v>741</v>
      </c>
      <c r="E453" s="8"/>
      <c r="G453" s="135"/>
      <c r="H453" s="136"/>
      <c r="I453" s="139"/>
      <c r="J453" s="135"/>
      <c r="K453" s="135"/>
      <c r="L453" s="135"/>
      <c r="M453" s="135"/>
      <c r="N453" s="135"/>
    </row>
    <row r="454" spans="2:14" ht="13.5" x14ac:dyDescent="0.35">
      <c r="B454" s="156" t="s">
        <v>1119</v>
      </c>
      <c r="C454" s="245" t="s">
        <v>972</v>
      </c>
      <c r="E454" s="8"/>
      <c r="G454" s="135"/>
      <c r="H454" s="136"/>
      <c r="I454" s="139"/>
      <c r="J454" s="135"/>
      <c r="K454" s="135"/>
      <c r="L454" s="135"/>
      <c r="M454" s="135"/>
      <c r="N454" s="135"/>
    </row>
    <row r="455" spans="2:14" x14ac:dyDescent="0.25">
      <c r="B455" s="156" t="s">
        <v>101</v>
      </c>
      <c r="C455" s="290">
        <f>C451-C450</f>
        <v>41.102815420421834</v>
      </c>
      <c r="D455" s="245" t="s">
        <v>741</v>
      </c>
      <c r="E455" s="8"/>
      <c r="G455" s="135"/>
      <c r="H455" s="136"/>
      <c r="I455" s="139"/>
      <c r="J455" s="135"/>
      <c r="K455" s="135"/>
      <c r="L455" s="135"/>
      <c r="M455" s="135"/>
      <c r="N455" s="135"/>
    </row>
    <row r="456" spans="2:14" ht="13.5" x14ac:dyDescent="0.35">
      <c r="B456" s="156" t="s">
        <v>974</v>
      </c>
      <c r="C456" s="245" t="s">
        <v>1123</v>
      </c>
      <c r="E456" s="8"/>
      <c r="G456" s="135"/>
      <c r="H456" s="136"/>
      <c r="I456" s="139"/>
      <c r="J456" s="135"/>
      <c r="K456" s="135"/>
      <c r="L456" s="135"/>
      <c r="M456" s="135"/>
      <c r="N456" s="135"/>
    </row>
    <row r="457" spans="2:14" x14ac:dyDescent="0.25">
      <c r="B457" s="156" t="s">
        <v>101</v>
      </c>
      <c r="C457" s="296">
        <f>(COS(C451/57.3))*C448</f>
        <v>2.3847424324714677</v>
      </c>
      <c r="D457" s="245"/>
      <c r="E457" s="8"/>
      <c r="G457" s="135"/>
      <c r="H457" s="136"/>
      <c r="I457" s="139"/>
      <c r="J457" s="135"/>
      <c r="K457" s="135"/>
      <c r="L457" s="135"/>
      <c r="M457" s="135"/>
      <c r="N457" s="135"/>
    </row>
    <row r="458" spans="2:14" ht="13" x14ac:dyDescent="0.3">
      <c r="B458" s="156" t="s">
        <v>1122</v>
      </c>
      <c r="C458" s="291">
        <f>D433</f>
        <v>4</v>
      </c>
      <c r="D458" s="245" t="s">
        <v>209</v>
      </c>
      <c r="E458" s="8"/>
      <c r="G458" s="135"/>
      <c r="H458" s="136"/>
      <c r="I458" s="139"/>
      <c r="J458" s="135"/>
      <c r="K458" s="135"/>
      <c r="L458" s="135"/>
      <c r="M458" s="135"/>
      <c r="N458" s="135"/>
    </row>
    <row r="459" spans="2:14" ht="13" x14ac:dyDescent="0.3">
      <c r="B459" s="156" t="s">
        <v>1045</v>
      </c>
      <c r="C459" s="245" t="s">
        <v>975</v>
      </c>
      <c r="E459" s="8"/>
      <c r="G459" s="135"/>
      <c r="H459" s="136"/>
      <c r="I459" s="139"/>
      <c r="J459" s="135"/>
      <c r="K459" s="135"/>
      <c r="L459" s="135"/>
      <c r="M459" s="135"/>
      <c r="N459" s="135"/>
    </row>
    <row r="460" spans="2:14" x14ac:dyDescent="0.25">
      <c r="B460" s="156" t="s">
        <v>101</v>
      </c>
      <c r="C460" s="291">
        <f>C458 + (2*C457)</f>
        <v>8.7694848649429353</v>
      </c>
      <c r="D460" s="245" t="s">
        <v>209</v>
      </c>
      <c r="E460" s="8"/>
      <c r="G460" s="135"/>
      <c r="H460" s="136"/>
      <c r="I460" s="139"/>
      <c r="J460" s="135"/>
      <c r="K460" s="135"/>
      <c r="L460" s="135"/>
      <c r="M460" s="135"/>
      <c r="N460" s="135"/>
    </row>
    <row r="461" spans="2:14" ht="13" x14ac:dyDescent="0.3">
      <c r="B461" s="156" t="s">
        <v>1046</v>
      </c>
      <c r="C461" s="245" t="s">
        <v>976</v>
      </c>
      <c r="E461" s="8"/>
      <c r="G461" s="135"/>
      <c r="H461" s="136"/>
      <c r="I461" s="139"/>
      <c r="J461" s="135"/>
      <c r="K461" s="135"/>
      <c r="L461" s="135"/>
      <c r="M461" s="135"/>
      <c r="N461" s="135"/>
    </row>
    <row r="462" spans="2:14" x14ac:dyDescent="0.25">
      <c r="B462" s="156" t="s">
        <v>101</v>
      </c>
      <c r="C462" s="291">
        <f>(0.5*C460)/TAN(C453/57.3)</f>
        <v>4.9338454918348047</v>
      </c>
      <c r="D462" s="245" t="s">
        <v>209</v>
      </c>
      <c r="E462" s="8"/>
      <c r="G462" s="135"/>
      <c r="H462" s="136"/>
      <c r="I462" s="139"/>
      <c r="J462" s="135"/>
      <c r="K462" s="135"/>
      <c r="L462" s="135"/>
      <c r="M462" s="135"/>
      <c r="N462" s="135"/>
    </row>
    <row r="463" spans="2:14" ht="13" x14ac:dyDescent="0.3">
      <c r="B463" s="156" t="s">
        <v>1047</v>
      </c>
      <c r="C463" s="245" t="s">
        <v>977</v>
      </c>
      <c r="E463" s="8"/>
      <c r="G463" s="135"/>
      <c r="H463" s="136"/>
      <c r="I463" s="139"/>
      <c r="J463" s="135"/>
      <c r="K463" s="135"/>
      <c r="L463" s="135"/>
      <c r="M463" s="135"/>
      <c r="N463" s="135"/>
    </row>
    <row r="464" spans="2:14" x14ac:dyDescent="0.25">
      <c r="B464" s="156" t="s">
        <v>101</v>
      </c>
      <c r="C464" s="290">
        <f>D441*2</f>
        <v>1.0471999999999999</v>
      </c>
      <c r="D464" s="245" t="s">
        <v>209</v>
      </c>
      <c r="E464" s="8"/>
      <c r="G464" s="135"/>
      <c r="H464" s="136"/>
      <c r="I464" s="139"/>
      <c r="J464" s="135"/>
      <c r="K464" s="135"/>
      <c r="L464" s="135"/>
      <c r="M464" s="135"/>
      <c r="N464" s="135"/>
    </row>
    <row r="465" spans="2:14" ht="13" x14ac:dyDescent="0.3">
      <c r="B465" s="156" t="s">
        <v>1048</v>
      </c>
      <c r="C465" s="254" t="s">
        <v>978</v>
      </c>
      <c r="E465" s="8"/>
      <c r="G465" s="135"/>
      <c r="H465" s="136"/>
      <c r="I465" s="139"/>
      <c r="J465" s="135"/>
      <c r="K465" s="135"/>
      <c r="L465" s="135"/>
      <c r="M465" s="135"/>
      <c r="N465" s="135"/>
    </row>
    <row r="466" spans="2:14" x14ac:dyDescent="0.25">
      <c r="B466" s="156" t="s">
        <v>101</v>
      </c>
      <c r="C466" s="332">
        <f>1.57/D427</f>
        <v>0.26166666666666666</v>
      </c>
      <c r="D466" s="245" t="s">
        <v>209</v>
      </c>
      <c r="E466" s="8"/>
      <c r="G466" s="135"/>
      <c r="H466" s="136"/>
      <c r="I466" s="139"/>
      <c r="J466" s="135"/>
      <c r="K466" s="135"/>
      <c r="L466" s="135"/>
      <c r="M466" s="135"/>
      <c r="N466" s="135"/>
    </row>
    <row r="467" spans="2:14" ht="13" x14ac:dyDescent="0.3">
      <c r="B467" s="156" t="s">
        <v>1049</v>
      </c>
      <c r="C467" s="245" t="s">
        <v>1120</v>
      </c>
      <c r="E467" s="8"/>
      <c r="G467" s="135"/>
      <c r="H467" s="136"/>
      <c r="I467" s="139"/>
      <c r="J467" s="135"/>
      <c r="K467" s="135"/>
      <c r="L467" s="135"/>
      <c r="M467" s="135"/>
      <c r="N467" s="135"/>
    </row>
    <row r="468" spans="2:14" x14ac:dyDescent="0.25">
      <c r="B468" s="156" t="s">
        <v>101</v>
      </c>
      <c r="C468" s="296">
        <f>C458*SIN((90/57.3)/D428)</f>
        <v>0.26159327511699454</v>
      </c>
      <c r="D468" s="245" t="s">
        <v>209</v>
      </c>
      <c r="E468" s="8"/>
      <c r="G468" s="245"/>
      <c r="H468" s="136"/>
      <c r="I468" s="139"/>
      <c r="J468" s="135"/>
      <c r="K468" s="135"/>
      <c r="L468" s="135"/>
      <c r="M468" s="135"/>
      <c r="N468" s="135"/>
    </row>
    <row r="469" spans="2:14" ht="13" x14ac:dyDescent="0.3">
      <c r="B469" s="156" t="s">
        <v>1050</v>
      </c>
      <c r="C469" s="245" t="s">
        <v>981</v>
      </c>
      <c r="E469" s="8"/>
      <c r="G469" s="135"/>
      <c r="H469" s="136"/>
      <c r="I469" s="139"/>
      <c r="J469" s="135"/>
      <c r="K469" s="135"/>
      <c r="L469" s="135"/>
      <c r="M469" s="135"/>
      <c r="N469" s="135"/>
    </row>
    <row r="470" spans="2:14" x14ac:dyDescent="0.25">
      <c r="B470" s="156" t="s">
        <v>101</v>
      </c>
      <c r="C470" s="291">
        <f>D434+((C466^2*COS(C418/57.3)/(4*C458)))</f>
        <v>0.16969261719608805</v>
      </c>
      <c r="D470" s="245" t="s">
        <v>209</v>
      </c>
      <c r="E470" s="8"/>
      <c r="G470" s="135"/>
      <c r="H470" s="136"/>
      <c r="I470" s="139"/>
      <c r="J470" s="135"/>
      <c r="K470" s="135"/>
      <c r="L470" s="135"/>
      <c r="M470" s="135"/>
      <c r="N470" s="135"/>
    </row>
    <row r="471" spans="2:14" x14ac:dyDescent="0.25">
      <c r="G471" s="135"/>
      <c r="H471" s="136"/>
      <c r="I471" s="139"/>
      <c r="J471" s="135"/>
      <c r="K471" s="135"/>
      <c r="L471" s="135"/>
      <c r="M471" s="135"/>
      <c r="N471" s="135"/>
    </row>
    <row r="472" spans="2:14" x14ac:dyDescent="0.25">
      <c r="C472" s="8"/>
      <c r="E472" s="8"/>
      <c r="G472" s="135"/>
      <c r="H472" s="136"/>
      <c r="I472" s="139"/>
      <c r="J472" s="135"/>
      <c r="K472" s="135"/>
      <c r="L472" s="135"/>
      <c r="M472" s="135"/>
      <c r="N472" s="135"/>
    </row>
    <row r="473" spans="2:14" x14ac:dyDescent="0.25">
      <c r="C473" s="8"/>
      <c r="E473" s="8"/>
      <c r="G473" s="135"/>
      <c r="H473" s="136"/>
      <c r="I473" s="139"/>
      <c r="J473" s="135"/>
      <c r="K473" s="135"/>
      <c r="L473" s="135"/>
      <c r="M473" s="135"/>
      <c r="N473" s="135"/>
    </row>
    <row r="474" spans="2:14" x14ac:dyDescent="0.25">
      <c r="B474" s="120"/>
      <c r="C474" s="120"/>
      <c r="D474" s="125"/>
      <c r="E474" s="125"/>
      <c r="F474" s="120"/>
      <c r="G474" s="135"/>
      <c r="H474" s="136"/>
      <c r="I474" s="139"/>
      <c r="J474" s="135"/>
      <c r="K474" s="135"/>
      <c r="L474" s="135"/>
      <c r="M474" s="135"/>
      <c r="N474" s="135"/>
    </row>
    <row r="475" spans="2:14" x14ac:dyDescent="0.25">
      <c r="E475" s="8"/>
      <c r="G475" s="135"/>
      <c r="H475" s="136"/>
      <c r="I475" s="139"/>
      <c r="J475" s="135"/>
      <c r="K475" s="135"/>
      <c r="L475" s="135"/>
      <c r="M475" s="135"/>
      <c r="N475" s="135"/>
    </row>
    <row r="476" spans="2:14" x14ac:dyDescent="0.25">
      <c r="E476" s="8"/>
      <c r="G476" s="135"/>
      <c r="H476" s="136"/>
      <c r="I476" s="139"/>
      <c r="J476" s="135"/>
      <c r="K476" s="135"/>
      <c r="L476" s="135"/>
      <c r="M476" s="135"/>
      <c r="N476" s="135"/>
    </row>
    <row r="477" spans="2:14" ht="15.5" x14ac:dyDescent="0.35">
      <c r="B477" s="68" t="s">
        <v>697</v>
      </c>
      <c r="E477" s="8"/>
      <c r="G477" s="135"/>
      <c r="H477" s="136"/>
      <c r="I477" s="139"/>
      <c r="J477" s="135"/>
      <c r="K477" s="135"/>
      <c r="L477" s="135"/>
      <c r="M477" s="135"/>
      <c r="N477" s="135"/>
    </row>
    <row r="478" spans="2:14" x14ac:dyDescent="0.25">
      <c r="E478" s="8"/>
      <c r="G478" s="135"/>
      <c r="H478" s="136"/>
      <c r="I478" s="139"/>
      <c r="J478" s="135"/>
      <c r="K478" s="135"/>
      <c r="L478" s="135"/>
      <c r="M478" s="135"/>
      <c r="N478" s="135"/>
    </row>
    <row r="479" spans="2:14" x14ac:dyDescent="0.25">
      <c r="E479" s="8"/>
      <c r="G479" s="135"/>
      <c r="H479" s="136"/>
      <c r="I479" s="139"/>
      <c r="J479" s="135"/>
      <c r="K479" s="135"/>
      <c r="L479" s="135"/>
      <c r="M479" s="135"/>
      <c r="N479" s="135"/>
    </row>
    <row r="480" spans="2:14" x14ac:dyDescent="0.25">
      <c r="E480" s="8"/>
      <c r="G480" s="135"/>
      <c r="H480" s="136"/>
      <c r="I480" s="139"/>
      <c r="J480" s="135"/>
      <c r="K480" s="135"/>
      <c r="L480" s="135"/>
      <c r="M480" s="135"/>
      <c r="N480" s="135"/>
    </row>
    <row r="481" spans="4:14" x14ac:dyDescent="0.25">
      <c r="E481" s="8"/>
      <c r="G481" s="135"/>
      <c r="H481" s="136"/>
      <c r="I481" s="139"/>
      <c r="J481" s="135"/>
      <c r="K481" s="135"/>
      <c r="L481" s="135"/>
      <c r="M481" s="135"/>
      <c r="N481" s="135"/>
    </row>
    <row r="482" spans="4:14" x14ac:dyDescent="0.25">
      <c r="E482" s="8"/>
      <c r="H482" s="1"/>
      <c r="I482" s="8"/>
      <c r="L482" s="135"/>
      <c r="M482" s="135"/>
      <c r="N482" s="135"/>
    </row>
    <row r="483" spans="4:14" x14ac:dyDescent="0.25">
      <c r="E483" s="8"/>
      <c r="H483" s="1"/>
      <c r="I483" s="8"/>
      <c r="L483" s="135"/>
      <c r="M483" s="135"/>
      <c r="N483" s="135"/>
    </row>
    <row r="484" spans="4:14" x14ac:dyDescent="0.25">
      <c r="E484" s="8"/>
      <c r="H484" s="1"/>
      <c r="I484" s="8"/>
      <c r="L484" s="135"/>
      <c r="M484" s="135"/>
      <c r="N484" s="135"/>
    </row>
    <row r="485" spans="4:14" x14ac:dyDescent="0.25">
      <c r="E485" s="8"/>
      <c r="H485" s="1"/>
      <c r="I485" s="8"/>
      <c r="L485" s="135"/>
      <c r="M485" s="135"/>
      <c r="N485" s="135"/>
    </row>
    <row r="486" spans="4:14" x14ac:dyDescent="0.25">
      <c r="E486" s="8"/>
      <c r="H486" s="1"/>
      <c r="I486" s="8"/>
      <c r="L486" s="135"/>
      <c r="M486" s="135"/>
      <c r="N486" s="135"/>
    </row>
    <row r="487" spans="4:14" x14ac:dyDescent="0.25">
      <c r="E487" s="8"/>
      <c r="H487" s="1"/>
      <c r="I487" s="8"/>
      <c r="L487" s="135"/>
      <c r="M487" s="135"/>
      <c r="N487" s="135"/>
    </row>
    <row r="488" spans="4:14" x14ac:dyDescent="0.25">
      <c r="E488" s="8"/>
      <c r="H488" s="1"/>
      <c r="I488" s="8"/>
      <c r="L488" s="135"/>
      <c r="M488" s="135"/>
      <c r="N488" s="135"/>
    </row>
    <row r="489" spans="4:14" x14ac:dyDescent="0.25">
      <c r="E489" s="8"/>
      <c r="H489" s="1"/>
      <c r="I489" s="8"/>
      <c r="L489" s="135"/>
      <c r="M489" s="135"/>
      <c r="N489" s="135"/>
    </row>
    <row r="490" spans="4:14" x14ac:dyDescent="0.25">
      <c r="E490" s="8"/>
      <c r="G490" s="135"/>
      <c r="H490" s="136"/>
      <c r="I490" s="139"/>
      <c r="J490" s="135"/>
      <c r="K490" s="135"/>
      <c r="L490" s="135"/>
      <c r="M490" s="135"/>
      <c r="N490" s="135"/>
    </row>
    <row r="491" spans="4:14" x14ac:dyDescent="0.25">
      <c r="E491" s="8"/>
      <c r="G491" s="135"/>
      <c r="H491" s="136"/>
      <c r="I491" s="139"/>
      <c r="J491" s="135"/>
      <c r="K491" s="135"/>
      <c r="L491" s="135"/>
      <c r="M491" s="135"/>
      <c r="N491" s="135"/>
    </row>
    <row r="492" spans="4:14" x14ac:dyDescent="0.25">
      <c r="D492"/>
      <c r="E492" s="8"/>
      <c r="G492" s="135"/>
      <c r="H492" s="136"/>
      <c r="I492" s="139"/>
      <c r="J492" s="135"/>
      <c r="K492" s="135"/>
      <c r="L492" s="135"/>
      <c r="M492" s="135"/>
      <c r="N492" s="135"/>
    </row>
    <row r="493" spans="4:14" x14ac:dyDescent="0.25">
      <c r="D493"/>
      <c r="E493" s="8"/>
      <c r="G493" s="135"/>
      <c r="H493" s="136"/>
      <c r="I493" s="139"/>
      <c r="J493" s="135"/>
      <c r="K493" s="135"/>
      <c r="L493" s="135"/>
      <c r="M493" s="135"/>
      <c r="N493" s="135"/>
    </row>
    <row r="494" spans="4:14" x14ac:dyDescent="0.25">
      <c r="D494"/>
      <c r="E494" s="8"/>
      <c r="G494" s="135"/>
      <c r="H494" s="136"/>
      <c r="I494" s="139"/>
      <c r="J494" s="135"/>
      <c r="K494" s="135"/>
      <c r="L494" s="135"/>
      <c r="M494" s="135"/>
      <c r="N494" s="135"/>
    </row>
    <row r="495" spans="4:14" x14ac:dyDescent="0.25">
      <c r="D495"/>
      <c r="E495" s="8"/>
      <c r="G495" s="135"/>
      <c r="H495" s="136"/>
      <c r="I495" s="139"/>
      <c r="J495" s="135"/>
      <c r="K495" s="135"/>
      <c r="L495" s="135"/>
      <c r="M495" s="135"/>
      <c r="N495" s="135"/>
    </row>
    <row r="496" spans="4:14" x14ac:dyDescent="0.25">
      <c r="D496"/>
      <c r="E496" s="8"/>
      <c r="G496" s="135"/>
      <c r="H496" s="136"/>
      <c r="I496" s="139"/>
      <c r="J496" s="135"/>
      <c r="K496" s="135"/>
      <c r="L496" s="135"/>
      <c r="M496" s="135"/>
      <c r="N496" s="135"/>
    </row>
    <row r="497" spans="4:14" x14ac:dyDescent="0.25">
      <c r="D497"/>
      <c r="E497" s="8"/>
      <c r="G497" s="135"/>
      <c r="H497" s="136"/>
      <c r="I497" s="139"/>
      <c r="J497" s="135"/>
      <c r="K497" s="135"/>
      <c r="L497" s="135"/>
      <c r="M497" s="135"/>
      <c r="N497" s="135"/>
    </row>
    <row r="498" spans="4:14" x14ac:dyDescent="0.25">
      <c r="D498"/>
      <c r="E498" s="8"/>
      <c r="G498" s="135"/>
      <c r="H498" s="136"/>
      <c r="I498" s="139"/>
      <c r="J498" s="135"/>
      <c r="K498" s="135"/>
      <c r="L498" s="135"/>
      <c r="M498" s="135"/>
      <c r="N498" s="135"/>
    </row>
    <row r="499" spans="4:14" x14ac:dyDescent="0.25">
      <c r="D499"/>
      <c r="E499" s="8"/>
      <c r="G499" s="135"/>
      <c r="H499" s="136"/>
      <c r="I499" s="139"/>
      <c r="J499" s="135"/>
      <c r="K499" s="135"/>
      <c r="L499" s="135"/>
      <c r="M499" s="135"/>
      <c r="N499" s="135"/>
    </row>
    <row r="500" spans="4:14" x14ac:dyDescent="0.25">
      <c r="D500"/>
      <c r="E500" s="8"/>
      <c r="G500" s="135"/>
      <c r="H500" s="136"/>
      <c r="I500" s="139"/>
      <c r="J500" s="135"/>
      <c r="K500" s="135"/>
      <c r="L500" s="135"/>
      <c r="M500" s="135"/>
      <c r="N500" s="135"/>
    </row>
    <row r="501" spans="4:14" x14ac:dyDescent="0.25">
      <c r="D501"/>
      <c r="E501" s="8"/>
      <c r="G501" s="135"/>
      <c r="H501" s="136"/>
      <c r="I501" s="139"/>
      <c r="J501" s="135"/>
      <c r="K501" s="135"/>
      <c r="L501" s="135"/>
      <c r="M501" s="135"/>
      <c r="N501" s="135"/>
    </row>
    <row r="502" spans="4:14" x14ac:dyDescent="0.25">
      <c r="D502"/>
      <c r="E502" s="8"/>
      <c r="G502" s="135"/>
      <c r="H502" s="136"/>
      <c r="I502" s="139"/>
      <c r="J502" s="135"/>
      <c r="K502" s="135"/>
      <c r="L502" s="135"/>
      <c r="M502" s="135"/>
      <c r="N502" s="135"/>
    </row>
    <row r="503" spans="4:14" x14ac:dyDescent="0.25">
      <c r="D503"/>
      <c r="E503" s="8"/>
      <c r="G503" s="135"/>
      <c r="H503" s="136"/>
      <c r="I503" s="139"/>
      <c r="J503" s="135"/>
      <c r="K503" s="135"/>
      <c r="L503" s="135"/>
      <c r="M503" s="135"/>
      <c r="N503" s="135"/>
    </row>
    <row r="504" spans="4:14" x14ac:dyDescent="0.25">
      <c r="D504"/>
      <c r="E504" s="8"/>
      <c r="G504" s="135"/>
      <c r="H504" s="136"/>
      <c r="I504" s="139"/>
      <c r="J504" s="135"/>
      <c r="K504" s="135"/>
      <c r="L504" s="135"/>
      <c r="M504" s="135"/>
      <c r="N504" s="135"/>
    </row>
    <row r="505" spans="4:14" x14ac:dyDescent="0.25">
      <c r="D505"/>
      <c r="E505" s="8"/>
      <c r="G505" s="135"/>
      <c r="H505" s="136"/>
      <c r="I505" s="139"/>
      <c r="J505" s="135"/>
      <c r="K505" s="135"/>
      <c r="L505" s="135"/>
      <c r="M505" s="135"/>
      <c r="N505" s="135"/>
    </row>
    <row r="506" spans="4:14" x14ac:dyDescent="0.25">
      <c r="D506"/>
      <c r="N506" s="135"/>
    </row>
    <row r="507" spans="4:14" x14ac:dyDescent="0.25">
      <c r="D507"/>
      <c r="N507" s="135"/>
    </row>
    <row r="508" spans="4:14" x14ac:dyDescent="0.25">
      <c r="D508"/>
      <c r="N508" s="135"/>
    </row>
    <row r="509" spans="4:14" x14ac:dyDescent="0.25">
      <c r="D509"/>
      <c r="N509" s="135"/>
    </row>
    <row r="510" spans="4:14" x14ac:dyDescent="0.25">
      <c r="D510"/>
      <c r="N510" s="135"/>
    </row>
    <row r="511" spans="4:14" x14ac:dyDescent="0.25">
      <c r="D511"/>
      <c r="N511" s="135"/>
    </row>
    <row r="512" spans="4:14" x14ac:dyDescent="0.25">
      <c r="D512"/>
      <c r="N512" s="135"/>
    </row>
    <row r="513" spans="4:14" x14ac:dyDescent="0.25">
      <c r="D513"/>
      <c r="N513" s="135"/>
    </row>
    <row r="514" spans="4:14" x14ac:dyDescent="0.25">
      <c r="D514"/>
      <c r="N514" s="135"/>
    </row>
    <row r="515" spans="4:14" x14ac:dyDescent="0.25">
      <c r="D515"/>
      <c r="N515" s="135"/>
    </row>
    <row r="516" spans="4:14" x14ac:dyDescent="0.25">
      <c r="D516"/>
      <c r="E516" s="8"/>
      <c r="G516" s="135"/>
      <c r="H516" s="136"/>
      <c r="I516" s="139"/>
      <c r="J516" s="135"/>
      <c r="K516" s="135"/>
      <c r="L516" s="135"/>
      <c r="M516" s="135"/>
      <c r="N516" s="135"/>
    </row>
    <row r="517" spans="4:14" x14ac:dyDescent="0.25">
      <c r="D517"/>
      <c r="E517" s="8"/>
      <c r="G517" s="135"/>
      <c r="H517" s="136"/>
      <c r="I517" s="139"/>
      <c r="J517" s="135"/>
      <c r="K517" s="135"/>
      <c r="L517" s="135"/>
      <c r="M517" s="135"/>
      <c r="N517" s="135"/>
    </row>
    <row r="518" spans="4:14" x14ac:dyDescent="0.25">
      <c r="D518"/>
      <c r="E518" s="8"/>
      <c r="G518" s="135"/>
      <c r="H518" s="136"/>
      <c r="I518" s="139"/>
      <c r="J518" s="135"/>
      <c r="K518" s="135"/>
      <c r="L518" s="135"/>
      <c r="M518" s="135"/>
      <c r="N518" s="135"/>
    </row>
    <row r="519" spans="4:14" x14ac:dyDescent="0.25">
      <c r="D519"/>
      <c r="E519" s="8"/>
      <c r="G519" s="135"/>
      <c r="H519" s="136"/>
      <c r="I519" s="139"/>
      <c r="J519" s="135"/>
      <c r="K519" s="135"/>
      <c r="L519" s="135"/>
      <c r="M519" s="135"/>
      <c r="N519" s="135"/>
    </row>
    <row r="520" spans="4:14" x14ac:dyDescent="0.25">
      <c r="D520"/>
      <c r="E520" s="8"/>
      <c r="G520" s="135"/>
      <c r="H520" s="136"/>
      <c r="I520" s="139"/>
      <c r="J520" s="135"/>
      <c r="K520" s="135"/>
      <c r="L520" s="135"/>
      <c r="M520" s="135"/>
      <c r="N520" s="135"/>
    </row>
    <row r="521" spans="4:14" x14ac:dyDescent="0.25">
      <c r="D521"/>
      <c r="E521" s="8"/>
      <c r="G521" s="135"/>
      <c r="H521" s="136"/>
      <c r="I521" s="139"/>
      <c r="J521" s="135"/>
      <c r="K521" s="135"/>
      <c r="L521" s="135"/>
      <c r="M521" s="135"/>
      <c r="N521" s="135"/>
    </row>
    <row r="522" spans="4:14" x14ac:dyDescent="0.25">
      <c r="D522"/>
      <c r="E522" s="8"/>
      <c r="G522" s="135"/>
      <c r="H522" s="136"/>
      <c r="I522" s="139"/>
      <c r="J522" s="135"/>
      <c r="K522" s="135"/>
      <c r="L522" s="135"/>
      <c r="M522" s="135"/>
      <c r="N522" s="135"/>
    </row>
    <row r="523" spans="4:14" x14ac:dyDescent="0.25">
      <c r="D523"/>
      <c r="E523" s="8"/>
      <c r="G523" s="135"/>
      <c r="H523" s="136"/>
      <c r="I523" s="139"/>
      <c r="J523" s="135"/>
      <c r="K523" s="135"/>
      <c r="L523" s="135"/>
      <c r="M523" s="135"/>
      <c r="N523" s="135"/>
    </row>
    <row r="524" spans="4:14" x14ac:dyDescent="0.25">
      <c r="D524"/>
      <c r="E524" s="8"/>
      <c r="G524" s="135"/>
      <c r="H524" s="136"/>
      <c r="I524" s="139"/>
      <c r="J524" s="135"/>
      <c r="K524" s="135"/>
      <c r="L524" s="135"/>
      <c r="M524" s="135"/>
      <c r="N524" s="135"/>
    </row>
    <row r="525" spans="4:14" x14ac:dyDescent="0.25">
      <c r="D525"/>
      <c r="E525" s="8"/>
      <c r="G525" s="135"/>
      <c r="H525" s="136"/>
      <c r="I525" s="139"/>
      <c r="J525" s="135"/>
      <c r="K525" s="135"/>
      <c r="L525" s="135"/>
      <c r="M525" s="135"/>
      <c r="N525" s="135"/>
    </row>
    <row r="526" spans="4:14" x14ac:dyDescent="0.25">
      <c r="D526"/>
      <c r="E526" s="8"/>
      <c r="G526" s="135"/>
      <c r="H526" s="136"/>
      <c r="I526" s="139"/>
      <c r="J526" s="135"/>
      <c r="K526" s="135"/>
      <c r="L526" s="135"/>
      <c r="M526" s="135"/>
      <c r="N526" s="135"/>
    </row>
    <row r="527" spans="4:14" x14ac:dyDescent="0.25">
      <c r="D527"/>
      <c r="E527" s="8"/>
      <c r="G527" s="135"/>
      <c r="H527" s="136"/>
      <c r="I527" s="139"/>
      <c r="J527" s="135"/>
      <c r="K527" s="135"/>
      <c r="L527" s="135"/>
      <c r="M527" s="135"/>
      <c r="N527" s="135"/>
    </row>
    <row r="528" spans="4:14" x14ac:dyDescent="0.25">
      <c r="D528"/>
      <c r="E528" s="8"/>
      <c r="G528" s="135"/>
      <c r="H528" s="136"/>
      <c r="I528" s="139"/>
      <c r="J528" s="135"/>
      <c r="K528" s="135"/>
      <c r="L528" s="135"/>
      <c r="M528" s="135"/>
      <c r="N528" s="135"/>
    </row>
    <row r="529" spans="4:14" x14ac:dyDescent="0.25">
      <c r="D529"/>
      <c r="E529" s="8"/>
      <c r="G529" s="135"/>
      <c r="H529" s="136"/>
      <c r="I529" s="139"/>
      <c r="J529" s="135"/>
      <c r="K529" s="135"/>
      <c r="L529" s="135"/>
      <c r="M529" s="135"/>
      <c r="N529" s="135"/>
    </row>
    <row r="530" spans="4:14" x14ac:dyDescent="0.25">
      <c r="D530"/>
      <c r="E530" s="8"/>
      <c r="G530" s="135"/>
      <c r="H530" s="136"/>
      <c r="I530" s="139"/>
      <c r="J530" s="135"/>
      <c r="K530" s="135"/>
      <c r="L530" s="135"/>
      <c r="M530" s="135"/>
      <c r="N530" s="135"/>
    </row>
    <row r="531" spans="4:14" x14ac:dyDescent="0.25">
      <c r="D531"/>
      <c r="E531" s="8"/>
      <c r="G531" s="135"/>
      <c r="H531" s="136"/>
      <c r="I531" s="139"/>
      <c r="J531" s="135"/>
      <c r="K531" s="135"/>
      <c r="L531" s="135"/>
      <c r="M531" s="135"/>
      <c r="N531" s="135"/>
    </row>
    <row r="532" spans="4:14" x14ac:dyDescent="0.25">
      <c r="D532"/>
      <c r="E532" s="8"/>
      <c r="G532" s="135"/>
      <c r="H532" s="136"/>
      <c r="I532" s="139"/>
      <c r="J532" s="135"/>
      <c r="K532" s="135"/>
      <c r="L532" s="135"/>
      <c r="M532" s="135"/>
      <c r="N532" s="135"/>
    </row>
    <row r="533" spans="4:14" x14ac:dyDescent="0.25">
      <c r="D533"/>
      <c r="E533" s="8"/>
      <c r="G533" s="135"/>
      <c r="H533" s="136"/>
      <c r="I533" s="139"/>
      <c r="J533" s="135"/>
      <c r="K533" s="135"/>
      <c r="L533" s="135"/>
      <c r="M533" s="135"/>
      <c r="N533" s="135"/>
    </row>
    <row r="534" spans="4:14" x14ac:dyDescent="0.25">
      <c r="D534"/>
      <c r="E534" s="8"/>
      <c r="G534" s="135"/>
      <c r="H534" s="136"/>
      <c r="I534" s="139"/>
      <c r="J534" s="135"/>
      <c r="K534" s="135"/>
      <c r="L534" s="135"/>
      <c r="M534" s="135"/>
      <c r="N534" s="135"/>
    </row>
    <row r="535" spans="4:14" x14ac:dyDescent="0.25">
      <c r="D535"/>
      <c r="E535" s="8"/>
      <c r="G535" s="135"/>
      <c r="H535" s="136"/>
      <c r="I535" s="139"/>
      <c r="J535" s="135"/>
      <c r="K535" s="135"/>
      <c r="L535" s="135"/>
      <c r="M535" s="135"/>
      <c r="N535" s="135"/>
    </row>
    <row r="536" spans="4:14" x14ac:dyDescent="0.25">
      <c r="D536"/>
      <c r="E536" s="8"/>
      <c r="G536" s="135"/>
      <c r="H536" s="136"/>
      <c r="I536" s="139"/>
      <c r="J536" s="135"/>
      <c r="K536" s="135"/>
      <c r="L536" s="135"/>
      <c r="M536" s="135"/>
      <c r="N536" s="135"/>
    </row>
    <row r="537" spans="4:14" x14ac:dyDescent="0.25">
      <c r="D537"/>
      <c r="E537" s="8"/>
      <c r="G537" s="135"/>
      <c r="H537" s="136"/>
      <c r="I537" s="139"/>
      <c r="J537" s="135"/>
      <c r="K537" s="135"/>
      <c r="L537" s="135"/>
      <c r="M537" s="135"/>
      <c r="N537" s="135"/>
    </row>
    <row r="538" spans="4:14" x14ac:dyDescent="0.25">
      <c r="D538"/>
      <c r="E538" s="8"/>
      <c r="G538" s="135"/>
      <c r="H538" s="136"/>
      <c r="I538" s="139"/>
      <c r="J538" s="135"/>
      <c r="K538" s="135"/>
      <c r="L538" s="135"/>
      <c r="M538" s="135"/>
      <c r="N538" s="135"/>
    </row>
    <row r="539" spans="4:14" x14ac:dyDescent="0.25">
      <c r="D539"/>
      <c r="E539" s="8"/>
      <c r="G539" s="135"/>
      <c r="H539" s="136"/>
      <c r="I539" s="139"/>
      <c r="J539" s="135"/>
      <c r="K539" s="135"/>
      <c r="L539" s="135"/>
      <c r="M539" s="135"/>
      <c r="N539" s="135"/>
    </row>
    <row r="540" spans="4:14" x14ac:dyDescent="0.25">
      <c r="D540"/>
      <c r="E540" s="8"/>
      <c r="G540" s="135"/>
      <c r="H540" s="136"/>
      <c r="I540" s="139"/>
      <c r="J540" s="135"/>
      <c r="K540" s="135"/>
      <c r="L540" s="135"/>
      <c r="M540" s="135"/>
      <c r="N540" s="135"/>
    </row>
    <row r="541" spans="4:14" x14ac:dyDescent="0.25">
      <c r="D541"/>
      <c r="E541" s="8"/>
      <c r="G541" s="135"/>
      <c r="H541" s="136"/>
      <c r="I541" s="139"/>
      <c r="J541" s="135"/>
      <c r="K541" s="135"/>
      <c r="L541" s="135"/>
      <c r="M541" s="135"/>
      <c r="N541" s="135"/>
    </row>
    <row r="542" spans="4:14" x14ac:dyDescent="0.25">
      <c r="D542"/>
      <c r="E542" s="8"/>
      <c r="G542" s="135"/>
      <c r="H542" s="136"/>
      <c r="I542" s="139"/>
      <c r="J542" s="135"/>
      <c r="K542" s="135"/>
      <c r="L542" s="135"/>
      <c r="M542" s="135"/>
      <c r="N542" s="135"/>
    </row>
    <row r="543" spans="4:14" x14ac:dyDescent="0.25">
      <c r="D543"/>
      <c r="E543" s="8"/>
      <c r="G543" s="135"/>
      <c r="H543" s="136"/>
      <c r="I543" s="139"/>
      <c r="J543" s="135"/>
      <c r="K543" s="135"/>
      <c r="L543" s="135"/>
      <c r="M543" s="135"/>
      <c r="N543" s="135"/>
    </row>
    <row r="544" spans="4:14" x14ac:dyDescent="0.25">
      <c r="D544"/>
      <c r="E544" s="8"/>
      <c r="G544" s="135"/>
      <c r="H544" s="136"/>
      <c r="I544" s="139"/>
      <c r="J544" s="135"/>
      <c r="K544" s="135"/>
      <c r="L544" s="135"/>
      <c r="M544" s="135"/>
      <c r="N544" s="135"/>
    </row>
    <row r="545" spans="4:14" x14ac:dyDescent="0.25">
      <c r="D545"/>
      <c r="E545" s="8"/>
      <c r="G545" s="135"/>
      <c r="H545" s="136"/>
      <c r="I545" s="139"/>
      <c r="J545" s="135"/>
      <c r="K545" s="135"/>
      <c r="L545" s="135"/>
      <c r="M545" s="135"/>
      <c r="N545" s="135"/>
    </row>
    <row r="546" spans="4:14" x14ac:dyDescent="0.25">
      <c r="D546"/>
      <c r="E546" s="8"/>
      <c r="G546" s="135"/>
      <c r="H546" s="136"/>
      <c r="I546" s="139"/>
      <c r="J546" s="135"/>
      <c r="K546" s="135"/>
      <c r="L546" s="135"/>
      <c r="M546" s="135"/>
      <c r="N546" s="135"/>
    </row>
    <row r="547" spans="4:14" x14ac:dyDescent="0.25">
      <c r="D547"/>
      <c r="E547" s="8"/>
      <c r="G547" s="135"/>
      <c r="H547" s="136"/>
      <c r="I547" s="139"/>
      <c r="J547" s="135"/>
      <c r="K547" s="135"/>
      <c r="L547" s="135"/>
      <c r="M547" s="135"/>
      <c r="N547" s="135"/>
    </row>
    <row r="548" spans="4:14" x14ac:dyDescent="0.25">
      <c r="D548"/>
      <c r="E548" s="8"/>
      <c r="G548" s="135"/>
      <c r="H548" s="136"/>
      <c r="I548" s="139"/>
      <c r="J548" s="135"/>
      <c r="K548" s="135"/>
      <c r="L548" s="135"/>
      <c r="M548" s="135"/>
      <c r="N548" s="135"/>
    </row>
    <row r="549" spans="4:14" x14ac:dyDescent="0.25">
      <c r="D549"/>
      <c r="E549" s="8"/>
      <c r="G549" s="135"/>
      <c r="H549" s="136"/>
      <c r="I549" s="139"/>
      <c r="J549" s="135"/>
      <c r="K549" s="135"/>
      <c r="L549" s="135"/>
      <c r="M549" s="135"/>
      <c r="N549" s="135"/>
    </row>
    <row r="550" spans="4:14" x14ac:dyDescent="0.25">
      <c r="D550"/>
      <c r="E550" s="8"/>
      <c r="G550" s="135"/>
      <c r="H550" s="136"/>
      <c r="I550" s="139"/>
      <c r="J550" s="135"/>
      <c r="K550" s="135"/>
      <c r="L550" s="135"/>
      <c r="M550" s="135"/>
      <c r="N550" s="135"/>
    </row>
    <row r="551" spans="4:14" x14ac:dyDescent="0.25">
      <c r="D551"/>
      <c r="E551" s="8"/>
      <c r="G551" s="135"/>
      <c r="H551" s="136"/>
      <c r="I551" s="139"/>
      <c r="J551" s="135"/>
      <c r="K551" s="135"/>
      <c r="L551" s="135"/>
      <c r="M551" s="135"/>
      <c r="N551" s="135"/>
    </row>
    <row r="552" spans="4:14" x14ac:dyDescent="0.25">
      <c r="D552"/>
      <c r="E552" s="8"/>
      <c r="G552" s="135"/>
      <c r="H552" s="136"/>
      <c r="I552" s="139"/>
      <c r="J552" s="135"/>
      <c r="K552" s="135"/>
      <c r="L552" s="135"/>
      <c r="M552" s="135"/>
      <c r="N552" s="135"/>
    </row>
    <row r="553" spans="4:14" x14ac:dyDescent="0.25">
      <c r="D553"/>
      <c r="E553" s="8"/>
      <c r="G553" s="135"/>
      <c r="H553" s="136"/>
      <c r="I553" s="139"/>
      <c r="J553" s="135"/>
      <c r="K553" s="135"/>
      <c r="L553" s="135"/>
      <c r="M553" s="135"/>
      <c r="N553" s="135"/>
    </row>
    <row r="554" spans="4:14" x14ac:dyDescent="0.25">
      <c r="D554"/>
      <c r="E554" s="8"/>
      <c r="G554" s="135"/>
      <c r="H554" s="136"/>
      <c r="I554" s="139"/>
      <c r="J554" s="135"/>
      <c r="K554" s="135"/>
      <c r="L554" s="135"/>
      <c r="M554" s="135"/>
      <c r="N554" s="135"/>
    </row>
    <row r="555" spans="4:14" x14ac:dyDescent="0.25">
      <c r="D555"/>
      <c r="E555" s="8"/>
      <c r="G555" s="135"/>
      <c r="H555" s="136"/>
      <c r="I555" s="139"/>
      <c r="J555" s="135"/>
      <c r="K555" s="135"/>
      <c r="L555" s="135"/>
      <c r="M555" s="135"/>
      <c r="N555" s="135"/>
    </row>
    <row r="556" spans="4:14" x14ac:dyDescent="0.25">
      <c r="D556"/>
      <c r="E556" s="8"/>
      <c r="G556" s="135"/>
      <c r="H556" s="136"/>
      <c r="I556" s="139"/>
      <c r="J556" s="135"/>
      <c r="K556" s="135"/>
      <c r="L556" s="135"/>
      <c r="M556" s="135"/>
      <c r="N556" s="135"/>
    </row>
    <row r="557" spans="4:14" x14ac:dyDescent="0.25">
      <c r="D557"/>
      <c r="E557" s="8"/>
      <c r="G557" s="135"/>
      <c r="H557" s="136"/>
      <c r="I557" s="139"/>
      <c r="J557" s="135"/>
      <c r="K557" s="135"/>
      <c r="L557" s="135"/>
      <c r="M557" s="135"/>
      <c r="N557" s="135"/>
    </row>
    <row r="558" spans="4:14" x14ac:dyDescent="0.25">
      <c r="D558"/>
      <c r="E558" s="8"/>
      <c r="G558" s="135"/>
      <c r="H558" s="136"/>
      <c r="I558" s="139"/>
      <c r="J558" s="135"/>
      <c r="K558" s="135"/>
      <c r="L558" s="135"/>
      <c r="M558" s="135"/>
      <c r="N558" s="135"/>
    </row>
    <row r="559" spans="4:14" x14ac:dyDescent="0.25">
      <c r="D559"/>
      <c r="E559" s="8"/>
      <c r="G559" s="135"/>
      <c r="H559" s="136"/>
      <c r="I559" s="139"/>
      <c r="J559" s="135"/>
      <c r="K559" s="135"/>
      <c r="L559" s="135"/>
      <c r="M559" s="135"/>
      <c r="N559" s="135"/>
    </row>
    <row r="560" spans="4:14" x14ac:dyDescent="0.25">
      <c r="D560"/>
      <c r="N560" s="135"/>
    </row>
    <row r="561" spans="4:14" x14ac:dyDescent="0.25">
      <c r="D561"/>
      <c r="N561" s="135"/>
    </row>
    <row r="562" spans="4:14" x14ac:dyDescent="0.25">
      <c r="D562"/>
      <c r="N562" s="135"/>
    </row>
    <row r="563" spans="4:14" x14ac:dyDescent="0.25">
      <c r="D563"/>
      <c r="N563" s="135"/>
    </row>
    <row r="564" spans="4:14" x14ac:dyDescent="0.25">
      <c r="D564"/>
      <c r="N564" s="135"/>
    </row>
    <row r="565" spans="4:14" x14ac:dyDescent="0.25">
      <c r="D565"/>
      <c r="N565" s="135"/>
    </row>
    <row r="566" spans="4:14" x14ac:dyDescent="0.25">
      <c r="D566"/>
      <c r="N566" s="135"/>
    </row>
    <row r="567" spans="4:14" x14ac:dyDescent="0.25">
      <c r="D567"/>
    </row>
    <row r="568" spans="4:14" x14ac:dyDescent="0.25">
      <c r="D568"/>
    </row>
    <row r="569" spans="4:14" x14ac:dyDescent="0.25">
      <c r="D569"/>
    </row>
    <row r="570" spans="4:14" x14ac:dyDescent="0.25">
      <c r="D570"/>
    </row>
    <row r="571" spans="4:14" x14ac:dyDescent="0.25">
      <c r="D571"/>
    </row>
    <row r="572" spans="4:14" x14ac:dyDescent="0.25">
      <c r="D572"/>
    </row>
    <row r="573" spans="4:14" x14ac:dyDescent="0.25">
      <c r="D573"/>
    </row>
    <row r="574" spans="4:14" x14ac:dyDescent="0.25">
      <c r="D574"/>
    </row>
    <row r="575" spans="4:14" x14ac:dyDescent="0.25">
      <c r="D575"/>
    </row>
    <row r="576" spans="4:14" x14ac:dyDescent="0.25">
      <c r="D576"/>
    </row>
    <row r="577" spans="4:4" x14ac:dyDescent="0.25">
      <c r="D577"/>
    </row>
    <row r="578" spans="4:4" x14ac:dyDescent="0.25">
      <c r="D578"/>
    </row>
    <row r="586" spans="4:4" x14ac:dyDescent="0.25">
      <c r="D586"/>
    </row>
    <row r="587" spans="4:4" x14ac:dyDescent="0.25">
      <c r="D587"/>
    </row>
    <row r="588" spans="4:4" x14ac:dyDescent="0.25">
      <c r="D588"/>
    </row>
    <row r="589" spans="4:4" x14ac:dyDescent="0.25">
      <c r="D589"/>
    </row>
    <row r="590" spans="4:4" x14ac:dyDescent="0.25">
      <c r="D590"/>
    </row>
    <row r="591" spans="4:4" x14ac:dyDescent="0.25">
      <c r="D591"/>
    </row>
    <row r="592" spans="4:4" x14ac:dyDescent="0.25">
      <c r="D592"/>
    </row>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sheetData>
  <sheetProtection sheet="1" objects="1" scenarios="1" formatCells="0" selectLockedCells="1"/>
  <phoneticPr fontId="2" type="noConversion"/>
  <conditionalFormatting sqref="D21 J21 D98 D425:D426">
    <cfRule type="cellIs" priority="3" stopIfTrue="1" operator="between">
      <formula>14.5</formula>
      <formula>20</formula>
    </cfRule>
  </conditionalFormatting>
  <hyperlinks>
    <hyperlink ref="B18" r:id="rId1" xr:uid="{00000000-0004-0000-0900-000000000000}"/>
    <hyperlink ref="I16" r:id="rId2" display="http://en.wikipedia.org/wiki/Involute_gear" xr:uid="{00000000-0004-0000-0900-000001000000}"/>
    <hyperlink ref="B4" r:id="rId3" xr:uid="{00000000-0004-0000-0900-000002000000}"/>
  </hyperlinks>
  <printOptions gridLines="1"/>
  <pageMargins left="0.75" right="0.75" top="1" bottom="1" header="0.5" footer="0.5"/>
  <pageSetup orientation="portrait" horizontalDpi="4294967295" r:id="rId4"/>
  <headerFooter alignWithMargins="0"/>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919"/>
  <sheetViews>
    <sheetView zoomScaleNormal="100" workbookViewId="0">
      <selection activeCell="G5" sqref="G5"/>
    </sheetView>
  </sheetViews>
  <sheetFormatPr defaultRowHeight="12.5" x14ac:dyDescent="0.25"/>
  <cols>
    <col min="1" max="1" width="2.26953125" customWidth="1"/>
    <col min="2" max="2" width="36.26953125" customWidth="1"/>
    <col min="3" max="3" width="18.26953125" customWidth="1"/>
    <col min="4" max="4" width="11" style="8" customWidth="1"/>
    <col min="5" max="5" width="10.26953125" customWidth="1"/>
    <col min="6" max="6" width="10.81640625" customWidth="1"/>
    <col min="7" max="7" width="2.1796875" customWidth="1"/>
    <col min="8" max="8" width="42.54296875" customWidth="1"/>
    <col min="9" max="9" width="17.1796875" customWidth="1"/>
    <col min="11" max="11" width="21.54296875" customWidth="1"/>
  </cols>
  <sheetData>
    <row r="1" spans="2:15" ht="15.5" x14ac:dyDescent="0.35">
      <c r="B1" s="144" t="s">
        <v>1170</v>
      </c>
      <c r="D1" s="10"/>
      <c r="E1" s="28"/>
      <c r="F1" s="4" t="s">
        <v>201</v>
      </c>
      <c r="G1" s="135"/>
      <c r="H1" s="135"/>
      <c r="I1" s="135"/>
      <c r="J1" s="135"/>
      <c r="K1" s="135"/>
      <c r="L1" s="135"/>
      <c r="M1" s="135"/>
      <c r="N1" s="135"/>
      <c r="O1" s="135"/>
    </row>
    <row r="2" spans="2:15" x14ac:dyDescent="0.25">
      <c r="B2" s="66" t="s">
        <v>801</v>
      </c>
      <c r="G2" s="135"/>
      <c r="H2" s="135"/>
      <c r="I2" s="135"/>
      <c r="J2" s="135"/>
      <c r="K2" s="135"/>
      <c r="L2" s="135"/>
      <c r="M2" s="135"/>
      <c r="N2" s="135"/>
      <c r="O2" s="135"/>
    </row>
    <row r="3" spans="2:15" x14ac:dyDescent="0.25">
      <c r="G3" s="135"/>
      <c r="O3" s="135"/>
    </row>
    <row r="4" spans="2:15" ht="15.5" x14ac:dyDescent="0.35">
      <c r="B4" s="82" t="s">
        <v>917</v>
      </c>
      <c r="C4" s="3"/>
      <c r="G4" s="135"/>
      <c r="O4" s="135"/>
    </row>
    <row r="5" spans="2:15" ht="13" x14ac:dyDescent="0.3">
      <c r="B5" s="10"/>
      <c r="C5" s="3"/>
      <c r="G5" s="135"/>
      <c r="O5" s="135"/>
    </row>
    <row r="6" spans="2:15" ht="15.5" x14ac:dyDescent="0.35">
      <c r="B6" s="12" t="s">
        <v>458</v>
      </c>
      <c r="D6" s="68"/>
      <c r="G6" s="135"/>
      <c r="O6" s="135"/>
    </row>
    <row r="7" spans="2:15" ht="13" x14ac:dyDescent="0.3">
      <c r="B7" s="10" t="s">
        <v>455</v>
      </c>
      <c r="C7" s="2"/>
      <c r="D7" s="10"/>
      <c r="E7" s="2"/>
      <c r="F7" s="79"/>
      <c r="G7" s="135"/>
      <c r="O7" s="135"/>
    </row>
    <row r="8" spans="2:15" ht="13" x14ac:dyDescent="0.3">
      <c r="B8" t="s">
        <v>456</v>
      </c>
      <c r="C8" s="74"/>
      <c r="D8" s="10"/>
      <c r="E8" s="43"/>
      <c r="F8" s="10"/>
      <c r="G8" s="135"/>
      <c r="O8" s="135"/>
    </row>
    <row r="9" spans="2:15" ht="13" x14ac:dyDescent="0.3">
      <c r="B9" s="10" t="s">
        <v>457</v>
      </c>
      <c r="G9" s="135"/>
      <c r="O9" s="135"/>
    </row>
    <row r="10" spans="2:15" ht="13" x14ac:dyDescent="0.3">
      <c r="B10" s="128"/>
      <c r="C10" s="2"/>
      <c r="D10" s="10"/>
      <c r="E10" s="2"/>
      <c r="F10" s="10"/>
      <c r="G10" s="135"/>
      <c r="O10" s="135"/>
    </row>
    <row r="11" spans="2:15" ht="13" x14ac:dyDescent="0.3">
      <c r="B11" s="128"/>
      <c r="C11" s="2"/>
      <c r="D11" s="10"/>
      <c r="E11" s="2"/>
      <c r="F11" s="16"/>
      <c r="G11" s="135"/>
      <c r="O11" s="135"/>
    </row>
    <row r="12" spans="2:15" ht="13" x14ac:dyDescent="0.3">
      <c r="C12" s="74"/>
      <c r="D12" s="10"/>
      <c r="E12" s="43"/>
      <c r="F12" s="10"/>
      <c r="G12" s="135"/>
      <c r="O12" s="135"/>
    </row>
    <row r="13" spans="2:15" x14ac:dyDescent="0.25">
      <c r="G13" s="135"/>
      <c r="O13" s="135"/>
    </row>
    <row r="14" spans="2:15" x14ac:dyDescent="0.25">
      <c r="G14" s="135"/>
      <c r="O14" s="135"/>
    </row>
    <row r="15" spans="2:15" x14ac:dyDescent="0.25">
      <c r="G15" s="135"/>
      <c r="O15" s="135"/>
    </row>
    <row r="16" spans="2:15" x14ac:dyDescent="0.25">
      <c r="G16" s="135"/>
      <c r="O16" s="135"/>
    </row>
    <row r="17" spans="2:11" ht="15.5" x14ac:dyDescent="0.35">
      <c r="B17" s="68" t="s">
        <v>169</v>
      </c>
    </row>
    <row r="21" spans="2:11" x14ac:dyDescent="0.25">
      <c r="B21" s="8"/>
      <c r="C21" s="3"/>
      <c r="G21" s="135"/>
      <c r="H21" s="135"/>
    </row>
    <row r="22" spans="2:11" x14ac:dyDescent="0.25">
      <c r="B22" s="8"/>
      <c r="C22" s="3"/>
      <c r="G22" s="135"/>
      <c r="H22" s="135"/>
    </row>
    <row r="23" spans="2:11" x14ac:dyDescent="0.25">
      <c r="B23" s="8"/>
      <c r="C23" s="3"/>
      <c r="G23" s="135"/>
      <c r="H23" s="135"/>
    </row>
    <row r="24" spans="2:11" x14ac:dyDescent="0.25">
      <c r="B24" s="8"/>
      <c r="C24" s="3"/>
      <c r="G24" s="135"/>
      <c r="H24" s="135"/>
    </row>
    <row r="25" spans="2:11" x14ac:dyDescent="0.25">
      <c r="B25" s="1"/>
      <c r="C25" s="3"/>
      <c r="G25" s="135"/>
      <c r="H25" s="135"/>
    </row>
    <row r="26" spans="2:11" x14ac:dyDescent="0.25">
      <c r="B26" s="8"/>
      <c r="C26" s="3"/>
      <c r="G26" s="135"/>
      <c r="H26" s="135"/>
    </row>
    <row r="27" spans="2:11" x14ac:dyDescent="0.25">
      <c r="B27" s="1"/>
      <c r="C27" s="3"/>
      <c r="G27" s="135"/>
      <c r="H27" s="135"/>
    </row>
    <row r="28" spans="2:11" x14ac:dyDescent="0.25">
      <c r="B28" s="1"/>
      <c r="C28" s="3"/>
      <c r="G28" s="135"/>
      <c r="H28" s="135"/>
    </row>
    <row r="29" spans="2:11" x14ac:dyDescent="0.25">
      <c r="B29" s="1"/>
      <c r="C29" s="3"/>
      <c r="G29" s="135"/>
      <c r="H29" s="135"/>
    </row>
    <row r="30" spans="2:11" x14ac:dyDescent="0.25">
      <c r="B30" s="1"/>
      <c r="C30" s="3"/>
      <c r="G30" s="135"/>
      <c r="H30" s="135"/>
    </row>
    <row r="32" spans="2:11" x14ac:dyDescent="0.25">
      <c r="H32" s="135"/>
      <c r="I32" s="135"/>
      <c r="J32" s="135"/>
      <c r="K32" s="135"/>
    </row>
    <row r="33" spans="2:12" ht="16" thickBot="1" x14ac:dyDescent="0.4">
      <c r="B33" s="68" t="s">
        <v>828</v>
      </c>
      <c r="G33" s="135"/>
      <c r="H33" s="68" t="s">
        <v>827</v>
      </c>
      <c r="I33" s="29" t="s">
        <v>486</v>
      </c>
      <c r="J33" s="8"/>
    </row>
    <row r="34" spans="2:12" ht="13.5" thickBot="1" x14ac:dyDescent="0.35">
      <c r="C34" s="29" t="s">
        <v>486</v>
      </c>
      <c r="G34" s="135"/>
      <c r="H34" s="1" t="s">
        <v>215</v>
      </c>
      <c r="I34" s="20">
        <v>5</v>
      </c>
      <c r="J34" s="8" t="s">
        <v>218</v>
      </c>
    </row>
    <row r="35" spans="2:12" x14ac:dyDescent="0.25">
      <c r="B35" s="1" t="s">
        <v>215</v>
      </c>
      <c r="C35" s="59">
        <v>5</v>
      </c>
      <c r="D35" s="8" t="s">
        <v>218</v>
      </c>
      <c r="F35" s="64"/>
      <c r="G35" s="135"/>
      <c r="H35" s="1" t="s">
        <v>216</v>
      </c>
      <c r="I35" s="60">
        <v>1750</v>
      </c>
      <c r="J35" s="8" t="s">
        <v>217</v>
      </c>
    </row>
    <row r="36" spans="2:12" x14ac:dyDescent="0.25">
      <c r="B36" s="1" t="s">
        <v>216</v>
      </c>
      <c r="C36" s="32">
        <v>1750</v>
      </c>
      <c r="D36" s="8" t="s">
        <v>217</v>
      </c>
      <c r="F36" s="63"/>
      <c r="G36" s="135"/>
      <c r="H36" s="1" t="s">
        <v>667</v>
      </c>
      <c r="I36" s="60">
        <v>3</v>
      </c>
      <c r="J36" s="8"/>
    </row>
    <row r="37" spans="2:12" x14ac:dyDescent="0.25">
      <c r="B37" s="1" t="s">
        <v>667</v>
      </c>
      <c r="C37" s="32">
        <v>3</v>
      </c>
      <c r="D37" s="12" t="s">
        <v>406</v>
      </c>
      <c r="F37" s="63"/>
      <c r="H37" s="1" t="s">
        <v>268</v>
      </c>
      <c r="I37" s="61">
        <v>0.5</v>
      </c>
      <c r="J37" s="8" t="s">
        <v>204</v>
      </c>
    </row>
    <row r="38" spans="2:12" x14ac:dyDescent="0.25">
      <c r="B38" s="1" t="s">
        <v>268</v>
      </c>
      <c r="C38" s="33">
        <v>0.61199554076206553</v>
      </c>
      <c r="D38" s="8" t="s">
        <v>204</v>
      </c>
      <c r="F38" s="126"/>
      <c r="H38" s="1" t="s">
        <v>207</v>
      </c>
      <c r="I38" s="60">
        <v>10</v>
      </c>
      <c r="J38" s="8" t="s">
        <v>209</v>
      </c>
    </row>
    <row r="39" spans="2:12" ht="13" thickBot="1" x14ac:dyDescent="0.3">
      <c r="B39" s="1" t="s">
        <v>207</v>
      </c>
      <c r="C39" s="32">
        <v>10</v>
      </c>
      <c r="D39" s="8" t="s">
        <v>209</v>
      </c>
      <c r="F39" s="63"/>
      <c r="H39" s="1" t="s">
        <v>208</v>
      </c>
      <c r="I39" s="62">
        <v>11500000</v>
      </c>
      <c r="J39" s="8" t="s">
        <v>210</v>
      </c>
    </row>
    <row r="40" spans="2:12" ht="13.5" thickBot="1" x14ac:dyDescent="0.35">
      <c r="B40" s="1" t="s">
        <v>208</v>
      </c>
      <c r="C40" s="34">
        <v>11500000</v>
      </c>
      <c r="D40" s="8" t="s">
        <v>210</v>
      </c>
      <c r="F40" s="63"/>
      <c r="H40" s="1"/>
      <c r="I40" s="29" t="s">
        <v>139</v>
      </c>
      <c r="J40" s="8"/>
    </row>
    <row r="41" spans="2:12" ht="13" x14ac:dyDescent="0.3">
      <c r="B41" s="1"/>
      <c r="C41" s="29" t="s">
        <v>139</v>
      </c>
      <c r="H41" s="2" t="s">
        <v>119</v>
      </c>
      <c r="I41" s="4" t="s">
        <v>304</v>
      </c>
      <c r="J41" s="8"/>
    </row>
    <row r="42" spans="2:12" ht="13" x14ac:dyDescent="0.3">
      <c r="B42" s="2" t="s">
        <v>119</v>
      </c>
      <c r="C42" s="4" t="s">
        <v>304</v>
      </c>
      <c r="H42" s="43" t="s">
        <v>489</v>
      </c>
      <c r="I42" s="6">
        <f>(12*33000*I34)/(2*3.142*I35)</f>
        <v>180.04910430117306</v>
      </c>
      <c r="J42" s="10" t="s">
        <v>232</v>
      </c>
    </row>
    <row r="43" spans="2:12" ht="13" x14ac:dyDescent="0.3">
      <c r="B43" s="43" t="s">
        <v>489</v>
      </c>
      <c r="C43" s="6">
        <f>(12*33000*C35)/(2*3.142*C36)</f>
        <v>180.04910430117306</v>
      </c>
      <c r="D43" s="10" t="s">
        <v>205</v>
      </c>
      <c r="H43" s="2" t="s">
        <v>220</v>
      </c>
      <c r="I43" s="4" t="s">
        <v>299</v>
      </c>
      <c r="J43" s="8"/>
    </row>
    <row r="44" spans="2:12" ht="13" x14ac:dyDescent="0.3">
      <c r="B44" s="2" t="s">
        <v>220</v>
      </c>
      <c r="C44" s="4" t="s">
        <v>299</v>
      </c>
      <c r="H44" s="43" t="s">
        <v>222</v>
      </c>
      <c r="I44" s="9">
        <f>(3.142*I37^4)/32</f>
        <v>6.1367187499999998E-3</v>
      </c>
      <c r="J44" s="10" t="s">
        <v>203</v>
      </c>
    </row>
    <row r="45" spans="2:12" ht="13" x14ac:dyDescent="0.3">
      <c r="B45" s="43" t="s">
        <v>222</v>
      </c>
      <c r="C45" s="9">
        <f>(3.142*C38^4)/32</f>
        <v>1.3773656033932888E-2</v>
      </c>
      <c r="D45" s="10" t="s">
        <v>203</v>
      </c>
      <c r="H45" s="2" t="s">
        <v>251</v>
      </c>
      <c r="I45" s="4" t="s">
        <v>253</v>
      </c>
      <c r="J45" s="8"/>
    </row>
    <row r="46" spans="2:12" ht="13" x14ac:dyDescent="0.3">
      <c r="B46" s="2" t="s">
        <v>251</v>
      </c>
      <c r="C46" s="4" t="s">
        <v>253</v>
      </c>
      <c r="H46" s="43" t="s">
        <v>101</v>
      </c>
      <c r="I46" s="5">
        <f>I36*I42</f>
        <v>540.14731290351915</v>
      </c>
      <c r="J46" s="10" t="s">
        <v>205</v>
      </c>
    </row>
    <row r="47" spans="2:12" ht="13.5" thickBot="1" x14ac:dyDescent="0.35">
      <c r="B47" s="43" t="s">
        <v>101</v>
      </c>
      <c r="C47" s="5">
        <f>C37*C43</f>
        <v>540.14731290351915</v>
      </c>
      <c r="D47" s="10" t="s">
        <v>205</v>
      </c>
      <c r="H47" s="2" t="s">
        <v>172</v>
      </c>
      <c r="I47" s="4" t="s">
        <v>617</v>
      </c>
      <c r="J47" s="8" t="s">
        <v>201</v>
      </c>
    </row>
    <row r="48" spans="2:12" ht="13.5" thickBot="1" x14ac:dyDescent="0.35">
      <c r="B48" s="2" t="s">
        <v>172</v>
      </c>
      <c r="C48" s="4" t="s">
        <v>617</v>
      </c>
      <c r="D48" s="8" t="s">
        <v>201</v>
      </c>
      <c r="H48" s="43" t="s">
        <v>489</v>
      </c>
      <c r="I48" s="222">
        <f>I46*I37/(2*I44)</f>
        <v>22004.728215038336</v>
      </c>
      <c r="J48" s="10" t="s">
        <v>202</v>
      </c>
      <c r="K48" t="s">
        <v>201</v>
      </c>
      <c r="L48" t="s">
        <v>201</v>
      </c>
    </row>
    <row r="49" spans="2:10" ht="13.5" thickBot="1" x14ac:dyDescent="0.35">
      <c r="B49" s="43" t="s">
        <v>489</v>
      </c>
      <c r="C49" s="223">
        <f>C47*C38/(2*C45)</f>
        <v>12000.000073951915</v>
      </c>
      <c r="D49" s="10" t="s">
        <v>275</v>
      </c>
      <c r="H49" s="2" t="s">
        <v>120</v>
      </c>
      <c r="I49" s="4" t="s">
        <v>252</v>
      </c>
      <c r="J49" s="8" t="s">
        <v>201</v>
      </c>
    </row>
    <row r="50" spans="2:10" ht="13.5" thickBot="1" x14ac:dyDescent="0.35">
      <c r="B50" s="2" t="s">
        <v>120</v>
      </c>
      <c r="C50" s="4" t="s">
        <v>252</v>
      </c>
      <c r="D50" s="8" t="s">
        <v>201</v>
      </c>
      <c r="H50" s="43" t="s">
        <v>111</v>
      </c>
      <c r="I50" s="157">
        <f>(I46*I38)/(I44*I39)</f>
        <v>7.6538185095785527E-2</v>
      </c>
      <c r="J50" s="10" t="s">
        <v>211</v>
      </c>
    </row>
    <row r="51" spans="2:10" ht="13.5" thickBot="1" x14ac:dyDescent="0.35">
      <c r="B51" s="43" t="s">
        <v>111</v>
      </c>
      <c r="C51" s="224">
        <f>(C47*C39)/(C45*C40)</f>
        <v>3.4100845440828302E-2</v>
      </c>
      <c r="D51" s="10" t="s">
        <v>211</v>
      </c>
      <c r="H51" s="43" t="s">
        <v>111</v>
      </c>
      <c r="I51" s="158">
        <f>I50*57.2975</f>
        <v>4.3854466605257709</v>
      </c>
      <c r="J51" s="10" t="s">
        <v>214</v>
      </c>
    </row>
    <row r="52" spans="2:10" ht="13.5" thickBot="1" x14ac:dyDescent="0.35">
      <c r="B52" s="43" t="s">
        <v>111</v>
      </c>
      <c r="C52" s="225">
        <f>C51*57.2975</f>
        <v>1.9538931916458597</v>
      </c>
      <c r="D52" s="10" t="s">
        <v>214</v>
      </c>
      <c r="H52" s="2"/>
      <c r="I52" s="42"/>
      <c r="J52" s="10"/>
    </row>
    <row r="53" spans="2:10" ht="13" x14ac:dyDescent="0.3">
      <c r="F53" s="4"/>
      <c r="H53" s="135"/>
      <c r="I53" s="135"/>
      <c r="J53" s="135"/>
    </row>
    <row r="54" spans="2:10" x14ac:dyDescent="0.25">
      <c r="B54" s="123"/>
      <c r="C54" s="124"/>
      <c r="D54" s="125"/>
      <c r="E54" s="120"/>
      <c r="F54" s="120"/>
      <c r="H54" s="227"/>
      <c r="I54" s="228"/>
      <c r="J54" s="229"/>
    </row>
    <row r="55" spans="2:10" x14ac:dyDescent="0.25">
      <c r="H55" s="135"/>
      <c r="I55" s="135"/>
      <c r="J55" s="135"/>
    </row>
    <row r="56" spans="2:10" ht="15.5" x14ac:dyDescent="0.35">
      <c r="B56" s="68" t="s">
        <v>828</v>
      </c>
      <c r="C56" s="3"/>
      <c r="H56" s="135"/>
      <c r="I56" s="135"/>
      <c r="J56" s="135"/>
    </row>
    <row r="57" spans="2:10" ht="15.5" x14ac:dyDescent="0.35">
      <c r="B57" s="68" t="s">
        <v>832</v>
      </c>
      <c r="C57" s="3"/>
      <c r="F57" s="4" t="s">
        <v>201</v>
      </c>
      <c r="H57" s="135"/>
      <c r="I57" s="135"/>
      <c r="J57" s="135"/>
    </row>
    <row r="58" spans="2:10" x14ac:dyDescent="0.25">
      <c r="H58" s="135"/>
      <c r="I58" s="135"/>
      <c r="J58" s="135"/>
    </row>
    <row r="59" spans="2:10" ht="13" x14ac:dyDescent="0.3">
      <c r="B59" s="8" t="s">
        <v>170</v>
      </c>
      <c r="C59" s="3"/>
    </row>
    <row r="60" spans="2:10" ht="13" x14ac:dyDescent="0.3">
      <c r="B60" s="8" t="s">
        <v>178</v>
      </c>
      <c r="C60" s="3"/>
    </row>
    <row r="61" spans="2:10" ht="13" x14ac:dyDescent="0.3">
      <c r="B61" s="10" t="s">
        <v>171</v>
      </c>
      <c r="C61" s="3"/>
    </row>
    <row r="62" spans="2:10" ht="13" x14ac:dyDescent="0.3">
      <c r="B62" s="2" t="s">
        <v>269</v>
      </c>
      <c r="C62" s="12" t="s">
        <v>829</v>
      </c>
    </row>
    <row r="63" spans="2:10" ht="13" x14ac:dyDescent="0.3">
      <c r="B63" s="2"/>
      <c r="C63" s="3"/>
    </row>
    <row r="64" spans="2:10" ht="13" x14ac:dyDescent="0.3">
      <c r="B64" s="2" t="s">
        <v>270</v>
      </c>
      <c r="C64" s="12" t="s">
        <v>830</v>
      </c>
    </row>
    <row r="65" spans="2:10" ht="13" x14ac:dyDescent="0.3">
      <c r="B65" s="2"/>
      <c r="C65" s="3"/>
    </row>
    <row r="66" spans="2:10" ht="13" x14ac:dyDescent="0.3">
      <c r="B66" s="2" t="s">
        <v>271</v>
      </c>
      <c r="C66" s="8" t="s">
        <v>173</v>
      </c>
    </row>
    <row r="67" spans="2:10" ht="13" x14ac:dyDescent="0.3">
      <c r="B67" s="2"/>
      <c r="C67" s="3"/>
    </row>
    <row r="68" spans="2:10" ht="13" x14ac:dyDescent="0.3">
      <c r="B68" s="2" t="s">
        <v>272</v>
      </c>
      <c r="C68" s="8" t="s">
        <v>174</v>
      </c>
    </row>
    <row r="69" spans="2:10" ht="13" x14ac:dyDescent="0.3">
      <c r="B69" s="2"/>
      <c r="C69" s="12" t="s">
        <v>831</v>
      </c>
    </row>
    <row r="70" spans="2:10" ht="13" x14ac:dyDescent="0.3">
      <c r="B70" s="2"/>
      <c r="C70" s="3"/>
      <c r="H70" s="135"/>
      <c r="I70" s="135"/>
      <c r="J70" s="135"/>
    </row>
    <row r="71" spans="2:10" ht="13" x14ac:dyDescent="0.3">
      <c r="B71" s="2" t="s">
        <v>273</v>
      </c>
      <c r="C71" s="8" t="s">
        <v>175</v>
      </c>
      <c r="H71" s="135"/>
      <c r="I71" s="135"/>
      <c r="J71" s="135"/>
    </row>
    <row r="72" spans="2:10" ht="13" x14ac:dyDescent="0.3">
      <c r="B72" s="2"/>
      <c r="C72" s="3"/>
      <c r="H72" s="135"/>
      <c r="I72" s="135"/>
      <c r="J72" s="135"/>
    </row>
    <row r="73" spans="2:10" ht="13" x14ac:dyDescent="0.3">
      <c r="B73" s="2" t="s">
        <v>274</v>
      </c>
      <c r="C73" s="8" t="s">
        <v>176</v>
      </c>
      <c r="H73" s="135"/>
      <c r="I73" s="135"/>
      <c r="J73" s="135"/>
    </row>
    <row r="74" spans="2:10" ht="13" x14ac:dyDescent="0.3">
      <c r="B74" s="1"/>
      <c r="C74" s="8" t="s">
        <v>177</v>
      </c>
      <c r="H74" s="135"/>
      <c r="I74" s="135"/>
      <c r="J74" s="135"/>
    </row>
    <row r="75" spans="2:10" ht="13" x14ac:dyDescent="0.3">
      <c r="B75" s="1"/>
      <c r="C75" s="12" t="s">
        <v>833</v>
      </c>
      <c r="H75" s="135"/>
      <c r="I75" s="135"/>
      <c r="J75" s="135"/>
    </row>
    <row r="76" spans="2:10" ht="13" x14ac:dyDescent="0.3">
      <c r="B76" s="1"/>
      <c r="C76" s="10" t="s">
        <v>834</v>
      </c>
      <c r="H76" s="135"/>
      <c r="I76" s="135"/>
      <c r="J76" s="135"/>
    </row>
    <row r="77" spans="2:10" x14ac:dyDescent="0.25">
      <c r="B77" s="1"/>
      <c r="C77" s="3"/>
      <c r="H77" s="135"/>
      <c r="I77" s="135"/>
      <c r="J77" s="135"/>
    </row>
    <row r="78" spans="2:10" x14ac:dyDescent="0.25">
      <c r="B78" s="123"/>
      <c r="C78" s="124"/>
      <c r="D78" s="125"/>
      <c r="E78" s="120"/>
      <c r="F78" s="120"/>
      <c r="H78" s="135"/>
      <c r="I78" s="135"/>
      <c r="J78" s="135"/>
    </row>
    <row r="79" spans="2:10" ht="15.5" x14ac:dyDescent="0.35">
      <c r="B79" s="68"/>
      <c r="C79" s="29"/>
      <c r="H79" s="135"/>
      <c r="I79" s="135"/>
      <c r="J79" s="135"/>
    </row>
    <row r="80" spans="2:10" ht="15.5" x14ac:dyDescent="0.35">
      <c r="B80" s="68" t="s">
        <v>697</v>
      </c>
      <c r="C80" s="63"/>
      <c r="H80" s="135"/>
      <c r="I80" s="135"/>
      <c r="J80" s="135"/>
    </row>
    <row r="81" spans="2:15" x14ac:dyDescent="0.25">
      <c r="B81" s="1"/>
      <c r="C81" s="63"/>
      <c r="H81" s="135"/>
      <c r="I81" s="135"/>
      <c r="J81" s="135"/>
    </row>
    <row r="82" spans="2:15" x14ac:dyDescent="0.25">
      <c r="B82" s="1"/>
      <c r="C82" s="63"/>
      <c r="H82" s="135"/>
      <c r="I82" s="135"/>
      <c r="J82" s="135"/>
    </row>
    <row r="83" spans="2:15" x14ac:dyDescent="0.25">
      <c r="B83" s="1"/>
      <c r="C83" s="126"/>
      <c r="H83" s="135"/>
      <c r="I83" s="135"/>
      <c r="J83" s="135"/>
    </row>
    <row r="84" spans="2:15" x14ac:dyDescent="0.25">
      <c r="B84" s="1"/>
      <c r="C84" s="63"/>
      <c r="H84" s="135"/>
      <c r="I84" s="135"/>
      <c r="J84" s="135"/>
    </row>
    <row r="85" spans="2:15" x14ac:dyDescent="0.25">
      <c r="B85" s="1"/>
      <c r="C85" s="63"/>
      <c r="H85" s="135"/>
      <c r="I85" s="135"/>
      <c r="J85" s="135"/>
    </row>
    <row r="86" spans="2:15" ht="13" x14ac:dyDescent="0.3">
      <c r="B86" s="1"/>
      <c r="C86" s="29"/>
      <c r="H86" s="135"/>
      <c r="I86" s="135"/>
      <c r="J86" s="135"/>
    </row>
    <row r="87" spans="2:15" ht="13" x14ac:dyDescent="0.3">
      <c r="B87" s="2"/>
      <c r="C87" s="4"/>
      <c r="H87" s="135"/>
      <c r="I87" s="135"/>
      <c r="J87" s="135"/>
    </row>
    <row r="88" spans="2:15" ht="13" x14ac:dyDescent="0.3">
      <c r="B88" s="43"/>
      <c r="C88" s="6"/>
      <c r="D88" s="10"/>
    </row>
    <row r="89" spans="2:15" ht="13" x14ac:dyDescent="0.3">
      <c r="B89" s="2"/>
      <c r="C89" s="4"/>
    </row>
    <row r="90" spans="2:15" ht="13" x14ac:dyDescent="0.3">
      <c r="B90" s="43"/>
      <c r="C90" s="9"/>
      <c r="D90" s="10"/>
      <c r="O90" s="135"/>
    </row>
    <row r="91" spans="2:15" ht="13" x14ac:dyDescent="0.3">
      <c r="B91" s="2"/>
      <c r="C91" s="4"/>
      <c r="O91" s="135"/>
    </row>
    <row r="92" spans="2:15" ht="13" x14ac:dyDescent="0.3">
      <c r="B92" s="43"/>
      <c r="C92" s="5"/>
      <c r="D92" s="10"/>
      <c r="O92" s="135"/>
    </row>
    <row r="93" spans="2:15" ht="13" x14ac:dyDescent="0.3">
      <c r="B93" s="2"/>
      <c r="C93" s="4"/>
      <c r="O93" s="135"/>
    </row>
    <row r="94" spans="2:15" ht="13" x14ac:dyDescent="0.3">
      <c r="B94" s="43"/>
      <c r="C94" s="185"/>
      <c r="D94" s="10"/>
      <c r="O94" s="135"/>
    </row>
    <row r="95" spans="2:15" ht="13" x14ac:dyDescent="0.3">
      <c r="B95" s="2"/>
      <c r="C95" s="4"/>
      <c r="O95" s="135"/>
    </row>
    <row r="96" spans="2:15" ht="13" x14ac:dyDescent="0.3">
      <c r="B96" s="43"/>
      <c r="C96" s="186"/>
      <c r="D96" s="10"/>
      <c r="O96" s="135"/>
    </row>
    <row r="97" spans="2:15" ht="13" x14ac:dyDescent="0.3">
      <c r="B97" s="43"/>
      <c r="C97" s="187"/>
      <c r="D97" s="10"/>
      <c r="O97" s="135"/>
    </row>
    <row r="98" spans="2:15" ht="13" x14ac:dyDescent="0.3">
      <c r="B98" s="2"/>
      <c r="C98" s="42"/>
      <c r="D98" s="10"/>
      <c r="O98" s="135"/>
    </row>
    <row r="99" spans="2:15" x14ac:dyDescent="0.25">
      <c r="B99" s="1"/>
      <c r="C99" s="63"/>
      <c r="O99" s="135"/>
    </row>
    <row r="100" spans="2:15" x14ac:dyDescent="0.25">
      <c r="O100" s="135"/>
    </row>
    <row r="101" spans="2:15" x14ac:dyDescent="0.25">
      <c r="O101" s="135"/>
    </row>
    <row r="102" spans="2:15" x14ac:dyDescent="0.25">
      <c r="O102" s="135"/>
    </row>
    <row r="103" spans="2:15" ht="13" x14ac:dyDescent="0.3">
      <c r="C103" s="4"/>
      <c r="D103" s="10"/>
      <c r="O103" s="135"/>
    </row>
    <row r="104" spans="2:15" ht="13" x14ac:dyDescent="0.3">
      <c r="C104" s="9"/>
      <c r="D104" s="10"/>
      <c r="O104" s="135"/>
    </row>
    <row r="105" spans="2:15" x14ac:dyDescent="0.25">
      <c r="B105" s="135"/>
      <c r="C105" s="135"/>
      <c r="D105" s="139"/>
      <c r="E105" s="135"/>
      <c r="F105" s="135"/>
      <c r="O105" s="135"/>
    </row>
    <row r="106" spans="2:15" x14ac:dyDescent="0.25">
      <c r="O106" s="135"/>
    </row>
    <row r="107" spans="2:15" x14ac:dyDescent="0.25">
      <c r="O107" s="135"/>
    </row>
    <row r="108" spans="2:15" x14ac:dyDescent="0.25">
      <c r="O108" s="135"/>
    </row>
    <row r="109" spans="2:15" x14ac:dyDescent="0.25">
      <c r="O109" s="135"/>
    </row>
    <row r="110" spans="2:15" x14ac:dyDescent="0.25">
      <c r="G110" s="135"/>
      <c r="H110" s="135"/>
      <c r="O110" s="135"/>
    </row>
    <row r="111" spans="2:15" x14ac:dyDescent="0.25">
      <c r="G111" s="135"/>
      <c r="H111" s="135"/>
      <c r="O111" s="135"/>
    </row>
    <row r="112" spans="2:15" x14ac:dyDescent="0.25">
      <c r="G112" s="135"/>
      <c r="H112" s="135"/>
      <c r="O112" s="135"/>
    </row>
    <row r="113" spans="2:15" x14ac:dyDescent="0.25">
      <c r="G113" s="135"/>
      <c r="H113" s="135"/>
      <c r="O113" s="135"/>
    </row>
    <row r="114" spans="2:15" x14ac:dyDescent="0.25">
      <c r="G114" s="135"/>
      <c r="H114" s="135"/>
      <c r="O114" s="135"/>
    </row>
    <row r="115" spans="2:15" x14ac:dyDescent="0.25">
      <c r="G115" s="135"/>
      <c r="H115" s="135"/>
      <c r="O115" s="135"/>
    </row>
    <row r="116" spans="2:15" x14ac:dyDescent="0.25">
      <c r="G116" s="135"/>
      <c r="H116" s="135"/>
      <c r="O116" s="135"/>
    </row>
    <row r="117" spans="2:15" x14ac:dyDescent="0.25">
      <c r="B117" s="135"/>
      <c r="C117" s="135"/>
      <c r="D117" s="139"/>
      <c r="E117" s="135"/>
      <c r="F117" s="135"/>
      <c r="G117" s="135"/>
      <c r="H117" s="135"/>
      <c r="O117" s="135"/>
    </row>
    <row r="118" spans="2:15" x14ac:dyDescent="0.25">
      <c r="B118" s="135"/>
      <c r="C118" s="135"/>
      <c r="D118" s="139"/>
      <c r="E118" s="135"/>
      <c r="F118" s="135"/>
      <c r="G118" s="135"/>
      <c r="H118" s="135"/>
      <c r="O118" s="135"/>
    </row>
    <row r="119" spans="2:15" x14ac:dyDescent="0.25">
      <c r="B119" s="135"/>
      <c r="C119" s="135"/>
      <c r="D119" s="139"/>
      <c r="E119" s="135"/>
      <c r="F119" s="135"/>
      <c r="G119" s="135"/>
      <c r="H119" s="135"/>
      <c r="O119" s="135"/>
    </row>
    <row r="120" spans="2:15" x14ac:dyDescent="0.25">
      <c r="B120" s="135"/>
      <c r="C120" s="135"/>
      <c r="D120" s="139"/>
      <c r="E120" s="135"/>
      <c r="F120" s="135"/>
      <c r="G120" s="135"/>
      <c r="H120" s="135"/>
      <c r="O120" s="135"/>
    </row>
    <row r="121" spans="2:15" x14ac:dyDescent="0.25">
      <c r="B121" s="135"/>
      <c r="C121" s="135"/>
      <c r="D121" s="139"/>
      <c r="E121" s="135"/>
      <c r="F121" s="135"/>
      <c r="G121" s="135"/>
      <c r="H121" s="135"/>
      <c r="O121" s="135"/>
    </row>
    <row r="122" spans="2:15" x14ac:dyDescent="0.25">
      <c r="B122" s="135"/>
      <c r="C122" s="135"/>
      <c r="D122" s="139"/>
      <c r="E122" s="135"/>
      <c r="F122" s="135"/>
      <c r="G122" s="135"/>
      <c r="H122" s="135"/>
      <c r="O122" s="135"/>
    </row>
    <row r="123" spans="2:15" x14ac:dyDescent="0.25">
      <c r="B123" s="135"/>
      <c r="C123" s="135"/>
      <c r="D123" s="139"/>
      <c r="E123" s="135"/>
      <c r="F123" s="135"/>
      <c r="G123" s="135"/>
      <c r="H123" s="135"/>
      <c r="O123" s="135"/>
    </row>
    <row r="124" spans="2:15" x14ac:dyDescent="0.25">
      <c r="B124" s="135"/>
      <c r="C124" s="135"/>
      <c r="D124" s="139"/>
      <c r="E124" s="135"/>
      <c r="F124" s="135"/>
      <c r="G124" s="135"/>
      <c r="H124" s="135"/>
      <c r="O124" s="135"/>
    </row>
    <row r="125" spans="2:15" x14ac:dyDescent="0.25">
      <c r="B125" s="135"/>
      <c r="C125" s="135"/>
      <c r="D125" s="139"/>
      <c r="E125" s="135"/>
      <c r="F125" s="135"/>
      <c r="G125" s="135"/>
      <c r="H125" s="135"/>
      <c r="O125" s="135"/>
    </row>
    <row r="126" spans="2:15" x14ac:dyDescent="0.25">
      <c r="B126" s="135"/>
      <c r="C126" s="135"/>
      <c r="D126" s="139"/>
      <c r="E126" s="135"/>
      <c r="F126" s="135"/>
      <c r="G126" s="135"/>
      <c r="H126" s="135"/>
      <c r="O126" s="135"/>
    </row>
    <row r="127" spans="2:15" x14ac:dyDescent="0.25">
      <c r="B127" s="135"/>
      <c r="C127" s="135"/>
      <c r="D127" s="139"/>
      <c r="E127" s="135"/>
      <c r="F127" s="135"/>
      <c r="G127" s="135"/>
      <c r="H127" s="135"/>
      <c r="O127" s="135"/>
    </row>
    <row r="128" spans="2:15" x14ac:dyDescent="0.25">
      <c r="B128" s="135"/>
      <c r="C128" s="135"/>
      <c r="D128" s="139"/>
      <c r="E128" s="135"/>
      <c r="F128" s="135"/>
      <c r="G128" s="135"/>
      <c r="H128" s="135"/>
      <c r="O128" s="135"/>
    </row>
    <row r="129" spans="2:15" x14ac:dyDescent="0.25">
      <c r="B129" s="135"/>
      <c r="C129" s="135"/>
      <c r="D129" s="139"/>
      <c r="E129" s="135"/>
      <c r="F129" s="135"/>
      <c r="G129" s="135"/>
      <c r="H129" s="135"/>
      <c r="O129" s="135"/>
    </row>
    <row r="130" spans="2:15" x14ac:dyDescent="0.25">
      <c r="B130" s="135"/>
      <c r="C130" s="135"/>
      <c r="D130" s="139"/>
      <c r="E130" s="135"/>
      <c r="F130" s="135"/>
      <c r="G130" s="135"/>
      <c r="H130" s="135"/>
      <c r="O130" s="135"/>
    </row>
    <row r="131" spans="2:15" x14ac:dyDescent="0.25">
      <c r="B131" s="135"/>
      <c r="C131" s="135"/>
      <c r="D131" s="139"/>
      <c r="E131" s="135"/>
      <c r="F131" s="135"/>
      <c r="G131" s="135"/>
      <c r="H131" s="135"/>
      <c r="O131" s="135"/>
    </row>
    <row r="132" spans="2:15" x14ac:dyDescent="0.25">
      <c r="B132" s="135"/>
      <c r="C132" s="135"/>
      <c r="D132" s="139"/>
      <c r="E132" s="135"/>
      <c r="F132" s="135"/>
      <c r="G132" s="135"/>
      <c r="H132" s="135"/>
      <c r="O132" s="135"/>
    </row>
    <row r="133" spans="2:15" x14ac:dyDescent="0.25">
      <c r="B133" s="135"/>
      <c r="C133" s="135"/>
      <c r="D133" s="139"/>
      <c r="E133" s="135"/>
      <c r="F133" s="135"/>
      <c r="G133" s="135"/>
      <c r="H133" s="135"/>
      <c r="O133" s="135"/>
    </row>
    <row r="134" spans="2:15" x14ac:dyDescent="0.25">
      <c r="B134" s="135"/>
      <c r="C134" s="135"/>
      <c r="D134" s="139"/>
      <c r="E134" s="135"/>
      <c r="F134" s="135"/>
      <c r="G134" s="135"/>
      <c r="H134" s="135"/>
      <c r="O134" s="135"/>
    </row>
    <row r="135" spans="2:15" x14ac:dyDescent="0.25">
      <c r="B135" s="135"/>
      <c r="C135" s="135"/>
      <c r="D135" s="139"/>
      <c r="E135" s="135"/>
      <c r="F135" s="135"/>
      <c r="G135" s="135"/>
      <c r="H135" s="135"/>
      <c r="O135" s="135"/>
    </row>
    <row r="136" spans="2:15" x14ac:dyDescent="0.25">
      <c r="B136" s="135"/>
      <c r="C136" s="135"/>
      <c r="D136" s="139"/>
      <c r="E136" s="135"/>
      <c r="F136" s="135"/>
      <c r="G136" s="135"/>
      <c r="H136" s="135"/>
      <c r="O136" s="135"/>
    </row>
    <row r="137" spans="2:15" x14ac:dyDescent="0.25">
      <c r="B137" s="135"/>
      <c r="C137" s="135"/>
      <c r="D137" s="139"/>
      <c r="E137" s="135"/>
      <c r="F137" s="135"/>
      <c r="G137" s="135"/>
      <c r="H137" s="135"/>
      <c r="O137" s="135"/>
    </row>
    <row r="138" spans="2:15" x14ac:dyDescent="0.25">
      <c r="B138" s="135"/>
      <c r="C138" s="135"/>
      <c r="D138" s="139"/>
      <c r="E138" s="135"/>
      <c r="F138" s="135"/>
      <c r="G138" s="135"/>
      <c r="H138" s="135"/>
      <c r="O138" s="135"/>
    </row>
    <row r="139" spans="2:15" x14ac:dyDescent="0.25">
      <c r="B139" s="135"/>
      <c r="C139" s="135"/>
      <c r="D139" s="139"/>
      <c r="E139" s="135"/>
      <c r="F139" s="135"/>
      <c r="G139" s="135"/>
      <c r="H139" s="135"/>
      <c r="O139" s="135"/>
    </row>
    <row r="140" spans="2:15" x14ac:dyDescent="0.25">
      <c r="B140" s="135"/>
      <c r="C140" s="135"/>
      <c r="D140" s="139"/>
      <c r="E140" s="135"/>
      <c r="F140" s="135"/>
      <c r="G140" s="135"/>
      <c r="H140" s="135"/>
      <c r="O140" s="135"/>
    </row>
    <row r="141" spans="2:15" x14ac:dyDescent="0.25">
      <c r="B141" s="135"/>
      <c r="C141" s="135"/>
      <c r="D141" s="139"/>
      <c r="E141" s="135"/>
      <c r="F141" s="135"/>
      <c r="G141" s="135"/>
      <c r="H141" s="135"/>
      <c r="O141" s="135"/>
    </row>
    <row r="142" spans="2:15" x14ac:dyDescent="0.25">
      <c r="B142" s="135"/>
      <c r="C142" s="135"/>
      <c r="D142" s="139"/>
      <c r="E142" s="135"/>
      <c r="F142" s="135"/>
      <c r="G142" s="135"/>
      <c r="H142" s="135"/>
      <c r="O142" s="135"/>
    </row>
    <row r="143" spans="2:15" x14ac:dyDescent="0.25">
      <c r="B143" s="135"/>
      <c r="C143" s="135"/>
      <c r="D143" s="139"/>
      <c r="E143" s="135"/>
      <c r="F143" s="135"/>
      <c r="G143" s="135"/>
      <c r="H143" s="135"/>
      <c r="O143" s="135"/>
    </row>
    <row r="144" spans="2:15" x14ac:dyDescent="0.25">
      <c r="B144" s="135"/>
      <c r="C144" s="135"/>
      <c r="D144" s="139"/>
      <c r="E144" s="135"/>
      <c r="F144" s="135"/>
      <c r="G144" s="135"/>
      <c r="H144" s="135"/>
      <c r="O144" s="135"/>
    </row>
    <row r="145" spans="2:15" x14ac:dyDescent="0.25">
      <c r="B145" s="135"/>
      <c r="C145" s="135"/>
      <c r="D145" s="139"/>
      <c r="E145" s="135"/>
      <c r="F145" s="135"/>
      <c r="G145" s="135"/>
      <c r="H145" s="135"/>
      <c r="O145" s="135"/>
    </row>
    <row r="146" spans="2:15" x14ac:dyDescent="0.25">
      <c r="B146" s="135"/>
      <c r="C146" s="135"/>
      <c r="D146" s="139"/>
      <c r="E146" s="135"/>
      <c r="F146" s="135"/>
      <c r="G146" s="135"/>
      <c r="H146" s="135"/>
      <c r="O146" s="135"/>
    </row>
    <row r="147" spans="2:15" x14ac:dyDescent="0.25">
      <c r="B147" s="135"/>
      <c r="C147" s="135"/>
      <c r="D147" s="139"/>
      <c r="E147" s="135"/>
      <c r="F147" s="135"/>
      <c r="G147" s="135"/>
      <c r="H147" s="135"/>
      <c r="O147" s="135"/>
    </row>
    <row r="148" spans="2:15" x14ac:dyDescent="0.25">
      <c r="B148" s="135"/>
      <c r="C148" s="135"/>
      <c r="D148" s="139"/>
      <c r="E148" s="135"/>
      <c r="F148" s="135"/>
      <c r="G148" s="135"/>
      <c r="H148" s="135"/>
      <c r="O148" s="135"/>
    </row>
    <row r="149" spans="2:15" x14ac:dyDescent="0.25">
      <c r="B149" s="135"/>
      <c r="C149" s="135"/>
      <c r="D149" s="139"/>
      <c r="E149" s="135"/>
      <c r="F149" s="135"/>
      <c r="G149" s="135"/>
      <c r="H149" s="135"/>
      <c r="O149" s="135"/>
    </row>
    <row r="150" spans="2:15" x14ac:dyDescent="0.25">
      <c r="B150" s="135" t="s">
        <v>201</v>
      </c>
      <c r="C150" s="135"/>
      <c r="D150" s="139"/>
      <c r="E150" s="135"/>
      <c r="F150" s="135"/>
      <c r="G150" s="135"/>
      <c r="H150" s="135"/>
      <c r="O150" s="135"/>
    </row>
    <row r="151" spans="2:15" x14ac:dyDescent="0.25">
      <c r="B151" s="135"/>
      <c r="C151" s="135"/>
      <c r="D151" s="139"/>
      <c r="E151" s="135"/>
      <c r="F151" s="135"/>
      <c r="G151" s="135"/>
      <c r="H151" s="135"/>
      <c r="O151" s="135"/>
    </row>
    <row r="152" spans="2:15" x14ac:dyDescent="0.25">
      <c r="B152" s="135"/>
      <c r="C152" s="135"/>
      <c r="D152" s="139"/>
      <c r="E152" s="135"/>
      <c r="F152" s="135"/>
      <c r="G152" s="135"/>
      <c r="H152" s="135"/>
      <c r="O152" s="135"/>
    </row>
    <row r="153" spans="2:15" x14ac:dyDescent="0.25">
      <c r="B153" s="135"/>
      <c r="C153" s="135"/>
      <c r="D153" s="139"/>
      <c r="E153" s="135"/>
      <c r="F153" s="135"/>
      <c r="G153" s="135"/>
      <c r="H153" s="135"/>
      <c r="O153" s="135"/>
    </row>
    <row r="154" spans="2:15" x14ac:dyDescent="0.25">
      <c r="B154" s="135"/>
      <c r="C154" s="135"/>
      <c r="D154" s="139"/>
      <c r="E154" s="135"/>
      <c r="F154" s="135"/>
      <c r="G154" s="135"/>
      <c r="H154" s="135"/>
      <c r="O154" s="135"/>
    </row>
    <row r="155" spans="2:15" x14ac:dyDescent="0.25">
      <c r="B155" s="135"/>
      <c r="C155" s="135"/>
      <c r="D155" s="139"/>
      <c r="E155" s="135"/>
      <c r="F155" s="135"/>
      <c r="G155" s="135"/>
      <c r="H155" s="135"/>
      <c r="O155" s="135"/>
    </row>
    <row r="156" spans="2:15" x14ac:dyDescent="0.25">
      <c r="B156" s="135"/>
      <c r="C156" s="135"/>
      <c r="D156" s="139"/>
      <c r="E156" s="135"/>
      <c r="F156" s="135"/>
      <c r="G156" s="135"/>
      <c r="H156" s="135"/>
      <c r="O156" s="135"/>
    </row>
    <row r="157" spans="2:15" x14ac:dyDescent="0.25">
      <c r="B157" s="135"/>
      <c r="C157" s="135"/>
      <c r="D157" s="139"/>
      <c r="E157" s="135"/>
      <c r="F157" s="135"/>
      <c r="G157" s="135"/>
      <c r="H157" s="135"/>
      <c r="O157" s="135"/>
    </row>
    <row r="158" spans="2:15" x14ac:dyDescent="0.25">
      <c r="B158" s="135"/>
      <c r="C158" s="135"/>
      <c r="D158" s="139"/>
      <c r="E158" s="135"/>
      <c r="F158" s="135"/>
      <c r="G158" s="135"/>
      <c r="H158" s="135"/>
      <c r="O158" s="135"/>
    </row>
    <row r="159" spans="2:15" x14ac:dyDescent="0.25">
      <c r="B159" s="135"/>
      <c r="C159" s="135"/>
      <c r="D159" s="139"/>
      <c r="E159" s="135"/>
      <c r="F159" s="135"/>
      <c r="G159" s="135"/>
      <c r="H159" s="135"/>
      <c r="O159" s="135"/>
    </row>
    <row r="160" spans="2:15" x14ac:dyDescent="0.25">
      <c r="B160" s="135"/>
      <c r="C160" s="135"/>
      <c r="D160" s="139"/>
      <c r="E160" s="135"/>
      <c r="F160" s="135"/>
      <c r="G160" s="135"/>
      <c r="H160" s="135"/>
      <c r="O160" s="135"/>
    </row>
    <row r="161" spans="2:15" x14ac:dyDescent="0.25">
      <c r="B161" s="135"/>
      <c r="C161" s="135"/>
      <c r="D161" s="139"/>
      <c r="E161" s="135"/>
      <c r="F161" s="135"/>
      <c r="G161" s="135"/>
      <c r="H161" s="135"/>
      <c r="O161" s="135"/>
    </row>
    <row r="162" spans="2:15" x14ac:dyDescent="0.25">
      <c r="B162" s="135"/>
      <c r="C162" s="135"/>
      <c r="D162" s="139"/>
      <c r="E162" s="135"/>
      <c r="F162" s="135"/>
      <c r="G162" s="135"/>
      <c r="H162" s="135"/>
      <c r="O162" s="135"/>
    </row>
    <row r="163" spans="2:15" x14ac:dyDescent="0.25">
      <c r="B163" s="135"/>
      <c r="C163" s="135"/>
      <c r="D163" s="139"/>
      <c r="E163" s="135"/>
      <c r="F163" s="135"/>
      <c r="G163" s="135"/>
      <c r="H163" s="135"/>
      <c r="O163" s="135"/>
    </row>
    <row r="164" spans="2:15" x14ac:dyDescent="0.25">
      <c r="B164" s="135"/>
      <c r="C164" s="135"/>
      <c r="D164" s="139"/>
      <c r="E164" s="135"/>
      <c r="F164" s="135"/>
      <c r="G164" s="135"/>
      <c r="H164" s="135"/>
      <c r="O164" s="135"/>
    </row>
    <row r="165" spans="2:15" x14ac:dyDescent="0.25">
      <c r="B165" s="135"/>
      <c r="C165" s="135"/>
      <c r="D165" s="139"/>
      <c r="E165" s="135"/>
      <c r="F165" s="135"/>
      <c r="G165" s="135"/>
      <c r="H165" s="135"/>
      <c r="O165" s="135"/>
    </row>
    <row r="166" spans="2:15" x14ac:dyDescent="0.25">
      <c r="B166" s="135"/>
      <c r="C166" s="135"/>
      <c r="D166" s="139"/>
      <c r="E166" s="135"/>
      <c r="F166" s="135"/>
      <c r="G166" s="135"/>
      <c r="H166" s="135"/>
      <c r="O166" s="135"/>
    </row>
    <row r="167" spans="2:15" x14ac:dyDescent="0.25">
      <c r="B167" s="135"/>
      <c r="C167" s="135"/>
      <c r="D167" s="139"/>
      <c r="E167" s="135"/>
      <c r="F167" s="135"/>
      <c r="G167" s="135"/>
      <c r="H167" s="135"/>
      <c r="O167" s="135"/>
    </row>
    <row r="168" spans="2:15" x14ac:dyDescent="0.25">
      <c r="B168" s="135"/>
      <c r="C168" s="135"/>
      <c r="D168" s="139"/>
      <c r="E168" s="135"/>
      <c r="F168" s="135"/>
      <c r="G168" s="135"/>
      <c r="H168" s="135"/>
      <c r="O168" s="135"/>
    </row>
    <row r="169" spans="2:15" x14ac:dyDescent="0.25">
      <c r="B169" s="135"/>
      <c r="C169" s="135"/>
      <c r="D169" s="139"/>
      <c r="E169" s="135"/>
      <c r="F169" s="135"/>
      <c r="G169" s="135"/>
      <c r="H169" s="135"/>
      <c r="O169" s="135"/>
    </row>
    <row r="170" spans="2:15" x14ac:dyDescent="0.25">
      <c r="B170" s="135"/>
      <c r="C170" s="135"/>
      <c r="D170" s="139"/>
      <c r="E170" s="135"/>
      <c r="F170" s="135"/>
      <c r="G170" s="135"/>
      <c r="H170" s="135"/>
      <c r="O170" s="135"/>
    </row>
    <row r="171" spans="2:15" x14ac:dyDescent="0.25">
      <c r="G171" s="135"/>
      <c r="O171" s="135"/>
    </row>
    <row r="172" spans="2:15" x14ac:dyDescent="0.25">
      <c r="G172" s="135"/>
      <c r="H172" s="135"/>
      <c r="I172" s="135"/>
      <c r="J172" s="135"/>
      <c r="K172" s="135"/>
      <c r="L172" s="135"/>
      <c r="M172" s="135"/>
      <c r="N172" s="135"/>
      <c r="O172" s="135"/>
    </row>
    <row r="173" spans="2:15" x14ac:dyDescent="0.25">
      <c r="G173" s="135"/>
      <c r="O173" s="135"/>
    </row>
    <row r="174" spans="2:15" x14ac:dyDescent="0.25">
      <c r="G174" s="135"/>
      <c r="O174" s="135"/>
    </row>
    <row r="175" spans="2:15" x14ac:dyDescent="0.25">
      <c r="G175" s="135"/>
      <c r="O175" s="135"/>
    </row>
    <row r="176" spans="2:15" x14ac:dyDescent="0.25">
      <c r="G176" s="135"/>
      <c r="O176" s="135"/>
    </row>
    <row r="177" spans="7:15" x14ac:dyDescent="0.25">
      <c r="G177" s="135"/>
      <c r="H177" s="135"/>
      <c r="I177" s="135"/>
      <c r="J177" s="135"/>
      <c r="K177" s="135"/>
      <c r="L177" s="135"/>
      <c r="M177" s="135"/>
      <c r="N177" s="135"/>
      <c r="O177" s="135"/>
    </row>
    <row r="178" spans="7:15" x14ac:dyDescent="0.25">
      <c r="G178" s="135"/>
      <c r="H178" s="135"/>
      <c r="I178" s="135"/>
      <c r="J178" s="135"/>
      <c r="K178" s="135"/>
      <c r="L178" s="135"/>
      <c r="M178" s="135"/>
      <c r="N178" s="135"/>
      <c r="O178" s="135"/>
    </row>
    <row r="179" spans="7:15" x14ac:dyDescent="0.25">
      <c r="G179" s="135"/>
      <c r="H179" s="135"/>
      <c r="I179" s="135"/>
      <c r="J179" s="135"/>
      <c r="K179" s="135"/>
      <c r="L179" s="135"/>
      <c r="M179" s="135"/>
      <c r="N179" s="135"/>
      <c r="O179" s="135"/>
    </row>
    <row r="180" spans="7:15" x14ac:dyDescent="0.25">
      <c r="G180" s="135"/>
      <c r="H180" s="135"/>
      <c r="I180" s="135"/>
      <c r="J180" s="135"/>
      <c r="K180" s="135"/>
      <c r="L180" s="135"/>
      <c r="M180" s="135"/>
      <c r="N180" s="135"/>
      <c r="O180" s="135"/>
    </row>
    <row r="181" spans="7:15" x14ac:dyDescent="0.25">
      <c r="G181" s="135"/>
      <c r="H181" s="135"/>
      <c r="I181" s="135"/>
      <c r="J181" s="135"/>
      <c r="K181" s="135"/>
      <c r="L181" s="135"/>
      <c r="M181" s="135"/>
      <c r="N181" s="135"/>
      <c r="O181" s="135"/>
    </row>
    <row r="182" spans="7:15" x14ac:dyDescent="0.25">
      <c r="G182" s="135"/>
      <c r="H182" s="135"/>
      <c r="I182" s="135"/>
      <c r="J182" s="135"/>
      <c r="K182" s="135"/>
      <c r="L182" s="135"/>
      <c r="M182" s="135"/>
      <c r="N182" s="135"/>
      <c r="O182" s="135"/>
    </row>
    <row r="183" spans="7:15" x14ac:dyDescent="0.25">
      <c r="G183" s="135"/>
      <c r="H183" s="135"/>
      <c r="I183" s="135"/>
      <c r="J183" s="135"/>
      <c r="K183" s="135"/>
      <c r="L183" s="135"/>
      <c r="M183" s="135"/>
      <c r="N183" s="135"/>
      <c r="O183" s="135"/>
    </row>
    <row r="184" spans="7:15" x14ac:dyDescent="0.25">
      <c r="G184" s="135"/>
      <c r="H184" s="135"/>
      <c r="I184" s="135"/>
      <c r="J184" s="135"/>
      <c r="K184" s="135"/>
      <c r="L184" s="135"/>
      <c r="M184" s="135"/>
      <c r="N184" s="135"/>
      <c r="O184" s="135"/>
    </row>
    <row r="185" spans="7:15" x14ac:dyDescent="0.25">
      <c r="G185" s="135"/>
      <c r="H185" s="135"/>
      <c r="I185" s="135"/>
      <c r="J185" s="135"/>
      <c r="K185" s="135"/>
      <c r="L185" s="135"/>
      <c r="M185" s="135"/>
      <c r="N185" s="135"/>
      <c r="O185" s="135"/>
    </row>
    <row r="186" spans="7:15" x14ac:dyDescent="0.25">
      <c r="G186" s="135"/>
      <c r="H186" s="135"/>
      <c r="I186" s="135"/>
      <c r="J186" s="135"/>
      <c r="K186" s="135"/>
      <c r="L186" s="135"/>
      <c r="M186" s="135"/>
      <c r="N186" s="135"/>
      <c r="O186" s="135"/>
    </row>
    <row r="187" spans="7:15" x14ac:dyDescent="0.25">
      <c r="G187" s="135"/>
      <c r="H187" s="135"/>
      <c r="I187" s="135"/>
      <c r="J187" s="135"/>
      <c r="K187" s="135"/>
      <c r="L187" s="135"/>
      <c r="M187" s="135"/>
      <c r="N187" s="135"/>
      <c r="O187" s="135"/>
    </row>
    <row r="188" spans="7:15" x14ac:dyDescent="0.25">
      <c r="G188" s="135"/>
      <c r="H188" s="135"/>
      <c r="I188" s="135"/>
      <c r="J188" s="135"/>
      <c r="K188" s="135"/>
      <c r="L188" s="135"/>
      <c r="M188" s="135"/>
      <c r="N188" s="135"/>
      <c r="O188" s="135"/>
    </row>
    <row r="189" spans="7:15" x14ac:dyDescent="0.25">
      <c r="G189" s="135"/>
      <c r="H189" s="135"/>
      <c r="I189" s="135"/>
      <c r="J189" s="135"/>
      <c r="K189" s="135"/>
      <c r="L189" s="135"/>
      <c r="M189" s="135"/>
      <c r="N189" s="135"/>
      <c r="O189" s="135"/>
    </row>
    <row r="190" spans="7:15" x14ac:dyDescent="0.25">
      <c r="G190" s="135"/>
      <c r="H190" s="135"/>
      <c r="I190" s="135"/>
      <c r="J190" s="135"/>
      <c r="K190" s="135"/>
      <c r="L190" s="135"/>
      <c r="M190" s="135"/>
      <c r="N190" s="135"/>
      <c r="O190" s="135"/>
    </row>
    <row r="191" spans="7:15" x14ac:dyDescent="0.25">
      <c r="G191" s="135"/>
      <c r="H191" s="135"/>
      <c r="I191" s="135"/>
      <c r="J191" s="135"/>
      <c r="K191" s="135"/>
      <c r="L191" s="135"/>
      <c r="M191" s="135"/>
      <c r="N191" s="135"/>
      <c r="O191" s="135"/>
    </row>
    <row r="192" spans="7:15" x14ac:dyDescent="0.25">
      <c r="G192" s="135"/>
      <c r="H192" s="135"/>
      <c r="I192" s="135"/>
      <c r="J192" s="135"/>
      <c r="K192" s="135"/>
      <c r="L192" s="135"/>
      <c r="M192" s="135"/>
      <c r="N192" s="135"/>
      <c r="O192" s="135"/>
    </row>
    <row r="193" spans="7:15" x14ac:dyDescent="0.25">
      <c r="G193" s="135"/>
      <c r="H193" s="135"/>
      <c r="I193" s="135"/>
      <c r="J193" s="135"/>
      <c r="K193" s="135"/>
      <c r="L193" s="135"/>
      <c r="M193" s="135"/>
      <c r="N193" s="135"/>
      <c r="O193" s="135"/>
    </row>
    <row r="194" spans="7:15" x14ac:dyDescent="0.25">
      <c r="G194" s="135"/>
      <c r="H194" s="135"/>
      <c r="I194" s="135"/>
      <c r="J194" s="135"/>
      <c r="K194" s="135"/>
      <c r="L194" s="135"/>
      <c r="M194" s="135"/>
      <c r="N194" s="135"/>
      <c r="O194" s="135"/>
    </row>
    <row r="195" spans="7:15" x14ac:dyDescent="0.25">
      <c r="G195" s="135"/>
      <c r="H195" s="135"/>
      <c r="I195" s="135"/>
      <c r="J195" s="135"/>
      <c r="K195" s="135"/>
      <c r="L195" s="135"/>
      <c r="M195" s="135"/>
      <c r="N195" s="135"/>
      <c r="O195" s="135"/>
    </row>
    <row r="196" spans="7:15" x14ac:dyDescent="0.25">
      <c r="G196" s="135"/>
      <c r="H196" s="135"/>
      <c r="I196" s="135"/>
      <c r="J196" s="135"/>
      <c r="K196" s="135"/>
      <c r="L196" s="135"/>
      <c r="M196" s="135"/>
      <c r="N196" s="135"/>
      <c r="O196" s="135"/>
    </row>
    <row r="197" spans="7:15" x14ac:dyDescent="0.25">
      <c r="G197" s="135"/>
      <c r="H197" s="135"/>
      <c r="I197" s="135"/>
      <c r="J197" s="135"/>
      <c r="K197" s="135"/>
      <c r="L197" s="135"/>
      <c r="M197" s="135"/>
      <c r="N197" s="135"/>
      <c r="O197" s="135"/>
    </row>
    <row r="198" spans="7:15" x14ac:dyDescent="0.25">
      <c r="G198" s="135"/>
      <c r="H198" s="135"/>
      <c r="I198" s="135"/>
      <c r="J198" s="135"/>
      <c r="K198" s="135"/>
      <c r="L198" s="135"/>
      <c r="M198" s="135"/>
      <c r="N198" s="135"/>
      <c r="O198" s="135"/>
    </row>
    <row r="199" spans="7:15" x14ac:dyDescent="0.25">
      <c r="G199" s="135"/>
      <c r="H199" s="135"/>
      <c r="I199" s="135"/>
      <c r="J199" s="135"/>
      <c r="K199" s="135"/>
      <c r="L199" s="135"/>
      <c r="M199" s="135"/>
      <c r="N199" s="135"/>
      <c r="O199" s="135"/>
    </row>
    <row r="200" spans="7:15" x14ac:dyDescent="0.25">
      <c r="G200" s="135"/>
      <c r="H200" s="135"/>
      <c r="I200" s="135"/>
      <c r="J200" s="135"/>
      <c r="K200" s="135"/>
      <c r="L200" s="135"/>
      <c r="M200" s="135"/>
      <c r="N200" s="135"/>
      <c r="O200" s="135"/>
    </row>
    <row r="201" spans="7:15" x14ac:dyDescent="0.25">
      <c r="G201" s="135"/>
      <c r="H201" s="135"/>
      <c r="I201" s="135"/>
      <c r="J201" s="135"/>
      <c r="K201" s="135"/>
      <c r="L201" s="135"/>
      <c r="M201" s="135"/>
      <c r="N201" s="135"/>
      <c r="O201" s="135"/>
    </row>
    <row r="202" spans="7:15" x14ac:dyDescent="0.25">
      <c r="G202" s="135"/>
      <c r="H202" s="135"/>
      <c r="I202" s="135"/>
      <c r="J202" s="135"/>
      <c r="K202" s="135"/>
      <c r="L202" s="135"/>
      <c r="M202" s="135"/>
      <c r="N202" s="135"/>
      <c r="O202" s="135"/>
    </row>
    <row r="203" spans="7:15" x14ac:dyDescent="0.25">
      <c r="G203" s="135"/>
      <c r="H203" s="135"/>
      <c r="I203" s="135"/>
      <c r="J203" s="135"/>
      <c r="K203" s="135"/>
      <c r="L203" s="135"/>
      <c r="M203" s="135"/>
      <c r="N203" s="135"/>
      <c r="O203" s="135"/>
    </row>
    <row r="204" spans="7:15" x14ac:dyDescent="0.25">
      <c r="G204" s="135"/>
      <c r="H204" s="135"/>
      <c r="I204" s="135"/>
      <c r="J204" s="135"/>
      <c r="K204" s="135"/>
      <c r="L204" s="135"/>
      <c r="M204" s="135"/>
      <c r="N204" s="135"/>
      <c r="O204" s="135"/>
    </row>
    <row r="205" spans="7:15" x14ac:dyDescent="0.25">
      <c r="G205" s="135"/>
      <c r="H205" s="135"/>
      <c r="I205" s="135"/>
      <c r="J205" s="135"/>
      <c r="K205" s="135"/>
      <c r="L205" s="135"/>
      <c r="M205" s="135"/>
      <c r="N205" s="135"/>
      <c r="O205" s="135"/>
    </row>
    <row r="206" spans="7:15" x14ac:dyDescent="0.25">
      <c r="G206" s="135"/>
      <c r="H206" s="135"/>
      <c r="I206" s="135"/>
      <c r="J206" s="135"/>
      <c r="K206" s="135"/>
      <c r="L206" s="135"/>
      <c r="M206" s="135"/>
      <c r="N206" s="135"/>
      <c r="O206" s="135"/>
    </row>
    <row r="207" spans="7:15" x14ac:dyDescent="0.25">
      <c r="G207" s="135"/>
      <c r="H207" s="135"/>
      <c r="I207" s="135"/>
      <c r="J207" s="135"/>
      <c r="K207" s="135"/>
      <c r="L207" s="135"/>
      <c r="M207" s="135"/>
      <c r="N207" s="135"/>
      <c r="O207" s="135"/>
    </row>
    <row r="208" spans="7:15" x14ac:dyDescent="0.25">
      <c r="G208" s="135"/>
      <c r="H208" s="135"/>
      <c r="I208" s="135"/>
      <c r="J208" s="135"/>
      <c r="K208" s="135"/>
      <c r="L208" s="135"/>
      <c r="M208" s="135"/>
      <c r="N208" s="135"/>
      <c r="O208" s="135"/>
    </row>
    <row r="209" spans="7:15" x14ac:dyDescent="0.25">
      <c r="G209" s="135"/>
      <c r="H209" s="135"/>
      <c r="I209" s="135"/>
      <c r="J209" s="135"/>
      <c r="K209" s="135"/>
      <c r="L209" s="135"/>
      <c r="M209" s="135"/>
      <c r="N209" s="135"/>
      <c r="O209" s="135"/>
    </row>
    <row r="210" spans="7:15" x14ac:dyDescent="0.25">
      <c r="G210" s="135"/>
      <c r="H210" s="135"/>
      <c r="I210" s="135"/>
      <c r="J210" s="135"/>
      <c r="K210" s="135"/>
      <c r="L210" s="135"/>
      <c r="M210" s="135"/>
      <c r="N210" s="135"/>
      <c r="O210" s="135"/>
    </row>
    <row r="211" spans="7:15" x14ac:dyDescent="0.25">
      <c r="G211" s="135"/>
      <c r="H211" s="135"/>
      <c r="I211" s="135"/>
      <c r="J211" s="135"/>
      <c r="K211" s="135"/>
      <c r="L211" s="135"/>
      <c r="M211" s="135"/>
      <c r="N211" s="135"/>
      <c r="O211" s="135"/>
    </row>
    <row r="212" spans="7:15" x14ac:dyDescent="0.25">
      <c r="G212" s="135"/>
      <c r="H212" s="135"/>
      <c r="I212" s="135"/>
      <c r="J212" s="135"/>
      <c r="K212" s="135"/>
      <c r="L212" s="135"/>
      <c r="M212" s="135"/>
      <c r="N212" s="135"/>
      <c r="O212" s="135"/>
    </row>
    <row r="213" spans="7:15" x14ac:dyDescent="0.25">
      <c r="G213" s="135"/>
      <c r="H213" s="135"/>
      <c r="I213" s="135"/>
      <c r="J213" s="135"/>
      <c r="K213" s="135"/>
      <c r="L213" s="135"/>
      <c r="M213" s="135"/>
      <c r="N213" s="135"/>
      <c r="O213" s="135"/>
    </row>
    <row r="214" spans="7:15" x14ac:dyDescent="0.25">
      <c r="G214" s="135"/>
      <c r="H214" s="135"/>
      <c r="I214" s="135"/>
      <c r="J214" s="135"/>
      <c r="K214" s="135"/>
      <c r="L214" s="135"/>
      <c r="M214" s="135"/>
      <c r="N214" s="135"/>
      <c r="O214" s="135"/>
    </row>
    <row r="215" spans="7:15" x14ac:dyDescent="0.25">
      <c r="G215" s="135"/>
      <c r="H215" s="135"/>
      <c r="I215" s="135"/>
      <c r="J215" s="135"/>
      <c r="K215" s="135"/>
      <c r="L215" s="135"/>
      <c r="M215" s="135"/>
      <c r="N215" s="135"/>
      <c r="O215" s="135"/>
    </row>
    <row r="216" spans="7:15" x14ac:dyDescent="0.25">
      <c r="G216" s="135"/>
      <c r="H216" s="135"/>
      <c r="I216" s="135"/>
      <c r="J216" s="135"/>
      <c r="K216" s="135"/>
      <c r="L216" s="135"/>
      <c r="M216" s="135"/>
      <c r="N216" s="135"/>
      <c r="O216" s="135"/>
    </row>
    <row r="217" spans="7:15" x14ac:dyDescent="0.25">
      <c r="G217" s="135"/>
      <c r="H217" s="135"/>
      <c r="I217" s="135"/>
      <c r="J217" s="135"/>
      <c r="K217" s="135"/>
      <c r="L217" s="135"/>
      <c r="M217" s="135"/>
      <c r="N217" s="135"/>
      <c r="O217" s="135"/>
    </row>
    <row r="218" spans="7:15" x14ac:dyDescent="0.25">
      <c r="G218" s="135"/>
      <c r="H218" s="135"/>
      <c r="I218" s="135"/>
      <c r="J218" s="135"/>
      <c r="K218" s="135"/>
      <c r="L218" s="135"/>
      <c r="M218" s="135"/>
      <c r="N218" s="135"/>
      <c r="O218" s="135"/>
    </row>
    <row r="219" spans="7:15" x14ac:dyDescent="0.25">
      <c r="G219" s="135"/>
      <c r="H219" s="135"/>
      <c r="I219" s="135"/>
      <c r="J219" s="135"/>
      <c r="K219" s="135"/>
      <c r="L219" s="135"/>
      <c r="M219" s="135"/>
      <c r="N219" s="135"/>
      <c r="O219" s="135"/>
    </row>
    <row r="220" spans="7:15" x14ac:dyDescent="0.25">
      <c r="G220" s="135"/>
      <c r="H220" s="135"/>
      <c r="I220" s="135"/>
      <c r="J220" s="135"/>
      <c r="K220" s="135"/>
      <c r="L220" s="135"/>
      <c r="M220" s="135"/>
      <c r="N220" s="135"/>
      <c r="O220" s="135"/>
    </row>
    <row r="221" spans="7:15" x14ac:dyDescent="0.25">
      <c r="G221" s="135"/>
      <c r="H221" s="135"/>
      <c r="I221" s="135"/>
      <c r="J221" s="135"/>
      <c r="K221" s="135"/>
      <c r="L221" s="135"/>
      <c r="M221" s="135"/>
      <c r="N221" s="135"/>
      <c r="O221" s="135"/>
    </row>
    <row r="222" spans="7:15" x14ac:dyDescent="0.25">
      <c r="G222" s="135"/>
      <c r="H222" s="135"/>
      <c r="I222" s="135"/>
      <c r="J222" s="135"/>
      <c r="K222" s="135"/>
      <c r="L222" s="135"/>
      <c r="M222" s="135"/>
      <c r="N222" s="135"/>
      <c r="O222" s="135"/>
    </row>
    <row r="223" spans="7:15" x14ac:dyDescent="0.25">
      <c r="G223" s="135"/>
      <c r="H223" s="135"/>
      <c r="I223" s="135"/>
      <c r="J223" s="135"/>
      <c r="K223" s="135"/>
      <c r="L223" s="135"/>
      <c r="M223" s="135"/>
      <c r="N223" s="135"/>
      <c r="O223" s="135"/>
    </row>
    <row r="224" spans="7:15" x14ac:dyDescent="0.25">
      <c r="G224" s="135"/>
      <c r="H224" s="135"/>
      <c r="I224" s="135"/>
      <c r="J224" s="135"/>
      <c r="K224" s="135"/>
      <c r="L224" s="135"/>
      <c r="M224" s="135"/>
      <c r="N224" s="135"/>
      <c r="O224" s="135"/>
    </row>
    <row r="225" spans="7:15" x14ac:dyDescent="0.25">
      <c r="G225" s="135"/>
      <c r="H225" s="135"/>
      <c r="I225" s="135"/>
      <c r="J225" s="135"/>
      <c r="K225" s="135"/>
      <c r="L225" s="135"/>
      <c r="M225" s="135"/>
      <c r="N225" s="135"/>
      <c r="O225" s="135"/>
    </row>
    <row r="226" spans="7:15" x14ac:dyDescent="0.25">
      <c r="G226" s="135"/>
      <c r="H226" s="135"/>
      <c r="I226" s="135"/>
      <c r="J226" s="135"/>
      <c r="K226" s="135"/>
      <c r="L226" s="135"/>
      <c r="M226" s="135"/>
      <c r="N226" s="135"/>
      <c r="O226" s="135"/>
    </row>
    <row r="227" spans="7:15" x14ac:dyDescent="0.25">
      <c r="G227" s="135"/>
      <c r="H227" s="135"/>
      <c r="I227" s="135"/>
      <c r="J227" s="135"/>
      <c r="K227" s="135"/>
      <c r="L227" s="135"/>
      <c r="M227" s="135"/>
      <c r="N227" s="135"/>
      <c r="O227" s="135"/>
    </row>
    <row r="228" spans="7:15" x14ac:dyDescent="0.25">
      <c r="G228" s="135"/>
      <c r="H228" s="135"/>
      <c r="I228" s="135"/>
      <c r="J228" s="135"/>
      <c r="K228" s="135"/>
      <c r="L228" s="135"/>
      <c r="M228" s="135"/>
      <c r="N228" s="135"/>
      <c r="O228" s="135"/>
    </row>
    <row r="229" spans="7:15" x14ac:dyDescent="0.25">
      <c r="G229" s="135"/>
      <c r="H229" s="135"/>
      <c r="I229" s="135"/>
      <c r="J229" s="135"/>
      <c r="K229" s="135"/>
      <c r="L229" s="135"/>
      <c r="M229" s="135"/>
      <c r="N229" s="135"/>
      <c r="O229" s="135"/>
    </row>
    <row r="230" spans="7:15" x14ac:dyDescent="0.25">
      <c r="G230" s="135"/>
      <c r="H230" s="135"/>
      <c r="I230" s="135"/>
      <c r="J230" s="135"/>
      <c r="K230" s="135"/>
      <c r="L230" s="135"/>
      <c r="M230" s="135"/>
      <c r="N230" s="135"/>
      <c r="O230" s="135"/>
    </row>
    <row r="231" spans="7:15" x14ac:dyDescent="0.25">
      <c r="G231" s="135"/>
      <c r="H231" s="135"/>
      <c r="I231" s="135"/>
      <c r="J231" s="135"/>
      <c r="K231" s="135"/>
      <c r="L231" s="135"/>
      <c r="M231" s="135"/>
      <c r="N231" s="135"/>
      <c r="O231" s="135"/>
    </row>
    <row r="232" spans="7:15" x14ac:dyDescent="0.25">
      <c r="G232" s="135"/>
      <c r="H232" s="135"/>
      <c r="I232" s="135"/>
      <c r="J232" s="135"/>
      <c r="K232" s="135"/>
      <c r="L232" s="135"/>
      <c r="M232" s="135"/>
      <c r="N232" s="135"/>
      <c r="O232" s="135"/>
    </row>
    <row r="233" spans="7:15" x14ac:dyDescent="0.25">
      <c r="G233" s="135"/>
      <c r="H233" s="135"/>
      <c r="I233" s="135"/>
      <c r="J233" s="135"/>
      <c r="K233" s="135"/>
      <c r="L233" s="135"/>
      <c r="M233" s="135"/>
      <c r="N233" s="135"/>
      <c r="O233" s="135"/>
    </row>
    <row r="234" spans="7:15" x14ac:dyDescent="0.25">
      <c r="G234" s="135"/>
      <c r="H234" s="135"/>
      <c r="I234" s="135"/>
      <c r="J234" s="135"/>
      <c r="K234" s="135"/>
      <c r="L234" s="135"/>
      <c r="M234" s="135"/>
      <c r="N234" s="135"/>
      <c r="O234" s="135"/>
    </row>
    <row r="235" spans="7:15" x14ac:dyDescent="0.25">
      <c r="G235" s="135"/>
      <c r="H235" s="135"/>
      <c r="I235" s="135"/>
      <c r="J235" s="135"/>
      <c r="K235" s="135"/>
      <c r="L235" s="135"/>
      <c r="M235" s="135"/>
      <c r="N235" s="135"/>
      <c r="O235" s="135"/>
    </row>
    <row r="236" spans="7:15" x14ac:dyDescent="0.25">
      <c r="G236" s="135"/>
      <c r="H236" s="135"/>
      <c r="I236" s="135"/>
      <c r="J236" s="135"/>
      <c r="K236" s="135"/>
      <c r="L236" s="135"/>
      <c r="M236" s="135"/>
      <c r="N236" s="135"/>
      <c r="O236" s="135"/>
    </row>
    <row r="237" spans="7:15" x14ac:dyDescent="0.25">
      <c r="G237" s="135"/>
      <c r="H237" s="135"/>
      <c r="I237" s="135"/>
      <c r="J237" s="135"/>
      <c r="K237" s="135"/>
      <c r="L237" s="135"/>
      <c r="M237" s="135"/>
      <c r="N237" s="135"/>
      <c r="O237" s="135"/>
    </row>
    <row r="238" spans="7:15" x14ac:dyDescent="0.25">
      <c r="G238" s="135"/>
      <c r="H238" s="135"/>
      <c r="I238" s="135"/>
      <c r="J238" s="135"/>
      <c r="K238" s="135"/>
      <c r="L238" s="135"/>
      <c r="M238" s="135"/>
      <c r="N238" s="135"/>
      <c r="O238" s="135"/>
    </row>
    <row r="239" spans="7:15" x14ac:dyDescent="0.25">
      <c r="G239" s="135"/>
      <c r="H239" s="135"/>
      <c r="I239" s="135"/>
      <c r="J239" s="135"/>
      <c r="K239" s="135"/>
      <c r="L239" s="135"/>
      <c r="M239" s="135"/>
      <c r="N239" s="135"/>
      <c r="O239" s="135"/>
    </row>
    <row r="240" spans="7:15" x14ac:dyDescent="0.25">
      <c r="G240" s="135"/>
      <c r="H240" s="135"/>
      <c r="I240" s="135"/>
      <c r="J240" s="135"/>
      <c r="K240" s="135"/>
      <c r="L240" s="135"/>
      <c r="M240" s="135"/>
      <c r="N240" s="135"/>
      <c r="O240" s="135"/>
    </row>
    <row r="241" spans="7:15" x14ac:dyDescent="0.25">
      <c r="G241" s="135"/>
      <c r="H241" s="135"/>
      <c r="I241" s="135"/>
      <c r="J241" s="135"/>
      <c r="K241" s="135"/>
      <c r="L241" s="135"/>
      <c r="M241" s="135"/>
      <c r="N241" s="135"/>
      <c r="O241" s="135"/>
    </row>
    <row r="242" spans="7:15" x14ac:dyDescent="0.25">
      <c r="G242" s="135"/>
      <c r="H242" s="135"/>
      <c r="I242" s="135"/>
      <c r="J242" s="135"/>
      <c r="K242" s="135"/>
      <c r="L242" s="135"/>
      <c r="M242" s="135"/>
      <c r="N242" s="135"/>
      <c r="O242" s="135"/>
    </row>
    <row r="243" spans="7:15" x14ac:dyDescent="0.25">
      <c r="G243" s="135"/>
      <c r="H243" s="135"/>
      <c r="I243" s="135"/>
      <c r="J243" s="135"/>
      <c r="K243" s="135"/>
      <c r="L243" s="135"/>
      <c r="M243" s="135"/>
      <c r="N243" s="135"/>
      <c r="O243" s="135"/>
    </row>
    <row r="244" spans="7:15" x14ac:dyDescent="0.25">
      <c r="G244" s="135"/>
      <c r="H244" s="135"/>
      <c r="I244" s="135"/>
      <c r="J244" s="135"/>
      <c r="K244" s="135"/>
      <c r="L244" s="135"/>
      <c r="M244" s="135"/>
      <c r="N244" s="135"/>
      <c r="O244" s="135"/>
    </row>
    <row r="245" spans="7:15" x14ac:dyDescent="0.25">
      <c r="G245" s="135"/>
      <c r="H245" s="135"/>
      <c r="I245" s="135"/>
      <c r="J245" s="135"/>
      <c r="K245" s="135"/>
      <c r="L245" s="135"/>
      <c r="M245" s="135"/>
      <c r="N245" s="135"/>
      <c r="O245" s="135"/>
    </row>
    <row r="246" spans="7:15" x14ac:dyDescent="0.25">
      <c r="G246" s="135"/>
      <c r="H246" s="135"/>
      <c r="I246" s="135"/>
      <c r="J246" s="135"/>
      <c r="K246" s="135"/>
      <c r="L246" s="135"/>
      <c r="M246" s="135"/>
      <c r="N246" s="135"/>
      <c r="O246" s="135"/>
    </row>
    <row r="247" spans="7:15" x14ac:dyDescent="0.25">
      <c r="G247" s="135"/>
      <c r="H247" s="135"/>
      <c r="I247" s="135"/>
      <c r="J247" s="135"/>
      <c r="K247" s="135"/>
      <c r="L247" s="135"/>
      <c r="M247" s="135"/>
      <c r="N247" s="135"/>
      <c r="O247" s="135"/>
    </row>
    <row r="248" spans="7:15" x14ac:dyDescent="0.25">
      <c r="G248" s="135"/>
      <c r="H248" s="135"/>
      <c r="I248" s="135"/>
      <c r="J248" s="135"/>
      <c r="K248" s="135"/>
      <c r="L248" s="135"/>
      <c r="M248" s="135"/>
      <c r="N248" s="135"/>
      <c r="O248" s="135"/>
    </row>
    <row r="249" spans="7:15" x14ac:dyDescent="0.25">
      <c r="G249" s="135"/>
      <c r="H249" s="135"/>
      <c r="I249" s="135"/>
      <c r="J249" s="135"/>
      <c r="K249" s="135"/>
      <c r="L249" s="135"/>
      <c r="M249" s="135"/>
      <c r="N249" s="135"/>
      <c r="O249" s="135"/>
    </row>
    <row r="250" spans="7:15" x14ac:dyDescent="0.25">
      <c r="G250" s="135"/>
      <c r="H250" s="135"/>
      <c r="I250" s="135"/>
      <c r="J250" s="135"/>
      <c r="K250" s="135"/>
      <c r="L250" s="135"/>
      <c r="M250" s="135"/>
      <c r="N250" s="135"/>
      <c r="O250" s="135"/>
    </row>
    <row r="251" spans="7:15" x14ac:dyDescent="0.25">
      <c r="G251" s="135"/>
      <c r="H251" s="135"/>
      <c r="I251" s="135"/>
      <c r="J251" s="135"/>
      <c r="K251" s="135"/>
      <c r="L251" s="135"/>
      <c r="M251" s="135"/>
      <c r="N251" s="135"/>
      <c r="O251" s="135"/>
    </row>
    <row r="252" spans="7:15" x14ac:dyDescent="0.25">
      <c r="G252" s="135"/>
      <c r="H252" s="135"/>
      <c r="I252" s="135"/>
      <c r="J252" s="135"/>
      <c r="K252" s="135"/>
      <c r="L252" s="135"/>
      <c r="M252" s="135"/>
      <c r="N252" s="135"/>
      <c r="O252" s="135"/>
    </row>
    <row r="253" spans="7:15" x14ac:dyDescent="0.25">
      <c r="G253" s="135"/>
      <c r="H253" s="135"/>
      <c r="I253" s="135"/>
      <c r="J253" s="135"/>
      <c r="K253" s="135"/>
      <c r="L253" s="135"/>
      <c r="M253" s="135"/>
      <c r="N253" s="135"/>
      <c r="O253" s="135"/>
    </row>
    <row r="254" spans="7:15" x14ac:dyDescent="0.25">
      <c r="G254" s="135"/>
      <c r="H254" s="135"/>
      <c r="I254" s="135"/>
      <c r="J254" s="135"/>
      <c r="K254" s="135"/>
      <c r="L254" s="135"/>
      <c r="M254" s="135"/>
      <c r="N254" s="135"/>
      <c r="O254" s="135"/>
    </row>
    <row r="255" spans="7:15" x14ac:dyDescent="0.25">
      <c r="G255" s="135"/>
      <c r="H255" s="135"/>
      <c r="I255" s="135"/>
      <c r="J255" s="135"/>
      <c r="K255" s="135"/>
      <c r="L255" s="135"/>
      <c r="M255" s="135"/>
      <c r="N255" s="135"/>
      <c r="O255" s="135"/>
    </row>
    <row r="256" spans="7:15" x14ac:dyDescent="0.25">
      <c r="G256" s="135"/>
      <c r="H256" s="135"/>
      <c r="I256" s="135"/>
      <c r="J256" s="135"/>
      <c r="K256" s="135"/>
      <c r="L256" s="135"/>
      <c r="M256" s="135"/>
      <c r="N256" s="135"/>
      <c r="O256" s="135"/>
    </row>
    <row r="257" spans="2:15" x14ac:dyDescent="0.25">
      <c r="G257" s="135"/>
      <c r="H257" s="135"/>
      <c r="I257" s="135"/>
      <c r="J257" s="135"/>
      <c r="K257" s="135"/>
      <c r="L257" s="135"/>
      <c r="M257" s="135"/>
      <c r="N257" s="135"/>
      <c r="O257" s="135"/>
    </row>
    <row r="258" spans="2:15" ht="13" x14ac:dyDescent="0.3">
      <c r="B258" s="10"/>
      <c r="C258" s="29"/>
      <c r="G258" s="135"/>
      <c r="H258" s="135"/>
      <c r="I258" s="135"/>
      <c r="J258" s="135"/>
      <c r="K258" s="135"/>
      <c r="L258" s="135"/>
      <c r="M258" s="135"/>
      <c r="N258" s="135"/>
      <c r="O258" s="135"/>
    </row>
    <row r="259" spans="2:15" x14ac:dyDescent="0.25">
      <c r="B259" s="1"/>
      <c r="C259" s="63"/>
      <c r="G259" s="135"/>
      <c r="H259" s="135"/>
      <c r="I259" s="135"/>
      <c r="J259" s="135"/>
      <c r="K259" s="135"/>
      <c r="L259" s="135"/>
      <c r="M259" s="135"/>
      <c r="N259" s="135"/>
      <c r="O259" s="135"/>
    </row>
    <row r="260" spans="2:15" x14ac:dyDescent="0.25">
      <c r="B260" s="1"/>
      <c r="C260" s="63"/>
      <c r="G260" s="135"/>
      <c r="H260" s="135"/>
      <c r="I260" s="135"/>
      <c r="J260" s="135"/>
      <c r="K260" s="135"/>
      <c r="L260" s="135"/>
      <c r="M260" s="135"/>
      <c r="N260" s="135"/>
      <c r="O260" s="135"/>
    </row>
    <row r="261" spans="2:15" x14ac:dyDescent="0.25">
      <c r="B261" s="1"/>
      <c r="C261" s="63"/>
      <c r="G261" s="135"/>
      <c r="H261" s="135"/>
      <c r="I261" s="135"/>
      <c r="J261" s="135"/>
      <c r="K261" s="135"/>
      <c r="L261" s="135"/>
      <c r="M261" s="135"/>
      <c r="N261" s="135"/>
      <c r="O261" s="135"/>
    </row>
    <row r="262" spans="2:15" x14ac:dyDescent="0.25">
      <c r="B262" s="1"/>
      <c r="C262" s="63"/>
      <c r="G262" s="135"/>
      <c r="H262" s="135"/>
      <c r="I262" s="135"/>
      <c r="J262" s="135"/>
      <c r="K262" s="135"/>
      <c r="L262" s="135"/>
      <c r="M262" s="135"/>
      <c r="N262" s="135"/>
      <c r="O262" s="135"/>
    </row>
    <row r="263" spans="2:15" x14ac:dyDescent="0.25">
      <c r="B263" s="1"/>
      <c r="C263" s="63"/>
      <c r="G263" s="135"/>
      <c r="H263" s="135"/>
      <c r="I263" s="135"/>
      <c r="J263" s="135"/>
      <c r="K263" s="135"/>
      <c r="L263" s="135"/>
      <c r="M263" s="135"/>
      <c r="N263" s="135"/>
      <c r="O263" s="135"/>
    </row>
    <row r="264" spans="2:15" x14ac:dyDescent="0.25">
      <c r="B264" s="1"/>
      <c r="C264" s="63"/>
      <c r="G264" s="135"/>
      <c r="H264" s="135"/>
      <c r="I264" s="135"/>
      <c r="J264" s="135"/>
      <c r="K264" s="135"/>
      <c r="L264" s="135"/>
      <c r="M264" s="135"/>
      <c r="N264" s="135"/>
      <c r="O264" s="135"/>
    </row>
    <row r="265" spans="2:15" x14ac:dyDescent="0.25">
      <c r="G265" s="135"/>
      <c r="H265" s="135"/>
      <c r="I265" s="135"/>
      <c r="J265" s="135"/>
      <c r="K265" s="135"/>
      <c r="L265" s="135"/>
      <c r="M265" s="135"/>
      <c r="N265" s="135"/>
      <c r="O265" s="135"/>
    </row>
    <row r="266" spans="2:15" x14ac:dyDescent="0.25">
      <c r="B266" s="1"/>
      <c r="C266" s="63"/>
      <c r="G266" s="135"/>
      <c r="H266" s="135"/>
      <c r="I266" s="135"/>
      <c r="J266" s="135"/>
      <c r="K266" s="135"/>
      <c r="L266" s="135"/>
      <c r="M266" s="135"/>
      <c r="N266" s="135"/>
      <c r="O266" s="135"/>
    </row>
    <row r="267" spans="2:15" x14ac:dyDescent="0.25">
      <c r="B267" s="1"/>
      <c r="C267" s="63"/>
      <c r="G267" s="135"/>
      <c r="H267" s="135"/>
      <c r="I267" s="135"/>
      <c r="J267" s="135"/>
      <c r="K267" s="135"/>
      <c r="L267" s="135"/>
      <c r="M267" s="135"/>
      <c r="N267" s="135"/>
      <c r="O267" s="135"/>
    </row>
    <row r="268" spans="2:15" ht="13" x14ac:dyDescent="0.3">
      <c r="B268" s="2"/>
      <c r="C268" s="29"/>
      <c r="G268" s="135"/>
      <c r="H268" s="135"/>
      <c r="I268" s="135"/>
      <c r="J268" s="135"/>
      <c r="K268" s="135"/>
      <c r="L268" s="135"/>
      <c r="M268" s="135"/>
      <c r="N268" s="135"/>
      <c r="O268" s="135"/>
    </row>
    <row r="269" spans="2:15" ht="13" x14ac:dyDescent="0.3">
      <c r="B269" s="2"/>
      <c r="C269" s="4"/>
      <c r="D269" s="10"/>
      <c r="G269" s="135"/>
      <c r="H269" s="135"/>
      <c r="I269" s="135"/>
      <c r="J269" s="135"/>
      <c r="K269" s="135"/>
      <c r="L269" s="135"/>
      <c r="M269" s="135"/>
      <c r="N269" s="135"/>
      <c r="O269" s="135"/>
    </row>
    <row r="270" spans="2:15" ht="13" x14ac:dyDescent="0.3">
      <c r="B270" s="2"/>
      <c r="C270" s="11"/>
      <c r="D270" s="10"/>
      <c r="G270" s="135"/>
      <c r="H270" s="135"/>
      <c r="I270" s="135"/>
      <c r="J270" s="135"/>
      <c r="K270" s="135"/>
      <c r="L270" s="135"/>
      <c r="M270" s="135"/>
      <c r="N270" s="135"/>
      <c r="O270" s="135"/>
    </row>
    <row r="271" spans="2:15" ht="13" x14ac:dyDescent="0.3">
      <c r="B271" s="2"/>
      <c r="C271" s="4"/>
      <c r="D271" s="10"/>
      <c r="G271" s="135"/>
      <c r="H271" s="135"/>
      <c r="I271" s="135"/>
      <c r="J271" s="135"/>
      <c r="K271" s="135"/>
      <c r="L271" s="135"/>
      <c r="M271" s="135"/>
      <c r="N271" s="135"/>
      <c r="O271" s="135"/>
    </row>
    <row r="272" spans="2:15" ht="13" x14ac:dyDescent="0.3">
      <c r="B272" s="2"/>
      <c r="C272" s="4"/>
      <c r="D272" s="10"/>
      <c r="G272" s="135"/>
      <c r="H272" s="135"/>
      <c r="I272" s="135"/>
      <c r="J272" s="135"/>
      <c r="K272" s="135"/>
      <c r="L272" s="135"/>
      <c r="M272" s="135"/>
      <c r="N272" s="135"/>
      <c r="O272" s="135"/>
    </row>
    <row r="273" spans="2:15" ht="15.5" x14ac:dyDescent="0.35">
      <c r="B273" s="68"/>
      <c r="G273" s="135"/>
      <c r="H273" s="135"/>
      <c r="I273" s="135"/>
      <c r="J273" s="135"/>
      <c r="K273" s="135"/>
      <c r="L273" s="135"/>
      <c r="M273" s="135"/>
      <c r="N273" s="135"/>
      <c r="O273" s="135"/>
    </row>
    <row r="274" spans="2:15" x14ac:dyDescent="0.25">
      <c r="G274" s="135"/>
      <c r="H274" s="135"/>
      <c r="I274" s="135"/>
      <c r="J274" s="135"/>
      <c r="K274" s="135"/>
      <c r="L274" s="135"/>
      <c r="M274" s="135"/>
      <c r="N274" s="135"/>
      <c r="O274" s="135"/>
    </row>
    <row r="275" spans="2:15" x14ac:dyDescent="0.25">
      <c r="B275" s="8"/>
      <c r="G275" s="135"/>
      <c r="H275" s="135"/>
      <c r="I275" s="135"/>
      <c r="J275" s="135"/>
      <c r="K275" s="135"/>
      <c r="L275" s="135"/>
      <c r="M275" s="135"/>
      <c r="N275" s="135"/>
      <c r="O275" s="135"/>
    </row>
    <row r="276" spans="2:15" ht="13" x14ac:dyDescent="0.3">
      <c r="B276" s="2"/>
      <c r="C276" s="16"/>
      <c r="D276" s="10"/>
      <c r="G276" s="135"/>
      <c r="H276" s="135"/>
      <c r="I276" s="135"/>
      <c r="J276" s="135"/>
      <c r="K276" s="135"/>
      <c r="L276" s="135"/>
      <c r="M276" s="135"/>
      <c r="N276" s="135"/>
      <c r="O276" s="135"/>
    </row>
    <row r="277" spans="2:15" ht="13" x14ac:dyDescent="0.3">
      <c r="B277" s="2"/>
      <c r="C277" s="16"/>
      <c r="D277" s="10"/>
      <c r="G277" s="135"/>
      <c r="H277" s="135"/>
      <c r="I277" s="135"/>
      <c r="J277" s="135"/>
      <c r="K277" s="135"/>
      <c r="L277" s="135"/>
      <c r="M277" s="135"/>
      <c r="N277" s="135"/>
      <c r="O277" s="135"/>
    </row>
    <row r="278" spans="2:15" ht="13" x14ac:dyDescent="0.3">
      <c r="B278" s="2"/>
      <c r="C278" s="16"/>
      <c r="D278" s="10"/>
      <c r="G278" s="135"/>
      <c r="H278" s="135"/>
      <c r="I278" s="135"/>
      <c r="J278" s="135"/>
      <c r="K278" s="135"/>
      <c r="L278" s="135"/>
      <c r="M278" s="135"/>
      <c r="N278" s="135"/>
      <c r="O278" s="135"/>
    </row>
    <row r="279" spans="2:15" ht="13" x14ac:dyDescent="0.3">
      <c r="B279" s="2"/>
      <c r="C279" s="16"/>
      <c r="D279" s="10"/>
      <c r="G279" s="135"/>
      <c r="H279" s="135"/>
      <c r="I279" s="135"/>
      <c r="J279" s="135"/>
      <c r="K279" s="135"/>
      <c r="L279" s="135"/>
      <c r="M279" s="135"/>
      <c r="N279" s="135"/>
      <c r="O279" s="135"/>
    </row>
    <row r="280" spans="2:15" ht="13" x14ac:dyDescent="0.3">
      <c r="B280" s="2"/>
      <c r="C280" s="4"/>
      <c r="D280" s="10"/>
      <c r="G280" s="135"/>
      <c r="H280" s="135"/>
      <c r="I280" s="135"/>
      <c r="J280" s="135"/>
      <c r="K280" s="135"/>
      <c r="L280" s="135"/>
      <c r="M280" s="135"/>
      <c r="N280" s="135"/>
      <c r="O280" s="135"/>
    </row>
    <row r="281" spans="2:15" ht="13" x14ac:dyDescent="0.3">
      <c r="B281" s="2"/>
      <c r="C281" s="16"/>
      <c r="D281" s="10"/>
      <c r="G281" s="135"/>
      <c r="H281" s="135"/>
      <c r="I281" s="135"/>
      <c r="J281" s="135"/>
      <c r="K281" s="135"/>
      <c r="L281" s="135"/>
      <c r="M281" s="135"/>
      <c r="N281" s="135"/>
      <c r="O281" s="135"/>
    </row>
    <row r="282" spans="2:15" ht="13" x14ac:dyDescent="0.3">
      <c r="B282" s="43"/>
      <c r="C282" s="16"/>
      <c r="D282" s="10"/>
      <c r="G282" s="135"/>
      <c r="H282" s="135"/>
      <c r="I282" s="135"/>
      <c r="J282" s="135"/>
      <c r="K282" s="135"/>
      <c r="L282" s="135"/>
      <c r="M282" s="135"/>
      <c r="N282" s="135"/>
      <c r="O282" s="135"/>
    </row>
    <row r="283" spans="2:15" x14ac:dyDescent="0.25">
      <c r="B283" s="1"/>
      <c r="G283" s="135"/>
      <c r="H283" s="135"/>
      <c r="I283" s="135"/>
      <c r="J283" s="135"/>
      <c r="K283" s="135"/>
      <c r="L283" s="135"/>
      <c r="M283" s="135"/>
      <c r="N283" s="135"/>
      <c r="O283" s="135"/>
    </row>
    <row r="284" spans="2:15" ht="13" x14ac:dyDescent="0.3">
      <c r="B284" s="10"/>
      <c r="G284" s="135"/>
      <c r="H284" s="135"/>
      <c r="I284" s="135"/>
      <c r="J284" s="135"/>
      <c r="K284" s="135"/>
      <c r="L284" s="135"/>
      <c r="M284" s="135"/>
      <c r="N284" s="135"/>
      <c r="O284" s="135"/>
    </row>
    <row r="285" spans="2:15" ht="13" x14ac:dyDescent="0.3">
      <c r="B285" s="10"/>
      <c r="G285" s="135"/>
      <c r="H285" s="135"/>
      <c r="I285" s="135"/>
      <c r="J285" s="135"/>
      <c r="K285" s="135"/>
      <c r="L285" s="135"/>
      <c r="M285" s="135"/>
      <c r="N285" s="135"/>
      <c r="O285" s="135"/>
    </row>
    <row r="286" spans="2:15" x14ac:dyDescent="0.25">
      <c r="G286" s="135"/>
      <c r="H286" s="135"/>
      <c r="I286" s="135"/>
      <c r="J286" s="135"/>
      <c r="K286" s="135"/>
      <c r="L286" s="135"/>
      <c r="M286" s="135"/>
      <c r="N286" s="135"/>
      <c r="O286" s="135"/>
    </row>
    <row r="287" spans="2:15" ht="13" x14ac:dyDescent="0.3">
      <c r="B287" s="1"/>
      <c r="C287" s="29"/>
      <c r="G287" s="135"/>
      <c r="H287" s="135"/>
      <c r="I287" s="135"/>
      <c r="J287" s="135"/>
      <c r="K287" s="135"/>
      <c r="L287" s="135"/>
      <c r="M287" s="135"/>
      <c r="N287" s="135"/>
      <c r="O287" s="135"/>
    </row>
    <row r="288" spans="2:15" x14ac:dyDescent="0.25">
      <c r="B288" s="1"/>
      <c r="C288" s="63"/>
      <c r="G288" s="135"/>
      <c r="H288" s="135"/>
      <c r="I288" s="135"/>
      <c r="J288" s="135"/>
      <c r="K288" s="135"/>
      <c r="L288" s="135"/>
      <c r="M288" s="135"/>
      <c r="N288" s="135"/>
      <c r="O288" s="135"/>
    </row>
    <row r="289" spans="2:15" x14ac:dyDescent="0.25">
      <c r="B289" s="1"/>
      <c r="C289" s="63"/>
      <c r="G289" s="135"/>
      <c r="H289" s="135"/>
      <c r="I289" s="135"/>
      <c r="J289" s="135"/>
      <c r="K289" s="135"/>
      <c r="L289" s="135"/>
      <c r="M289" s="135"/>
      <c r="N289" s="135"/>
      <c r="O289" s="135"/>
    </row>
    <row r="290" spans="2:15" x14ac:dyDescent="0.25">
      <c r="B290" s="1"/>
      <c r="C290" s="63"/>
      <c r="G290" s="135"/>
      <c r="H290" s="135"/>
      <c r="I290" s="135"/>
      <c r="J290" s="135"/>
      <c r="K290" s="135"/>
      <c r="L290" s="135"/>
      <c r="M290" s="135"/>
      <c r="N290" s="135"/>
      <c r="O290" s="135"/>
    </row>
    <row r="291" spans="2:15" x14ac:dyDescent="0.25">
      <c r="B291" s="1"/>
      <c r="C291" s="63"/>
      <c r="G291" s="135"/>
      <c r="H291" s="135"/>
      <c r="I291" s="135"/>
      <c r="J291" s="135"/>
      <c r="K291" s="135"/>
      <c r="L291" s="135"/>
      <c r="M291" s="135"/>
      <c r="N291" s="135"/>
      <c r="O291" s="135"/>
    </row>
    <row r="292" spans="2:15" x14ac:dyDescent="0.25">
      <c r="B292" s="1"/>
      <c r="C292" s="149"/>
      <c r="G292" s="135"/>
      <c r="H292" s="135"/>
      <c r="I292" s="135"/>
      <c r="J292" s="135"/>
      <c r="K292" s="135"/>
      <c r="L292" s="135"/>
      <c r="M292" s="135"/>
      <c r="N292" s="135"/>
      <c r="O292" s="135"/>
    </row>
    <row r="293" spans="2:15" ht="13" x14ac:dyDescent="0.3">
      <c r="B293" s="1"/>
      <c r="C293" s="29"/>
      <c r="G293" s="135"/>
      <c r="H293" s="135"/>
      <c r="I293" s="135"/>
      <c r="J293" s="135"/>
      <c r="K293" s="135"/>
      <c r="L293" s="135"/>
      <c r="M293" s="135"/>
      <c r="N293" s="135"/>
      <c r="O293" s="135"/>
    </row>
    <row r="294" spans="2:15" ht="13" x14ac:dyDescent="0.3">
      <c r="B294" s="43"/>
      <c r="C294" s="16"/>
      <c r="D294" s="10"/>
      <c r="G294" s="135"/>
      <c r="H294" s="135"/>
      <c r="I294" s="135"/>
      <c r="J294" s="135"/>
      <c r="K294" s="135"/>
      <c r="L294" s="135"/>
      <c r="M294" s="135"/>
      <c r="N294" s="135"/>
      <c r="O294" s="135"/>
    </row>
    <row r="295" spans="2:15" ht="13" x14ac:dyDescent="0.3">
      <c r="B295" s="43"/>
      <c r="C295" s="11"/>
      <c r="D295" s="10"/>
      <c r="G295" s="135"/>
      <c r="H295" s="135"/>
      <c r="I295" s="135"/>
      <c r="J295" s="135"/>
      <c r="K295" s="135"/>
      <c r="L295" s="135"/>
      <c r="M295" s="135"/>
      <c r="N295" s="135"/>
      <c r="O295" s="135"/>
    </row>
    <row r="296" spans="2:15" ht="13" x14ac:dyDescent="0.3">
      <c r="B296" s="2"/>
      <c r="C296" s="9"/>
      <c r="D296" s="10"/>
      <c r="G296" s="135"/>
      <c r="H296" s="135"/>
      <c r="I296" s="135"/>
      <c r="J296" s="135"/>
      <c r="K296" s="135"/>
      <c r="L296" s="135"/>
      <c r="M296" s="135"/>
      <c r="N296" s="135"/>
      <c r="O296" s="135"/>
    </row>
    <row r="297" spans="2:15" ht="13" x14ac:dyDescent="0.3">
      <c r="B297" s="10"/>
      <c r="C297" s="3"/>
      <c r="G297" s="135"/>
      <c r="H297" s="135"/>
      <c r="I297" s="135"/>
      <c r="J297" s="135"/>
      <c r="K297" s="135"/>
      <c r="L297" s="135"/>
      <c r="M297" s="135"/>
      <c r="N297" s="135"/>
      <c r="O297" s="135"/>
    </row>
    <row r="298" spans="2:15" ht="13" x14ac:dyDescent="0.3">
      <c r="B298" s="10"/>
      <c r="C298" s="3"/>
      <c r="G298" s="135"/>
      <c r="H298" s="135"/>
      <c r="I298" s="135"/>
      <c r="J298" s="135"/>
      <c r="K298" s="135"/>
      <c r="L298" s="135"/>
      <c r="M298" s="135"/>
      <c r="N298" s="135"/>
      <c r="O298" s="135"/>
    </row>
    <row r="299" spans="2:15" ht="13" x14ac:dyDescent="0.3">
      <c r="B299" s="10"/>
      <c r="C299" s="3"/>
      <c r="G299" s="135"/>
      <c r="H299" s="135"/>
      <c r="I299" s="135"/>
      <c r="J299" s="135"/>
      <c r="K299" s="135"/>
      <c r="L299" s="135"/>
      <c r="M299" s="135"/>
      <c r="N299" s="135"/>
      <c r="O299" s="135"/>
    </row>
    <row r="300" spans="2:15" ht="13" x14ac:dyDescent="0.3">
      <c r="B300" s="10"/>
      <c r="C300" s="4"/>
      <c r="G300" s="135"/>
      <c r="H300" s="135"/>
      <c r="I300" s="135"/>
      <c r="J300" s="135"/>
      <c r="K300" s="135"/>
      <c r="L300" s="135"/>
      <c r="M300" s="135"/>
      <c r="N300" s="135"/>
      <c r="O300" s="135"/>
    </row>
    <row r="301" spans="2:15" x14ac:dyDescent="0.25">
      <c r="G301" s="135"/>
      <c r="H301" s="135"/>
      <c r="I301" s="135"/>
      <c r="J301" s="135"/>
      <c r="K301" s="135"/>
      <c r="L301" s="135"/>
      <c r="M301" s="135"/>
      <c r="N301" s="135"/>
      <c r="O301" s="135"/>
    </row>
    <row r="302" spans="2:15" ht="13" x14ac:dyDescent="0.3">
      <c r="B302" s="2"/>
      <c r="C302" s="4"/>
      <c r="G302" s="135"/>
      <c r="H302" s="135"/>
      <c r="I302" s="135"/>
      <c r="J302" s="135"/>
      <c r="K302" s="135"/>
      <c r="L302" s="135"/>
      <c r="M302" s="135"/>
      <c r="N302" s="135"/>
      <c r="O302" s="135"/>
    </row>
    <row r="303" spans="2:15" x14ac:dyDescent="0.25">
      <c r="G303" s="135"/>
      <c r="H303" s="135"/>
      <c r="I303" s="135"/>
      <c r="J303" s="135"/>
      <c r="K303" s="135"/>
      <c r="L303" s="135"/>
      <c r="M303" s="135"/>
      <c r="N303" s="135"/>
      <c r="O303" s="135"/>
    </row>
    <row r="304" spans="2:15" x14ac:dyDescent="0.25">
      <c r="G304" s="135"/>
      <c r="H304" s="135"/>
      <c r="I304" s="135"/>
      <c r="J304" s="135"/>
      <c r="K304" s="135"/>
      <c r="L304" s="135"/>
      <c r="M304" s="135"/>
      <c r="N304" s="135"/>
      <c r="O304" s="135"/>
    </row>
    <row r="305" spans="2:15" x14ac:dyDescent="0.25">
      <c r="G305" s="135"/>
      <c r="H305" s="135"/>
      <c r="I305" s="135"/>
      <c r="J305" s="135"/>
      <c r="K305" s="135"/>
      <c r="L305" s="135"/>
      <c r="M305" s="135"/>
      <c r="N305" s="135"/>
      <c r="O305" s="135"/>
    </row>
    <row r="306" spans="2:15" x14ac:dyDescent="0.25">
      <c r="G306" s="135"/>
      <c r="H306" s="135"/>
      <c r="I306" s="135"/>
      <c r="J306" s="135"/>
      <c r="K306" s="135"/>
      <c r="L306" s="135"/>
      <c r="M306" s="135"/>
      <c r="N306" s="135"/>
      <c r="O306" s="135"/>
    </row>
    <row r="307" spans="2:15" x14ac:dyDescent="0.25">
      <c r="G307" s="135"/>
      <c r="H307" s="135"/>
      <c r="I307" s="135"/>
      <c r="J307" s="135"/>
      <c r="K307" s="135"/>
      <c r="L307" s="135"/>
      <c r="M307" s="135"/>
      <c r="N307" s="135"/>
      <c r="O307" s="135"/>
    </row>
    <row r="308" spans="2:15" x14ac:dyDescent="0.25">
      <c r="G308" s="135"/>
      <c r="H308" s="135"/>
      <c r="I308" s="135"/>
      <c r="J308" s="135"/>
      <c r="K308" s="135"/>
      <c r="L308" s="135"/>
      <c r="M308" s="135"/>
      <c r="N308" s="135"/>
      <c r="O308" s="135"/>
    </row>
    <row r="309" spans="2:15" x14ac:dyDescent="0.25">
      <c r="B309" s="135"/>
      <c r="C309" s="135"/>
      <c r="D309" s="139"/>
      <c r="E309" s="135"/>
      <c r="F309" s="135"/>
      <c r="G309" s="135"/>
      <c r="H309" s="135"/>
      <c r="I309" s="135"/>
      <c r="J309" s="135"/>
      <c r="K309" s="135"/>
      <c r="L309" s="135"/>
      <c r="M309" s="135"/>
      <c r="N309" s="135"/>
      <c r="O309" s="135"/>
    </row>
    <row r="310" spans="2:15" x14ac:dyDescent="0.25">
      <c r="B310" s="135"/>
      <c r="C310" s="135"/>
      <c r="D310" s="139"/>
      <c r="E310" s="135"/>
      <c r="F310" s="135"/>
      <c r="G310" s="135"/>
      <c r="H310" s="135"/>
      <c r="I310" s="135"/>
      <c r="J310" s="135"/>
      <c r="K310" s="135"/>
      <c r="L310" s="135"/>
      <c r="M310" s="135"/>
      <c r="N310" s="135"/>
      <c r="O310" s="135"/>
    </row>
    <row r="311" spans="2:15" x14ac:dyDescent="0.25">
      <c r="B311" s="135"/>
      <c r="C311" s="135"/>
      <c r="D311" s="139"/>
      <c r="E311" s="135"/>
      <c r="F311" s="135"/>
      <c r="G311" s="135"/>
      <c r="H311" s="135"/>
      <c r="I311" s="135"/>
      <c r="J311" s="135"/>
      <c r="K311" s="135"/>
      <c r="L311" s="135"/>
      <c r="M311" s="135"/>
      <c r="N311" s="135"/>
      <c r="O311" s="135"/>
    </row>
    <row r="312" spans="2:15" x14ac:dyDescent="0.25">
      <c r="B312" s="135"/>
      <c r="C312" s="135"/>
      <c r="D312" s="139"/>
      <c r="E312" s="135"/>
      <c r="F312" s="135"/>
      <c r="G312" s="135"/>
      <c r="H312" s="135"/>
      <c r="I312" s="135"/>
      <c r="J312" s="135"/>
      <c r="K312" s="135"/>
      <c r="L312" s="135"/>
      <c r="M312" s="135"/>
      <c r="N312" s="135"/>
      <c r="O312" s="135"/>
    </row>
    <row r="313" spans="2:15" x14ac:dyDescent="0.25">
      <c r="B313" s="135"/>
      <c r="C313" s="135"/>
      <c r="D313" s="139"/>
      <c r="E313" s="135"/>
      <c r="F313" s="135"/>
      <c r="G313" s="135"/>
      <c r="H313" s="135"/>
      <c r="I313" s="135"/>
      <c r="J313" s="135"/>
      <c r="K313" s="135"/>
      <c r="L313" s="135"/>
      <c r="M313" s="135"/>
      <c r="N313" s="135"/>
      <c r="O313" s="135"/>
    </row>
    <row r="314" spans="2:15" x14ac:dyDescent="0.25">
      <c r="B314" s="135"/>
      <c r="C314" s="135"/>
      <c r="D314" s="139"/>
      <c r="E314" s="135"/>
      <c r="F314" s="135"/>
      <c r="G314" s="135"/>
      <c r="H314" s="135"/>
      <c r="I314" s="135"/>
      <c r="J314" s="135"/>
      <c r="K314" s="135"/>
      <c r="L314" s="135"/>
      <c r="M314" s="135"/>
      <c r="N314" s="135"/>
      <c r="O314" s="135"/>
    </row>
    <row r="315" spans="2:15" x14ac:dyDescent="0.25">
      <c r="B315" s="135"/>
      <c r="C315" s="135"/>
      <c r="D315" s="139"/>
      <c r="E315" s="135"/>
      <c r="F315" s="135"/>
      <c r="G315" s="135"/>
      <c r="H315" s="135"/>
      <c r="I315" s="135"/>
      <c r="J315" s="135"/>
      <c r="K315" s="135"/>
      <c r="L315" s="135"/>
      <c r="M315" s="135"/>
      <c r="N315" s="135"/>
      <c r="O315" s="135"/>
    </row>
    <row r="316" spans="2:15" x14ac:dyDescent="0.25">
      <c r="B316" s="135"/>
      <c r="C316" s="135"/>
      <c r="D316" s="139"/>
      <c r="E316" s="135"/>
      <c r="F316" s="135"/>
      <c r="G316" s="135"/>
      <c r="H316" s="135"/>
      <c r="I316" s="135"/>
      <c r="J316" s="135"/>
      <c r="K316" s="135"/>
      <c r="L316" s="135"/>
      <c r="M316" s="135"/>
      <c r="N316" s="135"/>
      <c r="O316" s="135"/>
    </row>
    <row r="317" spans="2:15" x14ac:dyDescent="0.25">
      <c r="B317" s="135"/>
      <c r="C317" s="135"/>
      <c r="D317" s="139"/>
      <c r="E317" s="135"/>
      <c r="F317" s="135"/>
      <c r="G317" s="135"/>
      <c r="H317" s="135"/>
      <c r="I317" s="135"/>
      <c r="J317" s="135"/>
      <c r="K317" s="135"/>
      <c r="L317" s="135"/>
      <c r="M317" s="135"/>
      <c r="N317" s="135"/>
      <c r="O317" s="135"/>
    </row>
    <row r="318" spans="2:15" x14ac:dyDescent="0.25">
      <c r="B318" s="135"/>
      <c r="C318" s="135"/>
      <c r="D318" s="139"/>
      <c r="E318" s="135"/>
      <c r="F318" s="135"/>
      <c r="G318" s="135"/>
      <c r="H318" s="135"/>
      <c r="I318" s="135"/>
      <c r="J318" s="135"/>
      <c r="K318" s="135"/>
      <c r="L318" s="135"/>
      <c r="M318" s="135"/>
      <c r="N318" s="135"/>
      <c r="O318" s="135"/>
    </row>
    <row r="319" spans="2:15" x14ac:dyDescent="0.25">
      <c r="B319" s="135"/>
      <c r="C319" s="135"/>
      <c r="D319" s="139"/>
      <c r="E319" s="135"/>
      <c r="F319" s="135"/>
      <c r="G319" s="135"/>
      <c r="H319" s="135"/>
      <c r="I319" s="135"/>
      <c r="J319" s="135"/>
      <c r="K319" s="135"/>
      <c r="L319" s="135"/>
      <c r="M319" s="135"/>
      <c r="N319" s="135"/>
      <c r="O319" s="135"/>
    </row>
    <row r="320" spans="2:15" x14ac:dyDescent="0.25">
      <c r="C320" s="135"/>
      <c r="D320" s="139"/>
      <c r="E320" s="135"/>
      <c r="F320" s="135"/>
      <c r="G320" s="135"/>
      <c r="H320" s="135"/>
      <c r="I320" s="135"/>
      <c r="J320" s="135"/>
      <c r="K320" s="135"/>
      <c r="L320" s="135"/>
      <c r="M320" s="135"/>
      <c r="N320" s="135"/>
      <c r="O320" s="135"/>
    </row>
    <row r="321" spans="2:15" ht="13" x14ac:dyDescent="0.3">
      <c r="C321" s="150"/>
      <c r="D321" s="159"/>
      <c r="E321" s="150"/>
      <c r="F321" s="150"/>
      <c r="G321" s="135"/>
      <c r="H321" s="135"/>
      <c r="I321" s="135"/>
      <c r="J321" s="135"/>
      <c r="K321" s="135"/>
      <c r="L321" s="135"/>
      <c r="M321" s="135"/>
      <c r="N321" s="135"/>
      <c r="O321" s="135"/>
    </row>
    <row r="322" spans="2:15" ht="13" x14ac:dyDescent="0.3">
      <c r="C322" s="150"/>
      <c r="D322" s="160"/>
      <c r="E322" s="152"/>
      <c r="F322" s="151"/>
      <c r="G322" s="135"/>
      <c r="H322" s="135"/>
      <c r="I322" s="135"/>
      <c r="J322" s="135"/>
      <c r="K322" s="135"/>
      <c r="L322" s="135"/>
      <c r="M322" s="135"/>
      <c r="N322" s="135"/>
      <c r="O322" s="135"/>
    </row>
    <row r="323" spans="2:15" ht="13" x14ac:dyDescent="0.3">
      <c r="C323" s="150"/>
      <c r="D323" s="161"/>
      <c r="E323" s="152"/>
      <c r="F323" s="153"/>
      <c r="G323" s="135"/>
      <c r="H323" s="135"/>
      <c r="I323" s="135"/>
      <c r="J323" s="135"/>
      <c r="K323" s="135"/>
      <c r="L323" s="135"/>
      <c r="M323" s="135"/>
      <c r="N323" s="135"/>
      <c r="O323" s="135"/>
    </row>
    <row r="324" spans="2:15" ht="13" x14ac:dyDescent="0.3">
      <c r="C324" s="150"/>
      <c r="D324" s="161"/>
      <c r="E324" s="153"/>
      <c r="F324" s="151"/>
      <c r="G324" s="135"/>
      <c r="H324" s="135"/>
      <c r="I324" s="135"/>
      <c r="J324" s="135"/>
      <c r="K324" s="135"/>
      <c r="L324" s="135"/>
      <c r="M324" s="135"/>
      <c r="N324" s="135"/>
      <c r="O324" s="135"/>
    </row>
    <row r="325" spans="2:15" ht="13" x14ac:dyDescent="0.3">
      <c r="C325" s="150"/>
      <c r="D325" s="161"/>
      <c r="E325" s="153"/>
      <c r="F325" s="151"/>
      <c r="G325" s="135"/>
      <c r="H325" s="135"/>
      <c r="I325" s="135"/>
      <c r="J325" s="135"/>
      <c r="K325" s="135"/>
      <c r="L325" s="135"/>
      <c r="M325" s="135"/>
      <c r="N325" s="135"/>
      <c r="O325" s="135"/>
    </row>
    <row r="326" spans="2:15" ht="13" x14ac:dyDescent="0.3">
      <c r="C326" s="150"/>
      <c r="D326" s="161"/>
      <c r="E326" s="4"/>
      <c r="F326" s="153"/>
      <c r="G326" s="135"/>
      <c r="H326" s="135"/>
      <c r="I326" s="135"/>
      <c r="J326" s="135"/>
      <c r="K326" s="135"/>
      <c r="L326" s="135"/>
      <c r="M326" s="135"/>
      <c r="N326" s="135"/>
      <c r="O326" s="135"/>
    </row>
    <row r="327" spans="2:15" x14ac:dyDescent="0.25">
      <c r="B327" s="135"/>
      <c r="C327" s="135"/>
      <c r="D327" s="139"/>
      <c r="E327" s="135"/>
      <c r="F327" s="135"/>
      <c r="G327" s="135"/>
      <c r="H327" s="135"/>
      <c r="I327" s="135"/>
      <c r="J327" s="135"/>
      <c r="K327" s="135"/>
      <c r="L327" s="135"/>
      <c r="M327" s="135"/>
      <c r="N327" s="135"/>
      <c r="O327" s="135"/>
    </row>
    <row r="328" spans="2:15" x14ac:dyDescent="0.25">
      <c r="B328" s="135"/>
      <c r="C328" s="135"/>
      <c r="D328" s="139"/>
      <c r="E328" s="135"/>
      <c r="F328" s="135"/>
      <c r="G328" s="135"/>
      <c r="H328" s="135"/>
      <c r="I328" s="135"/>
      <c r="J328" s="135"/>
      <c r="K328" s="135"/>
      <c r="L328" s="135"/>
      <c r="M328" s="135"/>
      <c r="N328" s="135"/>
      <c r="O328" s="135"/>
    </row>
    <row r="329" spans="2:15" x14ac:dyDescent="0.25">
      <c r="B329" s="135"/>
      <c r="C329" s="135"/>
      <c r="D329" s="139"/>
      <c r="E329" s="135"/>
      <c r="F329" s="135"/>
      <c r="G329" s="135"/>
      <c r="H329" s="135"/>
      <c r="I329" s="135"/>
      <c r="J329" s="135"/>
      <c r="K329" s="135"/>
      <c r="L329" s="135"/>
      <c r="M329" s="135"/>
      <c r="N329" s="135"/>
      <c r="O329" s="135"/>
    </row>
    <row r="330" spans="2:15" x14ac:dyDescent="0.25">
      <c r="B330" s="135"/>
      <c r="C330" s="135"/>
      <c r="D330" s="139"/>
      <c r="E330" s="135"/>
      <c r="F330" s="135"/>
      <c r="G330" s="135"/>
      <c r="H330" s="135"/>
      <c r="I330" s="135"/>
      <c r="J330" s="135"/>
      <c r="K330" s="135"/>
      <c r="L330" s="135"/>
      <c r="M330" s="135"/>
      <c r="N330" s="135"/>
      <c r="O330" s="135"/>
    </row>
    <row r="331" spans="2:15" x14ac:dyDescent="0.25">
      <c r="B331" s="135"/>
      <c r="C331" s="135"/>
      <c r="D331" s="139"/>
      <c r="E331" s="135"/>
      <c r="F331" s="135"/>
      <c r="G331" s="135"/>
      <c r="H331" s="135"/>
      <c r="I331" s="135"/>
      <c r="J331" s="135"/>
      <c r="K331" s="135"/>
      <c r="L331" s="135"/>
      <c r="M331" s="135"/>
      <c r="N331" s="135"/>
      <c r="O331" s="135"/>
    </row>
    <row r="332" spans="2:15" x14ac:dyDescent="0.25">
      <c r="B332" s="135"/>
      <c r="C332" s="135"/>
      <c r="D332" s="139"/>
      <c r="E332" s="135"/>
      <c r="F332" s="135"/>
      <c r="G332" s="135"/>
      <c r="H332" s="135"/>
      <c r="I332" s="135"/>
      <c r="J332" s="135"/>
      <c r="K332" s="135"/>
      <c r="L332" s="135"/>
      <c r="M332" s="135"/>
      <c r="N332" s="135"/>
      <c r="O332" s="135"/>
    </row>
    <row r="333" spans="2:15" x14ac:dyDescent="0.25">
      <c r="B333" s="135"/>
      <c r="C333" s="135"/>
      <c r="D333" s="139"/>
      <c r="E333" s="135"/>
      <c r="F333" s="135"/>
      <c r="G333" s="135"/>
      <c r="H333" s="135"/>
      <c r="I333" s="135"/>
      <c r="J333" s="135"/>
      <c r="K333" s="135"/>
      <c r="L333" s="135"/>
      <c r="M333" s="135"/>
      <c r="N333" s="135"/>
      <c r="O333" s="135"/>
    </row>
    <row r="334" spans="2:15" x14ac:dyDescent="0.25">
      <c r="B334" s="135"/>
      <c r="C334" s="135"/>
      <c r="D334" s="139"/>
      <c r="E334" s="135"/>
      <c r="F334" s="135"/>
      <c r="G334" s="135"/>
      <c r="H334" s="135"/>
      <c r="I334" s="135"/>
      <c r="J334" s="135"/>
      <c r="K334" s="135"/>
      <c r="L334" s="135"/>
      <c r="M334" s="135"/>
      <c r="N334" s="135"/>
      <c r="O334" s="135"/>
    </row>
    <row r="335" spans="2:15" x14ac:dyDescent="0.25">
      <c r="B335" s="135"/>
      <c r="C335" s="135"/>
      <c r="D335" s="139"/>
      <c r="E335" s="135"/>
      <c r="F335" s="135"/>
      <c r="G335" s="135"/>
      <c r="H335" s="135"/>
      <c r="I335" s="135"/>
      <c r="J335" s="135"/>
      <c r="K335" s="135"/>
      <c r="L335" s="135"/>
      <c r="M335" s="135"/>
      <c r="N335" s="135"/>
      <c r="O335" s="135"/>
    </row>
    <row r="336" spans="2:15" x14ac:dyDescent="0.25">
      <c r="B336" s="135"/>
      <c r="C336" s="135"/>
      <c r="D336" s="139"/>
      <c r="E336" s="135"/>
      <c r="F336" s="135"/>
      <c r="G336" s="135"/>
      <c r="H336" s="135"/>
      <c r="I336" s="135"/>
      <c r="J336" s="135"/>
      <c r="K336" s="135"/>
      <c r="L336" s="135"/>
      <c r="M336" s="135"/>
      <c r="N336" s="135"/>
      <c r="O336" s="135"/>
    </row>
    <row r="337" spans="2:15" x14ac:dyDescent="0.25">
      <c r="B337" s="135"/>
      <c r="C337" s="135"/>
      <c r="D337" s="139"/>
      <c r="E337" s="135"/>
      <c r="F337" s="135"/>
      <c r="G337" s="135"/>
      <c r="H337" s="135"/>
      <c r="I337" s="135"/>
      <c r="J337" s="135"/>
      <c r="K337" s="135"/>
      <c r="L337" s="135"/>
      <c r="M337" s="135"/>
      <c r="N337" s="135"/>
      <c r="O337" s="135"/>
    </row>
    <row r="338" spans="2:15" x14ac:dyDescent="0.25">
      <c r="C338" s="135"/>
      <c r="D338" s="139"/>
      <c r="E338" s="135"/>
      <c r="F338" s="135"/>
      <c r="G338" s="135"/>
      <c r="H338" s="135"/>
      <c r="I338" s="135"/>
      <c r="J338" s="135"/>
      <c r="K338" s="135"/>
      <c r="L338" s="135"/>
      <c r="M338" s="135"/>
      <c r="N338" s="135"/>
      <c r="O338" s="135"/>
    </row>
    <row r="339" spans="2:15" ht="13" x14ac:dyDescent="0.3">
      <c r="C339" s="150"/>
      <c r="D339" s="159"/>
      <c r="E339" s="150"/>
      <c r="F339" s="150"/>
      <c r="G339" s="135"/>
      <c r="H339" s="135"/>
      <c r="I339" s="135"/>
      <c r="J339" s="135"/>
      <c r="K339" s="135"/>
      <c r="L339" s="135"/>
      <c r="M339" s="135"/>
      <c r="N339" s="135"/>
      <c r="O339" s="135"/>
    </row>
    <row r="340" spans="2:15" ht="13" x14ac:dyDescent="0.3">
      <c r="C340" s="150"/>
      <c r="D340" s="161"/>
      <c r="E340" s="152"/>
      <c r="F340" s="151"/>
      <c r="G340" s="135"/>
      <c r="H340" s="135"/>
      <c r="I340" s="135"/>
      <c r="J340" s="135"/>
      <c r="K340" s="135"/>
      <c r="L340" s="135"/>
      <c r="M340" s="135"/>
      <c r="N340" s="135"/>
      <c r="O340" s="135"/>
    </row>
    <row r="341" spans="2:15" ht="13" x14ac:dyDescent="0.3">
      <c r="C341" s="150"/>
      <c r="D341" s="161"/>
      <c r="E341" s="152"/>
      <c r="F341" s="153"/>
      <c r="G341" s="135"/>
      <c r="H341" s="135"/>
      <c r="I341" s="135"/>
      <c r="J341" s="135"/>
      <c r="K341" s="135"/>
      <c r="L341" s="135"/>
      <c r="M341" s="135"/>
      <c r="N341" s="135"/>
      <c r="O341" s="135"/>
    </row>
    <row r="342" spans="2:15" ht="13" x14ac:dyDescent="0.3">
      <c r="C342" s="150"/>
      <c r="D342" s="161"/>
      <c r="E342" s="153"/>
      <c r="F342" s="151"/>
      <c r="G342" s="135"/>
      <c r="H342" s="135"/>
      <c r="I342" s="135"/>
      <c r="J342" s="135"/>
      <c r="K342" s="135"/>
      <c r="L342" s="135"/>
      <c r="M342" s="135"/>
      <c r="N342" s="135"/>
      <c r="O342" s="135"/>
    </row>
    <row r="343" spans="2:15" ht="13" x14ac:dyDescent="0.3">
      <c r="C343" s="150"/>
      <c r="D343" s="161"/>
      <c r="E343" s="153"/>
      <c r="F343" s="151"/>
      <c r="G343" s="135"/>
      <c r="H343" s="135"/>
      <c r="I343" s="135"/>
      <c r="J343" s="135"/>
      <c r="K343" s="135"/>
      <c r="L343" s="135"/>
      <c r="M343" s="135"/>
      <c r="N343" s="135"/>
      <c r="O343" s="135"/>
    </row>
    <row r="344" spans="2:15" ht="13" x14ac:dyDescent="0.3">
      <c r="C344" s="150"/>
      <c r="D344" s="161"/>
      <c r="E344" s="4"/>
      <c r="F344" s="153"/>
      <c r="G344" s="135"/>
      <c r="H344" s="135"/>
      <c r="I344" s="135"/>
      <c r="J344" s="135"/>
      <c r="K344" s="135"/>
      <c r="L344" s="135"/>
      <c r="M344" s="135"/>
      <c r="N344" s="135"/>
      <c r="O344" s="135"/>
    </row>
    <row r="345" spans="2:15" x14ac:dyDescent="0.25">
      <c r="B345" s="135"/>
      <c r="C345" s="135"/>
      <c r="D345" s="139"/>
      <c r="E345" s="135"/>
      <c r="G345" s="135"/>
      <c r="H345" s="135"/>
      <c r="I345" s="135"/>
      <c r="J345" s="135"/>
      <c r="K345" s="135"/>
      <c r="L345" s="135"/>
      <c r="M345" s="135"/>
      <c r="N345" s="135"/>
      <c r="O345" s="135"/>
    </row>
    <row r="346" spans="2:15" x14ac:dyDescent="0.25">
      <c r="B346" s="135"/>
      <c r="C346" s="135"/>
      <c r="D346" s="139"/>
      <c r="E346" s="135"/>
      <c r="F346" s="135"/>
      <c r="G346" s="135"/>
      <c r="H346" s="135"/>
      <c r="I346" s="135"/>
      <c r="J346" s="135"/>
      <c r="K346" s="135"/>
      <c r="L346" s="135"/>
      <c r="M346" s="135"/>
      <c r="N346" s="135"/>
      <c r="O346" s="135"/>
    </row>
    <row r="347" spans="2:15" x14ac:dyDescent="0.25">
      <c r="B347" s="135"/>
      <c r="C347" s="135"/>
      <c r="D347" s="139"/>
      <c r="E347" s="135"/>
      <c r="F347" s="135"/>
      <c r="G347" s="135"/>
      <c r="H347" s="135"/>
      <c r="I347" s="135"/>
      <c r="J347" s="135"/>
      <c r="K347" s="135"/>
      <c r="L347" s="135"/>
      <c r="M347" s="135"/>
      <c r="N347" s="135"/>
      <c r="O347" s="135"/>
    </row>
    <row r="348" spans="2:15" x14ac:dyDescent="0.25">
      <c r="G348" s="135"/>
      <c r="H348" s="135"/>
      <c r="I348" s="135"/>
      <c r="J348" s="135"/>
      <c r="K348" s="135"/>
      <c r="L348" s="135"/>
      <c r="M348" s="135"/>
      <c r="N348" s="135"/>
      <c r="O348" s="135"/>
    </row>
    <row r="349" spans="2:15" x14ac:dyDescent="0.25">
      <c r="G349" s="135"/>
      <c r="H349" s="135"/>
      <c r="I349" s="135"/>
      <c r="J349" s="135"/>
      <c r="K349" s="135"/>
      <c r="L349" s="135"/>
      <c r="M349" s="135"/>
      <c r="N349" s="135"/>
      <c r="O349" s="135"/>
    </row>
    <row r="350" spans="2:15" x14ac:dyDescent="0.25">
      <c r="G350" s="135"/>
      <c r="H350" s="135"/>
      <c r="I350" s="135"/>
      <c r="J350" s="135"/>
      <c r="K350" s="135"/>
      <c r="L350" s="135"/>
      <c r="M350" s="135"/>
      <c r="N350" s="135"/>
      <c r="O350" s="135"/>
    </row>
    <row r="351" spans="2:15" ht="15.5" x14ac:dyDescent="0.35">
      <c r="B351" s="68"/>
      <c r="C351" s="4"/>
      <c r="G351" s="135"/>
      <c r="H351" s="135"/>
      <c r="I351" s="135"/>
      <c r="J351" s="135"/>
      <c r="K351" s="135"/>
      <c r="L351" s="135"/>
      <c r="M351" s="135"/>
      <c r="N351" s="135"/>
      <c r="O351" s="135"/>
    </row>
    <row r="352" spans="2:15" ht="13" x14ac:dyDescent="0.3">
      <c r="B352" s="14"/>
      <c r="G352" s="135"/>
      <c r="H352" s="135"/>
      <c r="I352" s="135"/>
      <c r="J352" s="135"/>
      <c r="K352" s="135"/>
      <c r="L352" s="135"/>
      <c r="M352" s="135"/>
      <c r="N352" s="135"/>
      <c r="O352" s="135"/>
    </row>
    <row r="353" spans="2:15" ht="13" x14ac:dyDescent="0.3">
      <c r="B353" s="16"/>
      <c r="G353" s="135"/>
      <c r="H353" s="135"/>
      <c r="I353" s="135"/>
      <c r="J353" s="135"/>
      <c r="K353" s="135"/>
      <c r="L353" s="135"/>
      <c r="M353" s="135"/>
      <c r="N353" s="135"/>
      <c r="O353" s="135"/>
    </row>
    <row r="354" spans="2:15" ht="13" x14ac:dyDescent="0.3">
      <c r="B354" s="4"/>
      <c r="F354" s="4"/>
      <c r="G354" s="135"/>
      <c r="H354" s="135"/>
      <c r="I354" s="135"/>
      <c r="J354" s="135"/>
      <c r="K354" s="135"/>
      <c r="L354" s="135"/>
      <c r="M354" s="135"/>
      <c r="N354" s="135"/>
      <c r="O354" s="135"/>
    </row>
    <row r="355" spans="2:15" ht="13" x14ac:dyDescent="0.3">
      <c r="B355" s="4"/>
      <c r="G355" s="135"/>
      <c r="H355" s="135"/>
      <c r="I355" s="135"/>
      <c r="J355" s="135"/>
      <c r="K355" s="135"/>
      <c r="L355" s="135"/>
      <c r="M355" s="135"/>
      <c r="N355" s="135"/>
      <c r="O355" s="135"/>
    </row>
    <row r="356" spans="2:15" ht="13" x14ac:dyDescent="0.3">
      <c r="B356" s="4"/>
      <c r="G356" s="135"/>
      <c r="H356" s="135"/>
      <c r="I356" s="135"/>
      <c r="J356" s="135"/>
      <c r="K356" s="135"/>
      <c r="L356" s="135"/>
      <c r="M356" s="135"/>
      <c r="N356" s="135"/>
      <c r="O356" s="135"/>
    </row>
    <row r="357" spans="2:15" ht="13" x14ac:dyDescent="0.3">
      <c r="B357" s="4"/>
      <c r="G357" s="135"/>
      <c r="H357" s="135"/>
      <c r="I357" s="135"/>
      <c r="J357" s="135"/>
      <c r="K357" s="135"/>
      <c r="L357" s="135"/>
      <c r="M357" s="135"/>
      <c r="N357" s="135"/>
      <c r="O357" s="135"/>
    </row>
    <row r="358" spans="2:15" ht="13" x14ac:dyDescent="0.3">
      <c r="B358" s="4"/>
      <c r="G358" s="135"/>
      <c r="H358" s="135"/>
      <c r="I358" s="135"/>
      <c r="J358" s="135"/>
      <c r="K358" s="135"/>
      <c r="L358" s="135"/>
      <c r="M358" s="135"/>
      <c r="N358" s="135"/>
      <c r="O358" s="135"/>
    </row>
    <row r="359" spans="2:15" x14ac:dyDescent="0.25">
      <c r="B359" s="3"/>
      <c r="G359" s="135"/>
      <c r="H359" s="135"/>
      <c r="I359" s="135"/>
      <c r="J359" s="135"/>
      <c r="K359" s="135"/>
      <c r="L359" s="135"/>
      <c r="M359" s="135"/>
      <c r="N359" s="135"/>
      <c r="O359" s="135"/>
    </row>
    <row r="360" spans="2:15" ht="13" x14ac:dyDescent="0.3">
      <c r="B360" s="10"/>
      <c r="G360" s="135"/>
      <c r="H360" s="135"/>
      <c r="I360" s="135"/>
      <c r="J360" s="135"/>
      <c r="K360" s="135"/>
      <c r="L360" s="135"/>
      <c r="M360" s="135"/>
      <c r="N360" s="135"/>
      <c r="O360" s="135"/>
    </row>
    <row r="361" spans="2:15" ht="13" x14ac:dyDescent="0.3">
      <c r="B361" s="16"/>
      <c r="C361" s="4"/>
      <c r="D361" s="10"/>
      <c r="E361" s="4"/>
      <c r="G361" s="135"/>
      <c r="H361" s="135"/>
      <c r="I361" s="135"/>
      <c r="J361" s="135"/>
      <c r="K361" s="135"/>
      <c r="L361" s="135"/>
      <c r="M361" s="135"/>
      <c r="N361" s="135"/>
      <c r="O361" s="135"/>
    </row>
    <row r="362" spans="2:15" ht="13" x14ac:dyDescent="0.3">
      <c r="B362" s="13"/>
      <c r="C362" s="154"/>
      <c r="E362" s="3"/>
      <c r="G362" s="135"/>
      <c r="H362" s="135"/>
      <c r="I362" s="135"/>
      <c r="J362" s="135"/>
      <c r="K362" s="135"/>
      <c r="L362" s="135"/>
      <c r="M362" s="135"/>
      <c r="N362" s="135"/>
      <c r="O362" s="135"/>
    </row>
    <row r="363" spans="2:15" ht="13" x14ac:dyDescent="0.3">
      <c r="B363" s="13"/>
      <c r="C363" s="154"/>
      <c r="E363" s="3"/>
      <c r="G363" s="135"/>
      <c r="H363" s="135"/>
      <c r="I363" s="135"/>
      <c r="J363" s="135"/>
      <c r="K363" s="135"/>
      <c r="L363" s="135"/>
      <c r="M363" s="135"/>
      <c r="N363" s="135"/>
      <c r="O363" s="135"/>
    </row>
    <row r="364" spans="2:15" ht="13" x14ac:dyDescent="0.3">
      <c r="B364" s="13"/>
      <c r="C364" s="154"/>
      <c r="E364" s="3"/>
      <c r="G364" s="135"/>
      <c r="H364" s="135"/>
      <c r="I364" s="135"/>
      <c r="J364" s="135"/>
      <c r="K364" s="135"/>
      <c r="L364" s="135"/>
      <c r="M364" s="135"/>
      <c r="N364" s="135"/>
      <c r="O364" s="135"/>
    </row>
    <row r="365" spans="2:15" ht="13" x14ac:dyDescent="0.3">
      <c r="B365" s="13"/>
      <c r="C365" s="154"/>
      <c r="E365" s="3"/>
      <c r="G365" s="135"/>
      <c r="H365" s="135"/>
      <c r="I365" s="135"/>
      <c r="J365" s="135"/>
      <c r="K365" s="135"/>
      <c r="L365" s="135"/>
      <c r="M365" s="135"/>
      <c r="N365" s="135"/>
      <c r="O365" s="135"/>
    </row>
    <row r="366" spans="2:15" ht="13" x14ac:dyDescent="0.3">
      <c r="B366" s="13"/>
      <c r="C366" s="154"/>
      <c r="E366" s="3"/>
      <c r="G366" s="135"/>
      <c r="H366" s="135"/>
      <c r="I366" s="135"/>
      <c r="J366" s="135"/>
      <c r="K366" s="135"/>
      <c r="L366" s="135"/>
      <c r="M366" s="135"/>
      <c r="N366" s="135"/>
      <c r="O366" s="135"/>
    </row>
    <row r="367" spans="2:15" ht="13" x14ac:dyDescent="0.3">
      <c r="B367" s="2"/>
      <c r="G367" s="135"/>
      <c r="H367" s="135"/>
      <c r="I367" s="135"/>
      <c r="J367" s="135"/>
      <c r="K367" s="135"/>
      <c r="L367" s="135"/>
      <c r="M367" s="135"/>
      <c r="N367" s="135"/>
      <c r="O367" s="135"/>
    </row>
    <row r="368" spans="2:15" ht="13" x14ac:dyDescent="0.3">
      <c r="B368" s="16"/>
      <c r="G368" s="135"/>
      <c r="H368" s="135"/>
      <c r="I368" s="135"/>
      <c r="J368" s="135"/>
      <c r="K368" s="135"/>
      <c r="L368" s="135"/>
      <c r="M368" s="135"/>
      <c r="N368" s="135"/>
      <c r="O368" s="135"/>
    </row>
    <row r="369" spans="2:15" ht="13" x14ac:dyDescent="0.3">
      <c r="B369" s="16"/>
      <c r="G369" s="135"/>
      <c r="H369" s="135"/>
      <c r="I369" s="135"/>
      <c r="J369" s="135"/>
      <c r="K369" s="135"/>
      <c r="L369" s="135"/>
      <c r="M369" s="135"/>
      <c r="N369" s="135"/>
      <c r="O369" s="135"/>
    </row>
    <row r="370" spans="2:15" ht="13" x14ac:dyDescent="0.3">
      <c r="B370" s="16"/>
      <c r="G370" s="135"/>
      <c r="H370" s="135"/>
      <c r="I370" s="135"/>
      <c r="J370" s="135"/>
      <c r="K370" s="135"/>
      <c r="L370" s="135"/>
      <c r="M370" s="135"/>
      <c r="N370" s="135"/>
      <c r="O370" s="135"/>
    </row>
    <row r="371" spans="2:15" ht="13" x14ac:dyDescent="0.3">
      <c r="B371" s="16"/>
      <c r="G371" s="135"/>
      <c r="H371" s="135"/>
      <c r="I371" s="135"/>
      <c r="J371" s="135"/>
      <c r="K371" s="135"/>
      <c r="L371" s="135"/>
      <c r="M371" s="135"/>
      <c r="N371" s="135"/>
      <c r="O371" s="135"/>
    </row>
    <row r="372" spans="2:15" ht="13" x14ac:dyDescent="0.3">
      <c r="B372" s="16"/>
      <c r="G372" s="135"/>
      <c r="H372" s="135"/>
      <c r="I372" s="135"/>
      <c r="J372" s="135"/>
      <c r="K372" s="135"/>
      <c r="L372" s="135"/>
      <c r="M372" s="135"/>
      <c r="N372" s="135"/>
      <c r="O372" s="135"/>
    </row>
    <row r="373" spans="2:15" ht="13" x14ac:dyDescent="0.3">
      <c r="B373" s="16"/>
      <c r="G373" s="135"/>
      <c r="H373" s="135"/>
      <c r="I373" s="135"/>
      <c r="J373" s="135"/>
      <c r="K373" s="135"/>
      <c r="L373" s="135"/>
      <c r="M373" s="135"/>
      <c r="N373" s="135"/>
      <c r="O373" s="135"/>
    </row>
    <row r="374" spans="2:15" ht="13" x14ac:dyDescent="0.3">
      <c r="B374" s="16"/>
      <c r="G374" s="135"/>
      <c r="H374" s="135"/>
      <c r="I374" s="135"/>
      <c r="J374" s="135"/>
      <c r="K374" s="135"/>
      <c r="L374" s="135"/>
      <c r="M374" s="135"/>
      <c r="N374" s="135"/>
      <c r="O374" s="135"/>
    </row>
    <row r="375" spans="2:15" x14ac:dyDescent="0.25">
      <c r="G375" s="135"/>
      <c r="H375" s="135"/>
      <c r="I375" s="135"/>
      <c r="J375" s="135"/>
      <c r="K375" s="135"/>
      <c r="L375" s="135"/>
      <c r="M375" s="135"/>
      <c r="N375" s="135"/>
      <c r="O375" s="135"/>
    </row>
    <row r="376" spans="2:15" x14ac:dyDescent="0.25">
      <c r="G376" s="135"/>
      <c r="H376" s="135"/>
      <c r="I376" s="135"/>
      <c r="J376" s="135"/>
      <c r="K376" s="135"/>
      <c r="L376" s="135"/>
      <c r="M376" s="135"/>
      <c r="N376" s="135"/>
      <c r="O376" s="135"/>
    </row>
    <row r="377" spans="2:15" x14ac:dyDescent="0.25">
      <c r="G377" s="135"/>
      <c r="H377" s="135"/>
      <c r="I377" s="135"/>
      <c r="J377" s="135"/>
      <c r="K377" s="135"/>
      <c r="L377" s="135"/>
      <c r="M377" s="135"/>
      <c r="N377" s="135"/>
      <c r="O377" s="135"/>
    </row>
    <row r="378" spans="2:15" x14ac:dyDescent="0.25">
      <c r="G378" s="135"/>
      <c r="H378" s="135"/>
      <c r="I378" s="135"/>
      <c r="J378" s="135"/>
      <c r="K378" s="135"/>
      <c r="L378" s="135"/>
      <c r="M378" s="135"/>
      <c r="N378" s="135"/>
      <c r="O378" s="135"/>
    </row>
    <row r="379" spans="2:15" x14ac:dyDescent="0.25">
      <c r="G379" s="135"/>
      <c r="H379" s="135"/>
      <c r="I379" s="135"/>
      <c r="J379" s="135"/>
      <c r="K379" s="135"/>
      <c r="L379" s="135"/>
      <c r="M379" s="135"/>
      <c r="N379" s="135"/>
      <c r="O379" s="135"/>
    </row>
    <row r="380" spans="2:15" x14ac:dyDescent="0.25">
      <c r="G380" s="135"/>
      <c r="H380" s="135"/>
      <c r="I380" s="135"/>
      <c r="J380" s="135"/>
      <c r="K380" s="135"/>
      <c r="L380" s="135"/>
      <c r="M380" s="135"/>
      <c r="N380" s="135"/>
      <c r="O380" s="135"/>
    </row>
    <row r="381" spans="2:15" x14ac:dyDescent="0.25">
      <c r="G381" s="135"/>
      <c r="H381" s="135"/>
      <c r="I381" s="135"/>
      <c r="J381" s="135"/>
      <c r="K381" s="135"/>
      <c r="L381" s="135"/>
      <c r="M381" s="135"/>
      <c r="N381" s="135"/>
      <c r="O381" s="135"/>
    </row>
    <row r="382" spans="2:15" x14ac:dyDescent="0.25">
      <c r="G382" s="135"/>
      <c r="H382" s="135"/>
      <c r="I382" s="135"/>
      <c r="J382" s="135"/>
      <c r="K382" s="135"/>
      <c r="L382" s="135"/>
      <c r="M382" s="135"/>
      <c r="N382" s="135"/>
      <c r="O382" s="135"/>
    </row>
    <row r="383" spans="2:15" x14ac:dyDescent="0.25">
      <c r="G383" s="135"/>
      <c r="H383" s="135"/>
      <c r="I383" s="135"/>
      <c r="J383" s="135"/>
      <c r="K383" s="135"/>
      <c r="L383" s="135"/>
      <c r="M383" s="135"/>
      <c r="N383" s="135"/>
      <c r="O383" s="135"/>
    </row>
    <row r="384" spans="2:15" x14ac:dyDescent="0.25">
      <c r="G384" s="135"/>
      <c r="H384" s="135"/>
      <c r="I384" s="135"/>
      <c r="J384" s="135"/>
      <c r="K384" s="135"/>
      <c r="L384" s="135"/>
      <c r="M384" s="135"/>
      <c r="N384" s="135"/>
      <c r="O384" s="135"/>
    </row>
    <row r="385" spans="2:15" x14ac:dyDescent="0.25">
      <c r="G385" s="135"/>
      <c r="H385" s="135"/>
      <c r="I385" s="135"/>
      <c r="J385" s="135"/>
      <c r="K385" s="135"/>
      <c r="L385" s="135"/>
      <c r="M385" s="135"/>
      <c r="N385" s="135"/>
      <c r="O385" s="135"/>
    </row>
    <row r="386" spans="2:15" x14ac:dyDescent="0.25">
      <c r="G386" s="135"/>
      <c r="H386" s="135"/>
      <c r="I386" s="135"/>
      <c r="J386" s="135"/>
      <c r="K386" s="135"/>
      <c r="L386" s="135"/>
      <c r="M386" s="135"/>
      <c r="N386" s="135"/>
      <c r="O386" s="135"/>
    </row>
    <row r="387" spans="2:15" x14ac:dyDescent="0.25">
      <c r="G387" s="135"/>
      <c r="H387" s="135"/>
      <c r="I387" s="135"/>
      <c r="J387" s="135"/>
      <c r="K387" s="135"/>
      <c r="L387" s="135"/>
      <c r="M387" s="135"/>
      <c r="N387" s="135"/>
      <c r="O387" s="135"/>
    </row>
    <row r="388" spans="2:15" x14ac:dyDescent="0.25">
      <c r="G388" s="135"/>
      <c r="H388" s="135"/>
      <c r="I388" s="135"/>
      <c r="J388" s="135"/>
      <c r="K388" s="135"/>
      <c r="L388" s="135"/>
      <c r="M388" s="135"/>
      <c r="N388" s="135"/>
      <c r="O388" s="135"/>
    </row>
    <row r="389" spans="2:15" x14ac:dyDescent="0.25">
      <c r="G389" s="135"/>
      <c r="H389" s="135"/>
      <c r="I389" s="135"/>
      <c r="J389" s="135"/>
      <c r="K389" s="135"/>
      <c r="L389" s="135"/>
      <c r="M389" s="135"/>
      <c r="N389" s="135"/>
      <c r="O389" s="135"/>
    </row>
    <row r="390" spans="2:15" ht="13" x14ac:dyDescent="0.3">
      <c r="C390" s="4"/>
      <c r="D390" s="10"/>
      <c r="E390" s="4"/>
      <c r="G390" s="135"/>
      <c r="H390" s="135"/>
      <c r="I390" s="135"/>
      <c r="J390" s="135"/>
      <c r="K390" s="135"/>
      <c r="L390" s="135"/>
      <c r="M390" s="135"/>
      <c r="N390" s="135"/>
      <c r="O390" s="135"/>
    </row>
    <row r="391" spans="2:15" x14ac:dyDescent="0.25">
      <c r="B391" s="1"/>
      <c r="C391" s="154"/>
      <c r="E391" s="3"/>
      <c r="F391" s="155"/>
      <c r="G391" s="135"/>
      <c r="H391" s="135"/>
      <c r="I391" s="135"/>
      <c r="J391" s="135"/>
      <c r="K391" s="135"/>
      <c r="L391" s="135"/>
      <c r="M391" s="135"/>
      <c r="N391" s="135"/>
      <c r="O391" s="135"/>
    </row>
    <row r="392" spans="2:15" x14ac:dyDescent="0.25">
      <c r="B392" s="1"/>
      <c r="C392" s="154"/>
      <c r="E392" s="3"/>
      <c r="F392" s="155"/>
      <c r="G392" s="135"/>
      <c r="H392" s="135"/>
      <c r="I392" s="135"/>
      <c r="J392" s="135"/>
      <c r="K392" s="135"/>
      <c r="L392" s="135"/>
      <c r="M392" s="135"/>
      <c r="N392" s="135"/>
      <c r="O392" s="135"/>
    </row>
    <row r="393" spans="2:15" x14ac:dyDescent="0.25">
      <c r="B393" s="1"/>
      <c r="C393" s="154"/>
      <c r="E393" s="3"/>
      <c r="F393" s="155"/>
      <c r="G393" s="135"/>
      <c r="H393" s="135"/>
      <c r="I393" s="135"/>
      <c r="J393" s="135"/>
      <c r="K393" s="135"/>
      <c r="L393" s="135"/>
      <c r="M393" s="135"/>
      <c r="N393" s="135"/>
      <c r="O393" s="135"/>
    </row>
    <row r="394" spans="2:15" x14ac:dyDescent="0.25">
      <c r="B394" s="1"/>
      <c r="C394" s="154"/>
      <c r="E394" s="3"/>
      <c r="F394" s="155"/>
      <c r="G394" s="135"/>
      <c r="H394" s="135"/>
      <c r="I394" s="135"/>
      <c r="J394" s="135"/>
      <c r="K394" s="135"/>
      <c r="L394" s="135"/>
      <c r="M394" s="135"/>
      <c r="N394" s="135"/>
      <c r="O394" s="135"/>
    </row>
    <row r="395" spans="2:15" x14ac:dyDescent="0.25">
      <c r="B395" s="1"/>
      <c r="C395" s="154"/>
      <c r="E395" s="3"/>
      <c r="F395" s="155"/>
      <c r="G395" s="135"/>
      <c r="H395" s="135"/>
      <c r="I395" s="135"/>
      <c r="J395" s="135"/>
      <c r="K395" s="135"/>
      <c r="L395" s="135"/>
      <c r="M395" s="135"/>
      <c r="N395" s="135"/>
      <c r="O395" s="135"/>
    </row>
    <row r="396" spans="2:15" x14ac:dyDescent="0.25">
      <c r="G396" s="135"/>
      <c r="H396" s="135"/>
      <c r="I396" s="135"/>
      <c r="J396" s="135"/>
      <c r="K396" s="135"/>
      <c r="L396" s="135"/>
      <c r="M396" s="135"/>
      <c r="N396" s="135"/>
      <c r="O396" s="135"/>
    </row>
    <row r="397" spans="2:15" x14ac:dyDescent="0.25">
      <c r="G397" s="135"/>
      <c r="H397" s="135"/>
      <c r="I397" s="135"/>
      <c r="J397" s="135"/>
      <c r="K397" s="135"/>
      <c r="L397" s="135"/>
      <c r="M397" s="135"/>
      <c r="N397" s="135"/>
      <c r="O397" s="135"/>
    </row>
    <row r="398" spans="2:15" x14ac:dyDescent="0.25">
      <c r="G398" s="135"/>
      <c r="H398" s="135"/>
      <c r="I398" s="135"/>
      <c r="J398" s="135"/>
      <c r="K398" s="135"/>
      <c r="L398" s="135"/>
      <c r="M398" s="135"/>
      <c r="N398" s="135"/>
      <c r="O398" s="135"/>
    </row>
    <row r="399" spans="2:15" x14ac:dyDescent="0.25">
      <c r="B399" s="1"/>
      <c r="C399" s="3"/>
      <c r="G399" s="135"/>
      <c r="H399" s="135"/>
      <c r="I399" s="135"/>
      <c r="J399" s="135"/>
      <c r="K399" s="135"/>
      <c r="L399" s="135"/>
      <c r="M399" s="135"/>
      <c r="N399" s="135"/>
      <c r="O399" s="135"/>
    </row>
    <row r="400" spans="2:15" ht="13" x14ac:dyDescent="0.3">
      <c r="B400" s="10"/>
      <c r="C400" s="3"/>
      <c r="G400" s="135"/>
      <c r="H400" s="135"/>
      <c r="I400" s="135"/>
      <c r="J400" s="135"/>
      <c r="K400" s="135"/>
      <c r="L400" s="135"/>
      <c r="M400" s="135"/>
      <c r="N400" s="135"/>
      <c r="O400" s="135"/>
    </row>
    <row r="401" spans="2:15" x14ac:dyDescent="0.25">
      <c r="B401" s="12"/>
      <c r="C401" s="3"/>
      <c r="G401" s="135"/>
      <c r="H401" s="135"/>
      <c r="I401" s="135"/>
      <c r="J401" s="135"/>
      <c r="K401" s="135"/>
      <c r="L401" s="135"/>
      <c r="M401" s="135"/>
      <c r="N401" s="135"/>
      <c r="O401" s="135"/>
    </row>
    <row r="402" spans="2:15" x14ac:dyDescent="0.25">
      <c r="B402" s="8"/>
      <c r="C402" s="3"/>
      <c r="G402" s="135"/>
      <c r="H402" s="135"/>
      <c r="I402" s="135"/>
      <c r="J402" s="135"/>
      <c r="K402" s="135"/>
      <c r="L402" s="135"/>
      <c r="M402" s="135"/>
      <c r="N402" s="135"/>
      <c r="O402" s="135"/>
    </row>
    <row r="403" spans="2:15" x14ac:dyDescent="0.25">
      <c r="B403" s="8"/>
      <c r="C403" s="3"/>
      <c r="G403" s="135"/>
      <c r="H403" s="135"/>
      <c r="I403" s="135"/>
      <c r="J403" s="135"/>
      <c r="K403" s="135"/>
      <c r="L403" s="135"/>
      <c r="M403" s="135"/>
      <c r="N403" s="135"/>
      <c r="O403" s="135"/>
    </row>
    <row r="404" spans="2:15" x14ac:dyDescent="0.25">
      <c r="B404" s="8"/>
      <c r="C404" s="3"/>
      <c r="G404" s="135"/>
      <c r="H404" s="135"/>
      <c r="I404" s="135"/>
      <c r="J404" s="135"/>
      <c r="K404" s="135"/>
      <c r="L404" s="135"/>
      <c r="M404" s="135"/>
      <c r="N404" s="135"/>
      <c r="O404" s="135"/>
    </row>
    <row r="405" spans="2:15" ht="13" x14ac:dyDescent="0.3">
      <c r="B405" s="8"/>
      <c r="C405" s="3"/>
      <c r="F405" s="4"/>
      <c r="G405" s="135"/>
      <c r="H405" s="135"/>
      <c r="I405" s="135"/>
      <c r="J405" s="135"/>
      <c r="K405" s="135"/>
      <c r="L405" s="135"/>
      <c r="M405" s="135"/>
      <c r="N405" s="135"/>
      <c r="O405" s="135"/>
    </row>
    <row r="406" spans="2:15" x14ac:dyDescent="0.25">
      <c r="B406" s="8"/>
      <c r="C406" s="3"/>
      <c r="G406" s="135"/>
      <c r="H406" s="135"/>
      <c r="I406" s="135"/>
      <c r="J406" s="135"/>
      <c r="K406" s="135"/>
      <c r="L406" s="135"/>
      <c r="M406" s="135"/>
      <c r="N406" s="135"/>
      <c r="O406" s="135"/>
    </row>
    <row r="407" spans="2:15" x14ac:dyDescent="0.25">
      <c r="B407" s="8"/>
      <c r="C407" s="3"/>
      <c r="G407" s="135"/>
      <c r="H407" s="135"/>
      <c r="I407" s="135"/>
      <c r="J407" s="135"/>
      <c r="K407" s="135"/>
      <c r="L407" s="135"/>
      <c r="M407" s="135"/>
      <c r="N407" s="135"/>
      <c r="O407" s="135"/>
    </row>
    <row r="408" spans="2:15" x14ac:dyDescent="0.25">
      <c r="B408" s="8"/>
      <c r="C408" s="3"/>
      <c r="G408" s="135"/>
      <c r="H408" s="135"/>
      <c r="I408" s="135"/>
      <c r="J408" s="135"/>
      <c r="K408" s="135"/>
      <c r="L408" s="135"/>
      <c r="M408" s="135"/>
      <c r="N408" s="135"/>
      <c r="O408" s="135"/>
    </row>
    <row r="409" spans="2:15" x14ac:dyDescent="0.25">
      <c r="C409" s="3"/>
      <c r="G409" s="135"/>
      <c r="H409" s="135"/>
      <c r="I409" s="135"/>
      <c r="J409" s="135"/>
      <c r="K409" s="135"/>
      <c r="L409" s="135"/>
      <c r="M409" s="135"/>
      <c r="N409" s="135"/>
      <c r="O409" s="135"/>
    </row>
    <row r="410" spans="2:15" x14ac:dyDescent="0.25">
      <c r="C410" s="3"/>
      <c r="G410" s="135"/>
      <c r="H410" s="135"/>
      <c r="I410" s="135"/>
      <c r="J410" s="135"/>
      <c r="K410" s="135"/>
      <c r="L410" s="135"/>
      <c r="M410" s="135"/>
      <c r="N410" s="135"/>
      <c r="O410" s="135"/>
    </row>
    <row r="411" spans="2:15" x14ac:dyDescent="0.25">
      <c r="B411" s="8"/>
      <c r="C411" s="3"/>
    </row>
    <row r="412" spans="2:15" x14ac:dyDescent="0.25">
      <c r="B412" s="8"/>
      <c r="C412" s="3"/>
    </row>
    <row r="413" spans="2:15" x14ac:dyDescent="0.25">
      <c r="B413" s="1"/>
      <c r="C413" s="3"/>
    </row>
    <row r="414" spans="2:15" x14ac:dyDescent="0.25">
      <c r="B414" s="8"/>
      <c r="C414" s="3"/>
    </row>
    <row r="415" spans="2:15" x14ac:dyDescent="0.25">
      <c r="B415" s="8"/>
      <c r="C415" s="3"/>
    </row>
    <row r="416" spans="2:15" x14ac:dyDescent="0.25">
      <c r="B416" s="8"/>
      <c r="C416" s="3"/>
    </row>
    <row r="417" spans="2:3" x14ac:dyDescent="0.25">
      <c r="B417" s="1"/>
      <c r="C417" s="3"/>
    </row>
    <row r="418" spans="2:3" x14ac:dyDescent="0.25">
      <c r="B418" s="8"/>
    </row>
    <row r="419" spans="2:3" ht="13" x14ac:dyDescent="0.3">
      <c r="B419" s="2"/>
      <c r="C419" s="4"/>
    </row>
    <row r="420" spans="2:3" x14ac:dyDescent="0.25">
      <c r="B420" s="8"/>
      <c r="C420" s="3"/>
    </row>
    <row r="428" spans="2:3" ht="13" x14ac:dyDescent="0.3">
      <c r="B428" s="10"/>
    </row>
    <row r="429" spans="2:3" ht="13" x14ac:dyDescent="0.3">
      <c r="B429" s="156"/>
      <c r="C429" s="29"/>
    </row>
    <row r="430" spans="2:3" x14ac:dyDescent="0.25">
      <c r="B430" s="22"/>
      <c r="C430" s="63"/>
    </row>
    <row r="431" spans="2:3" x14ac:dyDescent="0.25">
      <c r="B431" s="1"/>
      <c r="C431" s="63"/>
    </row>
    <row r="432" spans="2:3" ht="13" x14ac:dyDescent="0.3">
      <c r="B432" s="1"/>
      <c r="C432" s="29"/>
    </row>
    <row r="433" spans="2:6" ht="13" x14ac:dyDescent="0.3">
      <c r="C433" s="4"/>
      <c r="D433" s="10"/>
      <c r="E433" s="4"/>
    </row>
    <row r="434" spans="2:6" x14ac:dyDescent="0.25">
      <c r="B434" s="1"/>
      <c r="C434" s="154"/>
      <c r="E434" s="3"/>
      <c r="F434" s="155"/>
    </row>
    <row r="435" spans="2:6" x14ac:dyDescent="0.25">
      <c r="B435" s="1"/>
      <c r="C435" s="154"/>
      <c r="E435" s="3"/>
      <c r="F435" s="155"/>
    </row>
    <row r="436" spans="2:6" x14ac:dyDescent="0.25">
      <c r="B436" s="1"/>
      <c r="C436" s="154"/>
      <c r="E436" s="3"/>
      <c r="F436" s="155"/>
    </row>
    <row r="437" spans="2:6" x14ac:dyDescent="0.25">
      <c r="B437" s="1"/>
      <c r="C437" s="154"/>
      <c r="E437" s="3"/>
      <c r="F437" s="155"/>
    </row>
    <row r="438" spans="2:6" x14ac:dyDescent="0.25">
      <c r="B438" s="1"/>
      <c r="C438" s="154"/>
      <c r="E438" s="3"/>
      <c r="F438" s="155"/>
    </row>
    <row r="445" spans="2:6" ht="13" x14ac:dyDescent="0.3">
      <c r="B445" s="10"/>
      <c r="C445" s="8"/>
    </row>
    <row r="446" spans="2:6" ht="13" x14ac:dyDescent="0.3">
      <c r="B446" s="1"/>
      <c r="C446" s="14"/>
    </row>
    <row r="447" spans="2:6" x14ac:dyDescent="0.25">
      <c r="B447" s="1"/>
      <c r="C447" s="63"/>
    </row>
    <row r="448" spans="2:6" x14ac:dyDescent="0.25">
      <c r="B448" s="1"/>
      <c r="C448" s="63"/>
    </row>
    <row r="449" spans="2:6" ht="13" x14ac:dyDescent="0.3">
      <c r="B449" s="1"/>
      <c r="C449" s="14"/>
    </row>
    <row r="450" spans="2:6" ht="13" x14ac:dyDescent="0.3">
      <c r="B450" s="10"/>
      <c r="C450" s="3"/>
    </row>
    <row r="451" spans="2:6" x14ac:dyDescent="0.25">
      <c r="B451" s="8"/>
      <c r="C451" s="3"/>
    </row>
    <row r="452" spans="2:6" ht="13" x14ac:dyDescent="0.3">
      <c r="C452" s="121"/>
      <c r="D452" s="137"/>
      <c r="E452" s="4"/>
      <c r="F452" s="135"/>
    </row>
    <row r="453" spans="2:6" x14ac:dyDescent="0.25">
      <c r="B453" s="1"/>
      <c r="C453" s="64"/>
      <c r="D453" s="139"/>
      <c r="E453" s="3"/>
      <c r="F453" s="65"/>
    </row>
    <row r="454" spans="2:6" x14ac:dyDescent="0.25">
      <c r="B454" s="1"/>
      <c r="C454" s="64"/>
      <c r="D454" s="139"/>
      <c r="E454" s="3"/>
      <c r="F454" s="65"/>
    </row>
    <row r="455" spans="2:6" x14ac:dyDescent="0.25">
      <c r="B455" s="1"/>
      <c r="C455" s="64"/>
      <c r="D455" s="139"/>
      <c r="E455" s="3"/>
      <c r="F455" s="65"/>
    </row>
    <row r="456" spans="2:6" x14ac:dyDescent="0.25">
      <c r="B456" s="1"/>
      <c r="C456" s="64"/>
      <c r="D456" s="139"/>
      <c r="E456" s="3"/>
      <c r="F456" s="65"/>
    </row>
    <row r="457" spans="2:6" x14ac:dyDescent="0.25">
      <c r="B457" s="1"/>
      <c r="C457" s="64"/>
      <c r="D457" s="139"/>
      <c r="E457" s="3"/>
      <c r="F457" s="65"/>
    </row>
    <row r="458" spans="2:6" x14ac:dyDescent="0.25">
      <c r="B458" s="1"/>
      <c r="C458" s="63"/>
    </row>
    <row r="463" spans="2:6" x14ac:dyDescent="0.25">
      <c r="B463" s="1"/>
      <c r="C463" s="63"/>
    </row>
    <row r="464" spans="2:6" ht="13" x14ac:dyDescent="0.3">
      <c r="B464" s="2"/>
      <c r="C464" s="4"/>
    </row>
    <row r="465" spans="2:4" ht="13" x14ac:dyDescent="0.3">
      <c r="B465" s="2"/>
      <c r="C465" s="4"/>
    </row>
    <row r="466" spans="2:4" ht="13" x14ac:dyDescent="0.3">
      <c r="B466" s="2"/>
      <c r="C466" s="13"/>
    </row>
    <row r="467" spans="2:4" ht="13" x14ac:dyDescent="0.3">
      <c r="B467" s="2"/>
      <c r="C467" s="4"/>
      <c r="D467" s="10"/>
    </row>
    <row r="468" spans="2:4" x14ac:dyDescent="0.25">
      <c r="B468" s="1"/>
      <c r="C468" s="3"/>
    </row>
    <row r="469" spans="2:4" x14ac:dyDescent="0.25">
      <c r="B469" s="1"/>
      <c r="C469" s="3"/>
    </row>
    <row r="470" spans="2:4" x14ac:dyDescent="0.25">
      <c r="B470" s="1"/>
      <c r="C470" s="3"/>
    </row>
    <row r="471" spans="2:4" ht="13" x14ac:dyDescent="0.3">
      <c r="B471" s="10"/>
      <c r="C471" s="3"/>
    </row>
    <row r="472" spans="2:4" x14ac:dyDescent="0.25">
      <c r="B472" s="1"/>
      <c r="C472" s="3"/>
    </row>
    <row r="473" spans="2:4" x14ac:dyDescent="0.25">
      <c r="B473" s="1"/>
      <c r="C473" s="3"/>
    </row>
    <row r="474" spans="2:4" x14ac:dyDescent="0.25">
      <c r="B474" s="1"/>
      <c r="C474" s="3"/>
    </row>
    <row r="475" spans="2:4" x14ac:dyDescent="0.25">
      <c r="B475" s="1"/>
      <c r="C475" s="3"/>
    </row>
    <row r="476" spans="2:4" x14ac:dyDescent="0.25">
      <c r="B476" s="1"/>
      <c r="C476" s="3"/>
    </row>
    <row r="477" spans="2:4" x14ac:dyDescent="0.25">
      <c r="B477" s="1"/>
      <c r="C477" s="3"/>
    </row>
    <row r="478" spans="2:4" x14ac:dyDescent="0.25">
      <c r="B478" s="8"/>
      <c r="C478" s="3"/>
    </row>
    <row r="479" spans="2:4" x14ac:dyDescent="0.25">
      <c r="B479" s="8"/>
      <c r="C479" s="3"/>
    </row>
    <row r="480" spans="2:4" x14ac:dyDescent="0.25">
      <c r="B480" s="8"/>
      <c r="C480" s="3"/>
    </row>
    <row r="481" spans="2:4" x14ac:dyDescent="0.25">
      <c r="B481" s="8"/>
      <c r="C481" s="3"/>
    </row>
    <row r="482" spans="2:4" x14ac:dyDescent="0.25">
      <c r="B482" s="8"/>
      <c r="C482" s="3"/>
    </row>
    <row r="483" spans="2:4" ht="13" x14ac:dyDescent="0.3">
      <c r="B483" s="1"/>
      <c r="C483" s="29"/>
    </row>
    <row r="484" spans="2:4" x14ac:dyDescent="0.25">
      <c r="B484" s="1"/>
      <c r="C484" s="63"/>
    </row>
    <row r="485" spans="2:4" x14ac:dyDescent="0.25">
      <c r="B485" s="1"/>
      <c r="C485" s="63"/>
    </row>
    <row r="486" spans="2:4" x14ac:dyDescent="0.25">
      <c r="B486" s="1"/>
      <c r="C486" s="63"/>
    </row>
    <row r="487" spans="2:4" x14ac:dyDescent="0.25">
      <c r="B487" s="1"/>
      <c r="C487" s="63"/>
    </row>
    <row r="488" spans="2:4" x14ac:dyDescent="0.25">
      <c r="B488" s="30"/>
      <c r="C488" s="63"/>
    </row>
    <row r="489" spans="2:4" x14ac:dyDescent="0.25">
      <c r="B489" s="1"/>
      <c r="C489" s="63"/>
    </row>
    <row r="490" spans="2:4" x14ac:dyDescent="0.25">
      <c r="B490" s="1"/>
      <c r="C490" s="63"/>
    </row>
    <row r="491" spans="2:4" x14ac:dyDescent="0.25">
      <c r="B491" s="1"/>
      <c r="C491" s="3"/>
    </row>
    <row r="492" spans="2:4" ht="13" x14ac:dyDescent="0.3">
      <c r="B492" s="1"/>
      <c r="C492" s="29"/>
    </row>
    <row r="493" spans="2:4" ht="13" x14ac:dyDescent="0.3">
      <c r="B493" s="2"/>
      <c r="C493" s="4"/>
      <c r="D493" s="10"/>
    </row>
    <row r="494" spans="2:4" ht="13" x14ac:dyDescent="0.3">
      <c r="B494" s="2"/>
      <c r="C494" s="4"/>
      <c r="D494" s="10"/>
    </row>
    <row r="495" spans="2:4" ht="13" x14ac:dyDescent="0.3">
      <c r="B495" s="2"/>
      <c r="C495" s="4"/>
      <c r="D495" s="10"/>
    </row>
    <row r="496" spans="2:4" ht="13" x14ac:dyDescent="0.3">
      <c r="B496" s="2"/>
      <c r="C496" s="4"/>
      <c r="D496" s="10"/>
    </row>
    <row r="497" spans="2:6" ht="13" x14ac:dyDescent="0.3">
      <c r="B497" s="2"/>
      <c r="C497" s="11"/>
      <c r="D497" s="10"/>
    </row>
    <row r="498" spans="2:6" ht="13" x14ac:dyDescent="0.3">
      <c r="B498" s="2"/>
      <c r="C498" s="4"/>
      <c r="D498" s="10"/>
    </row>
    <row r="499" spans="2:6" ht="13" x14ac:dyDescent="0.3">
      <c r="B499" s="2"/>
      <c r="C499" s="4"/>
      <c r="D499" s="10"/>
    </row>
    <row r="500" spans="2:6" ht="13" x14ac:dyDescent="0.3">
      <c r="B500" s="2"/>
      <c r="C500" s="4"/>
      <c r="D500" s="10"/>
    </row>
    <row r="501" spans="2:6" ht="13" x14ac:dyDescent="0.3">
      <c r="B501" s="2"/>
      <c r="C501" s="42"/>
      <c r="D501" s="10"/>
    </row>
    <row r="502" spans="2:6" ht="13" x14ac:dyDescent="0.3">
      <c r="B502" s="2"/>
      <c r="C502" s="4"/>
      <c r="D502" s="10"/>
    </row>
    <row r="503" spans="2:6" ht="13" x14ac:dyDescent="0.3">
      <c r="B503" s="2"/>
      <c r="C503" s="42"/>
      <c r="D503" s="10"/>
    </row>
    <row r="504" spans="2:6" ht="13" x14ac:dyDescent="0.3">
      <c r="B504" s="2"/>
      <c r="C504" s="4"/>
      <c r="D504" s="10"/>
    </row>
    <row r="505" spans="2:6" ht="13" x14ac:dyDescent="0.3">
      <c r="B505" s="2"/>
      <c r="C505" s="4"/>
      <c r="D505" s="10"/>
    </row>
    <row r="506" spans="2:6" ht="13" x14ac:dyDescent="0.3">
      <c r="B506" s="2"/>
      <c r="C506" s="6"/>
      <c r="D506" s="10"/>
    </row>
    <row r="507" spans="2:6" ht="13" x14ac:dyDescent="0.3">
      <c r="B507" s="2"/>
      <c r="C507" s="4"/>
      <c r="D507" s="10"/>
    </row>
    <row r="508" spans="2:6" ht="13" x14ac:dyDescent="0.3">
      <c r="B508" s="2"/>
      <c r="C508" s="4"/>
      <c r="D508" s="10"/>
    </row>
    <row r="509" spans="2:6" ht="13" x14ac:dyDescent="0.3">
      <c r="B509" s="2"/>
      <c r="C509" s="9"/>
      <c r="D509" s="10"/>
    </row>
    <row r="510" spans="2:6" ht="13" x14ac:dyDescent="0.3">
      <c r="B510" s="2"/>
      <c r="C510" s="4"/>
      <c r="D510" s="10"/>
    </row>
    <row r="511" spans="2:6" ht="13" x14ac:dyDescent="0.3">
      <c r="B511" s="2"/>
      <c r="C511" s="4"/>
      <c r="D511" s="10"/>
      <c r="F511" s="4"/>
    </row>
    <row r="512" spans="2:6" ht="13" x14ac:dyDescent="0.3">
      <c r="B512" s="2"/>
      <c r="C512" s="4"/>
      <c r="D512" s="10"/>
    </row>
    <row r="513" spans="2:4" ht="13" x14ac:dyDescent="0.3">
      <c r="B513" s="2"/>
      <c r="C513" s="4"/>
      <c r="D513" s="10"/>
    </row>
    <row r="514" spans="2:4" ht="13" x14ac:dyDescent="0.3">
      <c r="B514" s="2"/>
      <c r="C514" s="4"/>
      <c r="D514" s="10"/>
    </row>
    <row r="515" spans="2:4" ht="13" x14ac:dyDescent="0.3">
      <c r="B515" s="2"/>
      <c r="C515" s="4"/>
      <c r="D515" s="10"/>
    </row>
    <row r="516" spans="2:4" ht="13" x14ac:dyDescent="0.3">
      <c r="B516" s="2"/>
      <c r="C516" s="6"/>
      <c r="D516" s="10"/>
    </row>
    <row r="517" spans="2:4" x14ac:dyDescent="0.25">
      <c r="B517" s="1"/>
      <c r="C517" s="3"/>
    </row>
    <row r="518" spans="2:4" ht="13" x14ac:dyDescent="0.3">
      <c r="B518" s="2"/>
      <c r="C518" s="6"/>
      <c r="D518" s="10"/>
    </row>
    <row r="519" spans="2:4" x14ac:dyDescent="0.25">
      <c r="B519" s="1"/>
      <c r="C519" s="3"/>
    </row>
    <row r="520" spans="2:4" ht="13" x14ac:dyDescent="0.3">
      <c r="B520" s="2"/>
      <c r="C520" s="3"/>
    </row>
    <row r="521" spans="2:4" x14ac:dyDescent="0.25">
      <c r="B521" s="1"/>
      <c r="C521" s="3"/>
    </row>
    <row r="522" spans="2:4" x14ac:dyDescent="0.25">
      <c r="B522" s="1"/>
      <c r="C522" s="3"/>
    </row>
    <row r="523" spans="2:4" x14ac:dyDescent="0.25">
      <c r="B523" s="1"/>
      <c r="C523" s="3"/>
    </row>
    <row r="524" spans="2:4" x14ac:dyDescent="0.25">
      <c r="B524" s="1"/>
      <c r="C524" s="3"/>
    </row>
    <row r="525" spans="2:4" x14ac:dyDescent="0.25">
      <c r="B525" s="1"/>
      <c r="C525" s="3"/>
    </row>
    <row r="526" spans="2:4" x14ac:dyDescent="0.25">
      <c r="B526" s="1"/>
      <c r="C526" s="3"/>
    </row>
    <row r="527" spans="2:4" x14ac:dyDescent="0.25">
      <c r="B527" s="1"/>
      <c r="C527" s="3"/>
    </row>
    <row r="528" spans="2:4" x14ac:dyDescent="0.25">
      <c r="B528" s="1"/>
      <c r="C528" s="3"/>
    </row>
    <row r="529" spans="2:3" x14ac:dyDescent="0.25">
      <c r="B529" s="1"/>
      <c r="C529" s="3"/>
    </row>
    <row r="530" spans="2:3" x14ac:dyDescent="0.25">
      <c r="B530" s="1"/>
      <c r="C530" s="3"/>
    </row>
    <row r="531" spans="2:3" x14ac:dyDescent="0.25">
      <c r="B531" s="1"/>
      <c r="C531" s="3"/>
    </row>
    <row r="532" spans="2:3" x14ac:dyDescent="0.25">
      <c r="B532" s="1"/>
      <c r="C532" s="3"/>
    </row>
    <row r="533" spans="2:3" x14ac:dyDescent="0.25">
      <c r="B533" s="1"/>
      <c r="C533" s="3"/>
    </row>
    <row r="534" spans="2:3" x14ac:dyDescent="0.25">
      <c r="B534" s="1"/>
      <c r="C534" s="3"/>
    </row>
    <row r="535" spans="2:3" x14ac:dyDescent="0.25">
      <c r="B535" s="1"/>
      <c r="C535" s="3"/>
    </row>
    <row r="536" spans="2:3" x14ac:dyDescent="0.25">
      <c r="B536" s="1"/>
      <c r="C536" s="3"/>
    </row>
    <row r="537" spans="2:3" x14ac:dyDescent="0.25">
      <c r="B537" s="1"/>
      <c r="C537" s="3"/>
    </row>
    <row r="538" spans="2:3" x14ac:dyDescent="0.25">
      <c r="B538" s="1"/>
      <c r="C538" s="3"/>
    </row>
    <row r="539" spans="2:3" x14ac:dyDescent="0.25">
      <c r="B539" s="1"/>
      <c r="C539" s="3"/>
    </row>
    <row r="540" spans="2:3" ht="13" x14ac:dyDescent="0.3">
      <c r="B540" s="2"/>
      <c r="C540" s="3"/>
    </row>
    <row r="541" spans="2:3" x14ac:dyDescent="0.25">
      <c r="B541" s="1"/>
      <c r="C541" s="3"/>
    </row>
    <row r="542" spans="2:3" x14ac:dyDescent="0.25">
      <c r="B542" s="1"/>
      <c r="C542" s="3"/>
    </row>
    <row r="543" spans="2:3" x14ac:dyDescent="0.25">
      <c r="B543" s="1"/>
      <c r="C543" s="3"/>
    </row>
    <row r="544" spans="2:3" x14ac:dyDescent="0.25">
      <c r="B544" s="1"/>
      <c r="C544" s="3"/>
    </row>
    <row r="545" spans="2:3" x14ac:dyDescent="0.25">
      <c r="B545" s="1"/>
      <c r="C545" s="3"/>
    </row>
    <row r="546" spans="2:3" x14ac:dyDescent="0.25">
      <c r="B546" s="1"/>
      <c r="C546" s="3"/>
    </row>
    <row r="547" spans="2:3" x14ac:dyDescent="0.25">
      <c r="B547" s="1"/>
      <c r="C547" s="3"/>
    </row>
    <row r="548" spans="2:3" x14ac:dyDescent="0.25">
      <c r="B548" s="1"/>
      <c r="C548" s="3"/>
    </row>
    <row r="549" spans="2:3" x14ac:dyDescent="0.25">
      <c r="B549" s="1"/>
      <c r="C549" s="3"/>
    </row>
    <row r="550" spans="2:3" x14ac:dyDescent="0.25">
      <c r="B550" s="1"/>
      <c r="C550" s="3"/>
    </row>
    <row r="551" spans="2:3" x14ac:dyDescent="0.25">
      <c r="B551" s="1"/>
      <c r="C551" s="3"/>
    </row>
    <row r="552" spans="2:3" x14ac:dyDescent="0.25">
      <c r="B552" s="1"/>
      <c r="C552" s="3"/>
    </row>
    <row r="553" spans="2:3" x14ac:dyDescent="0.25">
      <c r="B553" s="1"/>
      <c r="C553" s="3"/>
    </row>
    <row r="554" spans="2:3" x14ac:dyDescent="0.25">
      <c r="B554" s="1"/>
      <c r="C554" s="3"/>
    </row>
    <row r="555" spans="2:3" x14ac:dyDescent="0.25">
      <c r="B555" s="1"/>
      <c r="C555" s="3"/>
    </row>
    <row r="556" spans="2:3" x14ac:dyDescent="0.25">
      <c r="B556" s="1"/>
      <c r="C556" s="3"/>
    </row>
    <row r="557" spans="2:3" ht="13" x14ac:dyDescent="0.3">
      <c r="B557" s="2"/>
      <c r="C557" s="3"/>
    </row>
    <row r="558" spans="2:3" x14ac:dyDescent="0.25">
      <c r="B558" s="1"/>
      <c r="C558" s="3"/>
    </row>
    <row r="559" spans="2:3" x14ac:dyDescent="0.25">
      <c r="B559" s="1"/>
      <c r="C559" s="3"/>
    </row>
    <row r="560" spans="2:3" x14ac:dyDescent="0.25">
      <c r="B560" s="1"/>
      <c r="C560" s="3"/>
    </row>
    <row r="561" spans="2:6" x14ac:dyDescent="0.25">
      <c r="B561" s="1"/>
      <c r="C561" s="3"/>
    </row>
    <row r="562" spans="2:6" ht="13" x14ac:dyDescent="0.3">
      <c r="B562" s="1"/>
      <c r="C562" s="3"/>
      <c r="F562" s="4"/>
    </row>
    <row r="563" spans="2:6" x14ac:dyDescent="0.25">
      <c r="B563" s="1"/>
      <c r="C563" s="3"/>
    </row>
    <row r="564" spans="2:6" x14ac:dyDescent="0.25">
      <c r="B564" s="1"/>
      <c r="C564" s="3"/>
    </row>
    <row r="565" spans="2:6" x14ac:dyDescent="0.25">
      <c r="B565" s="1"/>
      <c r="C565" s="3"/>
    </row>
    <row r="566" spans="2:6" x14ac:dyDescent="0.25">
      <c r="B566" s="1"/>
      <c r="C566" s="3"/>
    </row>
    <row r="567" spans="2:6" x14ac:dyDescent="0.25">
      <c r="B567" s="1"/>
      <c r="C567" s="3"/>
    </row>
    <row r="568" spans="2:6" x14ac:dyDescent="0.25">
      <c r="B568" s="1"/>
      <c r="C568" s="3"/>
    </row>
    <row r="569" spans="2:6" ht="13" x14ac:dyDescent="0.3">
      <c r="B569" s="1"/>
      <c r="C569" s="29"/>
    </row>
    <row r="570" spans="2:6" x14ac:dyDescent="0.25">
      <c r="B570" s="1"/>
      <c r="C570" s="63"/>
    </row>
    <row r="571" spans="2:6" x14ac:dyDescent="0.25">
      <c r="B571" s="1"/>
      <c r="C571" s="63"/>
    </row>
    <row r="572" spans="2:6" x14ac:dyDescent="0.25">
      <c r="B572" s="1"/>
      <c r="C572" s="65"/>
    </row>
    <row r="573" spans="2:6" x14ac:dyDescent="0.25">
      <c r="B573" s="1"/>
      <c r="C573" s="63"/>
    </row>
    <row r="574" spans="2:6" x14ac:dyDescent="0.25">
      <c r="B574" s="1"/>
      <c r="C574" s="3"/>
    </row>
    <row r="575" spans="2:6" ht="13" x14ac:dyDescent="0.3">
      <c r="B575" s="1"/>
      <c r="C575" s="29"/>
    </row>
    <row r="576" spans="2:6" ht="13" x14ac:dyDescent="0.3">
      <c r="B576" s="2"/>
      <c r="C576" s="4"/>
      <c r="D576" s="10"/>
    </row>
    <row r="577" spans="2:4" ht="13" x14ac:dyDescent="0.3">
      <c r="B577" s="2"/>
      <c r="C577" s="4"/>
      <c r="D577" s="10"/>
    </row>
    <row r="578" spans="2:4" x14ac:dyDescent="0.25">
      <c r="B578" s="1"/>
      <c r="C578" s="3"/>
    </row>
    <row r="579" spans="2:4" ht="13" x14ac:dyDescent="0.3">
      <c r="B579" s="2"/>
      <c r="C579" s="4"/>
      <c r="D579" s="10"/>
    </row>
    <row r="580" spans="2:4" ht="13" x14ac:dyDescent="0.3">
      <c r="B580" s="2"/>
      <c r="C580" s="6"/>
    </row>
    <row r="581" spans="2:4" x14ac:dyDescent="0.25">
      <c r="B581" s="1"/>
      <c r="C581" s="3"/>
    </row>
    <row r="582" spans="2:4" ht="13" x14ac:dyDescent="0.3">
      <c r="B582" s="2"/>
      <c r="C582" s="4"/>
      <c r="D582" s="10"/>
    </row>
    <row r="583" spans="2:4" ht="13" x14ac:dyDescent="0.3">
      <c r="B583" s="2"/>
      <c r="C583" s="4"/>
    </row>
    <row r="584" spans="2:4" ht="13" x14ac:dyDescent="0.3">
      <c r="B584" s="2"/>
      <c r="C584" s="4"/>
    </row>
    <row r="585" spans="2:4" ht="13" x14ac:dyDescent="0.3">
      <c r="B585" s="2"/>
      <c r="C585" s="6"/>
      <c r="D585" s="10"/>
    </row>
    <row r="586" spans="2:4" x14ac:dyDescent="0.25">
      <c r="B586" s="1"/>
      <c r="C586" s="3"/>
    </row>
    <row r="587" spans="2:4" ht="13" x14ac:dyDescent="0.3">
      <c r="B587" s="2"/>
      <c r="C587" s="4"/>
      <c r="D587" s="10"/>
    </row>
    <row r="588" spans="2:4" ht="13" x14ac:dyDescent="0.3">
      <c r="B588" s="2"/>
      <c r="C588" s="4"/>
      <c r="D588" s="10"/>
    </row>
    <row r="589" spans="2:4" ht="13" x14ac:dyDescent="0.3">
      <c r="B589" s="2"/>
      <c r="C589" s="4"/>
      <c r="D589" s="10"/>
    </row>
    <row r="590" spans="2:4" ht="13" x14ac:dyDescent="0.3">
      <c r="B590" s="2"/>
      <c r="C590" s="4"/>
      <c r="D590" s="10"/>
    </row>
    <row r="591" spans="2:4" ht="13" x14ac:dyDescent="0.3">
      <c r="B591" s="2"/>
      <c r="C591" s="4"/>
      <c r="D591" s="10"/>
    </row>
    <row r="592" spans="2:4" ht="13" x14ac:dyDescent="0.3">
      <c r="B592" s="2"/>
      <c r="C592" s="4"/>
      <c r="D592" s="10"/>
    </row>
    <row r="593" spans="2:4" x14ac:dyDescent="0.25">
      <c r="B593" s="1"/>
      <c r="C593" s="3"/>
    </row>
    <row r="594" spans="2:4" ht="13" x14ac:dyDescent="0.3">
      <c r="B594" s="2"/>
      <c r="C594" s="4"/>
    </row>
    <row r="595" spans="2:4" ht="13" x14ac:dyDescent="0.3">
      <c r="B595" s="2"/>
      <c r="C595" s="9"/>
      <c r="D595" s="10"/>
    </row>
    <row r="596" spans="2:4" x14ac:dyDescent="0.25">
      <c r="B596" s="1"/>
      <c r="C596" s="3"/>
    </row>
    <row r="597" spans="2:4" ht="13" x14ac:dyDescent="0.3">
      <c r="B597" s="2"/>
      <c r="C597" s="4"/>
    </row>
    <row r="598" spans="2:4" ht="13" x14ac:dyDescent="0.3">
      <c r="B598" s="10"/>
      <c r="C598" s="4"/>
    </row>
    <row r="599" spans="2:4" ht="13" x14ac:dyDescent="0.3">
      <c r="B599" s="10"/>
      <c r="C599" s="4"/>
    </row>
    <row r="600" spans="2:4" ht="13" x14ac:dyDescent="0.3">
      <c r="B600" s="2"/>
      <c r="C600" s="4"/>
    </row>
    <row r="601" spans="2:4" ht="13" x14ac:dyDescent="0.3">
      <c r="B601" s="2"/>
      <c r="C601" s="4"/>
    </row>
    <row r="602" spans="2:4" ht="13" x14ac:dyDescent="0.3">
      <c r="B602" s="2"/>
      <c r="C602" s="4"/>
    </row>
    <row r="603" spans="2:4" ht="13" x14ac:dyDescent="0.3">
      <c r="B603" s="2"/>
      <c r="C603" s="6"/>
    </row>
    <row r="604" spans="2:4" x14ac:dyDescent="0.25">
      <c r="B604" s="1"/>
      <c r="C604" s="3"/>
    </row>
    <row r="605" spans="2:4" ht="13" x14ac:dyDescent="0.3">
      <c r="B605" s="2"/>
      <c r="C605" s="8"/>
    </row>
    <row r="606" spans="2:4" ht="13" x14ac:dyDescent="0.3">
      <c r="B606" s="2"/>
      <c r="C606" s="44"/>
      <c r="D606" s="10"/>
    </row>
    <row r="607" spans="2:4" ht="13" x14ac:dyDescent="0.3">
      <c r="B607" s="2"/>
      <c r="C607" s="4"/>
      <c r="D607" s="10"/>
    </row>
    <row r="608" spans="2:4" ht="13" x14ac:dyDescent="0.3">
      <c r="B608" s="2"/>
      <c r="C608" s="4"/>
      <c r="D608" s="10"/>
    </row>
    <row r="609" spans="2:6" ht="13" x14ac:dyDescent="0.3">
      <c r="B609" s="2"/>
      <c r="C609" s="4"/>
      <c r="D609" s="10"/>
    </row>
    <row r="610" spans="2:6" ht="13" x14ac:dyDescent="0.3">
      <c r="B610" s="2"/>
      <c r="C610" s="4"/>
      <c r="D610" s="10"/>
    </row>
    <row r="611" spans="2:6" x14ac:dyDescent="0.25">
      <c r="B611" s="1"/>
      <c r="C611" s="3"/>
    </row>
    <row r="612" spans="2:6" x14ac:dyDescent="0.25">
      <c r="B612" s="1"/>
      <c r="C612" s="3"/>
    </row>
    <row r="613" spans="2:6" ht="13" x14ac:dyDescent="0.3">
      <c r="B613" s="1"/>
      <c r="C613" s="3"/>
      <c r="F613" s="4"/>
    </row>
    <row r="614" spans="2:6" x14ac:dyDescent="0.25">
      <c r="B614" s="1"/>
      <c r="C614" s="3"/>
    </row>
    <row r="615" spans="2:6" x14ac:dyDescent="0.25">
      <c r="B615" s="1"/>
      <c r="C615" s="3"/>
    </row>
    <row r="616" spans="2:6" x14ac:dyDescent="0.25">
      <c r="B616" s="1"/>
      <c r="C616" s="3"/>
    </row>
    <row r="617" spans="2:6" x14ac:dyDescent="0.25">
      <c r="B617" s="1"/>
      <c r="C617" s="3"/>
    </row>
    <row r="618" spans="2:6" x14ac:dyDescent="0.25">
      <c r="B618" s="1"/>
      <c r="C618" s="3"/>
    </row>
    <row r="619" spans="2:6" x14ac:dyDescent="0.25">
      <c r="B619" s="1"/>
      <c r="C619" s="3"/>
    </row>
    <row r="620" spans="2:6" x14ac:dyDescent="0.25">
      <c r="B620" s="1"/>
      <c r="C620" s="3"/>
    </row>
    <row r="621" spans="2:6" x14ac:dyDescent="0.25">
      <c r="B621" s="1"/>
      <c r="C621" s="3"/>
    </row>
    <row r="622" spans="2:6" x14ac:dyDescent="0.25">
      <c r="B622" s="1"/>
      <c r="C622" s="3"/>
    </row>
    <row r="623" spans="2:6" x14ac:dyDescent="0.25">
      <c r="B623" s="1"/>
      <c r="C623" s="3"/>
    </row>
    <row r="624" spans="2:6" x14ac:dyDescent="0.25">
      <c r="B624" s="1"/>
      <c r="C624" s="3"/>
    </row>
    <row r="625" spans="2:5" x14ac:dyDescent="0.25">
      <c r="B625" s="1"/>
      <c r="C625" s="3"/>
    </row>
    <row r="626" spans="2:5" x14ac:dyDescent="0.25">
      <c r="B626" s="1"/>
      <c r="C626" s="3"/>
    </row>
    <row r="627" spans="2:5" x14ac:dyDescent="0.25">
      <c r="B627" s="1"/>
      <c r="C627" s="3"/>
    </row>
    <row r="628" spans="2:5" x14ac:dyDescent="0.25">
      <c r="B628" s="1"/>
      <c r="C628" s="3"/>
    </row>
    <row r="629" spans="2:5" ht="13" x14ac:dyDescent="0.3">
      <c r="B629" s="1"/>
      <c r="C629" s="3"/>
      <c r="E629" s="4"/>
    </row>
    <row r="630" spans="2:5" x14ac:dyDescent="0.25">
      <c r="B630" s="1"/>
      <c r="C630" s="3"/>
    </row>
    <row r="631" spans="2:5" x14ac:dyDescent="0.25">
      <c r="B631" s="1"/>
      <c r="C631" s="3"/>
    </row>
    <row r="632" spans="2:5" x14ac:dyDescent="0.25">
      <c r="B632" s="1"/>
      <c r="C632" s="3"/>
    </row>
    <row r="633" spans="2:5" x14ac:dyDescent="0.25">
      <c r="B633" s="1"/>
      <c r="C633" s="3"/>
    </row>
    <row r="634" spans="2:5" x14ac:dyDescent="0.25">
      <c r="B634" s="1"/>
      <c r="C634" s="3"/>
    </row>
    <row r="635" spans="2:5" x14ac:dyDescent="0.25">
      <c r="B635" s="1"/>
      <c r="C635" s="3"/>
    </row>
    <row r="636" spans="2:5" x14ac:dyDescent="0.25">
      <c r="B636" s="1"/>
      <c r="C636" s="3"/>
    </row>
    <row r="637" spans="2:5" x14ac:dyDescent="0.25">
      <c r="B637" s="1"/>
      <c r="C637" s="3"/>
    </row>
    <row r="638" spans="2:5" x14ac:dyDescent="0.25">
      <c r="B638" s="1"/>
      <c r="C638" s="3"/>
    </row>
    <row r="639" spans="2:5" x14ac:dyDescent="0.25">
      <c r="B639" s="1"/>
      <c r="C639" s="3"/>
    </row>
    <row r="640" spans="2:5" x14ac:dyDescent="0.25">
      <c r="B640" s="1"/>
      <c r="C640" s="3"/>
    </row>
    <row r="641" spans="2:3" x14ac:dyDescent="0.25">
      <c r="B641" s="1"/>
      <c r="C641" s="3"/>
    </row>
    <row r="642" spans="2:3" x14ac:dyDescent="0.25">
      <c r="B642" s="1"/>
      <c r="C642" s="3"/>
    </row>
    <row r="643" spans="2:3" x14ac:dyDescent="0.25">
      <c r="B643" s="1"/>
      <c r="C643" s="3"/>
    </row>
    <row r="644" spans="2:3" x14ac:dyDescent="0.25">
      <c r="B644" s="1"/>
      <c r="C644" s="3"/>
    </row>
    <row r="645" spans="2:3" x14ac:dyDescent="0.25">
      <c r="B645" s="1"/>
      <c r="C645" s="3"/>
    </row>
    <row r="646" spans="2:3" x14ac:dyDescent="0.25">
      <c r="B646" s="1"/>
      <c r="C646" s="3"/>
    </row>
    <row r="647" spans="2:3" x14ac:dyDescent="0.25">
      <c r="B647" s="1"/>
      <c r="C647" s="3"/>
    </row>
    <row r="648" spans="2:3" x14ac:dyDescent="0.25">
      <c r="B648" s="1"/>
      <c r="C648" s="3"/>
    </row>
    <row r="664" spans="2:6" ht="13" x14ac:dyDescent="0.3">
      <c r="F664" s="4"/>
    </row>
    <row r="665" spans="2:6" x14ac:dyDescent="0.25">
      <c r="B665" s="1"/>
      <c r="C665" s="3"/>
    </row>
    <row r="666" spans="2:6" x14ac:dyDescent="0.25">
      <c r="B666" s="1"/>
      <c r="C666" s="3"/>
    </row>
    <row r="667" spans="2:6" x14ac:dyDescent="0.25">
      <c r="B667" s="1"/>
      <c r="C667" s="3"/>
    </row>
    <row r="668" spans="2:6" x14ac:dyDescent="0.25">
      <c r="B668" s="1"/>
      <c r="C668" s="3"/>
    </row>
    <row r="669" spans="2:6" x14ac:dyDescent="0.25">
      <c r="B669" s="1"/>
      <c r="C669" s="3"/>
    </row>
    <row r="670" spans="2:6" x14ac:dyDescent="0.25">
      <c r="B670" s="1"/>
      <c r="C670" s="3"/>
    </row>
    <row r="671" spans="2:6" x14ac:dyDescent="0.25">
      <c r="B671" s="1"/>
      <c r="C671" s="3"/>
    </row>
    <row r="672" spans="2:6" x14ac:dyDescent="0.25">
      <c r="B672" s="1"/>
      <c r="C672" s="3"/>
    </row>
    <row r="673" spans="2:5" x14ac:dyDescent="0.25">
      <c r="B673" s="1"/>
      <c r="C673" s="3"/>
    </row>
    <row r="674" spans="2:5" x14ac:dyDescent="0.25">
      <c r="B674" s="1"/>
      <c r="C674" s="3"/>
    </row>
    <row r="675" spans="2:5" x14ac:dyDescent="0.25">
      <c r="B675" s="1"/>
      <c r="C675" s="3"/>
    </row>
    <row r="676" spans="2:5" x14ac:dyDescent="0.25">
      <c r="B676" s="1"/>
      <c r="C676" s="3"/>
    </row>
    <row r="677" spans="2:5" x14ac:dyDescent="0.25">
      <c r="B677" s="1"/>
      <c r="C677" s="3"/>
    </row>
    <row r="678" spans="2:5" x14ac:dyDescent="0.25">
      <c r="B678" s="1"/>
      <c r="C678" s="3"/>
    </row>
    <row r="679" spans="2:5" x14ac:dyDescent="0.25">
      <c r="B679" s="1"/>
      <c r="C679" s="3"/>
    </row>
    <row r="680" spans="2:5" x14ac:dyDescent="0.25">
      <c r="B680" s="1"/>
      <c r="C680" s="3"/>
    </row>
    <row r="681" spans="2:5" x14ac:dyDescent="0.25">
      <c r="B681" s="1"/>
      <c r="C681" s="3"/>
    </row>
    <row r="682" spans="2:5" x14ac:dyDescent="0.25">
      <c r="B682" s="1"/>
      <c r="C682" s="3"/>
    </row>
    <row r="683" spans="2:5" x14ac:dyDescent="0.25">
      <c r="B683" s="1"/>
      <c r="C683" s="3"/>
    </row>
    <row r="684" spans="2:5" x14ac:dyDescent="0.25">
      <c r="B684" s="1"/>
      <c r="C684" s="3"/>
    </row>
    <row r="685" spans="2:5" x14ac:dyDescent="0.25">
      <c r="B685" s="1"/>
      <c r="C685" s="3"/>
    </row>
    <row r="686" spans="2:5" x14ac:dyDescent="0.25">
      <c r="B686" s="1"/>
      <c r="C686" s="3"/>
    </row>
    <row r="687" spans="2:5" ht="13" x14ac:dyDescent="0.3">
      <c r="B687" s="1"/>
      <c r="C687" s="3"/>
      <c r="E687" s="2"/>
    </row>
    <row r="688" spans="2:5" x14ac:dyDescent="0.25">
      <c r="B688" s="1"/>
      <c r="C688" s="3"/>
    </row>
    <row r="689" spans="2:3" x14ac:dyDescent="0.25">
      <c r="B689" s="1"/>
      <c r="C689" s="3"/>
    </row>
    <row r="690" spans="2:3" x14ac:dyDescent="0.25">
      <c r="B690" s="1"/>
      <c r="C690" s="3"/>
    </row>
    <row r="691" spans="2:3" x14ac:dyDescent="0.25">
      <c r="B691" s="1"/>
      <c r="C691" s="3"/>
    </row>
    <row r="692" spans="2:3" x14ac:dyDescent="0.25">
      <c r="B692" s="1"/>
      <c r="C692" s="3"/>
    </row>
    <row r="693" spans="2:3" x14ac:dyDescent="0.25">
      <c r="B693" s="1"/>
      <c r="C693" s="3"/>
    </row>
    <row r="694" spans="2:3" x14ac:dyDescent="0.25">
      <c r="B694" s="1"/>
      <c r="C694" s="3"/>
    </row>
    <row r="695" spans="2:3" x14ac:dyDescent="0.25">
      <c r="B695" s="1"/>
      <c r="C695" s="3"/>
    </row>
    <row r="696" spans="2:3" x14ac:dyDescent="0.25">
      <c r="B696" s="1"/>
      <c r="C696" s="3"/>
    </row>
    <row r="697" spans="2:3" x14ac:dyDescent="0.25">
      <c r="B697" s="1"/>
      <c r="C697" s="3"/>
    </row>
    <row r="698" spans="2:3" x14ac:dyDescent="0.25">
      <c r="B698" s="1"/>
      <c r="C698" s="3"/>
    </row>
    <row r="699" spans="2:3" x14ac:dyDescent="0.25">
      <c r="B699" s="1"/>
      <c r="C699" s="3"/>
    </row>
    <row r="700" spans="2:3" x14ac:dyDescent="0.25">
      <c r="B700" s="1"/>
      <c r="C700" s="3"/>
    </row>
    <row r="701" spans="2:3" x14ac:dyDescent="0.25">
      <c r="B701" s="1"/>
      <c r="C701" s="3"/>
    </row>
    <row r="702" spans="2:3" x14ac:dyDescent="0.25">
      <c r="B702" s="1"/>
      <c r="C702" s="3"/>
    </row>
    <row r="703" spans="2:3" x14ac:dyDescent="0.25">
      <c r="B703" s="1"/>
      <c r="C703" s="3"/>
    </row>
    <row r="704" spans="2:3" x14ac:dyDescent="0.25">
      <c r="B704" s="1"/>
      <c r="C704" s="3"/>
    </row>
    <row r="705" spans="2:6" x14ac:dyDescent="0.25">
      <c r="B705" s="8"/>
      <c r="C705" s="3"/>
      <c r="D705" s="45"/>
    </row>
    <row r="706" spans="2:6" x14ac:dyDescent="0.25">
      <c r="B706" s="46"/>
      <c r="C706" s="3"/>
    </row>
    <row r="707" spans="2:6" x14ac:dyDescent="0.25">
      <c r="B707" s="8"/>
      <c r="C707" s="3"/>
    </row>
    <row r="708" spans="2:6" x14ac:dyDescent="0.25">
      <c r="B708" s="8"/>
      <c r="C708" s="3"/>
    </row>
    <row r="709" spans="2:6" x14ac:dyDescent="0.25">
      <c r="B709" s="8"/>
      <c r="C709" s="3"/>
    </row>
    <row r="710" spans="2:6" x14ac:dyDescent="0.25">
      <c r="B710" s="8"/>
      <c r="C710" s="3"/>
    </row>
    <row r="711" spans="2:6" x14ac:dyDescent="0.25">
      <c r="B711" s="8"/>
      <c r="C711" s="3"/>
    </row>
    <row r="712" spans="2:6" x14ac:dyDescent="0.25">
      <c r="B712" s="8"/>
      <c r="C712" s="3"/>
    </row>
    <row r="713" spans="2:6" x14ac:dyDescent="0.25">
      <c r="B713" s="1"/>
      <c r="C713" s="3"/>
    </row>
    <row r="714" spans="2:6" x14ac:dyDescent="0.25">
      <c r="B714" s="1"/>
      <c r="C714" s="3"/>
    </row>
    <row r="715" spans="2:6" ht="13" x14ac:dyDescent="0.3">
      <c r="B715" s="1"/>
      <c r="C715" s="3"/>
      <c r="F715" s="4"/>
    </row>
    <row r="716" spans="2:6" x14ac:dyDescent="0.25">
      <c r="B716" s="1"/>
      <c r="C716" s="3"/>
    </row>
    <row r="717" spans="2:6" x14ac:dyDescent="0.25">
      <c r="B717" s="1"/>
      <c r="C717" s="3"/>
    </row>
    <row r="718" spans="2:6" x14ac:dyDescent="0.25">
      <c r="B718" s="1"/>
      <c r="C718" s="3"/>
    </row>
    <row r="719" spans="2:6" x14ac:dyDescent="0.25">
      <c r="B719" s="1"/>
      <c r="C719" s="3"/>
    </row>
    <row r="720" spans="2:6" x14ac:dyDescent="0.25">
      <c r="B720" s="1"/>
      <c r="C720" s="3"/>
    </row>
    <row r="721" spans="2:3" x14ac:dyDescent="0.25">
      <c r="B721" s="1"/>
      <c r="C721" s="3"/>
    </row>
    <row r="722" spans="2:3" x14ac:dyDescent="0.25">
      <c r="B722" s="1"/>
      <c r="C722" s="3"/>
    </row>
    <row r="723" spans="2:3" x14ac:dyDescent="0.25">
      <c r="B723" s="1"/>
      <c r="C723" s="3"/>
    </row>
    <row r="724" spans="2:3" x14ac:dyDescent="0.25">
      <c r="B724" s="1"/>
      <c r="C724" s="3"/>
    </row>
    <row r="725" spans="2:3" x14ac:dyDescent="0.25">
      <c r="B725" s="1"/>
      <c r="C725" s="3"/>
    </row>
    <row r="726" spans="2:3" x14ac:dyDescent="0.25">
      <c r="B726" s="1"/>
      <c r="C726" s="3"/>
    </row>
    <row r="727" spans="2:3" x14ac:dyDescent="0.25">
      <c r="B727" s="1"/>
      <c r="C727" s="3"/>
    </row>
    <row r="728" spans="2:3" x14ac:dyDescent="0.25">
      <c r="B728" s="1"/>
      <c r="C728" s="3"/>
    </row>
    <row r="729" spans="2:3" x14ac:dyDescent="0.25">
      <c r="B729" s="1"/>
      <c r="C729" s="3"/>
    </row>
    <row r="730" spans="2:3" x14ac:dyDescent="0.25">
      <c r="B730" s="1"/>
      <c r="C730" s="3"/>
    </row>
    <row r="731" spans="2:3" x14ac:dyDescent="0.25">
      <c r="B731" s="1"/>
      <c r="C731" s="3"/>
    </row>
    <row r="732" spans="2:3" x14ac:dyDescent="0.25">
      <c r="B732" s="1"/>
      <c r="C732" s="3"/>
    </row>
    <row r="733" spans="2:3" x14ac:dyDescent="0.25">
      <c r="B733" s="1"/>
      <c r="C733" s="3"/>
    </row>
    <row r="734" spans="2:3" x14ac:dyDescent="0.25">
      <c r="B734" s="1"/>
      <c r="C734" s="3"/>
    </row>
    <row r="735" spans="2:3" x14ac:dyDescent="0.25">
      <c r="B735" s="1"/>
      <c r="C735" s="3"/>
    </row>
    <row r="736" spans="2:3" x14ac:dyDescent="0.25">
      <c r="B736" s="1"/>
      <c r="C736" s="3"/>
    </row>
    <row r="737" spans="2:3" x14ac:dyDescent="0.25">
      <c r="B737" s="1"/>
      <c r="C737" s="3"/>
    </row>
    <row r="738" spans="2:3" x14ac:dyDescent="0.25">
      <c r="B738" s="1"/>
      <c r="C738" s="3"/>
    </row>
    <row r="739" spans="2:3" x14ac:dyDescent="0.25">
      <c r="B739" s="1"/>
      <c r="C739" s="3"/>
    </row>
    <row r="740" spans="2:3" x14ac:dyDescent="0.25">
      <c r="B740" s="1"/>
      <c r="C740" s="3"/>
    </row>
    <row r="741" spans="2:3" x14ac:dyDescent="0.25">
      <c r="B741" s="8"/>
      <c r="C741" s="3"/>
    </row>
    <row r="742" spans="2:3" x14ac:dyDescent="0.25">
      <c r="B742" s="1"/>
      <c r="C742" s="3"/>
    </row>
    <row r="743" spans="2:3" x14ac:dyDescent="0.25">
      <c r="B743" s="1"/>
      <c r="C743" s="3"/>
    </row>
    <row r="744" spans="2:3" x14ac:dyDescent="0.25">
      <c r="B744" s="1"/>
      <c r="C744" s="3"/>
    </row>
    <row r="745" spans="2:3" x14ac:dyDescent="0.25">
      <c r="B745" s="1"/>
      <c r="C745" s="3"/>
    </row>
    <row r="746" spans="2:3" x14ac:dyDescent="0.25">
      <c r="B746" s="1"/>
      <c r="C746" s="3"/>
    </row>
    <row r="747" spans="2:3" x14ac:dyDescent="0.25">
      <c r="B747" s="1"/>
      <c r="C747" s="3"/>
    </row>
    <row r="748" spans="2:3" x14ac:dyDescent="0.25">
      <c r="B748" s="1"/>
      <c r="C748" s="3"/>
    </row>
    <row r="749" spans="2:3" x14ac:dyDescent="0.25">
      <c r="B749" s="1"/>
      <c r="C749" s="3"/>
    </row>
    <row r="750" spans="2:3" x14ac:dyDescent="0.25">
      <c r="B750" s="1"/>
      <c r="C750" s="3"/>
    </row>
    <row r="751" spans="2:3" x14ac:dyDescent="0.25">
      <c r="B751" s="1"/>
      <c r="C751" s="3"/>
    </row>
    <row r="752" spans="2:3" x14ac:dyDescent="0.25">
      <c r="B752" s="1"/>
      <c r="C752" s="3"/>
    </row>
    <row r="753" spans="2:6" x14ac:dyDescent="0.25">
      <c r="B753" s="1"/>
      <c r="C753" s="3"/>
    </row>
    <row r="754" spans="2:6" x14ac:dyDescent="0.25">
      <c r="B754" s="1"/>
      <c r="C754" s="3"/>
    </row>
    <row r="755" spans="2:6" x14ac:dyDescent="0.25">
      <c r="B755" s="1"/>
      <c r="C755" s="3"/>
    </row>
    <row r="756" spans="2:6" x14ac:dyDescent="0.25">
      <c r="B756" s="1"/>
      <c r="C756" s="3"/>
    </row>
    <row r="757" spans="2:6" x14ac:dyDescent="0.25">
      <c r="B757" s="1"/>
      <c r="C757" s="3"/>
    </row>
    <row r="758" spans="2:6" x14ac:dyDescent="0.25">
      <c r="B758" s="1"/>
      <c r="C758" s="3"/>
    </row>
    <row r="759" spans="2:6" x14ac:dyDescent="0.25">
      <c r="B759" s="1"/>
      <c r="C759" s="3"/>
    </row>
    <row r="760" spans="2:6" x14ac:dyDescent="0.25">
      <c r="B760" s="1"/>
      <c r="C760" s="3"/>
    </row>
    <row r="761" spans="2:6" x14ac:dyDescent="0.25">
      <c r="B761" s="1"/>
      <c r="C761" s="3"/>
    </row>
    <row r="762" spans="2:6" x14ac:dyDescent="0.25">
      <c r="B762" s="1"/>
      <c r="C762" s="3"/>
    </row>
    <row r="763" spans="2:6" x14ac:dyDescent="0.25">
      <c r="B763" s="1"/>
      <c r="C763" s="3"/>
    </row>
    <row r="764" spans="2:6" x14ac:dyDescent="0.25">
      <c r="B764" s="1"/>
      <c r="C764" s="3"/>
    </row>
    <row r="765" spans="2:6" x14ac:dyDescent="0.25">
      <c r="B765" s="1"/>
      <c r="C765" s="3"/>
    </row>
    <row r="766" spans="2:6" ht="13" x14ac:dyDescent="0.3">
      <c r="B766" s="1"/>
      <c r="C766" s="3"/>
      <c r="F766" s="2"/>
    </row>
    <row r="767" spans="2:6" x14ac:dyDescent="0.25">
      <c r="B767" s="8"/>
      <c r="C767" s="3"/>
    </row>
    <row r="768" spans="2:6" x14ac:dyDescent="0.25">
      <c r="B768" s="1"/>
      <c r="C768" s="3"/>
    </row>
    <row r="769" spans="2:4" ht="13" x14ac:dyDescent="0.3">
      <c r="B769" s="2"/>
      <c r="C769" s="3"/>
    </row>
    <row r="770" spans="2:4" x14ac:dyDescent="0.25">
      <c r="B770" s="1"/>
      <c r="C770" s="3"/>
    </row>
    <row r="771" spans="2:4" x14ac:dyDescent="0.25">
      <c r="B771" s="1"/>
      <c r="C771" s="3"/>
    </row>
    <row r="772" spans="2:4" x14ac:dyDescent="0.25">
      <c r="B772" s="1"/>
      <c r="C772" s="3"/>
    </row>
    <row r="773" spans="2:4" x14ac:dyDescent="0.25">
      <c r="B773" s="1"/>
      <c r="C773" s="3"/>
    </row>
    <row r="774" spans="2:4" x14ac:dyDescent="0.25">
      <c r="B774" s="1"/>
      <c r="C774" s="3"/>
    </row>
    <row r="775" spans="2:4" x14ac:dyDescent="0.25">
      <c r="B775" s="1"/>
      <c r="C775" s="3"/>
    </row>
    <row r="776" spans="2:4" ht="13" x14ac:dyDescent="0.3">
      <c r="B776" s="1"/>
      <c r="C776" s="29"/>
    </row>
    <row r="777" spans="2:4" x14ac:dyDescent="0.25">
      <c r="B777" s="1"/>
      <c r="C777" s="63"/>
    </row>
    <row r="778" spans="2:4" x14ac:dyDescent="0.25">
      <c r="B778" s="1"/>
      <c r="C778" s="63"/>
    </row>
    <row r="779" spans="2:4" x14ac:dyDescent="0.25">
      <c r="B779" s="1"/>
      <c r="C779" s="63"/>
    </row>
    <row r="780" spans="2:4" x14ac:dyDescent="0.25">
      <c r="B780" s="1"/>
      <c r="C780" s="63"/>
    </row>
    <row r="781" spans="2:4" x14ac:dyDescent="0.25">
      <c r="B781" s="1"/>
      <c r="C781" s="3"/>
    </row>
    <row r="782" spans="2:4" ht="13" x14ac:dyDescent="0.3">
      <c r="B782" s="1"/>
      <c r="C782" s="29"/>
    </row>
    <row r="783" spans="2:4" ht="13" x14ac:dyDescent="0.3">
      <c r="B783" s="2"/>
      <c r="C783" s="4"/>
      <c r="D783" s="10"/>
    </row>
    <row r="784" spans="2:4" ht="13" x14ac:dyDescent="0.3">
      <c r="B784" s="2"/>
      <c r="C784" s="6"/>
      <c r="D784" s="10"/>
    </row>
    <row r="785" spans="2:4" ht="13" x14ac:dyDescent="0.3">
      <c r="B785" s="2"/>
      <c r="C785" s="4"/>
      <c r="D785" s="10"/>
    </row>
    <row r="786" spans="2:4" ht="13" x14ac:dyDescent="0.3">
      <c r="B786" s="2"/>
      <c r="C786" s="42"/>
      <c r="D786" s="10"/>
    </row>
    <row r="787" spans="2:4" ht="13" x14ac:dyDescent="0.3">
      <c r="B787" s="2"/>
      <c r="C787" s="4"/>
      <c r="D787" s="10"/>
    </row>
    <row r="788" spans="2:4" ht="13" x14ac:dyDescent="0.3">
      <c r="B788" s="2"/>
      <c r="C788" s="9"/>
      <c r="D788" s="10"/>
    </row>
    <row r="789" spans="2:4" ht="13" x14ac:dyDescent="0.3">
      <c r="B789" s="2"/>
      <c r="C789" s="4"/>
      <c r="D789" s="10"/>
    </row>
    <row r="790" spans="2:4" ht="13" x14ac:dyDescent="0.3">
      <c r="B790" s="2"/>
      <c r="C790" s="10"/>
      <c r="D790" s="10"/>
    </row>
    <row r="791" spans="2:4" ht="13" x14ac:dyDescent="0.3">
      <c r="B791" s="2"/>
      <c r="C791" s="4"/>
      <c r="D791" s="10"/>
    </row>
    <row r="792" spans="2:4" x14ac:dyDescent="0.25">
      <c r="B792" s="1"/>
      <c r="C792" s="3"/>
    </row>
    <row r="793" spans="2:4" ht="13" x14ac:dyDescent="0.3">
      <c r="B793" s="10"/>
      <c r="C793" s="3"/>
    </row>
    <row r="794" spans="2:4" ht="13" x14ac:dyDescent="0.3">
      <c r="B794" s="10"/>
      <c r="C794" s="4"/>
    </row>
    <row r="795" spans="2:4" ht="13" x14ac:dyDescent="0.3">
      <c r="B795" s="10"/>
      <c r="C795" s="4"/>
    </row>
    <row r="796" spans="2:4" ht="13" x14ac:dyDescent="0.3">
      <c r="B796" s="2"/>
      <c r="C796" s="10"/>
    </row>
    <row r="797" spans="2:4" ht="13" x14ac:dyDescent="0.3">
      <c r="B797" s="2"/>
      <c r="C797" s="10"/>
    </row>
    <row r="798" spans="2:4" ht="13" x14ac:dyDescent="0.3">
      <c r="B798" s="2"/>
      <c r="C798" s="10"/>
    </row>
    <row r="799" spans="2:4" ht="13" x14ac:dyDescent="0.3">
      <c r="B799" s="2"/>
      <c r="C799" s="10"/>
    </row>
    <row r="800" spans="2:4" ht="13" x14ac:dyDescent="0.3">
      <c r="B800" s="2"/>
      <c r="C800" s="10"/>
    </row>
    <row r="802" spans="2:5" x14ac:dyDescent="0.25">
      <c r="B802" s="1"/>
      <c r="C802" s="3"/>
    </row>
    <row r="803" spans="2:5" ht="13" x14ac:dyDescent="0.3">
      <c r="B803" s="2"/>
      <c r="C803" s="8"/>
    </row>
    <row r="804" spans="2:5" x14ac:dyDescent="0.25">
      <c r="B804" s="45"/>
      <c r="C804" s="3"/>
    </row>
    <row r="805" spans="2:5" x14ac:dyDescent="0.25">
      <c r="B805" s="1"/>
      <c r="C805" s="3"/>
    </row>
    <row r="806" spans="2:5" ht="13" x14ac:dyDescent="0.3">
      <c r="B806" s="2"/>
      <c r="C806" s="29"/>
    </row>
    <row r="807" spans="2:5" x14ac:dyDescent="0.25">
      <c r="B807" s="1"/>
      <c r="C807" s="64"/>
    </row>
    <row r="808" spans="2:5" x14ac:dyDescent="0.25">
      <c r="B808" s="1"/>
      <c r="C808" s="63"/>
    </row>
    <row r="809" spans="2:5" x14ac:dyDescent="0.25">
      <c r="B809" s="1"/>
      <c r="C809" s="63"/>
    </row>
    <row r="810" spans="2:5" x14ac:dyDescent="0.25">
      <c r="B810" s="1"/>
      <c r="C810" s="63"/>
    </row>
    <row r="811" spans="2:5" x14ac:dyDescent="0.25">
      <c r="B811" s="1"/>
      <c r="C811" s="63"/>
    </row>
    <row r="812" spans="2:5" ht="13" x14ac:dyDescent="0.3">
      <c r="B812" s="1"/>
      <c r="C812" s="63"/>
      <c r="E812" s="10"/>
    </row>
    <row r="813" spans="2:5" x14ac:dyDescent="0.25">
      <c r="B813" s="1"/>
      <c r="C813" s="63"/>
      <c r="E813" s="47"/>
    </row>
    <row r="814" spans="2:5" x14ac:dyDescent="0.25">
      <c r="B814" s="1"/>
      <c r="C814" s="63"/>
      <c r="E814" s="47"/>
    </row>
    <row r="815" spans="2:5" x14ac:dyDescent="0.25">
      <c r="B815" s="1"/>
      <c r="C815" s="63"/>
      <c r="E815" s="47"/>
    </row>
    <row r="816" spans="2:5" x14ac:dyDescent="0.25">
      <c r="B816" s="1"/>
      <c r="C816" s="63"/>
    </row>
    <row r="817" spans="2:6" ht="13" x14ac:dyDescent="0.3">
      <c r="B817" s="1"/>
      <c r="C817" s="3"/>
      <c r="F817" s="4"/>
    </row>
    <row r="818" spans="2:6" ht="13" x14ac:dyDescent="0.3">
      <c r="B818" s="1"/>
      <c r="C818" s="29"/>
    </row>
    <row r="819" spans="2:6" x14ac:dyDescent="0.25">
      <c r="B819" s="1"/>
      <c r="C819" s="3"/>
    </row>
    <row r="820" spans="2:6" ht="13" x14ac:dyDescent="0.3">
      <c r="B820" s="2"/>
      <c r="C820" s="4"/>
      <c r="D820" s="10"/>
    </row>
    <row r="821" spans="2:6" ht="13" x14ac:dyDescent="0.3">
      <c r="B821" s="2"/>
      <c r="C821" s="9"/>
      <c r="D821" s="10"/>
    </row>
    <row r="822" spans="2:6" ht="13" x14ac:dyDescent="0.3">
      <c r="B822" s="2"/>
      <c r="C822" s="4"/>
      <c r="D822" s="10"/>
    </row>
    <row r="823" spans="2:6" ht="13" x14ac:dyDescent="0.3">
      <c r="B823" s="2"/>
      <c r="C823" s="6"/>
      <c r="D823" s="10"/>
    </row>
    <row r="824" spans="2:6" ht="13" x14ac:dyDescent="0.3">
      <c r="B824" s="2"/>
      <c r="C824" s="4"/>
      <c r="D824" s="10"/>
    </row>
    <row r="825" spans="2:6" ht="13" x14ac:dyDescent="0.3">
      <c r="B825" s="2"/>
      <c r="C825" s="4"/>
      <c r="D825" s="10"/>
    </row>
    <row r="826" spans="2:6" ht="13" x14ac:dyDescent="0.3">
      <c r="B826" s="2"/>
      <c r="C826" s="11"/>
      <c r="D826" s="10"/>
    </row>
    <row r="827" spans="2:6" x14ac:dyDescent="0.25">
      <c r="B827" s="1"/>
      <c r="C827" s="3"/>
    </row>
    <row r="828" spans="2:6" x14ac:dyDescent="0.25">
      <c r="B828" s="1"/>
      <c r="C828" s="3"/>
    </row>
    <row r="829" spans="2:6" x14ac:dyDescent="0.25">
      <c r="B829" s="1"/>
      <c r="C829" s="3"/>
    </row>
    <row r="830" spans="2:6" x14ac:dyDescent="0.25">
      <c r="B830" s="1"/>
      <c r="C830" s="3"/>
    </row>
    <row r="831" spans="2:6" x14ac:dyDescent="0.25">
      <c r="B831" s="8"/>
      <c r="C831" s="3"/>
    </row>
    <row r="832" spans="2:6" x14ac:dyDescent="0.25">
      <c r="B832" s="8"/>
      <c r="C832" s="3"/>
    </row>
    <row r="833" spans="2:4" x14ac:dyDescent="0.25">
      <c r="B833" s="45"/>
      <c r="C833" s="3"/>
    </row>
    <row r="834" spans="2:4" x14ac:dyDescent="0.25">
      <c r="B834" s="8"/>
      <c r="C834" s="3"/>
    </row>
    <row r="835" spans="2:4" x14ac:dyDescent="0.25">
      <c r="B835" s="8"/>
      <c r="C835" s="3"/>
    </row>
    <row r="836" spans="2:4" x14ac:dyDescent="0.25">
      <c r="B836" s="8"/>
      <c r="C836" s="3"/>
    </row>
    <row r="837" spans="2:4" x14ac:dyDescent="0.25">
      <c r="B837" s="8"/>
      <c r="C837" s="3"/>
    </row>
    <row r="838" spans="2:4" x14ac:dyDescent="0.25">
      <c r="B838" s="8"/>
      <c r="C838" s="3"/>
    </row>
    <row r="839" spans="2:4" x14ac:dyDescent="0.25">
      <c r="B839" s="8"/>
      <c r="C839" s="3"/>
    </row>
    <row r="840" spans="2:4" x14ac:dyDescent="0.25">
      <c r="B840" s="8"/>
      <c r="C840" s="3"/>
    </row>
    <row r="841" spans="2:4" x14ac:dyDescent="0.25">
      <c r="B841" s="8"/>
      <c r="C841" s="3"/>
    </row>
    <row r="842" spans="2:4" x14ac:dyDescent="0.25">
      <c r="B842" s="8"/>
      <c r="C842" s="3"/>
    </row>
    <row r="843" spans="2:4" x14ac:dyDescent="0.25">
      <c r="B843" s="8"/>
      <c r="C843" s="3"/>
    </row>
    <row r="844" spans="2:4" x14ac:dyDescent="0.25">
      <c r="B844" s="1"/>
      <c r="C844" s="3"/>
    </row>
    <row r="845" spans="2:4" ht="13" x14ac:dyDescent="0.3">
      <c r="B845" s="10"/>
      <c r="C845" s="3"/>
    </row>
    <row r="846" spans="2:4" ht="13" x14ac:dyDescent="0.3">
      <c r="B846" s="1"/>
      <c r="C846" s="14"/>
    </row>
    <row r="847" spans="2:4" ht="13" x14ac:dyDescent="0.3">
      <c r="B847" s="2"/>
      <c r="C847" s="4"/>
      <c r="D847" s="10"/>
    </row>
    <row r="848" spans="2:4" ht="13" x14ac:dyDescent="0.3">
      <c r="B848" s="2"/>
      <c r="C848" s="4"/>
      <c r="D848" s="10"/>
    </row>
    <row r="849" spans="2:5" ht="13" x14ac:dyDescent="0.3">
      <c r="B849" s="2"/>
      <c r="C849" s="42"/>
      <c r="D849" s="10"/>
    </row>
    <row r="850" spans="2:5" ht="13" x14ac:dyDescent="0.3">
      <c r="B850" s="2"/>
      <c r="C850" s="4"/>
      <c r="D850" s="10"/>
    </row>
    <row r="851" spans="2:5" ht="13" x14ac:dyDescent="0.3">
      <c r="B851" s="2"/>
      <c r="C851" s="42"/>
      <c r="D851" s="10"/>
    </row>
    <row r="852" spans="2:5" ht="13" x14ac:dyDescent="0.3">
      <c r="B852" s="2"/>
      <c r="C852" s="4"/>
      <c r="D852" s="10"/>
    </row>
    <row r="853" spans="2:5" ht="13" x14ac:dyDescent="0.3">
      <c r="B853" s="2"/>
      <c r="C853" s="4"/>
      <c r="D853" s="10"/>
    </row>
    <row r="854" spans="2:5" ht="13" x14ac:dyDescent="0.3">
      <c r="B854" s="2"/>
      <c r="C854" s="4"/>
      <c r="D854" s="10"/>
      <c r="E854" s="3"/>
    </row>
    <row r="855" spans="2:5" ht="13" x14ac:dyDescent="0.3">
      <c r="B855" s="2"/>
      <c r="C855" s="42"/>
      <c r="D855" s="10"/>
    </row>
    <row r="856" spans="2:5" ht="13" x14ac:dyDescent="0.3">
      <c r="B856" s="2"/>
      <c r="C856" s="4"/>
      <c r="D856" s="10"/>
    </row>
    <row r="857" spans="2:5" ht="13" x14ac:dyDescent="0.3">
      <c r="B857" s="2"/>
      <c r="C857" s="4"/>
      <c r="D857" s="10"/>
    </row>
    <row r="858" spans="2:5" ht="13" x14ac:dyDescent="0.3">
      <c r="B858" s="2"/>
      <c r="C858" s="5"/>
      <c r="D858" s="10"/>
    </row>
    <row r="859" spans="2:5" ht="13" x14ac:dyDescent="0.3">
      <c r="B859" s="2"/>
      <c r="C859" s="4"/>
      <c r="D859" s="10"/>
    </row>
    <row r="860" spans="2:5" ht="13" x14ac:dyDescent="0.3">
      <c r="B860" s="2"/>
      <c r="C860" s="4"/>
      <c r="D860" s="10"/>
    </row>
    <row r="861" spans="2:5" ht="13" x14ac:dyDescent="0.3">
      <c r="B861" s="2"/>
      <c r="C861" s="42"/>
      <c r="D861" s="10"/>
    </row>
    <row r="862" spans="2:5" ht="13" x14ac:dyDescent="0.3">
      <c r="B862" s="2"/>
      <c r="C862" s="4"/>
      <c r="D862" s="10"/>
    </row>
    <row r="863" spans="2:5" ht="13" x14ac:dyDescent="0.3">
      <c r="B863" s="2"/>
      <c r="C863" s="4"/>
      <c r="D863" s="10"/>
    </row>
    <row r="864" spans="2:5" ht="13" x14ac:dyDescent="0.3">
      <c r="B864" s="2"/>
      <c r="C864" s="6"/>
      <c r="D864" s="10"/>
    </row>
    <row r="865" spans="2:6" ht="13" x14ac:dyDescent="0.3">
      <c r="B865" s="2"/>
      <c r="C865" s="4"/>
      <c r="D865" s="10"/>
    </row>
    <row r="866" spans="2:6" ht="13" x14ac:dyDescent="0.3">
      <c r="B866" s="2"/>
      <c r="C866" s="4"/>
      <c r="D866" s="10"/>
    </row>
    <row r="867" spans="2:6" ht="13" x14ac:dyDescent="0.3">
      <c r="B867" s="2"/>
      <c r="C867" s="42"/>
      <c r="D867" s="10"/>
    </row>
    <row r="868" spans="2:6" ht="13" x14ac:dyDescent="0.3">
      <c r="B868" s="1"/>
      <c r="C868" s="3"/>
      <c r="F868" s="4"/>
    </row>
    <row r="869" spans="2:6" x14ac:dyDescent="0.25">
      <c r="B869" s="1"/>
      <c r="C869" s="3"/>
    </row>
    <row r="870" spans="2:6" x14ac:dyDescent="0.25">
      <c r="B870" s="1"/>
      <c r="C870" s="3"/>
    </row>
    <row r="871" spans="2:6" x14ac:dyDescent="0.25">
      <c r="B871" s="1"/>
      <c r="C871" s="3"/>
    </row>
    <row r="872" spans="2:6" x14ac:dyDescent="0.25">
      <c r="B872" s="1"/>
      <c r="C872" s="3"/>
    </row>
    <row r="873" spans="2:6" x14ac:dyDescent="0.25">
      <c r="B873" s="1"/>
      <c r="C873" s="3"/>
    </row>
    <row r="874" spans="2:6" x14ac:dyDescent="0.25">
      <c r="B874" s="1"/>
      <c r="C874" s="3"/>
    </row>
    <row r="875" spans="2:6" x14ac:dyDescent="0.25">
      <c r="B875" s="1"/>
      <c r="C875" s="3"/>
    </row>
    <row r="876" spans="2:6" ht="13" x14ac:dyDescent="0.3">
      <c r="B876" s="2"/>
      <c r="C876" s="3"/>
      <c r="D876" s="10"/>
    </row>
    <row r="877" spans="2:6" x14ac:dyDescent="0.25">
      <c r="B877" s="1"/>
      <c r="C877" s="3"/>
    </row>
    <row r="878" spans="2:6" x14ac:dyDescent="0.25">
      <c r="B878" s="1"/>
      <c r="C878" s="3"/>
    </row>
    <row r="879" spans="2:6" x14ac:dyDescent="0.25">
      <c r="B879" s="1"/>
      <c r="C879" s="3"/>
    </row>
    <row r="880" spans="2:6" x14ac:dyDescent="0.25">
      <c r="B880" s="1"/>
      <c r="C880" s="3"/>
    </row>
    <row r="881" spans="2:3" x14ac:dyDescent="0.25">
      <c r="B881" s="1"/>
      <c r="C881" s="3"/>
    </row>
    <row r="882" spans="2:3" x14ac:dyDescent="0.25">
      <c r="B882" s="1"/>
      <c r="C882" s="3"/>
    </row>
    <row r="883" spans="2:3" x14ac:dyDescent="0.25">
      <c r="B883" s="1"/>
      <c r="C883" s="3"/>
    </row>
    <row r="884" spans="2:3" x14ac:dyDescent="0.25">
      <c r="B884" s="1"/>
      <c r="C884" s="3"/>
    </row>
    <row r="885" spans="2:3" x14ac:dyDescent="0.25">
      <c r="B885" s="1"/>
      <c r="C885" s="3"/>
    </row>
    <row r="886" spans="2:3" x14ac:dyDescent="0.25">
      <c r="B886" s="1"/>
      <c r="C886" s="3"/>
    </row>
    <row r="887" spans="2:3" x14ac:dyDescent="0.25">
      <c r="B887" s="1"/>
      <c r="C887" s="3"/>
    </row>
    <row r="888" spans="2:3" x14ac:dyDescent="0.25">
      <c r="B888" s="1"/>
      <c r="C888" s="3"/>
    </row>
    <row r="889" spans="2:3" x14ac:dyDescent="0.25">
      <c r="B889" s="1"/>
      <c r="C889" s="3"/>
    </row>
    <row r="890" spans="2:3" x14ac:dyDescent="0.25">
      <c r="B890" s="1"/>
      <c r="C890" s="3"/>
    </row>
    <row r="891" spans="2:3" x14ac:dyDescent="0.25">
      <c r="B891" s="1"/>
      <c r="C891" s="3"/>
    </row>
    <row r="892" spans="2:3" x14ac:dyDescent="0.25">
      <c r="B892" s="1"/>
      <c r="C892" s="3"/>
    </row>
    <row r="893" spans="2:3" x14ac:dyDescent="0.25">
      <c r="B893" s="1"/>
      <c r="C893" s="3"/>
    </row>
    <row r="894" spans="2:3" x14ac:dyDescent="0.25">
      <c r="B894" s="1"/>
      <c r="C894" s="3"/>
    </row>
    <row r="895" spans="2:3" x14ac:dyDescent="0.25">
      <c r="B895" s="1"/>
      <c r="C895" s="3"/>
    </row>
    <row r="896" spans="2:3" x14ac:dyDescent="0.25">
      <c r="B896" s="1"/>
      <c r="C896" s="3"/>
    </row>
    <row r="897" spans="2:3" x14ac:dyDescent="0.25">
      <c r="B897" s="1"/>
      <c r="C897" s="3"/>
    </row>
    <row r="898" spans="2:3" x14ac:dyDescent="0.25">
      <c r="B898" s="1"/>
      <c r="C898" s="3"/>
    </row>
    <row r="899" spans="2:3" x14ac:dyDescent="0.25">
      <c r="B899" s="1"/>
      <c r="C899" s="3"/>
    </row>
    <row r="900" spans="2:3" x14ac:dyDescent="0.25">
      <c r="B900" s="1"/>
      <c r="C900" s="3"/>
    </row>
    <row r="901" spans="2:3" x14ac:dyDescent="0.25">
      <c r="B901" s="1"/>
      <c r="C901" s="3"/>
    </row>
    <row r="902" spans="2:3" x14ac:dyDescent="0.25">
      <c r="B902" s="1"/>
      <c r="C902" s="3"/>
    </row>
    <row r="903" spans="2:3" x14ac:dyDescent="0.25">
      <c r="B903" s="1"/>
      <c r="C903" s="3"/>
    </row>
    <row r="904" spans="2:3" x14ac:dyDescent="0.25">
      <c r="B904" s="1"/>
      <c r="C904" s="3"/>
    </row>
    <row r="905" spans="2:3" x14ac:dyDescent="0.25">
      <c r="B905" s="1"/>
      <c r="C905" s="3"/>
    </row>
    <row r="906" spans="2:3" x14ac:dyDescent="0.25">
      <c r="B906" s="1"/>
      <c r="C906" s="3"/>
    </row>
    <row r="907" spans="2:3" x14ac:dyDescent="0.25">
      <c r="B907" s="1"/>
      <c r="C907" s="3"/>
    </row>
    <row r="908" spans="2:3" x14ac:dyDescent="0.25">
      <c r="B908" s="1"/>
      <c r="C908" s="3"/>
    </row>
    <row r="909" spans="2:3" x14ac:dyDescent="0.25">
      <c r="B909" s="1"/>
      <c r="C909" s="3"/>
    </row>
    <row r="910" spans="2:3" x14ac:dyDescent="0.25">
      <c r="B910" s="1"/>
      <c r="C910" s="3"/>
    </row>
    <row r="911" spans="2:3" x14ac:dyDescent="0.25">
      <c r="B911" s="1"/>
      <c r="C911" s="3"/>
    </row>
    <row r="912" spans="2:3" x14ac:dyDescent="0.25">
      <c r="B912" s="1"/>
      <c r="C912" s="3"/>
    </row>
    <row r="913" spans="2:3" x14ac:dyDescent="0.25">
      <c r="B913" s="1"/>
      <c r="C913" s="3"/>
    </row>
    <row r="914" spans="2:3" x14ac:dyDescent="0.25">
      <c r="B914" s="1"/>
      <c r="C914" s="3"/>
    </row>
    <row r="915" spans="2:3" x14ac:dyDescent="0.25">
      <c r="B915" s="1"/>
      <c r="C915" s="3"/>
    </row>
    <row r="916" spans="2:3" x14ac:dyDescent="0.25">
      <c r="B916" s="8"/>
      <c r="C916" s="3"/>
    </row>
    <row r="917" spans="2:3" x14ac:dyDescent="0.25">
      <c r="B917" s="1"/>
      <c r="C917" s="3"/>
    </row>
    <row r="918" spans="2:3" ht="13" x14ac:dyDescent="0.3">
      <c r="B918" s="10"/>
      <c r="C918" s="3"/>
    </row>
    <row r="919" spans="2:3" x14ac:dyDescent="0.25">
      <c r="B919" s="1"/>
      <c r="C919" s="3"/>
    </row>
  </sheetData>
  <sheetProtection sheet="1" formatCells="0" selectLockedCells="1"/>
  <protectedRanges>
    <protectedRange sqref="C35:C40" name="Range1"/>
    <protectedRange sqref="C80:C85 I34:I39" name="Range2"/>
    <protectedRange sqref="F35:F40" name="Range1_1"/>
  </protectedRanges>
  <phoneticPr fontId="2" type="noConversion"/>
  <printOptions gridLines="1"/>
  <pageMargins left="0.75" right="0.75" top="1" bottom="1" header="0.5" footer="0.5"/>
  <pageSetup orientation="portrait" horizontalDpi="4294967295"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57"/>
  <sheetViews>
    <sheetView workbookViewId="0">
      <selection activeCell="J2" sqref="J2"/>
    </sheetView>
  </sheetViews>
  <sheetFormatPr defaultRowHeight="12.5" x14ac:dyDescent="0.25"/>
  <cols>
    <col min="13" max="13" width="9.1796875" style="8"/>
  </cols>
  <sheetData>
    <row r="1" spans="1:18" ht="15.5" x14ac:dyDescent="0.35">
      <c r="A1" s="144" t="s">
        <v>873</v>
      </c>
      <c r="D1" s="28"/>
      <c r="G1" s="16"/>
      <c r="H1" s="226" t="s">
        <v>868</v>
      </c>
      <c r="J1" s="135"/>
      <c r="K1" s="135"/>
      <c r="L1" s="135"/>
      <c r="M1" s="139"/>
      <c r="N1" s="135"/>
      <c r="O1" s="135"/>
      <c r="P1" s="135"/>
      <c r="Q1" s="135"/>
      <c r="R1" s="135"/>
    </row>
    <row r="2" spans="1:18" x14ac:dyDescent="0.25">
      <c r="A2" s="66"/>
      <c r="J2" s="135"/>
      <c r="K2" s="135"/>
      <c r="L2" s="135"/>
      <c r="M2" s="139"/>
      <c r="N2" s="135"/>
      <c r="O2" s="135"/>
      <c r="P2" s="135"/>
      <c r="Q2" s="135"/>
      <c r="R2" s="135"/>
    </row>
    <row r="3" spans="1:18" x14ac:dyDescent="0.25">
      <c r="J3" s="135"/>
      <c r="K3" s="135"/>
      <c r="L3" s="135"/>
      <c r="M3" s="139"/>
      <c r="N3" s="135"/>
      <c r="O3" s="135"/>
      <c r="P3" s="135"/>
      <c r="Q3" s="135"/>
      <c r="R3" s="135"/>
    </row>
    <row r="4" spans="1:18" ht="15.5" x14ac:dyDescent="0.35">
      <c r="A4" s="143" t="s">
        <v>842</v>
      </c>
      <c r="G4" s="254" t="s">
        <v>1154</v>
      </c>
      <c r="K4" s="135"/>
      <c r="L4" s="135"/>
      <c r="M4" s="139"/>
      <c r="N4" s="135"/>
      <c r="O4" s="135"/>
      <c r="P4" s="135"/>
      <c r="Q4" s="135"/>
      <c r="R4" s="135"/>
    </row>
    <row r="5" spans="1:18" x14ac:dyDescent="0.25">
      <c r="J5" s="135"/>
      <c r="K5" s="135"/>
      <c r="L5" s="135"/>
      <c r="M5" s="139"/>
      <c r="N5" s="135"/>
      <c r="O5" s="135"/>
      <c r="P5" s="135"/>
      <c r="Q5" s="135"/>
      <c r="R5" s="135"/>
    </row>
    <row r="6" spans="1:18" x14ac:dyDescent="0.25">
      <c r="J6" s="135"/>
      <c r="K6" s="135"/>
      <c r="L6" s="135"/>
      <c r="M6" s="139"/>
      <c r="N6" s="135"/>
      <c r="O6" s="135"/>
      <c r="P6" s="135"/>
      <c r="Q6" s="135"/>
      <c r="R6" s="135"/>
    </row>
    <row r="7" spans="1:18" x14ac:dyDescent="0.25">
      <c r="J7" s="135"/>
      <c r="K7" s="135"/>
      <c r="L7" s="135"/>
      <c r="M7" s="139"/>
      <c r="N7" s="135"/>
      <c r="O7" s="135"/>
      <c r="P7" s="135"/>
      <c r="Q7" s="135"/>
      <c r="R7" s="135"/>
    </row>
    <row r="8" spans="1:18" x14ac:dyDescent="0.25">
      <c r="J8" s="135"/>
      <c r="K8" s="135"/>
      <c r="L8" s="135"/>
      <c r="M8" s="139"/>
      <c r="N8" s="135"/>
      <c r="O8" s="135"/>
      <c r="P8" s="135"/>
      <c r="Q8" s="135"/>
      <c r="R8" s="135"/>
    </row>
    <row r="9" spans="1:18" x14ac:dyDescent="0.25">
      <c r="J9" s="135"/>
      <c r="K9" s="135"/>
      <c r="L9" s="135"/>
      <c r="M9" s="139"/>
      <c r="N9" s="135"/>
      <c r="O9" s="135"/>
      <c r="P9" s="135"/>
      <c r="Q9" s="135"/>
      <c r="R9" s="135"/>
    </row>
    <row r="10" spans="1:18" x14ac:dyDescent="0.25">
      <c r="J10" s="135"/>
      <c r="K10" s="135"/>
      <c r="L10" s="135"/>
      <c r="M10" s="139"/>
      <c r="N10" s="135"/>
      <c r="O10" s="135"/>
      <c r="P10" s="135"/>
      <c r="Q10" s="135"/>
      <c r="R10" s="135"/>
    </row>
    <row r="11" spans="1:18" ht="13" x14ac:dyDescent="0.3">
      <c r="J11" s="135"/>
      <c r="K11" s="135"/>
      <c r="L11" s="189"/>
      <c r="M11" s="139"/>
      <c r="N11" s="135"/>
      <c r="O11" s="135"/>
      <c r="P11" s="135"/>
      <c r="Q11" s="135"/>
      <c r="R11" s="135"/>
    </row>
    <row r="12" spans="1:18" x14ac:dyDescent="0.25">
      <c r="J12" s="135"/>
      <c r="K12" s="135"/>
      <c r="L12" s="135"/>
      <c r="M12" s="139"/>
      <c r="N12" s="135"/>
      <c r="O12" s="135"/>
      <c r="P12" s="135"/>
      <c r="Q12" s="135"/>
      <c r="R12" s="135"/>
    </row>
    <row r="13" spans="1:18" x14ac:dyDescent="0.25">
      <c r="J13" s="135"/>
      <c r="K13" s="135"/>
      <c r="L13" s="148"/>
      <c r="M13" s="139"/>
      <c r="N13" s="135"/>
      <c r="O13" s="135"/>
      <c r="P13" s="135"/>
      <c r="Q13" s="135"/>
      <c r="R13" s="135"/>
    </row>
    <row r="14" spans="1:18" x14ac:dyDescent="0.25">
      <c r="J14" s="135"/>
      <c r="K14" s="135"/>
      <c r="L14" s="148"/>
      <c r="M14" s="139"/>
      <c r="N14" s="135"/>
      <c r="O14" s="135"/>
      <c r="P14" s="135"/>
      <c r="Q14" s="135"/>
      <c r="R14" s="135"/>
    </row>
    <row r="15" spans="1:18" x14ac:dyDescent="0.25">
      <c r="J15" s="135"/>
      <c r="K15" s="135"/>
      <c r="L15" s="148"/>
      <c r="M15" s="139"/>
      <c r="N15" s="135"/>
      <c r="O15" s="135"/>
      <c r="P15" s="135"/>
      <c r="Q15" s="135"/>
      <c r="R15" s="135"/>
    </row>
    <row r="16" spans="1:18" x14ac:dyDescent="0.25">
      <c r="J16" s="135"/>
      <c r="K16" s="135"/>
      <c r="L16" s="135"/>
      <c r="M16" s="139"/>
      <c r="N16" s="135"/>
      <c r="O16" s="135"/>
      <c r="P16" s="135"/>
      <c r="Q16" s="135"/>
      <c r="R16" s="135"/>
    </row>
    <row r="17" spans="10:18" x14ac:dyDescent="0.25">
      <c r="J17" s="135"/>
      <c r="K17" s="135"/>
      <c r="L17" s="135"/>
      <c r="M17" s="139"/>
      <c r="N17" s="135"/>
      <c r="O17" s="135"/>
      <c r="P17" s="135"/>
      <c r="Q17" s="135"/>
      <c r="R17" s="135"/>
    </row>
    <row r="18" spans="10:18" x14ac:dyDescent="0.25">
      <c r="J18" s="135"/>
      <c r="K18" s="135"/>
      <c r="L18" s="135"/>
      <c r="M18" s="139"/>
      <c r="N18" s="135"/>
      <c r="O18" s="135"/>
      <c r="P18" s="135"/>
      <c r="Q18" s="135"/>
      <c r="R18" s="135"/>
    </row>
    <row r="19" spans="10:18" x14ac:dyDescent="0.25">
      <c r="J19" s="135"/>
      <c r="K19" s="135"/>
      <c r="L19" s="135"/>
      <c r="M19" s="139"/>
      <c r="N19" s="135"/>
      <c r="O19" s="135"/>
      <c r="P19" s="135"/>
      <c r="Q19" s="135"/>
      <c r="R19" s="135"/>
    </row>
    <row r="20" spans="10:18" x14ac:dyDescent="0.25">
      <c r="J20" s="135"/>
      <c r="K20" s="135"/>
      <c r="L20" s="135"/>
      <c r="M20" s="139"/>
      <c r="N20" s="135"/>
      <c r="O20" s="135"/>
      <c r="P20" s="135"/>
      <c r="Q20" s="135"/>
      <c r="R20" s="135"/>
    </row>
    <row r="21" spans="10:18" x14ac:dyDescent="0.25">
      <c r="J21" s="135"/>
      <c r="K21" s="135"/>
      <c r="L21" s="135"/>
      <c r="M21" s="139"/>
      <c r="N21" s="135"/>
      <c r="O21" s="135"/>
      <c r="P21" s="135"/>
      <c r="Q21" s="135"/>
      <c r="R21" s="135"/>
    </row>
    <row r="22" spans="10:18" x14ac:dyDescent="0.25">
      <c r="J22" s="135"/>
      <c r="K22" s="135"/>
      <c r="L22" s="135"/>
      <c r="M22" s="139"/>
      <c r="N22" s="135"/>
      <c r="O22" s="135"/>
      <c r="P22" s="135"/>
      <c r="Q22" s="135"/>
      <c r="R22" s="135"/>
    </row>
    <row r="23" spans="10:18" x14ac:dyDescent="0.25">
      <c r="J23" s="135"/>
      <c r="K23" s="135"/>
      <c r="L23" s="135"/>
      <c r="M23" s="139"/>
      <c r="N23" s="135"/>
      <c r="O23" s="135"/>
      <c r="P23" s="135"/>
      <c r="Q23" s="135"/>
      <c r="R23" s="135"/>
    </row>
    <row r="24" spans="10:18" x14ac:dyDescent="0.25">
      <c r="J24" s="135"/>
      <c r="K24" s="135"/>
      <c r="L24" s="135"/>
      <c r="M24" s="139"/>
      <c r="N24" s="135"/>
      <c r="O24" s="135"/>
      <c r="P24" s="135"/>
      <c r="Q24" s="135"/>
      <c r="R24" s="135"/>
    </row>
    <row r="25" spans="10:18" x14ac:dyDescent="0.25">
      <c r="J25" s="135"/>
      <c r="K25" s="135"/>
      <c r="L25" s="135"/>
      <c r="M25" s="139"/>
      <c r="N25" s="135"/>
      <c r="O25" s="135"/>
      <c r="P25" s="135"/>
      <c r="Q25" s="135"/>
      <c r="R25" s="135"/>
    </row>
    <row r="26" spans="10:18" x14ac:dyDescent="0.25">
      <c r="J26" s="135"/>
      <c r="K26" s="135"/>
      <c r="L26" s="135"/>
      <c r="M26" s="139"/>
      <c r="N26" s="135"/>
      <c r="O26" s="135"/>
      <c r="P26" s="135"/>
      <c r="Q26" s="135"/>
      <c r="R26" s="135"/>
    </row>
    <row r="27" spans="10:18" x14ac:dyDescent="0.25">
      <c r="J27" s="135"/>
      <c r="K27" s="135"/>
      <c r="L27" s="135"/>
      <c r="M27" s="139"/>
      <c r="N27" s="135"/>
      <c r="O27" s="135"/>
      <c r="P27" s="135"/>
      <c r="Q27" s="135"/>
      <c r="R27" s="135"/>
    </row>
    <row r="28" spans="10:18" x14ac:dyDescent="0.25">
      <c r="J28" s="135"/>
      <c r="K28" s="135"/>
      <c r="L28" s="135"/>
      <c r="M28" s="139"/>
      <c r="N28" s="135"/>
      <c r="O28" s="135"/>
      <c r="P28" s="135"/>
      <c r="Q28" s="135"/>
      <c r="R28" s="135"/>
    </row>
    <row r="29" spans="10:18" x14ac:dyDescent="0.25">
      <c r="J29" s="135"/>
      <c r="K29" s="135"/>
      <c r="L29" s="135"/>
      <c r="M29" s="139"/>
      <c r="N29" s="135"/>
      <c r="O29" s="135"/>
      <c r="P29" s="135"/>
      <c r="Q29" s="135"/>
      <c r="R29" s="135"/>
    </row>
    <row r="30" spans="10:18" x14ac:dyDescent="0.25">
      <c r="J30" s="135"/>
      <c r="K30" s="135"/>
      <c r="L30" s="135"/>
      <c r="M30" s="139"/>
      <c r="N30" s="135"/>
      <c r="O30" s="135"/>
      <c r="P30" s="135"/>
      <c r="Q30" s="135"/>
      <c r="R30" s="135"/>
    </row>
    <row r="31" spans="10:18" x14ac:dyDescent="0.25">
      <c r="J31" s="135"/>
      <c r="K31" s="135"/>
      <c r="L31" s="135"/>
      <c r="M31" s="139"/>
      <c r="N31" s="135"/>
      <c r="O31" s="135"/>
      <c r="P31" s="135"/>
      <c r="Q31" s="135"/>
      <c r="R31" s="135"/>
    </row>
    <row r="32" spans="10:18" x14ac:dyDescent="0.25">
      <c r="J32" s="135"/>
      <c r="K32" s="135"/>
      <c r="L32" s="135"/>
      <c r="M32" s="139"/>
      <c r="N32" s="135"/>
      <c r="O32" s="135"/>
      <c r="P32" s="135"/>
      <c r="Q32" s="135"/>
      <c r="R32" s="135"/>
    </row>
    <row r="33" spans="10:18" x14ac:dyDescent="0.25">
      <c r="J33" s="135"/>
      <c r="K33" s="135"/>
      <c r="L33" s="135"/>
      <c r="M33" s="139"/>
      <c r="N33" s="135"/>
      <c r="O33" s="135"/>
      <c r="P33" s="135"/>
      <c r="Q33" s="135"/>
      <c r="R33" s="135"/>
    </row>
    <row r="34" spans="10:18" x14ac:dyDescent="0.25">
      <c r="J34" s="135"/>
      <c r="K34" s="135"/>
      <c r="L34" s="135"/>
      <c r="M34" s="139"/>
      <c r="N34" s="135"/>
      <c r="O34" s="135"/>
      <c r="P34" s="135"/>
      <c r="Q34" s="135"/>
      <c r="R34" s="135"/>
    </row>
    <row r="35" spans="10:18" x14ac:dyDescent="0.25">
      <c r="J35" s="135"/>
      <c r="K35" s="135"/>
      <c r="L35" s="135"/>
      <c r="M35" s="139"/>
      <c r="N35" s="135"/>
      <c r="O35" s="135"/>
      <c r="P35" s="135"/>
      <c r="Q35" s="135"/>
      <c r="R35" s="135"/>
    </row>
    <row r="36" spans="10:18" x14ac:dyDescent="0.25">
      <c r="J36" s="135"/>
      <c r="K36" s="135"/>
      <c r="L36" s="135"/>
      <c r="M36" s="139"/>
      <c r="N36" s="135"/>
      <c r="O36" s="135"/>
      <c r="P36" s="135"/>
      <c r="Q36" s="135"/>
      <c r="R36" s="135"/>
    </row>
    <row r="37" spans="10:18" x14ac:dyDescent="0.25">
      <c r="J37" s="135"/>
      <c r="K37" s="135"/>
      <c r="L37" s="135"/>
      <c r="M37" s="139"/>
      <c r="N37" s="135"/>
      <c r="O37" s="135"/>
      <c r="P37" s="135"/>
      <c r="Q37" s="135"/>
      <c r="R37" s="135"/>
    </row>
    <row r="38" spans="10:18" x14ac:dyDescent="0.25">
      <c r="J38" s="135"/>
      <c r="K38" s="135"/>
      <c r="L38" s="135"/>
      <c r="M38" s="139"/>
      <c r="N38" s="135"/>
      <c r="O38" s="135"/>
      <c r="P38" s="135"/>
      <c r="Q38" s="135"/>
      <c r="R38" s="135"/>
    </row>
    <row r="39" spans="10:18" x14ac:dyDescent="0.25">
      <c r="J39" s="135"/>
      <c r="K39" s="135"/>
      <c r="L39" s="135"/>
      <c r="M39" s="139"/>
      <c r="N39" s="135"/>
      <c r="O39" s="135"/>
      <c r="P39" s="135"/>
      <c r="Q39" s="135"/>
      <c r="R39" s="135"/>
    </row>
    <row r="40" spans="10:18" x14ac:dyDescent="0.25">
      <c r="J40" s="135"/>
      <c r="K40" s="135"/>
      <c r="L40" s="135"/>
      <c r="M40" s="139"/>
      <c r="N40" s="135"/>
      <c r="O40" s="135"/>
      <c r="P40" s="135"/>
      <c r="Q40" s="135"/>
      <c r="R40" s="135"/>
    </row>
    <row r="41" spans="10:18" x14ac:dyDescent="0.25">
      <c r="J41" s="135"/>
      <c r="K41" s="135"/>
      <c r="L41" s="135"/>
      <c r="M41" s="139"/>
      <c r="N41" s="135"/>
      <c r="O41" s="135"/>
      <c r="P41" s="135"/>
      <c r="Q41" s="135"/>
      <c r="R41" s="135"/>
    </row>
    <row r="42" spans="10:18" x14ac:dyDescent="0.25">
      <c r="J42" s="135"/>
      <c r="K42" s="135"/>
      <c r="L42" s="135"/>
      <c r="M42" s="139"/>
      <c r="N42" s="135"/>
      <c r="O42" s="135"/>
      <c r="P42" s="135"/>
      <c r="Q42" s="135"/>
      <c r="R42" s="135"/>
    </row>
    <row r="43" spans="10:18" x14ac:dyDescent="0.25">
      <c r="J43" s="135"/>
      <c r="K43" s="135"/>
      <c r="L43" s="135"/>
      <c r="M43" s="139"/>
      <c r="N43" s="135"/>
      <c r="O43" s="135"/>
      <c r="P43" s="135"/>
      <c r="Q43" s="135"/>
      <c r="R43" s="135"/>
    </row>
    <row r="44" spans="10:18" x14ac:dyDescent="0.25">
      <c r="J44" s="135"/>
      <c r="K44" s="135"/>
      <c r="L44" s="135"/>
      <c r="M44" s="139"/>
      <c r="N44" s="135"/>
      <c r="O44" s="135"/>
      <c r="P44" s="135"/>
      <c r="Q44" s="135"/>
      <c r="R44" s="135"/>
    </row>
    <row r="45" spans="10:18" x14ac:dyDescent="0.25">
      <c r="J45" s="135"/>
      <c r="K45" s="135"/>
      <c r="L45" s="135"/>
      <c r="M45" s="139"/>
      <c r="N45" s="135"/>
      <c r="O45" s="135"/>
      <c r="P45" s="135"/>
      <c r="Q45" s="135"/>
      <c r="R45" s="135"/>
    </row>
    <row r="46" spans="10:18" x14ac:dyDescent="0.25">
      <c r="J46" s="135"/>
      <c r="K46" s="135"/>
      <c r="L46" s="135"/>
      <c r="M46" s="139"/>
      <c r="N46" s="135"/>
      <c r="O46" s="135"/>
      <c r="P46" s="135"/>
      <c r="Q46" s="135"/>
      <c r="R46" s="135"/>
    </row>
    <row r="47" spans="10:18" x14ac:dyDescent="0.25">
      <c r="J47" s="135"/>
      <c r="K47" s="135"/>
      <c r="L47" s="135"/>
      <c r="M47" s="139"/>
      <c r="N47" s="135"/>
      <c r="O47" s="135"/>
      <c r="P47" s="135"/>
      <c r="Q47" s="135"/>
      <c r="R47" s="135"/>
    </row>
    <row r="48" spans="10:18" x14ac:dyDescent="0.25">
      <c r="J48" s="135"/>
      <c r="K48" s="135"/>
      <c r="L48" s="135"/>
      <c r="M48" s="139"/>
      <c r="N48" s="135"/>
      <c r="O48" s="135"/>
      <c r="P48" s="135"/>
      <c r="Q48" s="135"/>
      <c r="R48" s="135"/>
    </row>
    <row r="49" spans="10:18" x14ac:dyDescent="0.25">
      <c r="J49" s="135"/>
      <c r="K49" s="135"/>
      <c r="L49" s="135"/>
      <c r="M49" s="139"/>
      <c r="N49" s="135"/>
      <c r="O49" s="135"/>
      <c r="P49" s="135"/>
      <c r="Q49" s="135"/>
      <c r="R49" s="135"/>
    </row>
    <row r="50" spans="10:18" x14ac:dyDescent="0.25">
      <c r="J50" s="135"/>
      <c r="K50" s="135"/>
      <c r="L50" s="135"/>
      <c r="M50" s="139"/>
      <c r="N50" s="135"/>
      <c r="O50" s="135"/>
      <c r="P50" s="135"/>
      <c r="Q50" s="135"/>
      <c r="R50" s="135"/>
    </row>
    <row r="51" spans="10:18" x14ac:dyDescent="0.25">
      <c r="J51" s="135"/>
      <c r="K51" s="135"/>
      <c r="L51" s="135"/>
      <c r="M51" s="139"/>
      <c r="N51" s="135"/>
      <c r="O51" s="135"/>
      <c r="P51" s="135"/>
      <c r="Q51" s="135"/>
      <c r="R51" s="135"/>
    </row>
    <row r="52" spans="10:18" x14ac:dyDescent="0.25">
      <c r="J52" s="135"/>
      <c r="K52" s="135"/>
      <c r="L52" s="135"/>
      <c r="M52" s="139"/>
      <c r="N52" s="135"/>
      <c r="O52" s="135"/>
      <c r="P52" s="135"/>
      <c r="Q52" s="135"/>
      <c r="R52" s="135"/>
    </row>
    <row r="53" spans="10:18" x14ac:dyDescent="0.25">
      <c r="J53" s="135"/>
      <c r="K53" s="135"/>
      <c r="L53" s="135"/>
      <c r="M53" s="139"/>
      <c r="N53" s="135"/>
      <c r="O53" s="135"/>
      <c r="P53" s="135"/>
      <c r="Q53" s="135"/>
      <c r="R53" s="135"/>
    </row>
    <row r="54" spans="10:18" x14ac:dyDescent="0.25">
      <c r="J54" s="135"/>
      <c r="K54" s="135"/>
      <c r="L54" s="135"/>
      <c r="M54" s="139"/>
      <c r="N54" s="135"/>
      <c r="O54" s="135"/>
      <c r="P54" s="135"/>
      <c r="Q54" s="135"/>
      <c r="R54" s="135"/>
    </row>
    <row r="55" spans="10:18" x14ac:dyDescent="0.25">
      <c r="J55" s="135"/>
      <c r="K55" s="135"/>
      <c r="L55" s="135"/>
      <c r="M55" s="139"/>
      <c r="N55" s="135"/>
      <c r="O55" s="135"/>
      <c r="P55" s="135"/>
      <c r="Q55" s="135"/>
      <c r="R55" s="135"/>
    </row>
    <row r="56" spans="10:18" x14ac:dyDescent="0.25">
      <c r="J56" s="135"/>
      <c r="K56" s="135"/>
      <c r="L56" s="135"/>
      <c r="M56" s="139"/>
      <c r="N56" s="135"/>
      <c r="O56" s="135"/>
      <c r="P56" s="135"/>
      <c r="Q56" s="135"/>
      <c r="R56" s="135"/>
    </row>
    <row r="57" spans="10:18" x14ac:dyDescent="0.25">
      <c r="J57" s="135"/>
      <c r="K57" s="135"/>
      <c r="L57" s="135"/>
      <c r="M57" s="139"/>
      <c r="N57" s="135"/>
      <c r="O57" s="135"/>
      <c r="P57" s="135"/>
      <c r="Q57" s="135"/>
      <c r="R57" s="135"/>
    </row>
    <row r="58" spans="10:18" x14ac:dyDescent="0.25">
      <c r="J58" s="135"/>
      <c r="K58" s="135"/>
      <c r="L58" s="135"/>
      <c r="M58" s="139"/>
      <c r="N58" s="135"/>
      <c r="O58" s="135"/>
      <c r="P58" s="135"/>
      <c r="Q58" s="135"/>
      <c r="R58" s="135"/>
    </row>
    <row r="59" spans="10:18" x14ac:dyDescent="0.25">
      <c r="J59" s="135"/>
      <c r="K59" s="135"/>
      <c r="L59" s="135"/>
      <c r="M59" s="139"/>
      <c r="N59" s="135"/>
      <c r="O59" s="135"/>
      <c r="P59" s="135"/>
      <c r="Q59" s="135"/>
      <c r="R59" s="135"/>
    </row>
    <row r="60" spans="10:18" x14ac:dyDescent="0.25">
      <c r="J60" s="135"/>
      <c r="K60" s="135"/>
      <c r="L60" s="135"/>
      <c r="M60" s="139"/>
      <c r="N60" s="135"/>
      <c r="O60" s="135"/>
      <c r="P60" s="135"/>
      <c r="Q60" s="135"/>
      <c r="R60" s="135"/>
    </row>
    <row r="61" spans="10:18" x14ac:dyDescent="0.25">
      <c r="J61" s="135"/>
      <c r="K61" s="135"/>
      <c r="L61" s="135"/>
      <c r="M61" s="139"/>
      <c r="N61" s="135"/>
      <c r="O61" s="135"/>
      <c r="P61" s="135"/>
      <c r="Q61" s="135"/>
      <c r="R61" s="135"/>
    </row>
    <row r="62" spans="10:18" x14ac:dyDescent="0.25">
      <c r="J62" s="135"/>
      <c r="K62" s="135"/>
      <c r="L62" s="135"/>
      <c r="M62" s="139"/>
      <c r="N62" s="135"/>
      <c r="O62" s="135"/>
      <c r="P62" s="135"/>
      <c r="Q62" s="135"/>
      <c r="R62" s="135"/>
    </row>
    <row r="63" spans="10:18" x14ac:dyDescent="0.25">
      <c r="J63" s="135"/>
      <c r="K63" s="135"/>
      <c r="L63" s="135"/>
      <c r="M63" s="139"/>
      <c r="N63" s="135"/>
      <c r="O63" s="135"/>
      <c r="P63" s="135"/>
      <c r="Q63" s="135"/>
      <c r="R63" s="135"/>
    </row>
    <row r="64" spans="10:18" x14ac:dyDescent="0.25">
      <c r="J64" s="135"/>
      <c r="K64" s="135"/>
      <c r="L64" s="135"/>
      <c r="M64" s="139"/>
      <c r="N64" s="135"/>
      <c r="O64" s="135"/>
      <c r="P64" s="135"/>
      <c r="Q64" s="135"/>
      <c r="R64" s="135"/>
    </row>
    <row r="65" spans="10:18" x14ac:dyDescent="0.25">
      <c r="J65" s="135"/>
      <c r="K65" s="135"/>
      <c r="L65" s="135"/>
      <c r="M65" s="139"/>
      <c r="N65" s="135"/>
      <c r="O65" s="135"/>
      <c r="P65" s="135"/>
      <c r="Q65" s="135"/>
      <c r="R65" s="135"/>
    </row>
    <row r="66" spans="10:18" x14ac:dyDescent="0.25">
      <c r="J66" s="135"/>
      <c r="K66" s="135"/>
      <c r="L66" s="135"/>
      <c r="M66" s="139"/>
      <c r="N66" s="135"/>
      <c r="O66" s="135"/>
      <c r="P66" s="135"/>
      <c r="Q66" s="135"/>
      <c r="R66" s="135"/>
    </row>
    <row r="67" spans="10:18" x14ac:dyDescent="0.25">
      <c r="J67" s="135"/>
      <c r="K67" s="135"/>
      <c r="L67" s="135"/>
      <c r="M67" s="139"/>
      <c r="N67" s="135"/>
      <c r="O67" s="135"/>
      <c r="P67" s="135"/>
      <c r="Q67" s="135"/>
      <c r="R67" s="135"/>
    </row>
    <row r="68" spans="10:18" x14ac:dyDescent="0.25">
      <c r="J68" s="135"/>
      <c r="K68" s="135"/>
      <c r="L68" s="135"/>
      <c r="M68" s="139"/>
      <c r="N68" s="135"/>
      <c r="O68" s="135"/>
      <c r="P68" s="135"/>
      <c r="Q68" s="135"/>
      <c r="R68" s="135"/>
    </row>
    <row r="69" spans="10:18" x14ac:dyDescent="0.25">
      <c r="J69" s="135"/>
      <c r="K69" s="135"/>
      <c r="L69" s="135"/>
      <c r="M69" s="139"/>
      <c r="N69" s="135"/>
      <c r="O69" s="135"/>
      <c r="P69" s="135"/>
      <c r="Q69" s="135"/>
      <c r="R69" s="135"/>
    </row>
    <row r="70" spans="10:18" x14ac:dyDescent="0.25">
      <c r="J70" s="135"/>
      <c r="K70" s="135"/>
      <c r="L70" s="135"/>
      <c r="M70" s="139"/>
      <c r="N70" s="135"/>
      <c r="O70" s="135"/>
      <c r="P70" s="135"/>
      <c r="Q70" s="135"/>
      <c r="R70" s="135"/>
    </row>
    <row r="71" spans="10:18" x14ac:dyDescent="0.25">
      <c r="J71" s="135"/>
      <c r="K71" s="135"/>
      <c r="L71" s="135"/>
      <c r="M71" s="139"/>
      <c r="N71" s="135"/>
      <c r="O71" s="135"/>
      <c r="P71" s="135"/>
      <c r="Q71" s="135"/>
      <c r="R71" s="135"/>
    </row>
    <row r="72" spans="10:18" x14ac:dyDescent="0.25">
      <c r="J72" s="135"/>
      <c r="K72" s="135"/>
      <c r="L72" s="135"/>
      <c r="M72" s="139"/>
      <c r="N72" s="135"/>
      <c r="O72" s="135"/>
      <c r="P72" s="135"/>
      <c r="Q72" s="135"/>
      <c r="R72" s="135"/>
    </row>
    <row r="73" spans="10:18" x14ac:dyDescent="0.25">
      <c r="J73" s="135"/>
      <c r="K73" s="135"/>
      <c r="L73" s="135"/>
      <c r="M73" s="139"/>
      <c r="N73" s="135"/>
      <c r="O73" s="135"/>
      <c r="P73" s="135"/>
      <c r="Q73" s="135"/>
      <c r="R73" s="135"/>
    </row>
    <row r="74" spans="10:18" x14ac:dyDescent="0.25">
      <c r="J74" s="135"/>
      <c r="K74" s="135"/>
      <c r="L74" s="135"/>
      <c r="M74" s="139"/>
      <c r="N74" s="135"/>
      <c r="O74" s="135"/>
      <c r="P74" s="135"/>
      <c r="Q74" s="135"/>
      <c r="R74" s="135"/>
    </row>
    <row r="75" spans="10:18" x14ac:dyDescent="0.25">
      <c r="J75" s="135"/>
      <c r="K75" s="135"/>
      <c r="L75" s="135"/>
      <c r="M75" s="139"/>
      <c r="N75" s="135"/>
      <c r="O75" s="135"/>
      <c r="P75" s="135"/>
      <c r="Q75" s="135"/>
      <c r="R75" s="135"/>
    </row>
    <row r="76" spans="10:18" x14ac:dyDescent="0.25">
      <c r="J76" s="135"/>
      <c r="K76" s="135"/>
      <c r="L76" s="135"/>
      <c r="M76" s="139"/>
      <c r="N76" s="135"/>
      <c r="O76" s="135"/>
      <c r="P76" s="135"/>
      <c r="Q76" s="135"/>
      <c r="R76" s="135"/>
    </row>
    <row r="77" spans="10:18" x14ac:dyDescent="0.25">
      <c r="J77" s="135"/>
      <c r="K77" s="135"/>
      <c r="L77" s="135"/>
      <c r="M77" s="139"/>
      <c r="N77" s="135"/>
      <c r="O77" s="135"/>
      <c r="P77" s="135"/>
      <c r="Q77" s="135"/>
      <c r="R77" s="135"/>
    </row>
    <row r="78" spans="10:18" x14ac:dyDescent="0.25">
      <c r="J78" s="135"/>
      <c r="K78" s="135"/>
      <c r="L78" s="135"/>
      <c r="M78" s="139"/>
      <c r="N78" s="135"/>
      <c r="O78" s="135"/>
      <c r="P78" s="135"/>
      <c r="Q78" s="135"/>
      <c r="R78" s="135"/>
    </row>
    <row r="79" spans="10:18" x14ac:dyDescent="0.25">
      <c r="J79" s="135"/>
      <c r="K79" s="135"/>
      <c r="L79" s="135"/>
      <c r="M79" s="139"/>
      <c r="N79" s="135"/>
      <c r="O79" s="135"/>
      <c r="P79" s="135"/>
      <c r="Q79" s="135"/>
      <c r="R79" s="135"/>
    </row>
    <row r="80" spans="10:18" x14ac:dyDescent="0.25">
      <c r="J80" s="135"/>
      <c r="K80" s="135"/>
      <c r="L80" s="135"/>
      <c r="M80" s="139"/>
      <c r="N80" s="135"/>
      <c r="O80" s="135"/>
      <c r="P80" s="135"/>
      <c r="Q80" s="135"/>
      <c r="R80" s="135"/>
    </row>
    <row r="81" spans="10:18" x14ac:dyDescent="0.25">
      <c r="J81" s="135"/>
      <c r="K81" s="135"/>
      <c r="L81" s="135"/>
      <c r="M81" s="139"/>
      <c r="N81" s="135"/>
      <c r="O81" s="135"/>
      <c r="P81" s="135"/>
      <c r="Q81" s="135"/>
      <c r="R81" s="135"/>
    </row>
    <row r="82" spans="10:18" x14ac:dyDescent="0.25">
      <c r="J82" s="135"/>
      <c r="K82" s="135"/>
      <c r="L82" s="135"/>
      <c r="M82" s="139"/>
      <c r="N82" s="135"/>
      <c r="O82" s="135"/>
      <c r="P82" s="135"/>
      <c r="Q82" s="135"/>
      <c r="R82" s="135"/>
    </row>
    <row r="83" spans="10:18" x14ac:dyDescent="0.25">
      <c r="J83" s="135"/>
      <c r="K83" s="135"/>
      <c r="L83" s="135"/>
      <c r="M83" s="139"/>
      <c r="N83" s="135"/>
      <c r="O83" s="135"/>
      <c r="P83" s="135"/>
      <c r="Q83" s="135"/>
      <c r="R83" s="135"/>
    </row>
    <row r="84" spans="10:18" x14ac:dyDescent="0.25">
      <c r="J84" s="135"/>
      <c r="K84" s="135"/>
      <c r="L84" s="135"/>
      <c r="M84" s="139"/>
      <c r="N84" s="135"/>
      <c r="O84" s="135"/>
      <c r="P84" s="135"/>
      <c r="Q84" s="135"/>
      <c r="R84" s="135"/>
    </row>
    <row r="85" spans="10:18" x14ac:dyDescent="0.25">
      <c r="J85" s="135"/>
      <c r="K85" s="135"/>
      <c r="L85" s="135"/>
      <c r="M85" s="139"/>
      <c r="N85" s="135"/>
      <c r="O85" s="135"/>
      <c r="P85" s="135"/>
      <c r="Q85" s="135"/>
      <c r="R85" s="135"/>
    </row>
    <row r="86" spans="10:18" x14ac:dyDescent="0.25">
      <c r="J86" s="135"/>
      <c r="K86" s="135"/>
      <c r="L86" s="135"/>
      <c r="M86" s="139"/>
      <c r="N86" s="135"/>
      <c r="O86" s="135"/>
      <c r="P86" s="135"/>
      <c r="Q86" s="135"/>
      <c r="R86" s="135"/>
    </row>
    <row r="87" spans="10:18" x14ac:dyDescent="0.25">
      <c r="J87" s="135"/>
      <c r="K87" s="135"/>
      <c r="L87" s="135"/>
      <c r="M87" s="139"/>
      <c r="N87" s="135"/>
      <c r="O87" s="135"/>
      <c r="P87" s="135"/>
      <c r="Q87" s="135"/>
      <c r="R87" s="135"/>
    </row>
    <row r="88" spans="10:18" x14ac:dyDescent="0.25">
      <c r="J88" s="135"/>
      <c r="K88" s="135"/>
      <c r="L88" s="135"/>
      <c r="M88" s="139"/>
      <c r="N88" s="135"/>
      <c r="O88" s="135"/>
      <c r="P88" s="135"/>
      <c r="Q88" s="135"/>
      <c r="R88" s="135"/>
    </row>
    <row r="89" spans="10:18" x14ac:dyDescent="0.25">
      <c r="J89" s="135"/>
      <c r="K89" s="135"/>
      <c r="L89" s="135"/>
      <c r="M89" s="139"/>
      <c r="N89" s="135"/>
      <c r="O89" s="135"/>
      <c r="P89" s="135"/>
      <c r="Q89" s="135"/>
      <c r="R89" s="135"/>
    </row>
    <row r="90" spans="10:18" x14ac:dyDescent="0.25">
      <c r="J90" s="135"/>
      <c r="K90" s="135"/>
      <c r="L90" s="135"/>
      <c r="M90" s="139"/>
      <c r="N90" s="135"/>
      <c r="O90" s="135"/>
      <c r="P90" s="135"/>
      <c r="Q90" s="135"/>
      <c r="R90" s="135"/>
    </row>
    <row r="91" spans="10:18" x14ac:dyDescent="0.25">
      <c r="J91" s="135"/>
      <c r="K91" s="135"/>
      <c r="L91" s="135"/>
      <c r="M91" s="139"/>
      <c r="N91" s="135"/>
      <c r="O91" s="135"/>
      <c r="P91" s="135"/>
      <c r="Q91" s="135"/>
      <c r="R91" s="135"/>
    </row>
    <row r="92" spans="10:18" x14ac:dyDescent="0.25">
      <c r="J92" s="135"/>
      <c r="K92" s="135"/>
      <c r="L92" s="135"/>
      <c r="M92" s="139"/>
      <c r="N92" s="135"/>
      <c r="O92" s="135"/>
      <c r="P92" s="135"/>
      <c r="Q92" s="135"/>
      <c r="R92" s="135"/>
    </row>
    <row r="93" spans="10:18" x14ac:dyDescent="0.25">
      <c r="J93" s="135"/>
      <c r="K93" s="135"/>
      <c r="L93" s="135"/>
      <c r="M93" s="139"/>
      <c r="N93" s="135"/>
      <c r="O93" s="135"/>
      <c r="P93" s="135"/>
      <c r="Q93" s="135"/>
      <c r="R93" s="135"/>
    </row>
    <row r="94" spans="10:18" x14ac:dyDescent="0.25">
      <c r="J94" s="135"/>
      <c r="K94" s="135"/>
      <c r="L94" s="135"/>
      <c r="M94" s="139"/>
      <c r="N94" s="135"/>
      <c r="O94" s="135"/>
      <c r="P94" s="135"/>
      <c r="Q94" s="135"/>
      <c r="R94" s="135"/>
    </row>
    <row r="95" spans="10:18" x14ac:dyDescent="0.25">
      <c r="J95" s="135"/>
      <c r="K95" s="135"/>
      <c r="L95" s="135"/>
      <c r="M95" s="139"/>
      <c r="N95" s="135"/>
      <c r="O95" s="135"/>
      <c r="P95" s="135"/>
      <c r="Q95" s="135"/>
      <c r="R95" s="135"/>
    </row>
    <row r="96" spans="10:18" x14ac:dyDescent="0.25">
      <c r="J96" s="135"/>
      <c r="K96" s="135"/>
      <c r="L96" s="135"/>
      <c r="M96" s="139"/>
      <c r="N96" s="135"/>
      <c r="O96" s="135"/>
      <c r="P96" s="135"/>
      <c r="Q96" s="135"/>
      <c r="R96" s="135"/>
    </row>
    <row r="97" spans="10:18" x14ac:dyDescent="0.25">
      <c r="J97" s="135"/>
      <c r="K97" s="135"/>
      <c r="L97" s="135"/>
      <c r="M97" s="139"/>
      <c r="N97" s="135"/>
      <c r="O97" s="135"/>
      <c r="P97" s="135"/>
      <c r="Q97" s="135"/>
      <c r="R97" s="135"/>
    </row>
    <row r="98" spans="10:18" x14ac:dyDescent="0.25">
      <c r="J98" s="135"/>
      <c r="K98" s="135"/>
      <c r="L98" s="135"/>
      <c r="M98" s="139"/>
      <c r="N98" s="135"/>
      <c r="O98" s="135"/>
      <c r="P98" s="135"/>
      <c r="Q98" s="135"/>
      <c r="R98" s="135"/>
    </row>
    <row r="99" spans="10:18" x14ac:dyDescent="0.25">
      <c r="J99" s="135"/>
      <c r="K99" s="135"/>
      <c r="L99" s="135"/>
      <c r="M99" s="139"/>
      <c r="N99" s="135"/>
      <c r="O99" s="135"/>
      <c r="P99" s="135"/>
      <c r="Q99" s="135"/>
      <c r="R99" s="135"/>
    </row>
    <row r="100" spans="10:18" x14ac:dyDescent="0.25">
      <c r="J100" s="135"/>
      <c r="K100" s="135"/>
      <c r="L100" s="135"/>
      <c r="M100" s="139"/>
      <c r="N100" s="135"/>
      <c r="O100" s="135"/>
      <c r="P100" s="135"/>
      <c r="Q100" s="135"/>
      <c r="R100" s="135"/>
    </row>
    <row r="101" spans="10:18" x14ac:dyDescent="0.25">
      <c r="J101" s="135"/>
      <c r="K101" s="135"/>
      <c r="L101" s="135"/>
      <c r="M101" s="139"/>
      <c r="N101" s="135"/>
      <c r="O101" s="135"/>
      <c r="P101" s="135"/>
      <c r="Q101" s="135"/>
      <c r="R101" s="135"/>
    </row>
    <row r="102" spans="10:18" x14ac:dyDescent="0.25">
      <c r="J102" s="135"/>
      <c r="K102" s="135"/>
      <c r="L102" s="135"/>
      <c r="M102" s="139"/>
      <c r="N102" s="135"/>
      <c r="O102" s="135"/>
      <c r="P102" s="135"/>
      <c r="Q102" s="135"/>
      <c r="R102" s="135"/>
    </row>
    <row r="103" spans="10:18" x14ac:dyDescent="0.25">
      <c r="J103" s="135"/>
      <c r="K103" s="135"/>
      <c r="L103" s="135"/>
      <c r="M103" s="139"/>
      <c r="N103" s="135"/>
      <c r="O103" s="135"/>
      <c r="P103" s="135"/>
      <c r="Q103" s="135"/>
      <c r="R103" s="135"/>
    </row>
    <row r="104" spans="10:18" x14ac:dyDescent="0.25">
      <c r="J104" s="135"/>
      <c r="K104" s="135"/>
      <c r="L104" s="135"/>
      <c r="M104" s="139"/>
      <c r="N104" s="135"/>
      <c r="O104" s="135"/>
      <c r="P104" s="135"/>
      <c r="Q104" s="135"/>
      <c r="R104" s="135"/>
    </row>
    <row r="105" spans="10:18" x14ac:dyDescent="0.25">
      <c r="J105" s="135"/>
      <c r="K105" s="135"/>
      <c r="L105" s="135"/>
      <c r="M105" s="139"/>
      <c r="N105" s="135"/>
      <c r="O105" s="135"/>
      <c r="P105" s="135"/>
      <c r="Q105" s="135"/>
      <c r="R105" s="135"/>
    </row>
    <row r="106" spans="10:18" x14ac:dyDescent="0.25">
      <c r="J106" s="135"/>
      <c r="K106" s="135"/>
      <c r="L106" s="135"/>
      <c r="M106" s="139"/>
      <c r="N106" s="135"/>
      <c r="O106" s="135"/>
      <c r="P106" s="135"/>
      <c r="Q106" s="135"/>
      <c r="R106" s="135"/>
    </row>
    <row r="107" spans="10:18" x14ac:dyDescent="0.25">
      <c r="J107" s="135"/>
      <c r="K107" s="135"/>
      <c r="L107" s="135"/>
      <c r="M107" s="139"/>
      <c r="N107" s="135"/>
      <c r="O107" s="135"/>
      <c r="P107" s="135"/>
      <c r="Q107" s="135"/>
      <c r="R107" s="135"/>
    </row>
    <row r="108" spans="10:18" x14ac:dyDescent="0.25">
      <c r="J108" s="135"/>
      <c r="K108" s="135"/>
      <c r="L108" s="135"/>
      <c r="M108" s="139"/>
      <c r="N108" s="135"/>
      <c r="O108" s="135"/>
      <c r="P108" s="135"/>
      <c r="Q108" s="135"/>
      <c r="R108" s="135"/>
    </row>
    <row r="109" spans="10:18" x14ac:dyDescent="0.25">
      <c r="J109" s="135"/>
      <c r="K109" s="135"/>
      <c r="L109" s="135"/>
      <c r="M109" s="139"/>
      <c r="N109" s="135"/>
      <c r="O109" s="135"/>
      <c r="P109" s="135"/>
      <c r="Q109" s="135"/>
      <c r="R109" s="135"/>
    </row>
    <row r="110" spans="10:18" x14ac:dyDescent="0.25">
      <c r="J110" s="135"/>
      <c r="K110" s="135"/>
      <c r="L110" s="135"/>
      <c r="M110" s="139"/>
      <c r="N110" s="135"/>
      <c r="O110" s="135"/>
      <c r="P110" s="135"/>
      <c r="Q110" s="135"/>
      <c r="R110" s="135"/>
    </row>
    <row r="111" spans="10:18" x14ac:dyDescent="0.25">
      <c r="J111" s="135"/>
      <c r="K111" s="135"/>
      <c r="L111" s="135"/>
      <c r="M111" s="139"/>
      <c r="N111" s="135"/>
      <c r="O111" s="135"/>
      <c r="P111" s="135"/>
      <c r="Q111" s="135"/>
      <c r="R111" s="135"/>
    </row>
    <row r="112" spans="10:18" x14ac:dyDescent="0.25">
      <c r="J112" s="135"/>
      <c r="K112" s="135"/>
      <c r="L112" s="135"/>
      <c r="M112" s="139"/>
      <c r="N112" s="135"/>
      <c r="O112" s="135"/>
      <c r="P112" s="135"/>
      <c r="Q112" s="135"/>
      <c r="R112" s="135"/>
    </row>
    <row r="113" spans="10:18" x14ac:dyDescent="0.25">
      <c r="J113" s="135"/>
      <c r="K113" s="135"/>
      <c r="L113" s="135"/>
      <c r="M113" s="139"/>
      <c r="N113" s="135"/>
      <c r="O113" s="135"/>
      <c r="P113" s="135"/>
      <c r="Q113" s="135"/>
      <c r="R113" s="135"/>
    </row>
    <row r="114" spans="10:18" x14ac:dyDescent="0.25">
      <c r="J114" s="135"/>
      <c r="K114" s="135"/>
      <c r="L114" s="135"/>
      <c r="M114" s="139"/>
      <c r="N114" s="135"/>
      <c r="O114" s="135"/>
      <c r="P114" s="135"/>
      <c r="Q114" s="135"/>
      <c r="R114" s="135"/>
    </row>
    <row r="115" spans="10:18" x14ac:dyDescent="0.25">
      <c r="J115" s="135"/>
      <c r="K115" s="135"/>
      <c r="L115" s="135"/>
      <c r="M115" s="139"/>
      <c r="N115" s="135"/>
      <c r="O115" s="135"/>
      <c r="P115" s="135"/>
      <c r="Q115" s="135"/>
      <c r="R115" s="135"/>
    </row>
    <row r="116" spans="10:18" x14ac:dyDescent="0.25">
      <c r="J116" s="135"/>
      <c r="K116" s="135"/>
      <c r="L116" s="135"/>
      <c r="M116" s="139"/>
      <c r="N116" s="135"/>
      <c r="O116" s="135"/>
      <c r="P116" s="135"/>
      <c r="Q116" s="135"/>
      <c r="R116" s="135"/>
    </row>
    <row r="117" spans="10:18" x14ac:dyDescent="0.25">
      <c r="J117" s="135"/>
      <c r="K117" s="135"/>
      <c r="L117" s="135"/>
      <c r="M117" s="139"/>
      <c r="N117" s="135"/>
      <c r="O117" s="135"/>
      <c r="P117" s="135"/>
      <c r="Q117" s="135"/>
      <c r="R117" s="135"/>
    </row>
    <row r="118" spans="10:18" x14ac:dyDescent="0.25">
      <c r="J118" s="135"/>
      <c r="K118" s="135"/>
      <c r="L118" s="135"/>
      <c r="M118" s="139"/>
      <c r="N118" s="135"/>
      <c r="O118" s="135"/>
      <c r="P118" s="135"/>
      <c r="Q118" s="135"/>
      <c r="R118" s="135"/>
    </row>
    <row r="119" spans="10:18" x14ac:dyDescent="0.25">
      <c r="J119" s="135"/>
      <c r="K119" s="135"/>
      <c r="L119" s="135"/>
      <c r="M119" s="139"/>
      <c r="N119" s="135"/>
      <c r="O119" s="135"/>
      <c r="P119" s="135"/>
      <c r="Q119" s="135"/>
      <c r="R119" s="135"/>
    </row>
    <row r="120" spans="10:18" x14ac:dyDescent="0.25">
      <c r="J120" s="135"/>
      <c r="K120" s="135"/>
      <c r="L120" s="135"/>
      <c r="M120" s="139"/>
      <c r="N120" s="135"/>
      <c r="O120" s="135"/>
      <c r="P120" s="135"/>
      <c r="Q120" s="135"/>
      <c r="R120" s="135"/>
    </row>
    <row r="121" spans="10:18" x14ac:dyDescent="0.25">
      <c r="J121" s="135"/>
      <c r="K121" s="135"/>
      <c r="L121" s="135"/>
      <c r="M121" s="139"/>
      <c r="N121" s="135"/>
      <c r="O121" s="135"/>
      <c r="P121" s="135"/>
      <c r="Q121" s="135"/>
      <c r="R121" s="135"/>
    </row>
    <row r="122" spans="10:18" x14ac:dyDescent="0.25">
      <c r="J122" s="135"/>
      <c r="K122" s="135"/>
      <c r="L122" s="135"/>
      <c r="M122" s="139"/>
      <c r="N122" s="135"/>
      <c r="O122" s="135"/>
      <c r="P122" s="135"/>
      <c r="Q122" s="135"/>
      <c r="R122" s="135"/>
    </row>
    <row r="123" spans="10:18" x14ac:dyDescent="0.25">
      <c r="J123" s="135"/>
      <c r="K123" s="135"/>
      <c r="L123" s="135"/>
      <c r="M123" s="139"/>
      <c r="N123" s="135"/>
      <c r="O123" s="135"/>
      <c r="P123" s="135"/>
      <c r="Q123" s="135"/>
      <c r="R123" s="135"/>
    </row>
    <row r="124" spans="10:18" x14ac:dyDescent="0.25">
      <c r="J124" s="135"/>
      <c r="K124" s="135"/>
      <c r="L124" s="135"/>
      <c r="M124" s="139"/>
      <c r="N124" s="135"/>
      <c r="O124" s="135"/>
      <c r="P124" s="135"/>
      <c r="Q124" s="135"/>
      <c r="R124" s="135"/>
    </row>
    <row r="125" spans="10:18" x14ac:dyDescent="0.25">
      <c r="J125" s="135"/>
      <c r="K125" s="135"/>
      <c r="L125" s="135"/>
      <c r="M125" s="139"/>
      <c r="N125" s="135"/>
      <c r="O125" s="135"/>
      <c r="P125" s="135"/>
      <c r="Q125" s="135"/>
      <c r="R125" s="135"/>
    </row>
    <row r="126" spans="10:18" x14ac:dyDescent="0.25">
      <c r="J126" s="135"/>
      <c r="K126" s="135"/>
      <c r="L126" s="135"/>
      <c r="M126" s="139"/>
      <c r="N126" s="135"/>
      <c r="O126" s="135"/>
      <c r="P126" s="135"/>
      <c r="Q126" s="135"/>
      <c r="R126" s="135"/>
    </row>
    <row r="127" spans="10:18" x14ac:dyDescent="0.25">
      <c r="J127" s="135"/>
      <c r="K127" s="135"/>
      <c r="L127" s="135"/>
      <c r="M127" s="139"/>
      <c r="N127" s="135"/>
      <c r="O127" s="135"/>
      <c r="P127" s="135"/>
      <c r="Q127" s="135"/>
      <c r="R127" s="135"/>
    </row>
    <row r="128" spans="10:18" x14ac:dyDescent="0.25">
      <c r="J128" s="135"/>
      <c r="K128" s="135"/>
      <c r="L128" s="135"/>
      <c r="M128" s="139"/>
      <c r="N128" s="135"/>
      <c r="O128" s="135"/>
      <c r="P128" s="135"/>
      <c r="Q128" s="135"/>
      <c r="R128" s="135"/>
    </row>
    <row r="129" spans="10:18" x14ac:dyDescent="0.25">
      <c r="J129" s="135"/>
      <c r="K129" s="135"/>
      <c r="L129" s="135"/>
      <c r="M129" s="139"/>
      <c r="N129" s="135"/>
      <c r="O129" s="135"/>
      <c r="P129" s="135"/>
      <c r="Q129" s="135"/>
      <c r="R129" s="135"/>
    </row>
    <row r="130" spans="10:18" x14ac:dyDescent="0.25">
      <c r="J130" s="135"/>
      <c r="K130" s="135"/>
      <c r="L130" s="135"/>
      <c r="M130" s="139"/>
      <c r="N130" s="135"/>
      <c r="O130" s="135"/>
      <c r="P130" s="135"/>
      <c r="Q130" s="135"/>
      <c r="R130" s="135"/>
    </row>
    <row r="131" spans="10:18" x14ac:dyDescent="0.25">
      <c r="J131" s="135"/>
      <c r="K131" s="135"/>
      <c r="L131" s="135"/>
      <c r="M131" s="139"/>
      <c r="N131" s="135"/>
      <c r="O131" s="135"/>
      <c r="P131" s="135"/>
      <c r="Q131" s="135"/>
      <c r="R131" s="135"/>
    </row>
    <row r="132" spans="10:18" x14ac:dyDescent="0.25">
      <c r="J132" s="135"/>
      <c r="K132" s="135"/>
      <c r="L132" s="135"/>
      <c r="M132" s="139"/>
      <c r="N132" s="135"/>
      <c r="O132" s="135"/>
      <c r="P132" s="135"/>
      <c r="Q132" s="135"/>
      <c r="R132" s="135"/>
    </row>
    <row r="133" spans="10:18" x14ac:dyDescent="0.25">
      <c r="J133" s="135"/>
      <c r="K133" s="135"/>
      <c r="L133" s="135"/>
      <c r="M133" s="139"/>
      <c r="N133" s="135"/>
      <c r="O133" s="135"/>
      <c r="P133" s="135"/>
      <c r="Q133" s="135"/>
      <c r="R133" s="135"/>
    </row>
    <row r="134" spans="10:18" x14ac:dyDescent="0.25">
      <c r="J134" s="135"/>
      <c r="K134" s="135"/>
      <c r="L134" s="135"/>
      <c r="M134" s="139"/>
      <c r="N134" s="135"/>
      <c r="O134" s="135"/>
      <c r="P134" s="135"/>
      <c r="Q134" s="135"/>
      <c r="R134" s="135"/>
    </row>
    <row r="135" spans="10:18" x14ac:dyDescent="0.25">
      <c r="J135" s="135"/>
      <c r="K135" s="135"/>
      <c r="L135" s="135"/>
      <c r="M135" s="139"/>
      <c r="N135" s="135"/>
      <c r="O135" s="135"/>
      <c r="P135" s="135"/>
      <c r="Q135" s="135"/>
      <c r="R135" s="135"/>
    </row>
    <row r="136" spans="10:18" x14ac:dyDescent="0.25">
      <c r="J136" s="135"/>
      <c r="K136" s="135"/>
      <c r="L136" s="135"/>
      <c r="M136" s="139"/>
      <c r="N136" s="135"/>
      <c r="O136" s="135"/>
      <c r="P136" s="135"/>
      <c r="Q136" s="135"/>
      <c r="R136" s="135"/>
    </row>
    <row r="137" spans="10:18" x14ac:dyDescent="0.25">
      <c r="J137" s="135"/>
      <c r="K137" s="135"/>
      <c r="L137" s="135"/>
      <c r="M137" s="139"/>
      <c r="N137" s="135"/>
      <c r="O137" s="135"/>
      <c r="P137" s="135"/>
      <c r="Q137" s="135"/>
      <c r="R137" s="135"/>
    </row>
    <row r="138" spans="10:18" x14ac:dyDescent="0.25">
      <c r="J138" s="135"/>
      <c r="K138" s="135"/>
      <c r="L138" s="135"/>
      <c r="M138" s="139"/>
      <c r="N138" s="135"/>
      <c r="O138" s="135"/>
      <c r="P138" s="135"/>
      <c r="Q138" s="135"/>
      <c r="R138" s="135"/>
    </row>
    <row r="139" spans="10:18" x14ac:dyDescent="0.25">
      <c r="J139" s="135"/>
      <c r="K139" s="135"/>
      <c r="L139" s="135"/>
      <c r="M139" s="139"/>
      <c r="N139" s="135"/>
      <c r="O139" s="135"/>
      <c r="P139" s="135"/>
      <c r="Q139" s="135"/>
      <c r="R139" s="135"/>
    </row>
    <row r="140" spans="10:18" x14ac:dyDescent="0.25">
      <c r="J140" s="135"/>
      <c r="K140" s="135"/>
      <c r="L140" s="135"/>
      <c r="M140" s="139"/>
      <c r="N140" s="135"/>
      <c r="O140" s="135"/>
      <c r="P140" s="135"/>
      <c r="Q140" s="135"/>
      <c r="R140" s="135"/>
    </row>
    <row r="141" spans="10:18" x14ac:dyDescent="0.25">
      <c r="J141" s="135"/>
      <c r="K141" s="135"/>
      <c r="L141" s="135"/>
      <c r="M141" s="139"/>
      <c r="N141" s="135"/>
      <c r="O141" s="135"/>
      <c r="P141" s="135"/>
      <c r="Q141" s="135"/>
      <c r="R141" s="135"/>
    </row>
    <row r="142" spans="10:18" x14ac:dyDescent="0.25">
      <c r="J142" s="135"/>
      <c r="K142" s="135"/>
      <c r="L142" s="135"/>
      <c r="M142" s="139"/>
      <c r="N142" s="135"/>
      <c r="O142" s="135"/>
      <c r="P142" s="135"/>
      <c r="Q142" s="135"/>
      <c r="R142" s="135"/>
    </row>
    <row r="143" spans="10:18" x14ac:dyDescent="0.25">
      <c r="J143" s="135"/>
      <c r="K143" s="135"/>
      <c r="L143" s="135"/>
      <c r="M143" s="139"/>
      <c r="N143" s="135"/>
      <c r="O143" s="135"/>
      <c r="P143" s="135"/>
      <c r="Q143" s="135"/>
      <c r="R143" s="135"/>
    </row>
    <row r="144" spans="10:18" x14ac:dyDescent="0.25">
      <c r="J144" s="135"/>
      <c r="K144" s="135"/>
      <c r="L144" s="135"/>
      <c r="M144" s="139"/>
      <c r="N144" s="135"/>
      <c r="O144" s="135"/>
      <c r="P144" s="135"/>
      <c r="Q144" s="135"/>
      <c r="R144" s="135"/>
    </row>
    <row r="145" spans="10:18" x14ac:dyDescent="0.25">
      <c r="J145" s="135"/>
      <c r="K145" s="135"/>
      <c r="L145" s="135"/>
      <c r="M145" s="139"/>
      <c r="N145" s="135"/>
      <c r="O145" s="135"/>
      <c r="P145" s="135"/>
      <c r="Q145" s="135"/>
      <c r="R145" s="135"/>
    </row>
    <row r="146" spans="10:18" x14ac:dyDescent="0.25">
      <c r="J146" s="135"/>
      <c r="K146" s="135"/>
      <c r="L146" s="135"/>
      <c r="M146" s="139"/>
      <c r="N146" s="135"/>
      <c r="O146" s="135"/>
      <c r="P146" s="135"/>
      <c r="Q146" s="135"/>
      <c r="R146" s="135"/>
    </row>
    <row r="147" spans="10:18" x14ac:dyDescent="0.25">
      <c r="J147" s="135"/>
      <c r="K147" s="135"/>
      <c r="L147" s="135"/>
      <c r="M147" s="139"/>
      <c r="N147" s="135"/>
      <c r="O147" s="135"/>
      <c r="P147" s="135"/>
      <c r="Q147" s="135"/>
      <c r="R147" s="135"/>
    </row>
    <row r="148" spans="10:18" x14ac:dyDescent="0.25">
      <c r="J148" s="135"/>
      <c r="K148" s="135"/>
      <c r="L148" s="135"/>
      <c r="M148" s="139"/>
      <c r="N148" s="135"/>
      <c r="O148" s="135"/>
      <c r="P148" s="135"/>
      <c r="Q148" s="135"/>
      <c r="R148" s="135"/>
    </row>
    <row r="149" spans="10:18" x14ac:dyDescent="0.25">
      <c r="J149" s="135"/>
      <c r="K149" s="135"/>
      <c r="L149" s="135"/>
      <c r="M149" s="139"/>
      <c r="N149" s="135"/>
      <c r="O149" s="135"/>
      <c r="P149" s="135"/>
      <c r="Q149" s="135"/>
      <c r="R149" s="135"/>
    </row>
    <row r="150" spans="10:18" x14ac:dyDescent="0.25">
      <c r="J150" s="135"/>
      <c r="K150" s="135"/>
      <c r="L150" s="135"/>
      <c r="M150" s="139"/>
      <c r="N150" s="135"/>
      <c r="O150" s="135"/>
      <c r="P150" s="135"/>
      <c r="Q150" s="135"/>
      <c r="R150" s="135"/>
    </row>
    <row r="151" spans="10:18" x14ac:dyDescent="0.25">
      <c r="J151" s="135"/>
      <c r="K151" s="135"/>
      <c r="L151" s="135"/>
      <c r="M151" s="139"/>
      <c r="N151" s="135"/>
      <c r="O151" s="135"/>
      <c r="P151" s="135"/>
      <c r="Q151" s="135"/>
      <c r="R151" s="135"/>
    </row>
    <row r="152" spans="10:18" x14ac:dyDescent="0.25">
      <c r="J152" s="135"/>
      <c r="K152" s="135"/>
      <c r="L152" s="135"/>
      <c r="M152" s="139"/>
      <c r="N152" s="135"/>
      <c r="O152" s="135"/>
      <c r="P152" s="135"/>
      <c r="Q152" s="135"/>
      <c r="R152" s="135"/>
    </row>
    <row r="153" spans="10:18" x14ac:dyDescent="0.25">
      <c r="J153" s="135"/>
      <c r="K153" s="135"/>
      <c r="L153" s="135"/>
      <c r="M153" s="139"/>
      <c r="N153" s="135"/>
      <c r="O153" s="135"/>
      <c r="P153" s="135"/>
      <c r="Q153" s="135"/>
      <c r="R153" s="135"/>
    </row>
    <row r="154" spans="10:18" x14ac:dyDescent="0.25">
      <c r="J154" s="135"/>
      <c r="K154" s="135"/>
      <c r="L154" s="135"/>
      <c r="M154" s="139"/>
      <c r="N154" s="135"/>
      <c r="O154" s="135"/>
      <c r="P154" s="135"/>
      <c r="Q154" s="135"/>
      <c r="R154" s="135"/>
    </row>
    <row r="155" spans="10:18" x14ac:dyDescent="0.25">
      <c r="J155" s="135"/>
      <c r="K155" s="135"/>
      <c r="L155" s="135"/>
      <c r="M155" s="139"/>
      <c r="N155" s="135"/>
      <c r="O155" s="135"/>
      <c r="P155" s="135"/>
      <c r="Q155" s="135"/>
      <c r="R155" s="135"/>
    </row>
    <row r="156" spans="10:18" x14ac:dyDescent="0.25">
      <c r="J156" s="135"/>
      <c r="K156" s="135"/>
      <c r="L156" s="135"/>
      <c r="M156" s="139"/>
      <c r="N156" s="135"/>
      <c r="O156" s="135"/>
      <c r="P156" s="135"/>
      <c r="Q156" s="135"/>
      <c r="R156" s="135"/>
    </row>
    <row r="157" spans="10:18" x14ac:dyDescent="0.25">
      <c r="J157" s="135"/>
      <c r="K157" s="135"/>
      <c r="L157" s="135"/>
      <c r="M157" s="139"/>
      <c r="N157" s="135"/>
      <c r="O157" s="135"/>
      <c r="P157" s="135"/>
      <c r="Q157" s="135"/>
      <c r="R157" s="135"/>
    </row>
    <row r="158" spans="10:18" x14ac:dyDescent="0.25">
      <c r="J158" s="135"/>
      <c r="K158" s="135"/>
      <c r="L158" s="135"/>
      <c r="M158" s="139"/>
      <c r="N158" s="135"/>
      <c r="O158" s="135"/>
      <c r="P158" s="135"/>
      <c r="Q158" s="135"/>
      <c r="R158" s="135"/>
    </row>
    <row r="159" spans="10:18" x14ac:dyDescent="0.25">
      <c r="J159" s="135"/>
      <c r="K159" s="135"/>
      <c r="L159" s="135"/>
      <c r="M159" s="139"/>
      <c r="N159" s="135"/>
      <c r="O159" s="135"/>
      <c r="P159" s="135"/>
      <c r="Q159" s="135"/>
      <c r="R159" s="135"/>
    </row>
    <row r="160" spans="10:18" x14ac:dyDescent="0.25">
      <c r="J160" s="135"/>
      <c r="K160" s="135"/>
      <c r="L160" s="135"/>
      <c r="M160" s="139"/>
      <c r="N160" s="135"/>
      <c r="O160" s="135"/>
      <c r="P160" s="135"/>
      <c r="Q160" s="135"/>
      <c r="R160" s="135"/>
    </row>
    <row r="161" spans="10:18" x14ac:dyDescent="0.25">
      <c r="J161" s="135"/>
      <c r="K161" s="135"/>
      <c r="L161" s="135"/>
      <c r="M161" s="139"/>
      <c r="N161" s="135"/>
      <c r="O161" s="135"/>
      <c r="P161" s="135"/>
      <c r="Q161" s="135"/>
      <c r="R161" s="135"/>
    </row>
    <row r="162" spans="10:18" x14ac:dyDescent="0.25">
      <c r="J162" s="135"/>
      <c r="K162" s="135"/>
      <c r="L162" s="135"/>
      <c r="M162" s="139"/>
      <c r="N162" s="135"/>
      <c r="O162" s="135"/>
      <c r="P162" s="135"/>
      <c r="Q162" s="135"/>
      <c r="R162" s="135"/>
    </row>
    <row r="163" spans="10:18" x14ac:dyDescent="0.25">
      <c r="J163" s="135"/>
      <c r="K163" s="135"/>
      <c r="L163" s="135"/>
      <c r="M163" s="139"/>
      <c r="N163" s="135"/>
      <c r="O163" s="135"/>
      <c r="P163" s="135"/>
      <c r="Q163" s="135"/>
      <c r="R163" s="135"/>
    </row>
    <row r="164" spans="10:18" x14ac:dyDescent="0.25">
      <c r="J164" s="135"/>
      <c r="K164" s="135"/>
      <c r="L164" s="135"/>
      <c r="M164" s="139"/>
      <c r="N164" s="135"/>
      <c r="O164" s="135"/>
      <c r="P164" s="135"/>
      <c r="Q164" s="135"/>
      <c r="R164" s="135"/>
    </row>
    <row r="165" spans="10:18" x14ac:dyDescent="0.25">
      <c r="J165" s="135"/>
      <c r="K165" s="135"/>
      <c r="L165" s="135"/>
      <c r="M165" s="139"/>
      <c r="N165" s="135"/>
      <c r="O165" s="135"/>
      <c r="P165" s="135"/>
      <c r="Q165" s="135"/>
      <c r="R165" s="135"/>
    </row>
    <row r="166" spans="10:18" x14ac:dyDescent="0.25">
      <c r="J166" s="135"/>
      <c r="K166" s="135"/>
      <c r="L166" s="135"/>
      <c r="M166" s="139"/>
      <c r="N166" s="135"/>
      <c r="O166" s="135"/>
      <c r="P166" s="135"/>
      <c r="Q166" s="135"/>
      <c r="R166" s="135"/>
    </row>
    <row r="167" spans="10:18" x14ac:dyDescent="0.25">
      <c r="J167" s="135"/>
      <c r="K167" s="135"/>
      <c r="L167" s="135"/>
      <c r="M167" s="139"/>
      <c r="N167" s="135"/>
      <c r="O167" s="135"/>
      <c r="P167" s="135"/>
      <c r="Q167" s="135"/>
      <c r="R167" s="135"/>
    </row>
    <row r="168" spans="10:18" x14ac:dyDescent="0.25">
      <c r="J168" s="135"/>
      <c r="K168" s="135"/>
      <c r="L168" s="135"/>
      <c r="M168" s="139"/>
      <c r="N168" s="135"/>
      <c r="O168" s="135"/>
      <c r="P168" s="135"/>
      <c r="Q168" s="135"/>
      <c r="R168" s="135"/>
    </row>
    <row r="169" spans="10:18" x14ac:dyDescent="0.25">
      <c r="J169" s="135"/>
      <c r="K169" s="135"/>
      <c r="L169" s="135"/>
      <c r="M169" s="139"/>
      <c r="N169" s="135"/>
      <c r="O169" s="135"/>
      <c r="P169" s="135"/>
      <c r="Q169" s="135"/>
      <c r="R169" s="135"/>
    </row>
    <row r="170" spans="10:18" x14ac:dyDescent="0.25">
      <c r="J170" s="135"/>
      <c r="K170" s="135"/>
      <c r="L170" s="135"/>
      <c r="M170" s="139"/>
      <c r="N170" s="135"/>
      <c r="O170" s="135"/>
      <c r="P170" s="135"/>
      <c r="Q170" s="135"/>
      <c r="R170" s="135"/>
    </row>
    <row r="171" spans="10:18" x14ac:dyDescent="0.25">
      <c r="J171" s="135"/>
      <c r="K171" s="135"/>
      <c r="L171" s="135"/>
      <c r="M171" s="139"/>
      <c r="N171" s="135"/>
      <c r="O171" s="135"/>
      <c r="P171" s="135"/>
      <c r="Q171" s="135"/>
      <c r="R171" s="135"/>
    </row>
    <row r="172" spans="10:18" x14ac:dyDescent="0.25">
      <c r="J172" s="135"/>
      <c r="K172" s="135"/>
      <c r="L172" s="135"/>
      <c r="M172" s="139"/>
      <c r="N172" s="135"/>
      <c r="O172" s="135"/>
      <c r="P172" s="135"/>
      <c r="Q172" s="135"/>
      <c r="R172" s="135"/>
    </row>
    <row r="173" spans="10:18" x14ac:dyDescent="0.25">
      <c r="J173" s="135"/>
      <c r="K173" s="135"/>
      <c r="L173" s="135"/>
      <c r="M173" s="139"/>
      <c r="N173" s="135"/>
      <c r="O173" s="135"/>
      <c r="P173" s="135"/>
      <c r="Q173" s="135"/>
      <c r="R173" s="135"/>
    </row>
    <row r="174" spans="10:18" x14ac:dyDescent="0.25">
      <c r="J174" s="135"/>
      <c r="K174" s="135"/>
      <c r="L174" s="135"/>
      <c r="M174" s="139"/>
      <c r="N174" s="135"/>
      <c r="O174" s="135"/>
      <c r="P174" s="135"/>
      <c r="Q174" s="135"/>
      <c r="R174" s="135"/>
    </row>
    <row r="175" spans="10:18" x14ac:dyDescent="0.25">
      <c r="J175" s="135"/>
      <c r="K175" s="135"/>
      <c r="L175" s="135"/>
      <c r="M175" s="139"/>
      <c r="N175" s="135"/>
      <c r="O175" s="135"/>
      <c r="P175" s="135"/>
      <c r="Q175" s="135"/>
      <c r="R175" s="135"/>
    </row>
    <row r="176" spans="10:18" x14ac:dyDescent="0.25">
      <c r="J176" s="135"/>
      <c r="K176" s="135"/>
      <c r="L176" s="135"/>
      <c r="M176" s="139"/>
      <c r="N176" s="135"/>
      <c r="O176" s="135"/>
      <c r="P176" s="135"/>
      <c r="Q176" s="135"/>
      <c r="R176" s="135"/>
    </row>
    <row r="177" spans="10:18" x14ac:dyDescent="0.25">
      <c r="J177" s="135"/>
      <c r="K177" s="135"/>
      <c r="L177" s="135"/>
      <c r="M177" s="139"/>
      <c r="N177" s="135"/>
      <c r="O177" s="135"/>
      <c r="P177" s="135"/>
      <c r="Q177" s="135"/>
      <c r="R177" s="135"/>
    </row>
    <row r="178" spans="10:18" x14ac:dyDescent="0.25">
      <c r="J178" s="135"/>
      <c r="K178" s="135"/>
      <c r="L178" s="135"/>
      <c r="M178" s="139"/>
      <c r="N178" s="135"/>
      <c r="O178" s="135"/>
      <c r="P178" s="135"/>
      <c r="Q178" s="135"/>
      <c r="R178" s="135"/>
    </row>
    <row r="179" spans="10:18" x14ac:dyDescent="0.25">
      <c r="J179" s="135"/>
      <c r="K179" s="135"/>
      <c r="L179" s="135"/>
      <c r="M179" s="139"/>
      <c r="N179" s="135"/>
      <c r="O179" s="135"/>
      <c r="P179" s="135"/>
      <c r="Q179" s="135"/>
      <c r="R179" s="135"/>
    </row>
    <row r="180" spans="10:18" x14ac:dyDescent="0.25">
      <c r="J180" s="135"/>
      <c r="K180" s="135"/>
      <c r="L180" s="135"/>
      <c r="M180" s="139"/>
      <c r="N180" s="135"/>
      <c r="O180" s="135"/>
      <c r="P180" s="135"/>
      <c r="Q180" s="135"/>
      <c r="R180" s="135"/>
    </row>
    <row r="181" spans="10:18" x14ac:dyDescent="0.25">
      <c r="J181" s="135"/>
      <c r="K181" s="135"/>
      <c r="L181" s="135"/>
      <c r="M181" s="139"/>
      <c r="N181" s="135"/>
      <c r="O181" s="135"/>
      <c r="P181" s="135"/>
      <c r="Q181" s="135"/>
      <c r="R181" s="135"/>
    </row>
    <row r="182" spans="10:18" x14ac:dyDescent="0.25">
      <c r="J182" s="135"/>
      <c r="K182" s="135"/>
      <c r="L182" s="135"/>
      <c r="M182" s="139"/>
      <c r="N182" s="135"/>
      <c r="O182" s="135"/>
      <c r="P182" s="135"/>
      <c r="Q182" s="135"/>
      <c r="R182" s="135"/>
    </row>
    <row r="183" spans="10:18" x14ac:dyDescent="0.25">
      <c r="J183" s="135"/>
      <c r="K183" s="135"/>
      <c r="L183" s="135"/>
      <c r="M183" s="139"/>
      <c r="N183" s="135"/>
      <c r="O183" s="135"/>
      <c r="P183" s="135"/>
      <c r="Q183" s="135"/>
      <c r="R183" s="135"/>
    </row>
    <row r="184" spans="10:18" x14ac:dyDescent="0.25">
      <c r="J184" s="135"/>
      <c r="K184" s="135"/>
      <c r="L184" s="135"/>
      <c r="M184" s="139"/>
      <c r="N184" s="135"/>
      <c r="O184" s="135"/>
      <c r="P184" s="135"/>
      <c r="Q184" s="135"/>
      <c r="R184" s="135"/>
    </row>
    <row r="185" spans="10:18" x14ac:dyDescent="0.25">
      <c r="J185" s="135"/>
      <c r="K185" s="135"/>
      <c r="L185" s="135"/>
      <c r="M185" s="139"/>
      <c r="N185" s="135"/>
      <c r="O185" s="135"/>
      <c r="P185" s="135"/>
      <c r="Q185" s="135"/>
      <c r="R185" s="135"/>
    </row>
    <row r="186" spans="10:18" x14ac:dyDescent="0.25">
      <c r="J186" s="135"/>
      <c r="K186" s="135"/>
      <c r="L186" s="135"/>
      <c r="M186" s="139"/>
      <c r="N186" s="135"/>
      <c r="O186" s="135"/>
      <c r="P186" s="135"/>
      <c r="Q186" s="135"/>
      <c r="R186" s="135"/>
    </row>
    <row r="187" spans="10:18" x14ac:dyDescent="0.25">
      <c r="J187" s="135"/>
      <c r="K187" s="135"/>
      <c r="L187" s="135"/>
      <c r="M187" s="139"/>
      <c r="N187" s="135"/>
      <c r="O187" s="135"/>
      <c r="P187" s="135"/>
      <c r="Q187" s="135"/>
      <c r="R187" s="135"/>
    </row>
    <row r="188" spans="10:18" x14ac:dyDescent="0.25">
      <c r="J188" s="135"/>
      <c r="K188" s="135"/>
      <c r="L188" s="135"/>
      <c r="M188" s="139"/>
      <c r="N188" s="135"/>
      <c r="O188" s="135"/>
      <c r="P188" s="135"/>
      <c r="Q188" s="135"/>
      <c r="R188" s="135"/>
    </row>
    <row r="189" spans="10:18" x14ac:dyDescent="0.25">
      <c r="J189" s="135"/>
      <c r="K189" s="135"/>
      <c r="L189" s="135"/>
      <c r="M189" s="139"/>
      <c r="N189" s="135"/>
      <c r="O189" s="135"/>
      <c r="P189" s="135"/>
      <c r="Q189" s="135"/>
      <c r="R189" s="135"/>
    </row>
    <row r="190" spans="10:18" x14ac:dyDescent="0.25">
      <c r="J190" s="135"/>
      <c r="K190" s="135"/>
      <c r="L190" s="135"/>
      <c r="M190" s="139"/>
      <c r="N190" s="135"/>
      <c r="O190" s="135"/>
      <c r="P190" s="135"/>
      <c r="Q190" s="135"/>
      <c r="R190" s="135"/>
    </row>
    <row r="191" spans="10:18" x14ac:dyDescent="0.25">
      <c r="J191" s="135"/>
      <c r="K191" s="135"/>
      <c r="L191" s="135"/>
      <c r="M191" s="139"/>
      <c r="N191" s="135"/>
      <c r="O191" s="135"/>
      <c r="P191" s="135"/>
      <c r="Q191" s="135"/>
      <c r="R191" s="135"/>
    </row>
    <row r="192" spans="10:18" x14ac:dyDescent="0.25">
      <c r="J192" s="135"/>
      <c r="K192" s="135"/>
      <c r="L192" s="135"/>
      <c r="M192" s="139"/>
      <c r="N192" s="135"/>
      <c r="O192" s="135"/>
      <c r="P192" s="135"/>
      <c r="Q192" s="135"/>
      <c r="R192" s="135"/>
    </row>
    <row r="193" spans="10:18" x14ac:dyDescent="0.25">
      <c r="J193" s="135"/>
      <c r="K193" s="135"/>
      <c r="L193" s="135"/>
      <c r="M193" s="139"/>
      <c r="N193" s="135"/>
      <c r="O193" s="135"/>
      <c r="P193" s="135"/>
      <c r="Q193" s="135"/>
      <c r="R193" s="135"/>
    </row>
    <row r="194" spans="10:18" x14ac:dyDescent="0.25">
      <c r="J194" s="135"/>
      <c r="K194" s="135"/>
      <c r="L194" s="135"/>
      <c r="M194" s="139"/>
      <c r="N194" s="135"/>
      <c r="O194" s="135"/>
      <c r="P194" s="135"/>
      <c r="Q194" s="135"/>
      <c r="R194" s="135"/>
    </row>
    <row r="195" spans="10:18" x14ac:dyDescent="0.25">
      <c r="J195" s="135"/>
      <c r="K195" s="135"/>
      <c r="L195" s="135"/>
      <c r="M195" s="139"/>
      <c r="N195" s="135"/>
      <c r="O195" s="135"/>
      <c r="P195" s="135"/>
      <c r="Q195" s="135"/>
      <c r="R195" s="135"/>
    </row>
    <row r="196" spans="10:18" x14ac:dyDescent="0.25">
      <c r="J196" s="135"/>
      <c r="K196" s="135"/>
      <c r="L196" s="135"/>
      <c r="M196" s="139"/>
      <c r="N196" s="135"/>
      <c r="O196" s="135"/>
      <c r="P196" s="135"/>
      <c r="Q196" s="135"/>
      <c r="R196" s="135"/>
    </row>
    <row r="197" spans="10:18" x14ac:dyDescent="0.25">
      <c r="J197" s="135"/>
      <c r="K197" s="135"/>
      <c r="L197" s="135"/>
      <c r="M197" s="139"/>
      <c r="N197" s="135"/>
      <c r="O197" s="135"/>
      <c r="P197" s="135"/>
      <c r="Q197" s="135"/>
      <c r="R197" s="135"/>
    </row>
    <row r="198" spans="10:18" x14ac:dyDescent="0.25">
      <c r="J198" s="135"/>
      <c r="K198" s="135"/>
      <c r="L198" s="135"/>
      <c r="M198" s="139"/>
      <c r="N198" s="135"/>
      <c r="O198" s="135"/>
      <c r="P198" s="135"/>
      <c r="Q198" s="135"/>
      <c r="R198" s="135"/>
    </row>
    <row r="199" spans="10:18" x14ac:dyDescent="0.25">
      <c r="J199" s="135"/>
      <c r="K199" s="135"/>
      <c r="L199" s="135"/>
      <c r="M199" s="139"/>
      <c r="N199" s="135"/>
      <c r="O199" s="135"/>
      <c r="P199" s="135"/>
      <c r="Q199" s="135"/>
      <c r="R199" s="135"/>
    </row>
    <row r="200" spans="10:18" x14ac:dyDescent="0.25">
      <c r="J200" s="135"/>
      <c r="K200" s="135"/>
      <c r="L200" s="135"/>
      <c r="M200" s="139"/>
      <c r="N200" s="135"/>
      <c r="O200" s="135"/>
      <c r="P200" s="135"/>
      <c r="Q200" s="135"/>
      <c r="R200" s="135"/>
    </row>
    <row r="201" spans="10:18" x14ac:dyDescent="0.25">
      <c r="J201" s="135"/>
      <c r="K201" s="135"/>
      <c r="L201" s="135"/>
      <c r="M201" s="139"/>
      <c r="N201" s="135"/>
      <c r="O201" s="135"/>
      <c r="P201" s="135"/>
      <c r="Q201" s="135"/>
      <c r="R201" s="135"/>
    </row>
    <row r="202" spans="10:18" x14ac:dyDescent="0.25">
      <c r="J202" s="135"/>
      <c r="K202" s="135"/>
      <c r="L202" s="135"/>
      <c r="M202" s="139"/>
      <c r="N202" s="135"/>
      <c r="O202" s="135"/>
      <c r="P202" s="135"/>
      <c r="Q202" s="135"/>
      <c r="R202" s="135"/>
    </row>
    <row r="203" spans="10:18" x14ac:dyDescent="0.25">
      <c r="J203" s="135"/>
      <c r="K203" s="135"/>
      <c r="L203" s="135"/>
      <c r="M203" s="139"/>
      <c r="N203" s="135"/>
      <c r="O203" s="135"/>
      <c r="P203" s="135"/>
      <c r="Q203" s="135"/>
      <c r="R203" s="135"/>
    </row>
    <row r="204" spans="10:18" x14ac:dyDescent="0.25">
      <c r="J204" s="135"/>
      <c r="K204" s="135"/>
      <c r="L204" s="135"/>
      <c r="M204" s="139"/>
      <c r="N204" s="135"/>
      <c r="O204" s="135"/>
      <c r="P204" s="135"/>
      <c r="Q204" s="135"/>
      <c r="R204" s="135"/>
    </row>
    <row r="205" spans="10:18" x14ac:dyDescent="0.25">
      <c r="J205" s="135"/>
      <c r="K205" s="135"/>
      <c r="L205" s="135"/>
      <c r="M205" s="139"/>
      <c r="N205" s="135"/>
      <c r="O205" s="135"/>
      <c r="P205" s="135"/>
      <c r="Q205" s="135"/>
      <c r="R205" s="135"/>
    </row>
    <row r="206" spans="10:18" x14ac:dyDescent="0.25">
      <c r="J206" s="135"/>
      <c r="K206" s="135"/>
      <c r="L206" s="135"/>
      <c r="M206" s="139"/>
      <c r="N206" s="135"/>
      <c r="O206" s="135"/>
      <c r="P206" s="135"/>
      <c r="Q206" s="135"/>
      <c r="R206" s="135"/>
    </row>
    <row r="207" spans="10:18" x14ac:dyDescent="0.25">
      <c r="J207" s="135"/>
      <c r="K207" s="135"/>
      <c r="L207" s="135"/>
      <c r="M207" s="139"/>
      <c r="N207" s="135"/>
      <c r="O207" s="135"/>
      <c r="P207" s="135"/>
      <c r="Q207" s="135"/>
      <c r="R207" s="135"/>
    </row>
    <row r="208" spans="10:18" x14ac:dyDescent="0.25">
      <c r="J208" s="135"/>
      <c r="K208" s="135"/>
      <c r="L208" s="135"/>
      <c r="M208" s="139"/>
      <c r="N208" s="135"/>
      <c r="O208" s="135"/>
      <c r="P208" s="135"/>
      <c r="Q208" s="135"/>
      <c r="R208" s="135"/>
    </row>
    <row r="209" spans="10:18" x14ac:dyDescent="0.25">
      <c r="J209" s="135"/>
      <c r="K209" s="135"/>
      <c r="L209" s="135"/>
      <c r="M209" s="139"/>
      <c r="N209" s="135"/>
      <c r="O209" s="135"/>
      <c r="P209" s="135"/>
      <c r="Q209" s="135"/>
      <c r="R209" s="135"/>
    </row>
    <row r="210" spans="10:18" x14ac:dyDescent="0.25">
      <c r="J210" s="135"/>
      <c r="K210" s="135"/>
      <c r="L210" s="135"/>
      <c r="M210" s="139"/>
      <c r="N210" s="135"/>
      <c r="O210" s="135"/>
      <c r="P210" s="135"/>
      <c r="Q210" s="135"/>
      <c r="R210" s="135"/>
    </row>
    <row r="211" spans="10:18" x14ac:dyDescent="0.25">
      <c r="J211" s="135"/>
      <c r="K211" s="135"/>
      <c r="L211" s="135"/>
      <c r="M211" s="139"/>
      <c r="N211" s="135"/>
      <c r="O211" s="135"/>
      <c r="P211" s="135"/>
      <c r="Q211" s="135"/>
      <c r="R211" s="135"/>
    </row>
    <row r="212" spans="10:18" x14ac:dyDescent="0.25">
      <c r="J212" s="135"/>
      <c r="K212" s="135"/>
      <c r="L212" s="135"/>
      <c r="M212" s="139"/>
      <c r="N212" s="135"/>
      <c r="O212" s="135"/>
      <c r="P212" s="135"/>
      <c r="Q212" s="135"/>
      <c r="R212" s="135"/>
    </row>
    <row r="213" spans="10:18" x14ac:dyDescent="0.25">
      <c r="J213" s="135"/>
      <c r="K213" s="135"/>
      <c r="L213" s="135"/>
      <c r="M213" s="139"/>
      <c r="N213" s="135"/>
      <c r="O213" s="135"/>
      <c r="P213" s="135"/>
      <c r="Q213" s="135"/>
      <c r="R213" s="135"/>
    </row>
    <row r="214" spans="10:18" x14ac:dyDescent="0.25">
      <c r="J214" s="135"/>
      <c r="K214" s="135"/>
      <c r="L214" s="135"/>
      <c r="M214" s="139"/>
      <c r="N214" s="135"/>
      <c r="O214" s="135"/>
      <c r="P214" s="135"/>
      <c r="Q214" s="135"/>
      <c r="R214" s="135"/>
    </row>
    <row r="215" spans="10:18" x14ac:dyDescent="0.25">
      <c r="J215" s="135"/>
      <c r="K215" s="135"/>
      <c r="L215" s="135"/>
      <c r="M215" s="139"/>
      <c r="N215" s="135"/>
      <c r="O215" s="135"/>
      <c r="P215" s="135"/>
      <c r="Q215" s="135"/>
      <c r="R215" s="135"/>
    </row>
    <row r="216" spans="10:18" x14ac:dyDescent="0.25">
      <c r="J216" s="135"/>
      <c r="K216" s="135"/>
      <c r="L216" s="135"/>
      <c r="M216" s="139"/>
      <c r="N216" s="135"/>
      <c r="O216" s="135"/>
      <c r="P216" s="135"/>
      <c r="Q216" s="135"/>
      <c r="R216" s="135"/>
    </row>
    <row r="217" spans="10:18" x14ac:dyDescent="0.25">
      <c r="J217" s="135"/>
      <c r="K217" s="135"/>
      <c r="L217" s="135"/>
      <c r="M217" s="139"/>
      <c r="N217" s="135"/>
      <c r="O217" s="135"/>
      <c r="P217" s="135"/>
      <c r="Q217" s="135"/>
      <c r="R217" s="135"/>
    </row>
    <row r="218" spans="10:18" x14ac:dyDescent="0.25">
      <c r="J218" s="135"/>
      <c r="K218" s="135"/>
      <c r="L218" s="135"/>
      <c r="M218" s="139"/>
      <c r="N218" s="135"/>
      <c r="O218" s="135"/>
      <c r="P218" s="135"/>
      <c r="Q218" s="135"/>
      <c r="R218" s="135"/>
    </row>
    <row r="219" spans="10:18" x14ac:dyDescent="0.25">
      <c r="J219" s="135"/>
      <c r="K219" s="135"/>
      <c r="L219" s="135"/>
      <c r="M219" s="139"/>
      <c r="N219" s="135"/>
      <c r="O219" s="135"/>
      <c r="P219" s="135"/>
      <c r="Q219" s="135"/>
      <c r="R219" s="135"/>
    </row>
    <row r="220" spans="10:18" x14ac:dyDescent="0.25">
      <c r="J220" s="135"/>
      <c r="K220" s="135"/>
      <c r="L220" s="135"/>
      <c r="M220" s="139"/>
      <c r="N220" s="135"/>
      <c r="O220" s="135"/>
      <c r="P220" s="135"/>
      <c r="Q220" s="135"/>
      <c r="R220" s="135"/>
    </row>
    <row r="221" spans="10:18" x14ac:dyDescent="0.25">
      <c r="J221" s="135"/>
      <c r="K221" s="135"/>
      <c r="L221" s="135"/>
      <c r="M221" s="139"/>
      <c r="N221" s="135"/>
      <c r="O221" s="135"/>
      <c r="P221" s="135"/>
      <c r="Q221" s="135"/>
      <c r="R221" s="135"/>
    </row>
    <row r="222" spans="10:18" x14ac:dyDescent="0.25">
      <c r="J222" s="135"/>
      <c r="K222" s="135"/>
      <c r="L222" s="135"/>
      <c r="M222" s="139"/>
      <c r="N222" s="135"/>
      <c r="O222" s="135"/>
      <c r="P222" s="135"/>
      <c r="Q222" s="135"/>
      <c r="R222" s="135"/>
    </row>
    <row r="223" spans="10:18" x14ac:dyDescent="0.25">
      <c r="J223" s="135"/>
      <c r="K223" s="135"/>
      <c r="L223" s="135"/>
      <c r="M223" s="139"/>
      <c r="N223" s="135"/>
      <c r="O223" s="135"/>
      <c r="P223" s="135"/>
      <c r="Q223" s="135"/>
      <c r="R223" s="135"/>
    </row>
    <row r="224" spans="10:18" x14ac:dyDescent="0.25">
      <c r="J224" s="135"/>
      <c r="K224" s="135"/>
      <c r="L224" s="135"/>
      <c r="M224" s="139"/>
      <c r="N224" s="135"/>
      <c r="O224" s="135"/>
      <c r="P224" s="135"/>
      <c r="Q224" s="135"/>
      <c r="R224" s="135"/>
    </row>
    <row r="225" spans="10:18" x14ac:dyDescent="0.25">
      <c r="J225" s="135"/>
      <c r="K225" s="135"/>
      <c r="L225" s="135"/>
      <c r="M225" s="139"/>
      <c r="N225" s="135"/>
      <c r="O225" s="135"/>
      <c r="P225" s="135"/>
      <c r="Q225" s="135"/>
      <c r="R225" s="135"/>
    </row>
    <row r="226" spans="10:18" x14ac:dyDescent="0.25">
      <c r="J226" s="135"/>
      <c r="K226" s="135"/>
      <c r="L226" s="135"/>
      <c r="M226" s="139"/>
      <c r="N226" s="135"/>
      <c r="O226" s="135"/>
      <c r="P226" s="135"/>
      <c r="Q226" s="135"/>
      <c r="R226" s="135"/>
    </row>
    <row r="227" spans="10:18" x14ac:dyDescent="0.25">
      <c r="J227" s="135"/>
      <c r="K227" s="135"/>
      <c r="L227" s="135"/>
      <c r="M227" s="139"/>
      <c r="N227" s="135"/>
      <c r="O227" s="135"/>
      <c r="P227" s="135"/>
      <c r="Q227" s="135"/>
      <c r="R227" s="135"/>
    </row>
    <row r="228" spans="10:18" x14ac:dyDescent="0.25">
      <c r="J228" s="135"/>
      <c r="K228" s="135"/>
      <c r="L228" s="135"/>
      <c r="M228" s="139"/>
      <c r="N228" s="135"/>
      <c r="O228" s="135"/>
      <c r="P228" s="135"/>
      <c r="Q228" s="135"/>
      <c r="R228" s="135"/>
    </row>
    <row r="229" spans="10:18" x14ac:dyDescent="0.25">
      <c r="J229" s="135"/>
      <c r="K229" s="135"/>
      <c r="L229" s="135"/>
      <c r="M229" s="139"/>
      <c r="N229" s="135"/>
      <c r="O229" s="135"/>
      <c r="P229" s="135"/>
      <c r="Q229" s="135"/>
      <c r="R229" s="135"/>
    </row>
    <row r="230" spans="10:18" x14ac:dyDescent="0.25">
      <c r="J230" s="135"/>
      <c r="K230" s="135"/>
      <c r="L230" s="135"/>
      <c r="M230" s="139"/>
      <c r="N230" s="135"/>
      <c r="O230" s="135"/>
      <c r="P230" s="135"/>
      <c r="Q230" s="135"/>
      <c r="R230" s="135"/>
    </row>
    <row r="231" spans="10:18" x14ac:dyDescent="0.25">
      <c r="J231" s="135"/>
      <c r="K231" s="135"/>
      <c r="L231" s="135"/>
      <c r="M231" s="139"/>
      <c r="N231" s="135"/>
      <c r="O231" s="135"/>
      <c r="P231" s="135"/>
      <c r="Q231" s="135"/>
      <c r="R231" s="135"/>
    </row>
    <row r="232" spans="10:18" x14ac:dyDescent="0.25">
      <c r="J232" s="135"/>
      <c r="K232" s="135"/>
      <c r="L232" s="135"/>
      <c r="M232" s="139"/>
      <c r="N232" s="135"/>
      <c r="O232" s="135"/>
      <c r="P232" s="135"/>
      <c r="Q232" s="135"/>
      <c r="R232" s="135"/>
    </row>
    <row r="233" spans="10:18" x14ac:dyDescent="0.25">
      <c r="J233" s="135"/>
      <c r="K233" s="135"/>
      <c r="L233" s="135"/>
      <c r="M233" s="139"/>
      <c r="N233" s="135"/>
      <c r="O233" s="135"/>
      <c r="P233" s="135"/>
      <c r="Q233" s="135"/>
      <c r="R233" s="135"/>
    </row>
    <row r="234" spans="10:18" x14ac:dyDescent="0.25">
      <c r="J234" s="135"/>
      <c r="K234" s="135"/>
      <c r="L234" s="135"/>
      <c r="M234" s="139"/>
      <c r="N234" s="135"/>
      <c r="O234" s="135"/>
      <c r="P234" s="135"/>
      <c r="Q234" s="135"/>
      <c r="R234" s="135"/>
    </row>
    <row r="235" spans="10:18" x14ac:dyDescent="0.25">
      <c r="J235" s="135"/>
      <c r="K235" s="135"/>
      <c r="L235" s="135"/>
      <c r="M235" s="139"/>
      <c r="N235" s="135"/>
      <c r="O235" s="135"/>
      <c r="P235" s="135"/>
      <c r="Q235" s="135"/>
      <c r="R235" s="135"/>
    </row>
    <row r="236" spans="10:18" x14ac:dyDescent="0.25">
      <c r="J236" s="135"/>
      <c r="K236" s="135"/>
      <c r="L236" s="135"/>
      <c r="M236" s="139"/>
      <c r="N236" s="135"/>
      <c r="O236" s="135"/>
      <c r="P236" s="135"/>
      <c r="Q236" s="135"/>
      <c r="R236" s="135"/>
    </row>
    <row r="237" spans="10:18" x14ac:dyDescent="0.25">
      <c r="J237" s="135"/>
      <c r="K237" s="135"/>
      <c r="L237" s="135"/>
      <c r="M237" s="139"/>
      <c r="N237" s="135"/>
      <c r="O237" s="135"/>
      <c r="P237" s="135"/>
      <c r="Q237" s="135"/>
      <c r="R237" s="135"/>
    </row>
    <row r="238" spans="10:18" x14ac:dyDescent="0.25">
      <c r="J238" s="135"/>
      <c r="K238" s="135"/>
      <c r="L238" s="135"/>
      <c r="M238" s="139"/>
      <c r="N238" s="135"/>
      <c r="O238" s="135"/>
      <c r="P238" s="135"/>
      <c r="Q238" s="135"/>
      <c r="R238" s="135"/>
    </row>
    <row r="239" spans="10:18" x14ac:dyDescent="0.25">
      <c r="J239" s="135"/>
      <c r="K239" s="135"/>
      <c r="L239" s="135"/>
      <c r="M239" s="139"/>
      <c r="N239" s="135"/>
      <c r="O239" s="135"/>
      <c r="P239" s="135"/>
      <c r="Q239" s="135"/>
      <c r="R239" s="135"/>
    </row>
    <row r="240" spans="10:18" x14ac:dyDescent="0.25">
      <c r="J240" s="135"/>
      <c r="K240" s="135"/>
      <c r="L240" s="135"/>
      <c r="M240" s="139"/>
      <c r="N240" s="135"/>
      <c r="O240" s="135"/>
      <c r="P240" s="135"/>
      <c r="Q240" s="135"/>
      <c r="R240" s="135"/>
    </row>
    <row r="241" spans="2:18" x14ac:dyDescent="0.25">
      <c r="J241" s="135"/>
      <c r="K241" s="135"/>
      <c r="L241" s="135"/>
      <c r="M241" s="139"/>
      <c r="N241" s="135"/>
      <c r="O241" s="135"/>
      <c r="P241" s="135"/>
      <c r="Q241" s="135"/>
      <c r="R241" s="135"/>
    </row>
    <row r="242" spans="2:18" x14ac:dyDescent="0.25">
      <c r="J242" s="135"/>
      <c r="K242" s="135"/>
      <c r="L242" s="135"/>
      <c r="M242" s="139"/>
      <c r="N242" s="135"/>
      <c r="O242" s="135"/>
      <c r="P242" s="135"/>
      <c r="Q242" s="135"/>
      <c r="R242" s="135"/>
    </row>
    <row r="243" spans="2:18" x14ac:dyDescent="0.25">
      <c r="J243" s="135"/>
      <c r="K243" s="135"/>
      <c r="L243" s="135"/>
      <c r="M243" s="139"/>
      <c r="N243" s="135"/>
      <c r="O243" s="135"/>
      <c r="P243" s="135"/>
      <c r="Q243" s="135"/>
      <c r="R243" s="135"/>
    </row>
    <row r="244" spans="2:18" x14ac:dyDescent="0.25">
      <c r="J244" s="135"/>
      <c r="K244" s="135"/>
      <c r="L244" s="135"/>
      <c r="M244" s="139"/>
      <c r="N244" s="135"/>
      <c r="O244" s="135"/>
      <c r="P244" s="135"/>
      <c r="Q244" s="135"/>
      <c r="R244" s="135"/>
    </row>
    <row r="245" spans="2:18" x14ac:dyDescent="0.25">
      <c r="J245" s="135"/>
      <c r="K245" s="135"/>
      <c r="L245" s="135"/>
      <c r="M245" s="139"/>
      <c r="N245" s="135"/>
      <c r="O245" s="135"/>
      <c r="P245" s="135"/>
      <c r="Q245" s="135"/>
      <c r="R245" s="135"/>
    </row>
    <row r="246" spans="2:18" x14ac:dyDescent="0.25">
      <c r="J246" s="135"/>
      <c r="K246" s="135"/>
      <c r="L246" s="135"/>
      <c r="M246" s="139"/>
      <c r="N246" s="135"/>
      <c r="O246" s="135"/>
      <c r="P246" s="135"/>
      <c r="Q246" s="135"/>
      <c r="R246" s="135"/>
    </row>
    <row r="247" spans="2:18" x14ac:dyDescent="0.25">
      <c r="J247" s="135"/>
      <c r="K247" s="135"/>
      <c r="L247" s="135"/>
      <c r="M247" s="139"/>
      <c r="N247" s="135"/>
      <c r="O247" s="135"/>
      <c r="P247" s="135"/>
      <c r="Q247" s="135"/>
      <c r="R247" s="135"/>
    </row>
    <row r="248" spans="2:18" x14ac:dyDescent="0.25">
      <c r="J248" s="135"/>
      <c r="K248" s="135"/>
      <c r="L248" s="135"/>
      <c r="M248" s="139"/>
      <c r="N248" s="135"/>
      <c r="O248" s="135"/>
      <c r="P248" s="135"/>
      <c r="Q248" s="135"/>
      <c r="R248" s="135"/>
    </row>
    <row r="249" spans="2:18" x14ac:dyDescent="0.25">
      <c r="J249" s="135"/>
      <c r="K249" s="135"/>
      <c r="L249" s="135"/>
      <c r="M249" s="139"/>
      <c r="N249" s="135"/>
      <c r="O249" s="135"/>
      <c r="P249" s="135"/>
      <c r="Q249" s="135"/>
      <c r="R249" s="135"/>
    </row>
    <row r="250" spans="2:18" x14ac:dyDescent="0.25">
      <c r="J250" s="135"/>
      <c r="K250" s="135"/>
      <c r="L250" s="135"/>
      <c r="M250" s="139"/>
      <c r="N250" s="135"/>
      <c r="O250" s="135"/>
      <c r="P250" s="135"/>
      <c r="Q250" s="135"/>
      <c r="R250" s="135"/>
    </row>
    <row r="251" spans="2:18" x14ac:dyDescent="0.25">
      <c r="J251" s="135"/>
      <c r="K251" s="135"/>
      <c r="L251" s="135"/>
      <c r="M251" s="139"/>
      <c r="N251" s="135"/>
      <c r="O251" s="135"/>
      <c r="P251" s="135"/>
      <c r="Q251" s="135"/>
      <c r="R251" s="135"/>
    </row>
    <row r="252" spans="2:18" x14ac:dyDescent="0.25">
      <c r="J252" s="135"/>
      <c r="K252" s="135"/>
      <c r="L252" s="135"/>
      <c r="M252" s="139"/>
      <c r="N252" s="135"/>
      <c r="O252" s="135"/>
      <c r="P252" s="135"/>
      <c r="Q252" s="135"/>
      <c r="R252" s="135"/>
    </row>
    <row r="253" spans="2:18" ht="15.5" x14ac:dyDescent="0.35">
      <c r="B253" s="82" t="s">
        <v>343</v>
      </c>
      <c r="J253" s="135"/>
      <c r="K253" s="135"/>
      <c r="L253" s="135"/>
      <c r="M253" s="139"/>
      <c r="N253" s="135"/>
      <c r="O253" s="135"/>
      <c r="P253" s="135"/>
      <c r="Q253" s="135"/>
      <c r="R253" s="135"/>
    </row>
    <row r="254" spans="2:18" x14ac:dyDescent="0.25">
      <c r="J254" s="135"/>
      <c r="K254" s="135"/>
      <c r="L254" s="135"/>
      <c r="M254" s="139"/>
      <c r="N254" s="135"/>
      <c r="O254" s="135"/>
      <c r="P254" s="135"/>
      <c r="Q254" s="135"/>
      <c r="R254" s="135"/>
    </row>
    <row r="255" spans="2:18" x14ac:dyDescent="0.25">
      <c r="J255" s="135"/>
      <c r="K255" s="135"/>
      <c r="L255" s="135"/>
      <c r="M255" s="139"/>
      <c r="N255" s="135"/>
      <c r="O255" s="135"/>
      <c r="P255" s="135"/>
      <c r="Q255" s="135"/>
      <c r="R255" s="135"/>
    </row>
    <row r="256" spans="2:18" x14ac:dyDescent="0.25">
      <c r="J256" s="135"/>
      <c r="K256" s="135"/>
      <c r="L256" s="135"/>
      <c r="M256" s="139"/>
      <c r="N256" s="135"/>
      <c r="O256" s="135"/>
      <c r="P256" s="135"/>
      <c r="Q256" s="135"/>
      <c r="R256" s="135"/>
    </row>
    <row r="257" spans="10:18" x14ac:dyDescent="0.25">
      <c r="J257" s="135"/>
      <c r="K257" s="135"/>
      <c r="L257" s="135"/>
      <c r="M257" s="139"/>
      <c r="N257" s="135"/>
      <c r="O257" s="135"/>
      <c r="P257" s="135"/>
      <c r="Q257" s="135"/>
      <c r="R257" s="135"/>
    </row>
    <row r="258" spans="10:18" x14ac:dyDescent="0.25">
      <c r="J258" s="135"/>
      <c r="K258" s="135"/>
      <c r="L258" s="135"/>
      <c r="M258" s="139"/>
      <c r="N258" s="135"/>
      <c r="O258" s="135"/>
      <c r="P258" s="135"/>
      <c r="Q258" s="135"/>
      <c r="R258" s="135"/>
    </row>
    <row r="259" spans="10:18" x14ac:dyDescent="0.25">
      <c r="J259" s="135"/>
      <c r="K259" s="135"/>
      <c r="L259" s="135"/>
      <c r="M259" s="139"/>
      <c r="N259" s="135"/>
      <c r="O259" s="135"/>
      <c r="P259" s="135"/>
      <c r="Q259" s="135"/>
      <c r="R259" s="135"/>
    </row>
    <row r="260" spans="10:18" x14ac:dyDescent="0.25">
      <c r="J260" s="135"/>
      <c r="K260" s="135"/>
      <c r="L260" s="135"/>
      <c r="M260" s="139"/>
      <c r="N260" s="135"/>
      <c r="O260" s="135"/>
      <c r="P260" s="135"/>
      <c r="Q260" s="135"/>
      <c r="R260" s="135"/>
    </row>
    <row r="261" spans="10:18" x14ac:dyDescent="0.25">
      <c r="J261" s="135"/>
      <c r="K261" s="135"/>
      <c r="L261" s="135"/>
      <c r="M261" s="139"/>
      <c r="N261" s="135"/>
      <c r="O261" s="135"/>
      <c r="P261" s="135"/>
      <c r="Q261" s="135"/>
      <c r="R261" s="135"/>
    </row>
    <row r="262" spans="10:18" x14ac:dyDescent="0.25">
      <c r="J262" s="135"/>
      <c r="K262" s="135"/>
      <c r="L262" s="135"/>
      <c r="M262" s="139"/>
      <c r="N262" s="135"/>
      <c r="O262" s="135"/>
      <c r="P262" s="135"/>
      <c r="Q262" s="135"/>
      <c r="R262" s="135"/>
    </row>
    <row r="263" spans="10:18" x14ac:dyDescent="0.25">
      <c r="J263" s="135"/>
      <c r="K263" s="135"/>
      <c r="L263" s="135"/>
      <c r="M263" s="139"/>
      <c r="N263" s="135"/>
      <c r="O263" s="135"/>
      <c r="P263" s="135"/>
      <c r="Q263" s="135"/>
      <c r="R263" s="135"/>
    </row>
    <row r="264" spans="10:18" x14ac:dyDescent="0.25">
      <c r="J264" s="135"/>
      <c r="K264" s="135"/>
      <c r="L264" s="135"/>
      <c r="M264" s="139"/>
      <c r="N264" s="135"/>
      <c r="O264" s="135"/>
      <c r="P264" s="135"/>
      <c r="Q264" s="135"/>
      <c r="R264" s="135"/>
    </row>
    <row r="265" spans="10:18" x14ac:dyDescent="0.25">
      <c r="J265" s="135"/>
      <c r="K265" s="135"/>
      <c r="L265" s="135"/>
      <c r="M265" s="139"/>
      <c r="N265" s="135"/>
      <c r="O265" s="135"/>
      <c r="P265" s="135"/>
      <c r="Q265" s="135"/>
      <c r="R265" s="135"/>
    </row>
    <row r="266" spans="10:18" x14ac:dyDescent="0.25">
      <c r="J266" s="135"/>
      <c r="K266" s="135"/>
      <c r="L266" s="135"/>
      <c r="M266" s="139"/>
      <c r="N266" s="135"/>
      <c r="O266" s="135"/>
      <c r="P266" s="135"/>
      <c r="Q266" s="135"/>
      <c r="R266" s="135"/>
    </row>
    <row r="267" spans="10:18" x14ac:dyDescent="0.25">
      <c r="J267" s="135"/>
      <c r="K267" s="135"/>
      <c r="L267" s="135"/>
      <c r="M267" s="139"/>
      <c r="N267" s="135"/>
      <c r="O267" s="135"/>
      <c r="P267" s="135"/>
      <c r="Q267" s="135"/>
      <c r="R267" s="135"/>
    </row>
    <row r="268" spans="10:18" x14ac:dyDescent="0.25">
      <c r="J268" s="135"/>
      <c r="K268" s="135"/>
      <c r="L268" s="135"/>
      <c r="M268" s="139"/>
      <c r="N268" s="135"/>
      <c r="O268" s="135"/>
      <c r="P268" s="135"/>
      <c r="Q268" s="135"/>
      <c r="R268" s="135"/>
    </row>
    <row r="269" spans="10:18" x14ac:dyDescent="0.25">
      <c r="J269" s="135"/>
      <c r="K269" s="135"/>
      <c r="L269" s="135"/>
      <c r="M269" s="139"/>
      <c r="N269" s="135"/>
      <c r="O269" s="135"/>
      <c r="P269" s="135"/>
      <c r="Q269" s="135"/>
      <c r="R269" s="135"/>
    </row>
    <row r="270" spans="10:18" x14ac:dyDescent="0.25">
      <c r="J270" s="135"/>
      <c r="K270" s="135"/>
      <c r="L270" s="135"/>
      <c r="M270" s="139"/>
      <c r="N270" s="135"/>
      <c r="O270" s="135"/>
      <c r="P270" s="135"/>
      <c r="Q270" s="135"/>
      <c r="R270" s="135"/>
    </row>
    <row r="271" spans="10:18" x14ac:dyDescent="0.25">
      <c r="J271" s="135"/>
      <c r="K271" s="135"/>
      <c r="L271" s="135"/>
      <c r="M271" s="139"/>
      <c r="N271" s="135"/>
      <c r="O271" s="135"/>
      <c r="P271" s="135"/>
      <c r="Q271" s="135"/>
      <c r="R271" s="135"/>
    </row>
    <row r="272" spans="10:18" x14ac:dyDescent="0.25">
      <c r="J272" s="135"/>
      <c r="K272" s="135"/>
      <c r="L272" s="135"/>
      <c r="M272" s="139"/>
      <c r="N272" s="135"/>
      <c r="O272" s="135"/>
      <c r="P272" s="135"/>
      <c r="Q272" s="135"/>
      <c r="R272" s="135"/>
    </row>
    <row r="273" spans="10:18" x14ac:dyDescent="0.25">
      <c r="J273" s="135"/>
      <c r="K273" s="135"/>
      <c r="L273" s="135"/>
      <c r="M273" s="139"/>
      <c r="N273" s="135"/>
      <c r="O273" s="135"/>
      <c r="P273" s="135"/>
      <c r="Q273" s="135"/>
      <c r="R273" s="135"/>
    </row>
    <row r="274" spans="10:18" x14ac:dyDescent="0.25">
      <c r="J274" s="135"/>
      <c r="K274" s="135"/>
      <c r="L274" s="135"/>
      <c r="M274" s="139"/>
      <c r="N274" s="135"/>
      <c r="O274" s="135"/>
      <c r="P274" s="135"/>
      <c r="Q274" s="135"/>
      <c r="R274" s="135"/>
    </row>
    <row r="275" spans="10:18" x14ac:dyDescent="0.25">
      <c r="J275" s="135"/>
      <c r="K275" s="135"/>
      <c r="L275" s="135"/>
      <c r="M275" s="139"/>
      <c r="N275" s="135"/>
      <c r="O275" s="135"/>
      <c r="P275" s="135"/>
      <c r="Q275" s="135"/>
      <c r="R275" s="135"/>
    </row>
    <row r="276" spans="10:18" x14ac:dyDescent="0.25">
      <c r="J276" s="135"/>
      <c r="K276" s="135"/>
      <c r="L276" s="135"/>
      <c r="M276" s="139"/>
      <c r="N276" s="135"/>
      <c r="O276" s="135"/>
      <c r="P276" s="135"/>
      <c r="Q276" s="135"/>
      <c r="R276" s="135"/>
    </row>
    <row r="277" spans="10:18" x14ac:dyDescent="0.25">
      <c r="J277" s="135"/>
      <c r="K277" s="135"/>
      <c r="L277" s="135"/>
      <c r="M277" s="139"/>
      <c r="N277" s="135"/>
      <c r="O277" s="135"/>
      <c r="P277" s="135"/>
      <c r="Q277" s="135"/>
      <c r="R277" s="135"/>
    </row>
    <row r="278" spans="10:18" x14ac:dyDescent="0.25">
      <c r="J278" s="135"/>
      <c r="K278" s="135"/>
      <c r="L278" s="135"/>
      <c r="M278" s="139"/>
      <c r="N278" s="135"/>
      <c r="O278" s="135"/>
      <c r="P278" s="135"/>
      <c r="Q278" s="135"/>
      <c r="R278" s="135"/>
    </row>
    <row r="279" spans="10:18" x14ac:dyDescent="0.25">
      <c r="J279" s="135"/>
      <c r="K279" s="135"/>
      <c r="L279" s="135"/>
      <c r="M279" s="139"/>
      <c r="N279" s="135"/>
      <c r="O279" s="135"/>
      <c r="P279" s="135"/>
      <c r="Q279" s="135"/>
      <c r="R279" s="135"/>
    </row>
    <row r="280" spans="10:18" x14ac:dyDescent="0.25">
      <c r="J280" s="135"/>
      <c r="K280" s="135"/>
      <c r="L280" s="135"/>
      <c r="M280" s="139"/>
      <c r="N280" s="135"/>
      <c r="O280" s="135"/>
      <c r="P280" s="135"/>
      <c r="Q280" s="135"/>
      <c r="R280" s="135"/>
    </row>
    <row r="281" spans="10:18" x14ac:dyDescent="0.25">
      <c r="J281" s="135"/>
      <c r="K281" s="135"/>
      <c r="L281" s="135"/>
      <c r="M281" s="139"/>
      <c r="N281" s="135"/>
      <c r="O281" s="135"/>
      <c r="P281" s="135"/>
      <c r="Q281" s="135"/>
      <c r="R281" s="135"/>
    </row>
    <row r="282" spans="10:18" x14ac:dyDescent="0.25">
      <c r="J282" s="135"/>
      <c r="K282" s="135"/>
      <c r="L282" s="135"/>
      <c r="M282" s="139"/>
      <c r="N282" s="135"/>
      <c r="O282" s="135"/>
      <c r="P282" s="135"/>
      <c r="Q282" s="135"/>
      <c r="R282" s="135"/>
    </row>
    <row r="283" spans="10:18" x14ac:dyDescent="0.25">
      <c r="J283" s="135"/>
      <c r="K283" s="135"/>
      <c r="L283" s="135"/>
      <c r="M283" s="139"/>
      <c r="N283" s="135"/>
      <c r="O283" s="135"/>
      <c r="P283" s="135"/>
      <c r="Q283" s="135"/>
      <c r="R283" s="135"/>
    </row>
    <row r="284" spans="10:18" x14ac:dyDescent="0.25">
      <c r="J284" s="135"/>
      <c r="K284" s="135"/>
      <c r="L284" s="135"/>
      <c r="M284" s="139"/>
      <c r="N284" s="135"/>
      <c r="O284" s="135"/>
      <c r="P284" s="135"/>
      <c r="Q284" s="135"/>
      <c r="R284" s="135"/>
    </row>
    <row r="285" spans="10:18" x14ac:dyDescent="0.25">
      <c r="J285" s="135"/>
      <c r="K285" s="135"/>
      <c r="L285" s="135"/>
      <c r="M285" s="139"/>
      <c r="N285" s="135"/>
      <c r="O285" s="135"/>
      <c r="P285" s="135"/>
      <c r="Q285" s="135"/>
      <c r="R285" s="135"/>
    </row>
    <row r="286" spans="10:18" x14ac:dyDescent="0.25">
      <c r="J286" s="135"/>
      <c r="K286" s="135"/>
      <c r="L286" s="135"/>
      <c r="M286" s="139"/>
      <c r="N286" s="135"/>
      <c r="O286" s="135"/>
      <c r="P286" s="135"/>
      <c r="Q286" s="135"/>
      <c r="R286" s="135"/>
    </row>
    <row r="287" spans="10:18" x14ac:dyDescent="0.25">
      <c r="J287" s="135"/>
      <c r="K287" s="135"/>
      <c r="L287" s="135"/>
      <c r="M287" s="139"/>
      <c r="N287" s="135"/>
      <c r="O287" s="135"/>
      <c r="P287" s="135"/>
      <c r="Q287" s="135"/>
      <c r="R287" s="135"/>
    </row>
    <row r="288" spans="10:18" x14ac:dyDescent="0.25">
      <c r="J288" s="135"/>
      <c r="K288" s="135"/>
      <c r="L288" s="135"/>
      <c r="M288" s="139"/>
      <c r="N288" s="135"/>
      <c r="O288" s="135"/>
      <c r="P288" s="135"/>
      <c r="Q288" s="135"/>
      <c r="R288" s="135"/>
    </row>
    <row r="289" spans="10:18" x14ac:dyDescent="0.25">
      <c r="J289" s="135"/>
      <c r="K289" s="135"/>
      <c r="L289" s="135"/>
      <c r="M289" s="139"/>
      <c r="N289" s="135"/>
      <c r="O289" s="135"/>
      <c r="P289" s="135"/>
      <c r="Q289" s="135"/>
      <c r="R289" s="135"/>
    </row>
    <row r="290" spans="10:18" x14ac:dyDescent="0.25">
      <c r="J290" s="135"/>
      <c r="K290" s="135"/>
      <c r="L290" s="135"/>
      <c r="M290" s="139"/>
      <c r="N290" s="135"/>
      <c r="O290" s="135"/>
      <c r="P290" s="135"/>
      <c r="Q290" s="135"/>
      <c r="R290" s="135"/>
    </row>
    <row r="291" spans="10:18" x14ac:dyDescent="0.25">
      <c r="J291" s="135"/>
      <c r="K291" s="135"/>
      <c r="L291" s="135"/>
      <c r="M291" s="139"/>
      <c r="N291" s="135"/>
      <c r="O291" s="135"/>
      <c r="P291" s="135"/>
      <c r="Q291" s="135"/>
      <c r="R291" s="135"/>
    </row>
    <row r="292" spans="10:18" x14ac:dyDescent="0.25">
      <c r="J292" s="135"/>
      <c r="K292" s="135"/>
      <c r="L292" s="135"/>
      <c r="M292" s="139"/>
      <c r="N292" s="135"/>
      <c r="O292" s="135"/>
      <c r="P292" s="135"/>
      <c r="Q292" s="135"/>
      <c r="R292" s="135"/>
    </row>
    <row r="293" spans="10:18" x14ac:dyDescent="0.25">
      <c r="J293" s="135"/>
      <c r="K293" s="135"/>
      <c r="L293" s="135"/>
      <c r="M293" s="139"/>
      <c r="N293" s="135"/>
      <c r="O293" s="135"/>
      <c r="P293" s="135"/>
      <c r="Q293" s="135"/>
      <c r="R293" s="135"/>
    </row>
    <row r="294" spans="10:18" x14ac:dyDescent="0.25">
      <c r="J294" s="135"/>
      <c r="K294" s="135"/>
      <c r="L294" s="135"/>
      <c r="M294" s="139"/>
      <c r="N294" s="135"/>
      <c r="O294" s="135"/>
      <c r="P294" s="135"/>
      <c r="Q294" s="135"/>
      <c r="R294" s="135"/>
    </row>
    <row r="295" spans="10:18" x14ac:dyDescent="0.25">
      <c r="J295" s="135"/>
      <c r="K295" s="135"/>
      <c r="L295" s="135"/>
      <c r="M295" s="139"/>
      <c r="N295" s="135"/>
      <c r="O295" s="135"/>
      <c r="P295" s="135"/>
      <c r="Q295" s="135"/>
      <c r="R295" s="135"/>
    </row>
    <row r="296" spans="10:18" x14ac:dyDescent="0.25">
      <c r="J296" s="135"/>
      <c r="K296" s="135"/>
      <c r="L296" s="135"/>
      <c r="M296" s="139"/>
      <c r="N296" s="135"/>
      <c r="O296" s="135"/>
      <c r="P296" s="135"/>
      <c r="Q296" s="135"/>
      <c r="R296" s="135"/>
    </row>
    <row r="297" spans="10:18" x14ac:dyDescent="0.25">
      <c r="J297" s="135"/>
      <c r="K297" s="135"/>
      <c r="L297" s="135"/>
      <c r="M297" s="139"/>
      <c r="N297" s="135"/>
      <c r="O297" s="135"/>
      <c r="P297" s="135"/>
      <c r="Q297" s="135"/>
      <c r="R297" s="135"/>
    </row>
    <row r="298" spans="10:18" x14ac:dyDescent="0.25">
      <c r="J298" s="135"/>
      <c r="K298" s="135"/>
      <c r="L298" s="135"/>
      <c r="M298" s="139"/>
      <c r="N298" s="135"/>
      <c r="O298" s="135"/>
      <c r="P298" s="135"/>
      <c r="Q298" s="135"/>
      <c r="R298" s="135"/>
    </row>
    <row r="299" spans="10:18" x14ac:dyDescent="0.25">
      <c r="J299" s="135"/>
      <c r="K299" s="135"/>
      <c r="L299" s="135"/>
      <c r="M299" s="139"/>
      <c r="N299" s="135"/>
      <c r="O299" s="135"/>
      <c r="P299" s="135"/>
      <c r="Q299" s="135"/>
      <c r="R299" s="135"/>
    </row>
    <row r="300" spans="10:18" x14ac:dyDescent="0.25">
      <c r="J300" s="135"/>
      <c r="K300" s="135"/>
      <c r="L300" s="135"/>
      <c r="M300" s="139"/>
      <c r="N300" s="135"/>
      <c r="O300" s="135"/>
      <c r="P300" s="135"/>
      <c r="Q300" s="135"/>
      <c r="R300" s="135"/>
    </row>
    <row r="301" spans="10:18" x14ac:dyDescent="0.25">
      <c r="J301" s="135"/>
      <c r="K301" s="135"/>
      <c r="L301" s="135"/>
      <c r="M301" s="139"/>
      <c r="N301" s="135"/>
      <c r="O301" s="135"/>
      <c r="P301" s="135"/>
      <c r="Q301" s="135"/>
      <c r="R301" s="135"/>
    </row>
    <row r="302" spans="10:18" x14ac:dyDescent="0.25">
      <c r="J302" s="135"/>
      <c r="K302" s="135"/>
      <c r="L302" s="135"/>
      <c r="M302" s="139"/>
      <c r="N302" s="135"/>
      <c r="O302" s="135"/>
      <c r="P302" s="135"/>
      <c r="Q302" s="135"/>
      <c r="R302" s="135"/>
    </row>
    <row r="303" spans="10:18" x14ac:dyDescent="0.25">
      <c r="J303" s="135"/>
      <c r="K303" s="135"/>
      <c r="L303" s="135"/>
      <c r="M303" s="139"/>
      <c r="N303" s="135"/>
      <c r="O303" s="135"/>
      <c r="P303" s="135"/>
      <c r="Q303" s="135"/>
      <c r="R303" s="135"/>
    </row>
    <row r="304" spans="10:18" x14ac:dyDescent="0.25">
      <c r="J304" s="135"/>
      <c r="K304" s="135"/>
      <c r="L304" s="135"/>
      <c r="M304" s="139"/>
      <c r="N304" s="135"/>
      <c r="O304" s="135"/>
      <c r="P304" s="135"/>
      <c r="Q304" s="135"/>
      <c r="R304" s="135"/>
    </row>
    <row r="305" spans="10:18" x14ac:dyDescent="0.25">
      <c r="J305" s="135"/>
      <c r="K305" s="135"/>
      <c r="L305" s="135"/>
      <c r="M305" s="139"/>
      <c r="N305" s="135"/>
      <c r="O305" s="135"/>
      <c r="P305" s="135"/>
      <c r="Q305" s="135"/>
      <c r="R305" s="135"/>
    </row>
    <row r="306" spans="10:18" x14ac:dyDescent="0.25">
      <c r="J306" s="135"/>
      <c r="K306" s="135"/>
      <c r="L306" s="135"/>
      <c r="M306" s="139"/>
      <c r="N306" s="135"/>
      <c r="O306" s="135"/>
      <c r="P306" s="135"/>
      <c r="Q306" s="135"/>
      <c r="R306" s="135"/>
    </row>
    <row r="307" spans="10:18" x14ac:dyDescent="0.25">
      <c r="J307" s="135"/>
      <c r="K307" s="135"/>
      <c r="L307" s="135"/>
      <c r="M307" s="139"/>
      <c r="N307" s="135"/>
      <c r="O307" s="135"/>
      <c r="P307" s="135"/>
      <c r="Q307" s="135"/>
      <c r="R307" s="135"/>
    </row>
    <row r="308" spans="10:18" x14ac:dyDescent="0.25">
      <c r="J308" s="135"/>
      <c r="K308" s="135"/>
      <c r="L308" s="135"/>
      <c r="M308" s="139"/>
      <c r="N308" s="135"/>
      <c r="O308" s="135"/>
      <c r="P308" s="135"/>
      <c r="Q308" s="135"/>
      <c r="R308" s="135"/>
    </row>
    <row r="309" spans="10:18" x14ac:dyDescent="0.25">
      <c r="J309" s="135"/>
      <c r="K309" s="135"/>
      <c r="L309" s="135"/>
      <c r="M309" s="139"/>
      <c r="N309" s="135"/>
      <c r="O309" s="135"/>
      <c r="P309" s="135"/>
      <c r="Q309" s="135"/>
      <c r="R309" s="135"/>
    </row>
    <row r="310" spans="10:18" x14ac:dyDescent="0.25">
      <c r="J310" s="135"/>
      <c r="K310" s="135"/>
      <c r="L310" s="135"/>
      <c r="M310" s="139"/>
      <c r="N310" s="135"/>
      <c r="O310" s="135"/>
      <c r="P310" s="135"/>
      <c r="Q310" s="135"/>
      <c r="R310" s="135"/>
    </row>
    <row r="311" spans="10:18" x14ac:dyDescent="0.25">
      <c r="J311" s="135"/>
      <c r="K311" s="135"/>
      <c r="L311" s="135"/>
      <c r="M311" s="139"/>
      <c r="N311" s="135"/>
      <c r="O311" s="135"/>
      <c r="P311" s="135"/>
      <c r="Q311" s="135"/>
      <c r="R311" s="135"/>
    </row>
    <row r="312" spans="10:18" x14ac:dyDescent="0.25">
      <c r="J312" s="135"/>
      <c r="K312" s="135"/>
      <c r="L312" s="135"/>
      <c r="M312" s="139"/>
      <c r="N312" s="135"/>
      <c r="O312" s="135"/>
      <c r="P312" s="135"/>
      <c r="Q312" s="135"/>
      <c r="R312" s="135"/>
    </row>
    <row r="313" spans="10:18" x14ac:dyDescent="0.25">
      <c r="J313" s="135"/>
      <c r="K313" s="135"/>
      <c r="L313" s="135"/>
      <c r="M313" s="139"/>
      <c r="N313" s="135"/>
      <c r="O313" s="135"/>
      <c r="P313" s="135"/>
      <c r="Q313" s="135"/>
      <c r="R313" s="135"/>
    </row>
    <row r="314" spans="10:18" x14ac:dyDescent="0.25">
      <c r="J314" s="135"/>
      <c r="K314" s="135"/>
      <c r="L314" s="135"/>
      <c r="M314" s="139"/>
      <c r="N314" s="135"/>
      <c r="O314" s="135"/>
      <c r="P314" s="135"/>
      <c r="Q314" s="135"/>
      <c r="R314" s="135"/>
    </row>
    <row r="315" spans="10:18" x14ac:dyDescent="0.25">
      <c r="J315" s="135"/>
      <c r="K315" s="135"/>
      <c r="L315" s="135"/>
      <c r="M315" s="139"/>
      <c r="N315" s="135"/>
      <c r="O315" s="135"/>
      <c r="P315" s="135"/>
      <c r="Q315" s="135"/>
      <c r="R315" s="135"/>
    </row>
    <row r="316" spans="10:18" x14ac:dyDescent="0.25">
      <c r="J316" s="135"/>
      <c r="K316" s="135"/>
      <c r="L316" s="135"/>
      <c r="M316" s="139"/>
      <c r="N316" s="135"/>
      <c r="O316" s="135"/>
      <c r="P316" s="135"/>
      <c r="Q316" s="135"/>
      <c r="R316" s="135"/>
    </row>
    <row r="317" spans="10:18" x14ac:dyDescent="0.25">
      <c r="J317" s="135"/>
      <c r="K317" s="135"/>
      <c r="L317" s="135"/>
      <c r="M317" s="139"/>
      <c r="N317" s="135"/>
      <c r="O317" s="135"/>
      <c r="P317" s="135"/>
      <c r="Q317" s="135"/>
      <c r="R317" s="135"/>
    </row>
    <row r="318" spans="10:18" x14ac:dyDescent="0.25">
      <c r="J318" s="135"/>
      <c r="K318" s="135"/>
      <c r="L318" s="135"/>
      <c r="M318" s="139"/>
      <c r="N318" s="135"/>
      <c r="O318" s="135"/>
      <c r="P318" s="135"/>
      <c r="Q318" s="135"/>
      <c r="R318" s="135"/>
    </row>
    <row r="319" spans="10:18" x14ac:dyDescent="0.25">
      <c r="J319" s="135"/>
      <c r="K319" s="135"/>
      <c r="L319" s="135"/>
      <c r="M319" s="139"/>
      <c r="N319" s="135"/>
      <c r="O319" s="135"/>
      <c r="P319" s="135"/>
      <c r="Q319" s="135"/>
      <c r="R319" s="135"/>
    </row>
    <row r="320" spans="10:18" x14ac:dyDescent="0.25">
      <c r="J320" s="135"/>
      <c r="K320" s="135"/>
      <c r="L320" s="135"/>
      <c r="M320" s="139"/>
      <c r="N320" s="135"/>
      <c r="O320" s="135"/>
      <c r="P320" s="135"/>
      <c r="Q320" s="135"/>
      <c r="R320" s="135"/>
    </row>
    <row r="321" spans="10:18" x14ac:dyDescent="0.25">
      <c r="J321" s="135"/>
      <c r="K321" s="135"/>
      <c r="L321" s="135"/>
      <c r="M321" s="139"/>
      <c r="N321" s="135"/>
      <c r="O321" s="135"/>
      <c r="P321" s="135"/>
      <c r="Q321" s="135"/>
      <c r="R321" s="135"/>
    </row>
    <row r="322" spans="10:18" x14ac:dyDescent="0.25">
      <c r="J322" s="135"/>
      <c r="K322" s="135"/>
      <c r="L322" s="135"/>
      <c r="M322" s="139"/>
      <c r="N322" s="135"/>
      <c r="O322" s="135"/>
      <c r="P322" s="135"/>
      <c r="Q322" s="135"/>
      <c r="R322" s="135"/>
    </row>
    <row r="323" spans="10:18" x14ac:dyDescent="0.25">
      <c r="J323" s="135"/>
      <c r="K323" s="135"/>
      <c r="L323" s="135"/>
      <c r="M323" s="139"/>
      <c r="N323" s="135"/>
      <c r="O323" s="135"/>
      <c r="P323" s="135"/>
      <c r="Q323" s="135"/>
      <c r="R323" s="135"/>
    </row>
    <row r="324" spans="10:18" x14ac:dyDescent="0.25">
      <c r="J324" s="135"/>
      <c r="K324" s="135"/>
      <c r="L324" s="135"/>
      <c r="M324" s="139"/>
      <c r="N324" s="135"/>
      <c r="O324" s="135"/>
      <c r="P324" s="135"/>
      <c r="Q324" s="135"/>
      <c r="R324" s="135"/>
    </row>
    <row r="325" spans="10:18" x14ac:dyDescent="0.25">
      <c r="J325" s="135"/>
      <c r="K325" s="135"/>
      <c r="L325" s="135"/>
      <c r="M325" s="139"/>
      <c r="N325" s="135"/>
      <c r="O325" s="135"/>
      <c r="P325" s="135"/>
      <c r="Q325" s="135"/>
      <c r="R325" s="135"/>
    </row>
    <row r="326" spans="10:18" x14ac:dyDescent="0.25">
      <c r="J326" s="135"/>
      <c r="K326" s="135"/>
      <c r="L326" s="135"/>
      <c r="M326" s="139"/>
      <c r="N326" s="135"/>
      <c r="O326" s="135"/>
      <c r="P326" s="135"/>
      <c r="Q326" s="135"/>
      <c r="R326" s="135"/>
    </row>
    <row r="327" spans="10:18" x14ac:dyDescent="0.25">
      <c r="J327" s="135"/>
      <c r="K327" s="135"/>
      <c r="L327" s="135"/>
      <c r="M327" s="139"/>
      <c r="N327" s="135"/>
      <c r="O327" s="135"/>
      <c r="P327" s="135"/>
      <c r="Q327" s="135"/>
      <c r="R327" s="135"/>
    </row>
    <row r="328" spans="10:18" x14ac:dyDescent="0.25">
      <c r="J328" s="135"/>
      <c r="K328" s="135"/>
      <c r="L328" s="135"/>
      <c r="M328" s="139"/>
      <c r="N328" s="135"/>
      <c r="O328" s="135"/>
      <c r="P328" s="135"/>
      <c r="Q328" s="135"/>
      <c r="R328" s="135"/>
    </row>
    <row r="329" spans="10:18" x14ac:dyDescent="0.25">
      <c r="J329" s="135"/>
      <c r="K329" s="135"/>
      <c r="L329" s="135"/>
      <c r="M329" s="139"/>
      <c r="N329" s="135"/>
      <c r="O329" s="135"/>
      <c r="P329" s="135"/>
      <c r="Q329" s="135"/>
      <c r="R329" s="135"/>
    </row>
    <row r="330" spans="10:18" x14ac:dyDescent="0.25">
      <c r="J330" s="135"/>
      <c r="K330" s="135"/>
      <c r="L330" s="135"/>
      <c r="M330" s="139"/>
      <c r="N330" s="135"/>
      <c r="O330" s="135"/>
      <c r="P330" s="135"/>
      <c r="Q330" s="135"/>
      <c r="R330" s="135"/>
    </row>
    <row r="331" spans="10:18" x14ac:dyDescent="0.25">
      <c r="J331" s="135"/>
      <c r="K331" s="135"/>
      <c r="L331" s="135"/>
      <c r="M331" s="139"/>
      <c r="N331" s="135"/>
      <c r="O331" s="135"/>
      <c r="P331" s="135"/>
      <c r="Q331" s="135"/>
      <c r="R331" s="135"/>
    </row>
    <row r="332" spans="10:18" x14ac:dyDescent="0.25">
      <c r="J332" s="135"/>
      <c r="K332" s="135"/>
      <c r="L332" s="135"/>
      <c r="M332" s="139"/>
      <c r="N332" s="135"/>
      <c r="O332" s="135"/>
      <c r="P332" s="135"/>
      <c r="Q332" s="135"/>
      <c r="R332" s="135"/>
    </row>
    <row r="333" spans="10:18" x14ac:dyDescent="0.25">
      <c r="J333" s="135"/>
      <c r="K333" s="135"/>
      <c r="L333" s="135"/>
      <c r="M333" s="139"/>
      <c r="N333" s="135"/>
      <c r="O333" s="135"/>
      <c r="P333" s="135"/>
      <c r="Q333" s="135"/>
      <c r="R333" s="135"/>
    </row>
    <row r="334" spans="10:18" x14ac:dyDescent="0.25">
      <c r="J334" s="135"/>
      <c r="K334" s="135"/>
      <c r="L334" s="135"/>
      <c r="M334" s="139"/>
      <c r="N334" s="135"/>
      <c r="O334" s="135"/>
      <c r="P334" s="135"/>
      <c r="Q334" s="135"/>
      <c r="R334" s="135"/>
    </row>
    <row r="335" spans="10:18" x14ac:dyDescent="0.25">
      <c r="J335" s="135"/>
      <c r="K335" s="135"/>
      <c r="L335" s="135"/>
      <c r="M335" s="139"/>
      <c r="N335" s="135"/>
      <c r="O335" s="135"/>
      <c r="P335" s="135"/>
      <c r="Q335" s="135"/>
      <c r="R335" s="135"/>
    </row>
    <row r="336" spans="10:18" x14ac:dyDescent="0.25">
      <c r="J336" s="135"/>
      <c r="K336" s="135"/>
      <c r="L336" s="135"/>
      <c r="M336" s="139"/>
      <c r="N336" s="135"/>
      <c r="O336" s="135"/>
      <c r="P336" s="135"/>
      <c r="Q336" s="135"/>
      <c r="R336" s="135"/>
    </row>
    <row r="337" spans="10:18" x14ac:dyDescent="0.25">
      <c r="J337" s="135"/>
      <c r="K337" s="135"/>
      <c r="L337" s="135"/>
      <c r="M337" s="139"/>
      <c r="N337" s="135"/>
      <c r="O337" s="135"/>
      <c r="P337" s="135"/>
      <c r="Q337" s="135"/>
      <c r="R337" s="135"/>
    </row>
    <row r="338" spans="10:18" x14ac:dyDescent="0.25">
      <c r="J338" s="135"/>
      <c r="K338" s="135"/>
      <c r="L338" s="135"/>
      <c r="M338" s="139"/>
      <c r="N338" s="135"/>
      <c r="O338" s="135"/>
      <c r="P338" s="135"/>
      <c r="Q338" s="135"/>
      <c r="R338" s="135"/>
    </row>
    <row r="339" spans="10:18" x14ac:dyDescent="0.25">
      <c r="J339" s="135"/>
      <c r="K339" s="135"/>
      <c r="L339" s="135"/>
      <c r="M339" s="139"/>
      <c r="N339" s="135"/>
      <c r="O339" s="135"/>
      <c r="P339" s="135"/>
      <c r="Q339" s="135"/>
      <c r="R339" s="135"/>
    </row>
    <row r="340" spans="10:18" x14ac:dyDescent="0.25">
      <c r="J340" s="135"/>
      <c r="K340" s="135"/>
      <c r="L340" s="135"/>
      <c r="M340" s="139"/>
      <c r="N340" s="135"/>
      <c r="O340" s="135"/>
      <c r="P340" s="135"/>
      <c r="Q340" s="135"/>
      <c r="R340" s="135"/>
    </row>
    <row r="341" spans="10:18" x14ac:dyDescent="0.25">
      <c r="J341" s="135"/>
      <c r="K341" s="135"/>
      <c r="L341" s="135"/>
      <c r="M341" s="139"/>
      <c r="N341" s="135"/>
      <c r="O341" s="135"/>
      <c r="P341" s="135"/>
      <c r="Q341" s="135"/>
      <c r="R341" s="135"/>
    </row>
    <row r="342" spans="10:18" x14ac:dyDescent="0.25">
      <c r="J342" s="135"/>
      <c r="K342" s="135"/>
      <c r="L342" s="135"/>
      <c r="M342" s="139"/>
      <c r="N342" s="135"/>
      <c r="O342" s="135"/>
      <c r="P342" s="135"/>
      <c r="Q342" s="135"/>
      <c r="R342" s="135"/>
    </row>
    <row r="343" spans="10:18" x14ac:dyDescent="0.25">
      <c r="J343" s="135"/>
      <c r="K343" s="135"/>
      <c r="L343" s="135"/>
      <c r="M343" s="139"/>
      <c r="N343" s="135"/>
      <c r="O343" s="135"/>
      <c r="P343" s="135"/>
      <c r="Q343" s="135"/>
      <c r="R343" s="135"/>
    </row>
    <row r="344" spans="10:18" x14ac:dyDescent="0.25">
      <c r="J344" s="135"/>
      <c r="K344" s="135"/>
      <c r="L344" s="135"/>
      <c r="M344" s="139"/>
      <c r="N344" s="135"/>
      <c r="O344" s="135"/>
      <c r="P344" s="135"/>
      <c r="Q344" s="135"/>
      <c r="R344" s="135"/>
    </row>
    <row r="345" spans="10:18" x14ac:dyDescent="0.25">
      <c r="J345" s="135"/>
      <c r="K345" s="135"/>
      <c r="L345" s="135"/>
      <c r="M345" s="139"/>
      <c r="N345" s="135"/>
      <c r="O345" s="135"/>
      <c r="P345" s="135"/>
      <c r="Q345" s="135"/>
      <c r="R345" s="135"/>
    </row>
    <row r="346" spans="10:18" x14ac:dyDescent="0.25">
      <c r="J346" s="135"/>
      <c r="K346" s="135"/>
      <c r="L346" s="135"/>
      <c r="M346" s="139"/>
      <c r="N346" s="135"/>
      <c r="O346" s="135"/>
      <c r="P346" s="135"/>
      <c r="Q346" s="135"/>
      <c r="R346" s="135"/>
    </row>
    <row r="347" spans="10:18" x14ac:dyDescent="0.25">
      <c r="J347" s="135"/>
      <c r="K347" s="135"/>
      <c r="L347" s="135"/>
      <c r="M347" s="139"/>
      <c r="N347" s="135"/>
      <c r="O347" s="135"/>
      <c r="P347" s="135"/>
      <c r="Q347" s="135"/>
      <c r="R347" s="135"/>
    </row>
    <row r="348" spans="10:18" x14ac:dyDescent="0.25">
      <c r="J348" s="135"/>
      <c r="K348" s="135"/>
      <c r="L348" s="135"/>
      <c r="M348" s="139"/>
      <c r="N348" s="135"/>
      <c r="O348" s="135"/>
      <c r="P348" s="135"/>
      <c r="Q348" s="135"/>
      <c r="R348" s="135"/>
    </row>
    <row r="349" spans="10:18" x14ac:dyDescent="0.25">
      <c r="J349" s="135"/>
      <c r="K349" s="135"/>
      <c r="L349" s="135"/>
      <c r="M349" s="139"/>
      <c r="N349" s="135"/>
      <c r="O349" s="135"/>
      <c r="P349" s="135"/>
      <c r="Q349" s="135"/>
      <c r="R349" s="135"/>
    </row>
    <row r="350" spans="10:18" x14ac:dyDescent="0.25">
      <c r="J350" s="135"/>
      <c r="K350" s="135"/>
      <c r="L350" s="135"/>
      <c r="M350" s="139"/>
      <c r="N350" s="135"/>
      <c r="O350" s="135"/>
      <c r="P350" s="135"/>
      <c r="Q350" s="135"/>
      <c r="R350" s="135"/>
    </row>
    <row r="351" spans="10:18" x14ac:dyDescent="0.25">
      <c r="J351" s="135"/>
      <c r="K351" s="135"/>
      <c r="L351" s="135"/>
      <c r="M351" s="139"/>
      <c r="N351" s="135"/>
      <c r="O351" s="135"/>
      <c r="P351" s="135"/>
      <c r="Q351" s="135"/>
      <c r="R351" s="135"/>
    </row>
    <row r="352" spans="10:18" x14ac:dyDescent="0.25">
      <c r="J352" s="135"/>
      <c r="K352" s="135"/>
      <c r="L352" s="135"/>
      <c r="M352" s="139"/>
      <c r="N352" s="135"/>
      <c r="O352" s="135"/>
      <c r="P352" s="135"/>
      <c r="Q352" s="135"/>
      <c r="R352" s="135"/>
    </row>
    <row r="353" spans="10:18" x14ac:dyDescent="0.25">
      <c r="J353" s="135"/>
      <c r="K353" s="135"/>
      <c r="L353" s="135"/>
      <c r="M353" s="139"/>
      <c r="N353" s="135"/>
      <c r="O353" s="135"/>
      <c r="P353" s="135"/>
      <c r="Q353" s="135"/>
      <c r="R353" s="135"/>
    </row>
    <row r="354" spans="10:18" x14ac:dyDescent="0.25">
      <c r="J354" s="135"/>
      <c r="K354" s="135"/>
      <c r="L354" s="135"/>
      <c r="M354" s="139"/>
      <c r="N354" s="135"/>
      <c r="O354" s="135"/>
      <c r="P354" s="135"/>
      <c r="Q354" s="135"/>
      <c r="R354" s="135"/>
    </row>
    <row r="355" spans="10:18" x14ac:dyDescent="0.25">
      <c r="J355" s="135"/>
      <c r="K355" s="135"/>
      <c r="L355" s="135"/>
      <c r="M355" s="139"/>
      <c r="N355" s="135"/>
      <c r="O355" s="135"/>
      <c r="P355" s="135"/>
      <c r="Q355" s="135"/>
      <c r="R355" s="135"/>
    </row>
    <row r="356" spans="10:18" x14ac:dyDescent="0.25">
      <c r="J356" s="135"/>
      <c r="K356" s="135"/>
      <c r="L356" s="135"/>
      <c r="M356" s="139"/>
      <c r="N356" s="135"/>
      <c r="O356" s="135"/>
      <c r="P356" s="135"/>
      <c r="Q356" s="135"/>
      <c r="R356" s="135"/>
    </row>
    <row r="357" spans="10:18" x14ac:dyDescent="0.25">
      <c r="J357" s="135"/>
      <c r="K357" s="135"/>
      <c r="L357" s="135"/>
      <c r="M357" s="139"/>
      <c r="N357" s="135"/>
      <c r="O357" s="135"/>
      <c r="P357" s="135"/>
      <c r="Q357" s="135"/>
      <c r="R357" s="135"/>
    </row>
  </sheetData>
  <sheetProtection sheet="1" objects="1" scenarios="1" formatCells="0" selectLockedCells="1"/>
  <phoneticPr fontId="2" type="noConversion"/>
  <pageMargins left="0.75" right="0.75" top="1" bottom="1" header="0.5" footer="0.5"/>
  <pageSetup orientation="portrait" horizont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2"/>
  <sheetViews>
    <sheetView zoomScaleNormal="100" workbookViewId="0">
      <selection activeCell="G5" sqref="G5"/>
    </sheetView>
  </sheetViews>
  <sheetFormatPr defaultRowHeight="12.5" x14ac:dyDescent="0.25"/>
  <cols>
    <col min="1" max="1" width="33.1796875" customWidth="1"/>
    <col min="2" max="2" width="22.26953125" customWidth="1"/>
    <col min="3" max="3" width="9.54296875" style="8" customWidth="1"/>
    <col min="4" max="4" width="9.81640625" customWidth="1"/>
    <col min="5" max="5" width="11.54296875" bestFit="1" customWidth="1"/>
    <col min="6" max="6" width="8.1796875" customWidth="1"/>
    <col min="7" max="7" width="25.81640625" customWidth="1"/>
    <col min="8" max="8" width="20" customWidth="1"/>
    <col min="9" max="9" width="12.1796875" customWidth="1"/>
  </cols>
  <sheetData>
    <row r="1" spans="1:12" ht="15.5" x14ac:dyDescent="0.35">
      <c r="A1" s="144" t="s">
        <v>873</v>
      </c>
      <c r="C1"/>
      <c r="D1" s="28"/>
      <c r="F1" s="135">
        <f ca="1">F1:L536</f>
        <v>0</v>
      </c>
      <c r="G1" s="189"/>
      <c r="H1" s="240"/>
      <c r="I1" s="135"/>
      <c r="J1" s="135"/>
      <c r="K1" s="135"/>
      <c r="L1" s="135"/>
    </row>
    <row r="2" spans="1:12" x14ac:dyDescent="0.25">
      <c r="A2" s="66"/>
      <c r="F2" s="135"/>
      <c r="G2" s="135"/>
      <c r="H2" s="135"/>
      <c r="I2" s="135"/>
      <c r="J2" s="135"/>
      <c r="K2" s="135"/>
      <c r="L2" s="135"/>
    </row>
    <row r="3" spans="1:12" x14ac:dyDescent="0.25">
      <c r="D3" s="254"/>
      <c r="F3" s="135"/>
      <c r="G3" s="135"/>
      <c r="H3" s="135"/>
      <c r="I3" s="135"/>
      <c r="J3" s="135"/>
      <c r="K3" s="135"/>
      <c r="L3" s="135"/>
    </row>
    <row r="4" spans="1:12" ht="15.5" x14ac:dyDescent="0.35">
      <c r="A4" s="82" t="s">
        <v>840</v>
      </c>
      <c r="F4" s="135"/>
      <c r="G4" s="135"/>
      <c r="H4" s="135"/>
      <c r="I4" s="135"/>
      <c r="J4" s="135"/>
      <c r="K4" s="135"/>
      <c r="L4" s="135"/>
    </row>
    <row r="5" spans="1:12" x14ac:dyDescent="0.25">
      <c r="F5" s="135"/>
      <c r="G5" s="135"/>
      <c r="H5" s="135"/>
      <c r="I5" s="135"/>
      <c r="J5" s="135"/>
      <c r="K5" s="135"/>
      <c r="L5" s="135"/>
    </row>
    <row r="6" spans="1:12" ht="13" x14ac:dyDescent="0.3">
      <c r="A6" s="16" t="s">
        <v>730</v>
      </c>
      <c r="F6" s="135"/>
      <c r="G6" s="135"/>
      <c r="H6" s="135"/>
      <c r="I6" s="135"/>
      <c r="J6" s="135"/>
      <c r="K6" s="135"/>
      <c r="L6" s="135"/>
    </row>
    <row r="7" spans="1:12" ht="13" x14ac:dyDescent="0.3">
      <c r="A7" s="16" t="s">
        <v>331</v>
      </c>
      <c r="F7" s="135"/>
      <c r="G7" s="135"/>
      <c r="H7" s="135"/>
      <c r="I7" s="135"/>
      <c r="J7" s="135"/>
      <c r="K7" s="135"/>
      <c r="L7" s="135"/>
    </row>
    <row r="8" spans="1:12" ht="13" x14ac:dyDescent="0.3">
      <c r="A8" s="10" t="s">
        <v>809</v>
      </c>
      <c r="F8" s="135"/>
      <c r="G8" s="135"/>
      <c r="H8" s="135"/>
      <c r="I8" s="135"/>
      <c r="J8" s="135"/>
      <c r="K8" s="135"/>
      <c r="L8" s="135"/>
    </row>
    <row r="9" spans="1:12" ht="13" x14ac:dyDescent="0.3">
      <c r="A9" s="16" t="s">
        <v>332</v>
      </c>
      <c r="F9" s="135"/>
      <c r="G9" s="135"/>
      <c r="H9" s="135"/>
      <c r="I9" s="135"/>
      <c r="J9" s="135"/>
      <c r="K9" s="135"/>
      <c r="L9" s="135"/>
    </row>
    <row r="10" spans="1:12" ht="13" x14ac:dyDescent="0.3">
      <c r="A10" s="16" t="s">
        <v>729</v>
      </c>
      <c r="F10" s="135"/>
      <c r="G10" s="135"/>
      <c r="H10" s="135"/>
      <c r="I10" s="135"/>
      <c r="J10" s="135"/>
      <c r="K10" s="135"/>
      <c r="L10" s="135"/>
    </row>
    <row r="11" spans="1:12" ht="13" x14ac:dyDescent="0.3">
      <c r="A11" s="16" t="s">
        <v>808</v>
      </c>
      <c r="F11" s="135"/>
      <c r="G11" s="135"/>
      <c r="H11" s="135"/>
      <c r="I11" s="135"/>
      <c r="J11" s="135"/>
      <c r="K11" s="135"/>
      <c r="L11" s="135"/>
    </row>
    <row r="12" spans="1:12" x14ac:dyDescent="0.25">
      <c r="F12" s="135"/>
      <c r="G12" s="135"/>
      <c r="H12" s="135"/>
      <c r="I12" s="135"/>
      <c r="J12" s="135"/>
      <c r="K12" s="135"/>
      <c r="L12" s="135"/>
    </row>
    <row r="13" spans="1:12" x14ac:dyDescent="0.25">
      <c r="A13" s="120"/>
      <c r="B13" s="120"/>
      <c r="C13" s="125"/>
      <c r="D13" s="120"/>
      <c r="E13" s="120"/>
      <c r="F13" s="135"/>
      <c r="G13" s="135"/>
      <c r="H13" s="135"/>
      <c r="I13" s="135"/>
      <c r="J13" s="135"/>
      <c r="K13" s="135"/>
      <c r="L13" s="135"/>
    </row>
    <row r="14" spans="1:12" x14ac:dyDescent="0.25">
      <c r="F14" s="135"/>
      <c r="G14" s="135"/>
      <c r="H14" s="135"/>
      <c r="I14" s="135"/>
      <c r="J14" s="135"/>
      <c r="K14" s="135"/>
      <c r="L14" s="135"/>
    </row>
    <row r="15" spans="1:12" ht="13" x14ac:dyDescent="0.3">
      <c r="A15" s="146" t="s">
        <v>803</v>
      </c>
      <c r="F15" s="135"/>
      <c r="G15" s="135"/>
      <c r="H15" s="135"/>
      <c r="I15" s="135"/>
      <c r="J15" s="135"/>
      <c r="K15" s="135"/>
      <c r="L15" s="135"/>
    </row>
    <row r="16" spans="1:12" ht="13" x14ac:dyDescent="0.3">
      <c r="A16" s="10" t="s">
        <v>804</v>
      </c>
      <c r="F16" s="135"/>
      <c r="G16" s="135"/>
      <c r="H16" s="135"/>
      <c r="I16" s="135"/>
      <c r="J16" s="135"/>
      <c r="K16" s="135"/>
      <c r="L16" s="135"/>
    </row>
    <row r="17" spans="1:12" ht="13" x14ac:dyDescent="0.3">
      <c r="A17" s="146" t="s">
        <v>805</v>
      </c>
      <c r="F17" s="135"/>
      <c r="G17" s="135"/>
      <c r="H17" s="135"/>
      <c r="I17" s="135"/>
      <c r="J17" s="135"/>
      <c r="K17" s="135"/>
      <c r="L17" s="135"/>
    </row>
    <row r="18" spans="1:12" ht="13" x14ac:dyDescent="0.3">
      <c r="A18" s="146" t="s">
        <v>806</v>
      </c>
      <c r="F18" s="135"/>
      <c r="G18" s="135"/>
      <c r="H18" s="135"/>
      <c r="I18" s="135"/>
      <c r="J18" s="135"/>
      <c r="K18" s="135"/>
      <c r="L18" s="135"/>
    </row>
    <row r="19" spans="1:12" ht="14.5" x14ac:dyDescent="0.35">
      <c r="A19" s="147" t="s">
        <v>807</v>
      </c>
      <c r="F19" s="135"/>
      <c r="G19" s="135"/>
      <c r="H19" s="135"/>
      <c r="I19" s="135"/>
      <c r="J19" s="135"/>
      <c r="K19" s="135"/>
      <c r="L19" s="135"/>
    </row>
    <row r="20" spans="1:12" x14ac:dyDescent="0.25">
      <c r="F20" s="135"/>
      <c r="G20" s="135"/>
      <c r="H20" s="135"/>
      <c r="I20" s="135"/>
      <c r="J20" s="135"/>
      <c r="K20" s="135"/>
      <c r="L20" s="135"/>
    </row>
    <row r="21" spans="1:12" x14ac:dyDescent="0.25">
      <c r="A21" s="120"/>
      <c r="B21" s="120"/>
      <c r="C21" s="125"/>
      <c r="D21" s="120"/>
      <c r="E21" s="120"/>
      <c r="F21" s="135"/>
      <c r="G21" s="135"/>
      <c r="H21" s="135"/>
      <c r="I21" s="135"/>
      <c r="J21" s="135"/>
      <c r="K21" s="135"/>
      <c r="L21" s="135"/>
    </row>
    <row r="22" spans="1:12" x14ac:dyDescent="0.25">
      <c r="F22" s="135"/>
      <c r="G22" s="135"/>
      <c r="H22" s="135"/>
      <c r="I22" s="135"/>
      <c r="J22" s="135"/>
      <c r="K22" s="135"/>
      <c r="L22" s="135"/>
    </row>
    <row r="23" spans="1:12" ht="15.5" x14ac:dyDescent="0.35">
      <c r="C23" s="68" t="s">
        <v>482</v>
      </c>
      <c r="F23" s="135"/>
      <c r="G23" s="135"/>
      <c r="H23" s="135"/>
      <c r="I23" s="135"/>
      <c r="J23" s="135"/>
      <c r="K23" s="135"/>
      <c r="L23" s="135"/>
    </row>
    <row r="24" spans="1:12" ht="13" x14ac:dyDescent="0.3">
      <c r="B24" s="2" t="s">
        <v>478</v>
      </c>
      <c r="C24" s="10" t="s">
        <v>344</v>
      </c>
      <c r="D24" s="2" t="s">
        <v>480</v>
      </c>
      <c r="E24" s="10" t="s">
        <v>348</v>
      </c>
      <c r="F24" s="135"/>
      <c r="G24" s="135"/>
      <c r="H24" s="135"/>
      <c r="I24" s="135"/>
      <c r="J24" s="135"/>
      <c r="K24" s="135"/>
      <c r="L24" s="135"/>
    </row>
    <row r="25" spans="1:12" ht="13.5" thickBot="1" x14ac:dyDescent="0.35">
      <c r="B25" s="2" t="s">
        <v>479</v>
      </c>
      <c r="C25" s="10" t="s">
        <v>345</v>
      </c>
      <c r="D25" s="2" t="s">
        <v>481</v>
      </c>
      <c r="E25" s="79" t="s">
        <v>349</v>
      </c>
      <c r="F25" s="135"/>
      <c r="G25" s="135"/>
      <c r="H25" s="135"/>
      <c r="I25" s="135"/>
      <c r="J25" s="135"/>
      <c r="K25" s="135"/>
      <c r="L25" s="135"/>
    </row>
    <row r="26" spans="1:12" ht="13" x14ac:dyDescent="0.3">
      <c r="A26" s="72" t="s">
        <v>197</v>
      </c>
      <c r="B26" s="74" t="s">
        <v>101</v>
      </c>
      <c r="C26" s="10">
        <v>6</v>
      </c>
      <c r="D26" s="43" t="s">
        <v>101</v>
      </c>
      <c r="E26" s="10">
        <v>1.5</v>
      </c>
      <c r="F26" s="135"/>
      <c r="G26" s="135"/>
      <c r="H26" s="135"/>
      <c r="I26" s="135"/>
      <c r="J26" s="135"/>
      <c r="K26" s="135"/>
      <c r="L26" s="135"/>
    </row>
    <row r="27" spans="1:12" ht="13" x14ac:dyDescent="0.3">
      <c r="A27" s="73" t="s">
        <v>198</v>
      </c>
      <c r="F27" s="135"/>
      <c r="G27" s="135"/>
      <c r="H27" s="135"/>
      <c r="I27" s="135"/>
      <c r="J27" s="135"/>
      <c r="K27" s="135"/>
      <c r="L27" s="135"/>
    </row>
    <row r="28" spans="1:12" ht="15" x14ac:dyDescent="0.3">
      <c r="A28" s="73" t="s">
        <v>199</v>
      </c>
      <c r="B28" s="2" t="s">
        <v>350</v>
      </c>
      <c r="C28" s="10" t="s">
        <v>351</v>
      </c>
      <c r="D28" s="2" t="s">
        <v>476</v>
      </c>
      <c r="E28" s="10" t="s">
        <v>346</v>
      </c>
      <c r="F28" s="135"/>
      <c r="G28" s="135"/>
      <c r="H28" s="135"/>
      <c r="I28" s="135"/>
      <c r="J28" s="135"/>
      <c r="K28" s="135"/>
      <c r="L28" s="135"/>
    </row>
    <row r="29" spans="1:12" ht="15" x14ac:dyDescent="0.3">
      <c r="A29" s="80" t="s">
        <v>200</v>
      </c>
      <c r="B29" s="2" t="s">
        <v>352</v>
      </c>
      <c r="C29" s="10" t="s">
        <v>353</v>
      </c>
      <c r="D29" s="2" t="s">
        <v>477</v>
      </c>
      <c r="E29" s="16" t="s">
        <v>347</v>
      </c>
      <c r="F29" s="135"/>
      <c r="G29" s="135"/>
      <c r="H29" s="135"/>
      <c r="I29" s="135"/>
      <c r="J29" s="135"/>
      <c r="K29" s="135"/>
      <c r="L29" s="135"/>
    </row>
    <row r="30" spans="1:12" ht="13.5" thickBot="1" x14ac:dyDescent="0.35">
      <c r="A30" s="81" t="s">
        <v>666</v>
      </c>
      <c r="B30" s="74" t="s">
        <v>101</v>
      </c>
      <c r="C30" s="10">
        <v>5</v>
      </c>
      <c r="D30" s="43" t="s">
        <v>101</v>
      </c>
      <c r="E30" s="10">
        <v>8</v>
      </c>
      <c r="F30" s="135"/>
      <c r="G30" s="135"/>
      <c r="H30" s="135"/>
      <c r="I30" s="135"/>
      <c r="J30" s="135"/>
      <c r="K30" s="135"/>
      <c r="L30" s="135"/>
    </row>
    <row r="31" spans="1:12" ht="13" thickBot="1" x14ac:dyDescent="0.3">
      <c r="F31" s="135"/>
      <c r="G31" s="135"/>
      <c r="H31" s="135"/>
      <c r="I31" s="135"/>
      <c r="J31" s="135"/>
      <c r="K31" s="135"/>
      <c r="L31" s="135"/>
    </row>
    <row r="32" spans="1:12" ht="13" x14ac:dyDescent="0.3">
      <c r="A32" s="231" t="s">
        <v>870</v>
      </c>
      <c r="B32" s="232"/>
      <c r="C32" s="233"/>
      <c r="F32" s="135"/>
      <c r="G32" s="135"/>
      <c r="H32" s="135"/>
      <c r="I32" s="135"/>
      <c r="J32" s="135"/>
      <c r="K32" s="135"/>
      <c r="L32" s="135"/>
    </row>
    <row r="33" spans="1:12" ht="13" x14ac:dyDescent="0.3">
      <c r="A33" s="234" t="s">
        <v>455</v>
      </c>
      <c r="B33" s="230"/>
      <c r="C33" s="235"/>
      <c r="F33" s="135"/>
      <c r="G33" s="135"/>
      <c r="H33" s="135"/>
      <c r="I33" s="135"/>
      <c r="J33" s="135"/>
      <c r="K33" s="135"/>
      <c r="L33" s="135"/>
    </row>
    <row r="34" spans="1:12" x14ac:dyDescent="0.25">
      <c r="A34" s="236" t="s">
        <v>456</v>
      </c>
      <c r="B34" s="230"/>
      <c r="C34" s="235"/>
      <c r="F34" s="135"/>
      <c r="G34" s="135"/>
      <c r="H34" s="135"/>
      <c r="I34" s="135"/>
      <c r="J34" s="135"/>
      <c r="K34" s="135"/>
      <c r="L34" s="135"/>
    </row>
    <row r="35" spans="1:12" ht="13" x14ac:dyDescent="0.3">
      <c r="A35" s="234" t="s">
        <v>457</v>
      </c>
      <c r="B35" s="230"/>
      <c r="C35" s="235"/>
      <c r="F35" s="135"/>
      <c r="G35" s="135"/>
      <c r="H35" s="135"/>
      <c r="I35" s="135"/>
      <c r="J35" s="135"/>
      <c r="K35" s="135"/>
      <c r="L35" s="135"/>
    </row>
    <row r="36" spans="1:12" ht="13.5" thickBot="1" x14ac:dyDescent="0.35">
      <c r="A36" s="237" t="s">
        <v>869</v>
      </c>
      <c r="B36" s="238"/>
      <c r="C36" s="239"/>
      <c r="F36" s="135"/>
      <c r="G36" s="135"/>
      <c r="H36" s="135"/>
      <c r="I36" s="135"/>
      <c r="J36" s="135"/>
      <c r="K36" s="135"/>
      <c r="L36" s="135"/>
    </row>
    <row r="37" spans="1:12" x14ac:dyDescent="0.25">
      <c r="A37" s="120"/>
      <c r="B37" s="120"/>
      <c r="C37" s="125"/>
      <c r="D37" s="120"/>
      <c r="E37" s="120"/>
      <c r="F37" s="135"/>
      <c r="G37" s="135"/>
      <c r="H37" s="135"/>
      <c r="I37" s="135"/>
      <c r="J37" s="135"/>
      <c r="K37" s="135"/>
      <c r="L37" s="135"/>
    </row>
    <row r="38" spans="1:12" x14ac:dyDescent="0.25">
      <c r="F38" s="135"/>
      <c r="G38" s="135"/>
      <c r="H38" s="135"/>
      <c r="I38" s="135"/>
      <c r="J38" s="135"/>
      <c r="K38" s="135"/>
      <c r="L38" s="135"/>
    </row>
    <row r="39" spans="1:12" ht="13" x14ac:dyDescent="0.3">
      <c r="A39" s="10" t="s">
        <v>588</v>
      </c>
      <c r="F39" s="135"/>
      <c r="G39" s="135"/>
      <c r="H39" s="135"/>
      <c r="I39" s="135"/>
      <c r="J39" s="135"/>
      <c r="K39" s="135"/>
      <c r="L39" s="135"/>
    </row>
    <row r="40" spans="1:12" ht="13" x14ac:dyDescent="0.3">
      <c r="A40" s="2" t="s">
        <v>116</v>
      </c>
      <c r="B40" s="10" t="s">
        <v>586</v>
      </c>
      <c r="F40" s="135"/>
      <c r="G40" s="135"/>
      <c r="H40" s="135"/>
      <c r="I40" s="135"/>
      <c r="J40" s="135"/>
      <c r="K40" s="135"/>
      <c r="L40" s="135"/>
    </row>
    <row r="41" spans="1:12" ht="13" x14ac:dyDescent="0.3">
      <c r="A41" s="2" t="s">
        <v>585</v>
      </c>
      <c r="B41" s="10" t="s">
        <v>587</v>
      </c>
      <c r="E41" s="4" t="s">
        <v>201</v>
      </c>
      <c r="F41" s="135"/>
      <c r="G41" s="135"/>
      <c r="H41" s="135"/>
      <c r="I41" s="135"/>
      <c r="J41" s="135"/>
      <c r="K41" s="135"/>
      <c r="L41" s="135"/>
    </row>
    <row r="42" spans="1:12" x14ac:dyDescent="0.25">
      <c r="A42" s="1"/>
      <c r="B42" s="3"/>
      <c r="F42" s="135"/>
      <c r="G42" s="135"/>
      <c r="H42" s="135"/>
      <c r="I42" s="135"/>
      <c r="J42" s="135"/>
      <c r="K42" s="135"/>
      <c r="L42" s="135"/>
    </row>
    <row r="43" spans="1:12" x14ac:dyDescent="0.25">
      <c r="A43" s="1"/>
      <c r="B43" s="3"/>
      <c r="F43" s="135"/>
      <c r="G43" s="135"/>
      <c r="H43" s="135"/>
      <c r="I43" s="135"/>
      <c r="J43" s="135"/>
      <c r="K43" s="135"/>
      <c r="L43" s="135"/>
    </row>
    <row r="44" spans="1:12" x14ac:dyDescent="0.25">
      <c r="A44" s="1"/>
      <c r="B44" s="3"/>
      <c r="F44" s="135"/>
      <c r="G44" s="135"/>
      <c r="H44" s="135"/>
      <c r="I44" s="135"/>
      <c r="J44" s="135"/>
      <c r="K44" s="135"/>
      <c r="L44" s="135"/>
    </row>
    <row r="45" spans="1:12" x14ac:dyDescent="0.25">
      <c r="A45" s="1"/>
      <c r="B45" s="3"/>
      <c r="F45" s="135"/>
      <c r="G45" s="135"/>
      <c r="H45" s="135"/>
      <c r="I45" s="135"/>
      <c r="J45" s="135"/>
      <c r="K45" s="135"/>
      <c r="L45" s="135"/>
    </row>
    <row r="46" spans="1:12" x14ac:dyDescent="0.25">
      <c r="A46" s="1"/>
      <c r="B46" s="3"/>
      <c r="F46" s="135"/>
      <c r="G46" s="135"/>
      <c r="H46" s="135"/>
      <c r="I46" s="135"/>
      <c r="J46" s="135"/>
      <c r="K46" s="135"/>
      <c r="L46" s="135"/>
    </row>
    <row r="47" spans="1:12" x14ac:dyDescent="0.25">
      <c r="A47" s="1"/>
      <c r="B47" s="3"/>
      <c r="F47" s="135"/>
      <c r="G47" s="135"/>
      <c r="H47" s="135"/>
      <c r="I47" s="135"/>
      <c r="J47" s="135"/>
      <c r="K47" s="135"/>
      <c r="L47" s="135"/>
    </row>
    <row r="48" spans="1:12" x14ac:dyDescent="0.25">
      <c r="A48" s="1"/>
      <c r="B48" s="3"/>
      <c r="F48" s="135"/>
      <c r="G48" s="135"/>
      <c r="H48" s="135"/>
      <c r="I48" s="135"/>
      <c r="J48" s="135"/>
      <c r="K48" s="135"/>
      <c r="L48" s="135"/>
    </row>
    <row r="49" spans="1:12" x14ac:dyDescent="0.25">
      <c r="A49" s="1"/>
      <c r="B49" s="3"/>
      <c r="F49" s="135"/>
      <c r="G49" s="135"/>
      <c r="H49" s="135"/>
      <c r="I49" s="135"/>
      <c r="J49" s="135"/>
      <c r="K49" s="135"/>
      <c r="L49" s="135"/>
    </row>
    <row r="50" spans="1:12" x14ac:dyDescent="0.25">
      <c r="A50" s="1"/>
      <c r="B50" s="3"/>
      <c r="F50" s="135"/>
      <c r="G50" s="135"/>
      <c r="H50" s="135"/>
      <c r="I50" s="135"/>
      <c r="J50" s="135"/>
      <c r="K50" s="135"/>
      <c r="L50" s="135"/>
    </row>
    <row r="51" spans="1:12" x14ac:dyDescent="0.25">
      <c r="A51" s="1"/>
      <c r="B51" s="3"/>
      <c r="F51" s="135"/>
      <c r="G51" s="135"/>
      <c r="H51" s="135"/>
      <c r="I51" s="135"/>
      <c r="J51" s="135"/>
      <c r="K51" s="135"/>
      <c r="L51" s="135"/>
    </row>
    <row r="52" spans="1:12" x14ac:dyDescent="0.25">
      <c r="A52" s="1"/>
      <c r="B52" s="3"/>
      <c r="F52" s="135"/>
      <c r="G52" s="135"/>
      <c r="H52" s="135"/>
      <c r="I52" s="135"/>
      <c r="J52" s="135"/>
      <c r="K52" s="135"/>
      <c r="L52" s="135"/>
    </row>
    <row r="53" spans="1:12" x14ac:dyDescent="0.25">
      <c r="F53" s="135"/>
      <c r="G53" s="135"/>
      <c r="H53" s="135"/>
      <c r="I53" s="135"/>
      <c r="J53" s="135"/>
      <c r="K53" s="135"/>
      <c r="L53" s="135"/>
    </row>
    <row r="54" spans="1:12" x14ac:dyDescent="0.25">
      <c r="F54" s="135"/>
      <c r="G54" s="135"/>
      <c r="H54" s="135"/>
      <c r="I54" s="135"/>
      <c r="J54" s="135"/>
      <c r="K54" s="135"/>
      <c r="L54" s="135"/>
    </row>
    <row r="55" spans="1:12" x14ac:dyDescent="0.25">
      <c r="F55" s="135"/>
      <c r="G55" s="135"/>
      <c r="H55" s="135"/>
      <c r="I55" s="135"/>
      <c r="J55" s="135"/>
      <c r="K55" s="135"/>
      <c r="L55" s="135"/>
    </row>
    <row r="56" spans="1:12" x14ac:dyDescent="0.25">
      <c r="F56" s="135"/>
      <c r="G56" s="135"/>
      <c r="H56" s="135"/>
      <c r="I56" s="135"/>
      <c r="J56" s="135"/>
      <c r="K56" s="135"/>
      <c r="L56" s="135"/>
    </row>
    <row r="57" spans="1:12" x14ac:dyDescent="0.25">
      <c r="F57" s="135"/>
      <c r="G57" s="135"/>
      <c r="H57" s="135"/>
      <c r="I57" s="135"/>
      <c r="J57" s="135"/>
      <c r="K57" s="135"/>
      <c r="L57" s="135"/>
    </row>
    <row r="58" spans="1:12" ht="13" x14ac:dyDescent="0.3">
      <c r="A58" s="16" t="s">
        <v>847</v>
      </c>
      <c r="F58" s="135"/>
      <c r="G58" s="135"/>
      <c r="H58" s="135"/>
      <c r="I58" s="135"/>
      <c r="J58" s="135"/>
      <c r="K58" s="135"/>
      <c r="L58" s="135"/>
    </row>
    <row r="59" spans="1:12" x14ac:dyDescent="0.25">
      <c r="F59" s="135"/>
      <c r="G59" s="135"/>
      <c r="H59" s="135"/>
      <c r="I59" s="135"/>
      <c r="J59" s="135"/>
      <c r="K59" s="135"/>
      <c r="L59" s="135"/>
    </row>
    <row r="60" spans="1:12" x14ac:dyDescent="0.25">
      <c r="A60" s="8" t="s">
        <v>0</v>
      </c>
      <c r="B60" s="3"/>
      <c r="F60" s="135"/>
      <c r="G60" s="135"/>
      <c r="H60" s="135"/>
      <c r="I60" s="135"/>
      <c r="J60" s="135"/>
      <c r="K60" s="135"/>
      <c r="L60" s="135"/>
    </row>
    <row r="61" spans="1:12" x14ac:dyDescent="0.25">
      <c r="A61" t="s">
        <v>1</v>
      </c>
      <c r="F61" s="135"/>
      <c r="G61" s="135"/>
      <c r="H61" s="135"/>
      <c r="I61" s="135"/>
      <c r="J61" s="135"/>
      <c r="K61" s="135"/>
      <c r="L61" s="135"/>
    </row>
    <row r="62" spans="1:12" x14ac:dyDescent="0.25">
      <c r="A62" t="s">
        <v>2</v>
      </c>
      <c r="F62" s="135"/>
      <c r="G62" s="135"/>
      <c r="H62" s="135"/>
      <c r="I62" s="135"/>
      <c r="J62" s="135"/>
      <c r="K62" s="135"/>
      <c r="L62" s="135"/>
    </row>
    <row r="63" spans="1:12" x14ac:dyDescent="0.25">
      <c r="A63" t="s">
        <v>3</v>
      </c>
      <c r="F63" s="135"/>
      <c r="G63" s="135"/>
      <c r="H63" s="135"/>
      <c r="I63" s="135"/>
      <c r="J63" s="135"/>
      <c r="K63" s="135"/>
      <c r="L63" s="135"/>
    </row>
    <row r="64" spans="1:12" x14ac:dyDescent="0.25">
      <c r="F64" s="135"/>
      <c r="G64" s="135"/>
      <c r="H64" s="135"/>
      <c r="I64" s="135"/>
      <c r="J64" s="135"/>
      <c r="K64" s="135"/>
      <c r="L64" s="135"/>
    </row>
    <row r="65" spans="1:12" ht="15.5" x14ac:dyDescent="0.35">
      <c r="A65" s="82" t="s">
        <v>843</v>
      </c>
      <c r="B65" s="29" t="s">
        <v>845</v>
      </c>
      <c r="F65" s="135"/>
      <c r="G65" s="135"/>
      <c r="H65" s="135"/>
      <c r="I65" s="135"/>
      <c r="J65" s="135"/>
      <c r="K65" s="135"/>
      <c r="L65" s="135"/>
    </row>
    <row r="66" spans="1:12" ht="13.5" thickBot="1" x14ac:dyDescent="0.35">
      <c r="A66" s="2" t="s">
        <v>309</v>
      </c>
      <c r="B66" s="29" t="s">
        <v>486</v>
      </c>
      <c r="F66" s="135"/>
      <c r="G66" s="135"/>
      <c r="H66" s="135"/>
      <c r="I66" s="135"/>
      <c r="J66" s="135"/>
      <c r="K66" s="135"/>
      <c r="L66" s="135"/>
    </row>
    <row r="67" spans="1:12" x14ac:dyDescent="0.25">
      <c r="A67" s="1" t="s">
        <v>584</v>
      </c>
      <c r="B67" s="194">
        <v>2000</v>
      </c>
      <c r="C67" s="8" t="s">
        <v>535</v>
      </c>
      <c r="F67" s="135"/>
      <c r="G67" s="135"/>
      <c r="H67" s="135"/>
      <c r="I67" s="135"/>
      <c r="J67" s="135"/>
      <c r="K67" s="135"/>
      <c r="L67" s="135"/>
    </row>
    <row r="68" spans="1:12" x14ac:dyDescent="0.25">
      <c r="A68" s="1" t="s">
        <v>844</v>
      </c>
      <c r="B68" s="61">
        <v>0.75</v>
      </c>
      <c r="C68" s="8" t="s">
        <v>209</v>
      </c>
      <c r="F68" s="135"/>
      <c r="G68" s="135"/>
      <c r="H68" s="135"/>
      <c r="I68" s="135"/>
      <c r="J68" s="135"/>
      <c r="K68" s="135"/>
      <c r="L68" s="135"/>
    </row>
    <row r="69" spans="1:12" x14ac:dyDescent="0.25">
      <c r="A69" s="1" t="s">
        <v>580</v>
      </c>
      <c r="B69" s="33">
        <v>4</v>
      </c>
      <c r="C69" s="8" t="s">
        <v>209</v>
      </c>
      <c r="F69" s="135"/>
      <c r="G69" s="135"/>
      <c r="H69" s="135"/>
      <c r="I69" s="135"/>
      <c r="J69" s="135"/>
      <c r="K69" s="135"/>
      <c r="L69" s="135"/>
    </row>
    <row r="70" spans="1:12" x14ac:dyDescent="0.25">
      <c r="A70" s="1" t="s">
        <v>581</v>
      </c>
      <c r="B70" s="33">
        <v>1</v>
      </c>
      <c r="C70" s="8" t="s">
        <v>209</v>
      </c>
      <c r="F70" s="135"/>
      <c r="G70" s="135"/>
      <c r="H70" s="135"/>
      <c r="I70" s="135"/>
      <c r="J70" s="135"/>
      <c r="K70" s="135"/>
      <c r="L70" s="135"/>
    </row>
    <row r="71" spans="1:12" x14ac:dyDescent="0.25">
      <c r="A71" s="1" t="s">
        <v>589</v>
      </c>
      <c r="B71" s="33">
        <v>5</v>
      </c>
      <c r="C71" s="8" t="s">
        <v>209</v>
      </c>
      <c r="F71" s="135"/>
      <c r="G71" s="135"/>
      <c r="H71" s="135"/>
      <c r="I71" s="135"/>
      <c r="J71" s="135"/>
      <c r="K71" s="135"/>
      <c r="L71" s="135"/>
    </row>
    <row r="72" spans="1:12" x14ac:dyDescent="0.25">
      <c r="A72" s="1" t="s">
        <v>118</v>
      </c>
      <c r="B72" s="49">
        <v>3</v>
      </c>
      <c r="C72" s="69" t="s">
        <v>406</v>
      </c>
      <c r="F72" s="135"/>
      <c r="G72" s="135"/>
      <c r="H72" s="135"/>
      <c r="I72" s="135"/>
      <c r="J72" s="135"/>
      <c r="K72" s="135"/>
      <c r="L72" s="135"/>
    </row>
    <row r="73" spans="1:12" ht="13" thickBot="1" x14ac:dyDescent="0.3">
      <c r="A73" s="1" t="s">
        <v>5</v>
      </c>
      <c r="B73" s="50">
        <v>3</v>
      </c>
      <c r="C73" s="69" t="s">
        <v>406</v>
      </c>
      <c r="F73" s="135"/>
      <c r="G73" s="135"/>
      <c r="H73" s="135"/>
      <c r="I73" s="135"/>
      <c r="J73" s="135"/>
      <c r="K73" s="135"/>
      <c r="L73" s="135"/>
    </row>
    <row r="74" spans="1:12" ht="13.5" thickBot="1" x14ac:dyDescent="0.35">
      <c r="A74" s="1"/>
      <c r="B74" s="29" t="s">
        <v>502</v>
      </c>
      <c r="F74" s="135"/>
      <c r="G74" s="135"/>
      <c r="H74" s="135"/>
      <c r="I74" s="135"/>
      <c r="J74" s="135"/>
      <c r="K74" s="135"/>
      <c r="L74" s="135"/>
    </row>
    <row r="75" spans="1:12" ht="13.5" thickBot="1" x14ac:dyDescent="0.35">
      <c r="A75" s="2" t="s">
        <v>846</v>
      </c>
      <c r="B75" s="155">
        <f>B68/B69</f>
        <v>0.1875</v>
      </c>
      <c r="C75" s="192" t="str">
        <f>IF(B75 &lt; 0.25,"D/H is OK","D/H is Not OK")</f>
        <v>D/H is OK</v>
      </c>
      <c r="F75" s="135"/>
      <c r="G75" s="135"/>
      <c r="H75" s="135"/>
      <c r="I75" s="135"/>
      <c r="J75" s="135"/>
      <c r="K75" s="135"/>
      <c r="L75" s="135"/>
    </row>
    <row r="76" spans="1:12" ht="13" x14ac:dyDescent="0.3">
      <c r="A76" s="2" t="s">
        <v>579</v>
      </c>
      <c r="B76" s="4" t="s">
        <v>582</v>
      </c>
      <c r="F76" s="135"/>
      <c r="G76" s="135"/>
      <c r="H76" s="135"/>
      <c r="I76" s="135"/>
      <c r="J76" s="135"/>
      <c r="K76" s="135"/>
      <c r="L76" s="135"/>
    </row>
    <row r="77" spans="1:12" ht="13" x14ac:dyDescent="0.3">
      <c r="A77" s="2" t="s">
        <v>489</v>
      </c>
      <c r="B77" s="4">
        <f>B69*B70</f>
        <v>4</v>
      </c>
      <c r="C77" s="10" t="s">
        <v>583</v>
      </c>
      <c r="F77" s="135"/>
      <c r="G77" s="135"/>
      <c r="H77" s="135"/>
      <c r="I77" s="135"/>
      <c r="J77" s="135"/>
      <c r="K77" s="135"/>
      <c r="L77" s="135"/>
    </row>
    <row r="78" spans="1:12" ht="13" x14ac:dyDescent="0.3">
      <c r="A78" s="2" t="s">
        <v>9</v>
      </c>
      <c r="B78" s="4" t="s">
        <v>117</v>
      </c>
      <c r="C78" s="10"/>
      <c r="F78" s="135"/>
      <c r="G78" s="135"/>
      <c r="H78" s="135"/>
      <c r="I78" s="135"/>
      <c r="J78" s="135"/>
      <c r="K78" s="135"/>
      <c r="L78" s="135"/>
    </row>
    <row r="79" spans="1:12" ht="13" x14ac:dyDescent="0.3">
      <c r="A79" s="2" t="s">
        <v>489</v>
      </c>
      <c r="B79" s="195">
        <f>B72*B73*B67/B77</f>
        <v>4500</v>
      </c>
      <c r="C79" s="10" t="s">
        <v>275</v>
      </c>
      <c r="D79" s="2" t="s">
        <v>201</v>
      </c>
      <c r="F79" s="135"/>
      <c r="G79" s="135"/>
      <c r="H79" s="135"/>
      <c r="I79" s="135"/>
      <c r="J79" s="135"/>
      <c r="K79" s="135"/>
      <c r="L79" s="135"/>
    </row>
    <row r="80" spans="1:12" ht="13" x14ac:dyDescent="0.3">
      <c r="A80" s="2" t="s">
        <v>10</v>
      </c>
      <c r="B80" s="4" t="s">
        <v>11</v>
      </c>
      <c r="F80" s="135"/>
      <c r="G80" s="135"/>
      <c r="H80" s="135"/>
      <c r="I80" s="135"/>
      <c r="J80" s="135"/>
      <c r="K80" s="135"/>
      <c r="L80" s="135"/>
    </row>
    <row r="81" spans="1:12" ht="13" x14ac:dyDescent="0.3">
      <c r="A81" s="43" t="s">
        <v>101</v>
      </c>
      <c r="B81" s="6">
        <f>B104/B79</f>
        <v>4.8888888888888893</v>
      </c>
      <c r="C81" s="10" t="s">
        <v>406</v>
      </c>
      <c r="F81" s="135"/>
      <c r="G81" s="135"/>
      <c r="H81" s="135"/>
      <c r="I81" s="135"/>
      <c r="J81" s="135"/>
      <c r="K81" s="135"/>
      <c r="L81" s="135"/>
    </row>
    <row r="82" spans="1:12" x14ac:dyDescent="0.25">
      <c r="F82" s="135"/>
      <c r="G82" s="135"/>
      <c r="H82" s="135"/>
      <c r="I82" s="135"/>
      <c r="J82" s="135"/>
      <c r="K82" s="135"/>
      <c r="L82" s="135"/>
    </row>
    <row r="83" spans="1:12" x14ac:dyDescent="0.25">
      <c r="A83" s="120"/>
      <c r="B83" s="120"/>
      <c r="C83" s="125"/>
      <c r="D83" s="120"/>
      <c r="E83" s="120"/>
      <c r="F83" s="135"/>
      <c r="G83" s="135"/>
      <c r="H83" s="135"/>
      <c r="I83" s="135"/>
      <c r="J83" s="135"/>
      <c r="K83" s="135"/>
      <c r="L83" s="135"/>
    </row>
    <row r="84" spans="1:12" ht="13" thickBot="1" x14ac:dyDescent="0.3">
      <c r="F84" s="135"/>
      <c r="G84" s="135"/>
      <c r="H84" s="135"/>
      <c r="I84" s="135"/>
      <c r="J84" s="135"/>
      <c r="K84" s="135"/>
      <c r="L84" s="135"/>
    </row>
    <row r="85" spans="1:12" ht="13.5" thickBot="1" x14ac:dyDescent="0.35">
      <c r="A85" s="83" t="s">
        <v>6</v>
      </c>
      <c r="B85" s="84" t="s">
        <v>15</v>
      </c>
      <c r="C85" s="168" t="s">
        <v>591</v>
      </c>
      <c r="F85" s="135" t="s">
        <v>201</v>
      </c>
      <c r="G85" s="135"/>
      <c r="H85" s="135"/>
      <c r="I85" s="135"/>
      <c r="J85" s="135"/>
      <c r="K85" s="135"/>
      <c r="L85" s="135"/>
    </row>
    <row r="86" spans="1:12" ht="13" x14ac:dyDescent="0.3">
      <c r="A86" s="86" t="s">
        <v>592</v>
      </c>
      <c r="B86" s="87">
        <v>15</v>
      </c>
      <c r="C86" s="169">
        <v>5.8</v>
      </c>
      <c r="F86" s="135"/>
      <c r="G86" s="135"/>
      <c r="H86" s="135"/>
      <c r="I86" s="135"/>
      <c r="J86" s="135"/>
      <c r="K86" s="135"/>
      <c r="L86" s="135"/>
    </row>
    <row r="87" spans="1:12" ht="13" x14ac:dyDescent="0.3">
      <c r="A87" s="86" t="s">
        <v>593</v>
      </c>
      <c r="B87" s="87">
        <v>16</v>
      </c>
      <c r="C87" s="169">
        <v>6.5</v>
      </c>
      <c r="F87" s="135"/>
      <c r="G87" s="135"/>
      <c r="H87" s="135"/>
      <c r="I87" s="135"/>
      <c r="J87" s="135"/>
      <c r="K87" s="135"/>
      <c r="L87" s="135"/>
    </row>
    <row r="88" spans="1:12" ht="13" x14ac:dyDescent="0.3">
      <c r="A88" s="86" t="s">
        <v>16</v>
      </c>
      <c r="B88" s="87">
        <v>25</v>
      </c>
      <c r="C88" s="169">
        <v>10.7</v>
      </c>
      <c r="F88" s="135"/>
      <c r="G88" s="135"/>
      <c r="H88" s="135"/>
      <c r="I88" s="135"/>
      <c r="J88" s="135"/>
      <c r="K88" s="135"/>
      <c r="L88" s="135"/>
    </row>
    <row r="89" spans="1:12" ht="13" x14ac:dyDescent="0.3">
      <c r="A89" s="86" t="s">
        <v>594</v>
      </c>
      <c r="B89" s="87">
        <v>10.5</v>
      </c>
      <c r="C89" s="169">
        <v>4</v>
      </c>
      <c r="F89" s="135"/>
      <c r="G89" s="135"/>
      <c r="H89" s="135"/>
      <c r="I89" s="135"/>
      <c r="J89" s="135"/>
      <c r="K89" s="135"/>
      <c r="L89" s="135"/>
    </row>
    <row r="90" spans="1:12" ht="13" x14ac:dyDescent="0.3">
      <c r="A90" s="86" t="s">
        <v>595</v>
      </c>
      <c r="B90" s="87">
        <v>26</v>
      </c>
      <c r="C90" s="169">
        <v>10</v>
      </c>
      <c r="F90" s="135"/>
      <c r="G90" s="135"/>
      <c r="H90" s="135"/>
      <c r="I90" s="135"/>
      <c r="J90" s="135"/>
      <c r="K90" s="135"/>
      <c r="L90" s="135"/>
    </row>
    <row r="91" spans="1:12" ht="13" x14ac:dyDescent="0.3">
      <c r="A91" s="86" t="s">
        <v>7</v>
      </c>
      <c r="B91" s="87">
        <v>29</v>
      </c>
      <c r="C91" s="169">
        <v>11.5</v>
      </c>
      <c r="F91" s="135"/>
      <c r="G91" s="135"/>
      <c r="H91" s="135"/>
      <c r="I91" s="135"/>
      <c r="J91" s="135"/>
      <c r="K91" s="135"/>
      <c r="L91" s="135"/>
    </row>
    <row r="92" spans="1:12" ht="13.5" thickBot="1" x14ac:dyDescent="0.35">
      <c r="A92" s="26" t="s">
        <v>459</v>
      </c>
      <c r="B92" s="89">
        <v>28</v>
      </c>
      <c r="C92" s="170">
        <v>11.8</v>
      </c>
      <c r="F92" s="135"/>
      <c r="G92" s="135"/>
      <c r="H92" s="135"/>
      <c r="I92" s="135"/>
      <c r="J92" s="135"/>
      <c r="K92" s="135"/>
      <c r="L92" s="135"/>
    </row>
    <row r="93" spans="1:12" x14ac:dyDescent="0.25">
      <c r="F93" s="135"/>
      <c r="G93" s="136"/>
      <c r="H93" s="135"/>
      <c r="I93" s="135"/>
      <c r="J93" s="135"/>
      <c r="K93" s="135"/>
      <c r="L93" s="135"/>
    </row>
    <row r="94" spans="1:12" x14ac:dyDescent="0.25">
      <c r="A94" s="120"/>
      <c r="B94" s="120"/>
      <c r="C94" s="125"/>
      <c r="D94" s="120"/>
      <c r="E94" s="120"/>
      <c r="F94" s="135"/>
      <c r="G94" s="135"/>
      <c r="H94" s="135"/>
      <c r="I94" s="135"/>
      <c r="J94" s="135"/>
      <c r="K94" s="135"/>
      <c r="L94" s="135"/>
    </row>
    <row r="95" spans="1:12" x14ac:dyDescent="0.25">
      <c r="F95" s="135"/>
      <c r="G95" s="136"/>
      <c r="H95" s="135"/>
      <c r="I95" s="135"/>
      <c r="J95" s="135"/>
      <c r="K95" s="135"/>
      <c r="L95" s="135"/>
    </row>
    <row r="96" spans="1:12" ht="15.5" x14ac:dyDescent="0.35">
      <c r="A96" s="82" t="s">
        <v>793</v>
      </c>
      <c r="F96" s="135"/>
      <c r="G96" s="135"/>
      <c r="H96" s="135"/>
      <c r="I96" s="135"/>
      <c r="J96" s="135"/>
      <c r="K96" s="135"/>
      <c r="L96" s="135"/>
    </row>
    <row r="97" spans="1:12" x14ac:dyDescent="0.25">
      <c r="F97" s="135"/>
      <c r="G97" s="135"/>
      <c r="H97" s="135"/>
      <c r="I97" s="135"/>
      <c r="J97" s="135"/>
      <c r="K97" s="135"/>
      <c r="L97" s="135"/>
    </row>
    <row r="98" spans="1:12" x14ac:dyDescent="0.25">
      <c r="F98" s="135"/>
      <c r="G98" s="135"/>
      <c r="H98" s="135"/>
      <c r="I98" s="135"/>
      <c r="J98" s="135"/>
      <c r="K98" s="135"/>
      <c r="L98" s="135"/>
    </row>
    <row r="99" spans="1:12" x14ac:dyDescent="0.25">
      <c r="F99" s="135"/>
      <c r="G99" s="135"/>
      <c r="H99" s="135"/>
      <c r="I99" s="135"/>
      <c r="J99" s="135"/>
      <c r="K99" s="135"/>
      <c r="L99" s="135"/>
    </row>
    <row r="100" spans="1:12" x14ac:dyDescent="0.25">
      <c r="F100" s="135"/>
      <c r="G100" s="135"/>
      <c r="H100" s="135"/>
      <c r="I100" s="135"/>
      <c r="J100" s="135"/>
      <c r="K100" s="135"/>
      <c r="L100" s="135"/>
    </row>
    <row r="101" spans="1:12" x14ac:dyDescent="0.25">
      <c r="F101" s="135"/>
      <c r="G101" s="135"/>
      <c r="H101" s="135"/>
      <c r="I101" s="135"/>
      <c r="J101" s="135"/>
      <c r="K101" s="135"/>
      <c r="L101" s="135"/>
    </row>
    <row r="102" spans="1:12" x14ac:dyDescent="0.25">
      <c r="F102" s="135"/>
      <c r="G102" s="135"/>
      <c r="H102" s="135"/>
      <c r="I102" s="135"/>
      <c r="J102" s="135"/>
      <c r="K102" s="135"/>
      <c r="L102" s="135"/>
    </row>
    <row r="103" spans="1:12" ht="13.5" thickBot="1" x14ac:dyDescent="0.35">
      <c r="A103" s="2"/>
      <c r="B103" s="29" t="s">
        <v>486</v>
      </c>
      <c r="F103" s="135"/>
      <c r="G103" s="135"/>
      <c r="H103" s="135"/>
      <c r="I103" s="135"/>
      <c r="J103" s="135"/>
      <c r="K103" s="135"/>
      <c r="L103" s="135"/>
    </row>
    <row r="104" spans="1:12" x14ac:dyDescent="0.25">
      <c r="A104" s="1" t="s">
        <v>552</v>
      </c>
      <c r="B104" s="194">
        <v>22000</v>
      </c>
      <c r="C104" s="8" t="s">
        <v>275</v>
      </c>
      <c r="F104" s="135"/>
      <c r="G104" s="135"/>
      <c r="H104" s="135"/>
      <c r="I104" s="135"/>
      <c r="J104" s="135"/>
      <c r="K104" s="135"/>
      <c r="L104" s="135"/>
    </row>
    <row r="105" spans="1:12" x14ac:dyDescent="0.25">
      <c r="A105" s="1" t="s">
        <v>553</v>
      </c>
      <c r="B105" s="57">
        <v>2</v>
      </c>
      <c r="C105" s="8" t="s">
        <v>583</v>
      </c>
      <c r="F105" s="135"/>
      <c r="G105" s="135"/>
      <c r="H105" s="135"/>
      <c r="I105" s="135"/>
      <c r="J105" s="135"/>
      <c r="K105" s="135"/>
      <c r="L105" s="135"/>
    </row>
    <row r="106" spans="1:12" x14ac:dyDescent="0.25">
      <c r="A106" s="1" t="s">
        <v>555</v>
      </c>
      <c r="B106" s="32">
        <v>10</v>
      </c>
      <c r="C106" s="8" t="s">
        <v>209</v>
      </c>
      <c r="F106" s="135"/>
      <c r="G106" s="135"/>
      <c r="H106" s="135"/>
      <c r="I106" s="135"/>
      <c r="J106" s="135"/>
      <c r="K106" s="135"/>
      <c r="L106" s="135"/>
    </row>
    <row r="107" spans="1:12" x14ac:dyDescent="0.25">
      <c r="A107" s="1" t="s">
        <v>556</v>
      </c>
      <c r="B107" s="32">
        <v>3</v>
      </c>
      <c r="C107" s="8" t="s">
        <v>209</v>
      </c>
      <c r="F107" s="135"/>
      <c r="G107" s="135"/>
      <c r="H107" s="135"/>
      <c r="I107" s="135"/>
      <c r="J107" s="135"/>
      <c r="K107" s="135"/>
      <c r="L107" s="135"/>
    </row>
    <row r="108" spans="1:12" ht="13" thickBot="1" x14ac:dyDescent="0.3">
      <c r="A108" s="1" t="s">
        <v>4</v>
      </c>
      <c r="B108" s="191">
        <v>29000000</v>
      </c>
      <c r="C108" s="12" t="s">
        <v>275</v>
      </c>
      <c r="D108" s="8" t="s">
        <v>13</v>
      </c>
      <c r="F108" s="135"/>
      <c r="G108" s="135"/>
      <c r="H108" s="135"/>
      <c r="I108" s="135"/>
      <c r="J108" s="135"/>
      <c r="K108" s="135"/>
      <c r="L108" s="135"/>
    </row>
    <row r="109" spans="1:12" ht="13" x14ac:dyDescent="0.3">
      <c r="B109" s="29" t="s">
        <v>139</v>
      </c>
      <c r="F109" s="135"/>
      <c r="G109" s="135"/>
      <c r="H109" s="135"/>
      <c r="I109" s="135"/>
      <c r="J109" s="135"/>
      <c r="K109" s="135"/>
      <c r="L109" s="135"/>
    </row>
    <row r="110" spans="1:12" ht="13" x14ac:dyDescent="0.3">
      <c r="A110" s="2" t="s">
        <v>354</v>
      </c>
      <c r="B110" s="4" t="s">
        <v>554</v>
      </c>
      <c r="F110" s="135"/>
      <c r="G110" s="135"/>
      <c r="H110" s="135"/>
      <c r="I110" s="135"/>
      <c r="J110" s="135"/>
      <c r="K110" s="135"/>
      <c r="L110" s="135"/>
    </row>
    <row r="111" spans="1:12" ht="13" x14ac:dyDescent="0.3">
      <c r="A111" s="43" t="s">
        <v>101</v>
      </c>
      <c r="B111" s="195">
        <f>B104/B105</f>
        <v>11000</v>
      </c>
      <c r="C111" s="12" t="s">
        <v>275</v>
      </c>
      <c r="F111" s="135"/>
      <c r="G111" s="135"/>
      <c r="H111" s="135"/>
      <c r="I111" s="135"/>
      <c r="J111" s="135"/>
      <c r="K111" s="135"/>
      <c r="L111" s="135"/>
    </row>
    <row r="112" spans="1:12" ht="13" x14ac:dyDescent="0.3">
      <c r="A112" s="2" t="s">
        <v>590</v>
      </c>
      <c r="B112" s="4" t="s">
        <v>12</v>
      </c>
      <c r="C112" s="10" t="s">
        <v>201</v>
      </c>
      <c r="F112" s="135"/>
      <c r="G112" s="135"/>
      <c r="H112" s="135"/>
      <c r="I112" s="135"/>
      <c r="J112" s="135"/>
      <c r="K112" s="135"/>
      <c r="L112" s="135"/>
    </row>
    <row r="113" spans="1:12" ht="13" x14ac:dyDescent="0.3">
      <c r="A113" s="2" t="s">
        <v>489</v>
      </c>
      <c r="B113" s="25">
        <f>B111/B108</f>
        <v>3.7931034482758619E-4</v>
      </c>
      <c r="C113" s="10" t="s">
        <v>406</v>
      </c>
      <c r="F113" s="135"/>
      <c r="G113" s="135"/>
      <c r="H113" s="135"/>
      <c r="I113" s="135"/>
      <c r="J113" s="135"/>
      <c r="K113" s="135"/>
      <c r="L113" s="135"/>
    </row>
    <row r="114" spans="1:12" ht="13" x14ac:dyDescent="0.3">
      <c r="A114" s="2" t="s">
        <v>355</v>
      </c>
      <c r="B114" s="4" t="s">
        <v>602</v>
      </c>
      <c r="C114" s="10"/>
      <c r="F114" s="135"/>
      <c r="G114" s="135"/>
      <c r="H114" s="135"/>
      <c r="I114" s="135"/>
      <c r="J114" s="135"/>
      <c r="K114" s="135"/>
      <c r="L114" s="135"/>
    </row>
    <row r="115" spans="1:12" ht="13" x14ac:dyDescent="0.3">
      <c r="A115" s="2" t="s">
        <v>489</v>
      </c>
      <c r="B115" s="11">
        <f>B106*B113</f>
        <v>3.7931034482758617E-3</v>
      </c>
      <c r="C115" s="10" t="s">
        <v>209</v>
      </c>
      <c r="F115" s="135"/>
      <c r="G115" s="135"/>
      <c r="H115" s="135"/>
      <c r="I115" s="135"/>
      <c r="J115" s="135"/>
      <c r="K115" s="135"/>
      <c r="L115" s="135"/>
    </row>
    <row r="116" spans="1:12" ht="13" x14ac:dyDescent="0.3">
      <c r="A116" s="2" t="s">
        <v>243</v>
      </c>
      <c r="B116" s="4" t="s">
        <v>558</v>
      </c>
      <c r="C116" s="10" t="s">
        <v>560</v>
      </c>
      <c r="F116" s="135"/>
      <c r="G116" s="135"/>
      <c r="H116" s="135"/>
      <c r="I116" s="135"/>
      <c r="J116" s="135"/>
      <c r="K116" s="135"/>
      <c r="L116" s="135"/>
    </row>
    <row r="117" spans="1:12" ht="13" x14ac:dyDescent="0.3">
      <c r="A117" s="119" t="s">
        <v>356</v>
      </c>
      <c r="B117" s="4" t="s">
        <v>557</v>
      </c>
      <c r="C117" s="10"/>
      <c r="F117" s="135"/>
      <c r="G117" s="135"/>
      <c r="H117" s="135"/>
      <c r="I117" s="135"/>
      <c r="J117" s="135"/>
      <c r="K117" s="135"/>
      <c r="L117" s="135"/>
    </row>
    <row r="118" spans="1:12" ht="13" x14ac:dyDescent="0.3">
      <c r="A118" s="2" t="s">
        <v>101</v>
      </c>
      <c r="B118" s="4" t="s">
        <v>559</v>
      </c>
      <c r="C118" s="10"/>
      <c r="F118" s="135"/>
      <c r="G118" s="135"/>
      <c r="H118" s="135"/>
      <c r="I118" s="135"/>
      <c r="J118" s="135"/>
      <c r="K118" s="135"/>
      <c r="L118" s="135"/>
    </row>
    <row r="119" spans="1:12" ht="13" x14ac:dyDescent="0.3">
      <c r="A119" s="43" t="s">
        <v>101</v>
      </c>
      <c r="B119" s="25">
        <f>0.3*B113*B107</f>
        <v>3.4137931034482758E-4</v>
      </c>
      <c r="C119" s="10" t="s">
        <v>209</v>
      </c>
      <c r="E119" s="4" t="s">
        <v>201</v>
      </c>
      <c r="F119" s="135"/>
      <c r="G119" s="135"/>
      <c r="H119" s="135"/>
      <c r="I119" s="135"/>
      <c r="J119" s="135"/>
      <c r="K119" s="135"/>
      <c r="L119" s="135"/>
    </row>
    <row r="120" spans="1:12" x14ac:dyDescent="0.25">
      <c r="F120" s="135"/>
      <c r="G120" s="135"/>
      <c r="H120" s="135"/>
      <c r="I120" s="135"/>
      <c r="J120" s="135"/>
      <c r="K120" s="135"/>
      <c r="L120" s="135"/>
    </row>
    <row r="121" spans="1:12" x14ac:dyDescent="0.25">
      <c r="A121" s="120"/>
      <c r="B121" s="120"/>
      <c r="C121" s="125"/>
      <c r="D121" s="120"/>
      <c r="E121" s="120"/>
      <c r="F121" s="135"/>
      <c r="G121" s="135"/>
      <c r="H121" s="135"/>
      <c r="I121" s="135"/>
      <c r="J121" s="135"/>
      <c r="K121" s="135"/>
      <c r="L121" s="135"/>
    </row>
    <row r="122" spans="1:12" x14ac:dyDescent="0.25">
      <c r="F122" s="135"/>
      <c r="G122" s="135"/>
      <c r="H122" s="135"/>
      <c r="I122" s="135"/>
      <c r="J122" s="135"/>
      <c r="K122" s="135"/>
      <c r="L122" s="135"/>
    </row>
    <row r="123" spans="1:12" ht="15.5" x14ac:dyDescent="0.35">
      <c r="A123" s="143" t="s">
        <v>794</v>
      </c>
      <c r="F123" s="135"/>
      <c r="G123" s="135"/>
      <c r="H123" s="135"/>
      <c r="I123" s="135"/>
      <c r="J123" s="135"/>
      <c r="K123" s="135"/>
      <c r="L123" s="135"/>
    </row>
    <row r="124" spans="1:12" x14ac:dyDescent="0.25">
      <c r="F124" s="135"/>
      <c r="G124" s="135"/>
      <c r="H124" s="135"/>
      <c r="I124" s="135"/>
      <c r="J124" s="135"/>
      <c r="K124" s="135"/>
      <c r="L124" s="135"/>
    </row>
    <row r="125" spans="1:12" x14ac:dyDescent="0.25">
      <c r="F125" s="135"/>
      <c r="G125" s="135"/>
      <c r="H125" s="135"/>
      <c r="I125" s="135"/>
      <c r="J125" s="135"/>
      <c r="K125" s="135"/>
      <c r="L125" s="135"/>
    </row>
    <row r="126" spans="1:12" x14ac:dyDescent="0.25">
      <c r="F126" s="135"/>
      <c r="G126" s="135"/>
      <c r="H126" s="135"/>
      <c r="I126" s="135"/>
      <c r="J126" s="135"/>
      <c r="K126" s="135"/>
      <c r="L126" s="135"/>
    </row>
    <row r="127" spans="1:12" x14ac:dyDescent="0.25">
      <c r="F127" s="135"/>
      <c r="G127" s="135"/>
      <c r="H127" s="135"/>
      <c r="I127" s="135"/>
      <c r="J127" s="135"/>
      <c r="K127" s="135"/>
      <c r="L127" s="135"/>
    </row>
    <row r="128" spans="1:12" x14ac:dyDescent="0.25">
      <c r="F128" s="135"/>
      <c r="G128" s="135"/>
      <c r="H128" s="135"/>
      <c r="I128" s="135"/>
      <c r="J128" s="135"/>
      <c r="K128" s="135"/>
      <c r="L128" s="135"/>
    </row>
    <row r="129" spans="1:12" x14ac:dyDescent="0.25">
      <c r="F129" s="135"/>
      <c r="G129" s="135"/>
      <c r="H129" s="135"/>
      <c r="I129" s="135"/>
      <c r="J129" s="135"/>
      <c r="K129" s="135"/>
      <c r="L129" s="135"/>
    </row>
    <row r="130" spans="1:12" x14ac:dyDescent="0.25">
      <c r="F130" s="135"/>
      <c r="G130" s="135"/>
      <c r="H130" s="135"/>
      <c r="I130" s="135"/>
      <c r="J130" s="135"/>
      <c r="K130" s="135"/>
      <c r="L130" s="135"/>
    </row>
    <row r="131" spans="1:12" x14ac:dyDescent="0.25">
      <c r="F131" s="135"/>
      <c r="G131" s="135"/>
      <c r="H131" s="135"/>
      <c r="I131" s="135"/>
      <c r="J131" s="135"/>
      <c r="K131" s="135"/>
      <c r="L131" s="135"/>
    </row>
    <row r="132" spans="1:12" x14ac:dyDescent="0.25">
      <c r="F132" s="135"/>
      <c r="G132" s="135"/>
      <c r="H132" s="135"/>
      <c r="I132" s="135"/>
      <c r="J132" s="135"/>
      <c r="K132" s="135"/>
      <c r="L132" s="135"/>
    </row>
    <row r="133" spans="1:12" x14ac:dyDescent="0.25">
      <c r="F133" s="135"/>
      <c r="G133" s="135"/>
      <c r="H133" s="135"/>
      <c r="I133" s="135"/>
      <c r="J133" s="135"/>
      <c r="K133" s="135"/>
      <c r="L133" s="135"/>
    </row>
    <row r="134" spans="1:12" x14ac:dyDescent="0.25">
      <c r="F134" s="135"/>
      <c r="G134" s="135"/>
      <c r="H134" s="135"/>
      <c r="I134" s="135"/>
      <c r="J134" s="135"/>
      <c r="K134" s="135"/>
      <c r="L134" s="135"/>
    </row>
    <row r="135" spans="1:12" x14ac:dyDescent="0.25">
      <c r="F135" s="135"/>
      <c r="G135" s="135"/>
      <c r="H135" s="135"/>
      <c r="I135" s="135"/>
      <c r="J135" s="135"/>
      <c r="K135" s="135"/>
      <c r="L135" s="135"/>
    </row>
    <row r="136" spans="1:12" x14ac:dyDescent="0.25">
      <c r="F136" s="135"/>
      <c r="G136" s="135"/>
      <c r="H136" s="135"/>
      <c r="I136" s="135"/>
      <c r="J136" s="135"/>
      <c r="K136" s="135"/>
      <c r="L136" s="135"/>
    </row>
    <row r="137" spans="1:12" x14ac:dyDescent="0.25">
      <c r="F137" s="135"/>
      <c r="G137" s="135"/>
      <c r="H137" s="135"/>
      <c r="I137" s="135"/>
      <c r="J137" s="135"/>
      <c r="K137" s="135"/>
      <c r="L137" s="135"/>
    </row>
    <row r="138" spans="1:12" x14ac:dyDescent="0.25">
      <c r="F138" s="135"/>
      <c r="G138" s="135"/>
      <c r="H138" s="135"/>
      <c r="I138" s="135"/>
      <c r="J138" s="135"/>
      <c r="K138" s="135"/>
      <c r="L138" s="135"/>
    </row>
    <row r="139" spans="1:12" x14ac:dyDescent="0.25">
      <c r="F139" s="135"/>
      <c r="G139" s="135"/>
      <c r="H139" s="135"/>
      <c r="I139" s="135"/>
      <c r="J139" s="135"/>
      <c r="K139" s="135"/>
      <c r="L139" s="135"/>
    </row>
    <row r="140" spans="1:12" ht="13.5" thickBot="1" x14ac:dyDescent="0.35">
      <c r="A140" s="10"/>
      <c r="B140" s="29" t="s">
        <v>484</v>
      </c>
      <c r="F140" s="135"/>
      <c r="G140" s="135"/>
      <c r="H140" s="135"/>
      <c r="I140" s="135"/>
      <c r="J140" s="135"/>
      <c r="K140" s="135"/>
      <c r="L140" s="135"/>
    </row>
    <row r="141" spans="1:12" x14ac:dyDescent="0.25">
      <c r="A141" s="1" t="s">
        <v>596</v>
      </c>
      <c r="B141" s="194">
        <v>20000</v>
      </c>
      <c r="C141" s="8" t="s">
        <v>535</v>
      </c>
      <c r="F141" s="135"/>
      <c r="G141" s="135"/>
      <c r="H141" s="135"/>
      <c r="I141" s="135"/>
      <c r="J141" s="135"/>
      <c r="K141" s="135"/>
      <c r="L141" s="135"/>
    </row>
    <row r="142" spans="1:12" x14ac:dyDescent="0.25">
      <c r="A142" s="1" t="s">
        <v>580</v>
      </c>
      <c r="B142" s="33">
        <v>4</v>
      </c>
      <c r="C142" s="8" t="s">
        <v>209</v>
      </c>
      <c r="F142" s="135"/>
      <c r="G142" s="135"/>
      <c r="H142" s="135"/>
      <c r="I142" s="135"/>
      <c r="J142" s="135"/>
      <c r="K142" s="135"/>
      <c r="L142" s="135"/>
    </row>
    <row r="143" spans="1:12" x14ac:dyDescent="0.25">
      <c r="A143" s="1" t="s">
        <v>581</v>
      </c>
      <c r="B143" s="33">
        <v>1</v>
      </c>
      <c r="C143" s="8" t="s">
        <v>209</v>
      </c>
      <c r="F143" s="135"/>
      <c r="G143" s="135"/>
      <c r="H143" s="135"/>
      <c r="I143" s="135"/>
      <c r="J143" s="135"/>
      <c r="K143" s="135"/>
      <c r="L143" s="135"/>
    </row>
    <row r="144" spans="1:12" x14ac:dyDescent="0.25">
      <c r="A144" s="1" t="s">
        <v>599</v>
      </c>
      <c r="B144" s="190">
        <v>4000000</v>
      </c>
      <c r="C144" s="12" t="s">
        <v>275</v>
      </c>
      <c r="F144" s="135"/>
      <c r="G144" s="135"/>
      <c r="H144" s="135"/>
      <c r="I144" s="135"/>
      <c r="J144" s="135"/>
      <c r="K144" s="135"/>
      <c r="L144" s="135"/>
    </row>
    <row r="145" spans="1:12" ht="13" thickBot="1" x14ac:dyDescent="0.3">
      <c r="A145" s="1" t="s">
        <v>674</v>
      </c>
      <c r="B145" s="34">
        <v>10</v>
      </c>
      <c r="C145" s="12" t="s">
        <v>209</v>
      </c>
      <c r="F145" s="135"/>
      <c r="G145" s="135"/>
      <c r="H145" s="135"/>
      <c r="I145" s="135"/>
      <c r="J145" s="135"/>
      <c r="K145" s="135"/>
      <c r="L145" s="135"/>
    </row>
    <row r="146" spans="1:12" ht="13" x14ac:dyDescent="0.3">
      <c r="B146" s="29" t="s">
        <v>139</v>
      </c>
      <c r="F146" s="135"/>
      <c r="G146" s="135"/>
      <c r="H146" s="135"/>
      <c r="I146" s="135"/>
      <c r="J146" s="135"/>
      <c r="K146" s="135"/>
      <c r="L146" s="135"/>
    </row>
    <row r="147" spans="1:12" ht="13" x14ac:dyDescent="0.3">
      <c r="A147" s="2" t="s">
        <v>579</v>
      </c>
      <c r="B147" s="4" t="s">
        <v>582</v>
      </c>
      <c r="F147" s="135"/>
      <c r="G147" s="135"/>
      <c r="H147" s="135"/>
      <c r="I147" s="135"/>
      <c r="J147" s="135"/>
      <c r="K147" s="135"/>
      <c r="L147" s="135"/>
    </row>
    <row r="148" spans="1:12" ht="13" x14ac:dyDescent="0.3">
      <c r="A148" s="2" t="s">
        <v>544</v>
      </c>
      <c r="B148" s="4">
        <f>B142*B143</f>
        <v>4</v>
      </c>
      <c r="C148" s="10" t="s">
        <v>583</v>
      </c>
      <c r="F148" s="135"/>
      <c r="G148" s="135"/>
      <c r="H148" s="135"/>
      <c r="I148" s="135"/>
      <c r="J148" s="135"/>
      <c r="K148" s="135"/>
      <c r="L148" s="135"/>
    </row>
    <row r="149" spans="1:12" ht="13" x14ac:dyDescent="0.3">
      <c r="A149" s="2" t="s">
        <v>115</v>
      </c>
      <c r="B149" s="121">
        <v>1.5</v>
      </c>
      <c r="C149" s="10" t="s">
        <v>406</v>
      </c>
      <c r="F149" s="135"/>
      <c r="G149" s="135"/>
      <c r="H149" s="135"/>
      <c r="I149" s="135"/>
      <c r="J149" s="135"/>
      <c r="K149" s="135"/>
      <c r="L149" s="135"/>
    </row>
    <row r="150" spans="1:12" ht="13" x14ac:dyDescent="0.3">
      <c r="A150" s="2" t="s">
        <v>8</v>
      </c>
      <c r="B150" s="4" t="s">
        <v>597</v>
      </c>
      <c r="C150" s="10"/>
      <c r="F150" s="135"/>
      <c r="G150" s="135"/>
      <c r="H150" s="135"/>
      <c r="I150" s="135"/>
      <c r="J150" s="135"/>
      <c r="K150" s="135"/>
      <c r="L150" s="135"/>
    </row>
    <row r="151" spans="1:12" ht="13" x14ac:dyDescent="0.3">
      <c r="A151" s="2" t="s">
        <v>489</v>
      </c>
      <c r="B151" s="195">
        <f>B149*B141/B148</f>
        <v>7500</v>
      </c>
      <c r="C151" s="10" t="s">
        <v>275</v>
      </c>
      <c r="F151" s="135"/>
      <c r="G151" s="135"/>
      <c r="H151" s="135"/>
      <c r="I151" s="135"/>
      <c r="J151" s="135"/>
      <c r="K151" s="135"/>
      <c r="L151" s="135"/>
    </row>
    <row r="152" spans="1:12" ht="13" x14ac:dyDescent="0.3">
      <c r="A152" s="2" t="s">
        <v>598</v>
      </c>
      <c r="B152" s="4" t="s">
        <v>601</v>
      </c>
      <c r="C152" s="10" t="s">
        <v>406</v>
      </c>
      <c r="F152" s="135"/>
      <c r="G152" s="135"/>
      <c r="H152" s="135"/>
      <c r="I152" s="135"/>
      <c r="J152" s="135"/>
      <c r="K152" s="135"/>
      <c r="L152" s="135"/>
    </row>
    <row r="153" spans="1:12" ht="13" x14ac:dyDescent="0.3">
      <c r="A153" s="2" t="s">
        <v>489</v>
      </c>
      <c r="B153" s="25">
        <f>B151/B144</f>
        <v>1.8749999999999999E-3</v>
      </c>
      <c r="C153" s="10" t="s">
        <v>406</v>
      </c>
      <c r="F153" s="135"/>
      <c r="G153" s="135"/>
      <c r="H153" s="135"/>
      <c r="I153" s="135"/>
      <c r="J153" s="135"/>
      <c r="K153" s="135"/>
      <c r="L153" s="135"/>
    </row>
    <row r="154" spans="1:12" ht="13" x14ac:dyDescent="0.3">
      <c r="A154" s="2" t="s">
        <v>600</v>
      </c>
      <c r="B154" s="4" t="s">
        <v>607</v>
      </c>
      <c r="C154" s="10"/>
      <c r="F154" s="135"/>
      <c r="G154" s="135"/>
      <c r="H154" s="135"/>
      <c r="I154" s="135"/>
      <c r="J154" s="135"/>
      <c r="K154" s="135"/>
      <c r="L154" s="135"/>
    </row>
    <row r="155" spans="1:12" ht="13" x14ac:dyDescent="0.3">
      <c r="A155" s="2" t="s">
        <v>489</v>
      </c>
      <c r="B155" s="11">
        <f>B153*B145</f>
        <v>1.8749999999999999E-2</v>
      </c>
      <c r="C155" s="10" t="s">
        <v>209</v>
      </c>
      <c r="F155" s="135"/>
      <c r="G155" s="135"/>
      <c r="H155" s="135"/>
      <c r="I155" s="135"/>
      <c r="J155" s="135"/>
      <c r="K155" s="135"/>
      <c r="L155" s="135"/>
    </row>
    <row r="156" spans="1:12" x14ac:dyDescent="0.25">
      <c r="F156" s="135"/>
      <c r="G156" s="135"/>
      <c r="H156" s="135"/>
      <c r="I156" s="135"/>
      <c r="J156" s="135"/>
      <c r="K156" s="135"/>
      <c r="L156" s="135"/>
    </row>
    <row r="157" spans="1:12" x14ac:dyDescent="0.25">
      <c r="A157" s="120"/>
      <c r="B157" s="120"/>
      <c r="C157" s="125"/>
      <c r="D157" s="120"/>
      <c r="E157" s="120"/>
      <c r="F157" s="135"/>
      <c r="G157" s="135"/>
      <c r="H157" s="135"/>
      <c r="I157" s="135"/>
      <c r="J157" s="135"/>
      <c r="K157" s="135"/>
      <c r="L157" s="135"/>
    </row>
    <row r="158" spans="1:12" x14ac:dyDescent="0.25">
      <c r="F158" s="135"/>
      <c r="G158" s="135"/>
      <c r="H158" s="135"/>
      <c r="I158" s="135"/>
      <c r="J158" s="135"/>
      <c r="K158" s="135"/>
      <c r="L158" s="135"/>
    </row>
    <row r="159" spans="1:12" ht="15.5" x14ac:dyDescent="0.35">
      <c r="A159" s="82" t="s">
        <v>841</v>
      </c>
      <c r="F159" s="135"/>
      <c r="G159" s="135"/>
      <c r="H159" s="135"/>
      <c r="I159" s="135"/>
      <c r="J159" s="135"/>
      <c r="K159" s="135"/>
      <c r="L159" s="135"/>
    </row>
    <row r="160" spans="1:12" x14ac:dyDescent="0.25">
      <c r="F160" s="135"/>
      <c r="G160" s="135"/>
      <c r="H160" s="135"/>
      <c r="I160" s="135"/>
      <c r="J160" s="135"/>
      <c r="K160" s="135"/>
      <c r="L160" s="135"/>
    </row>
    <row r="161" spans="1:12" x14ac:dyDescent="0.25">
      <c r="F161" s="135"/>
      <c r="G161" s="135"/>
      <c r="H161" s="135"/>
      <c r="I161" s="135"/>
      <c r="J161" s="135"/>
      <c r="K161" s="135"/>
      <c r="L161" s="135"/>
    </row>
    <row r="162" spans="1:12" x14ac:dyDescent="0.25">
      <c r="F162" s="135"/>
      <c r="G162" s="135"/>
      <c r="H162" s="135"/>
      <c r="I162" s="135"/>
      <c r="J162" s="135"/>
      <c r="K162" s="135"/>
      <c r="L162" s="135"/>
    </row>
    <row r="163" spans="1:12" x14ac:dyDescent="0.25">
      <c r="F163" s="135"/>
      <c r="G163" s="135"/>
      <c r="H163" s="135"/>
      <c r="I163" s="135"/>
      <c r="J163" s="135"/>
      <c r="K163" s="135"/>
      <c r="L163" s="135"/>
    </row>
    <row r="164" spans="1:12" x14ac:dyDescent="0.25">
      <c r="F164" s="135"/>
      <c r="G164" s="135"/>
      <c r="H164" s="135"/>
      <c r="I164" s="135"/>
      <c r="J164" s="135"/>
      <c r="K164" s="135"/>
      <c r="L164" s="135"/>
    </row>
    <row r="165" spans="1:12" x14ac:dyDescent="0.25">
      <c r="F165" s="135"/>
      <c r="G165" s="135"/>
      <c r="H165" s="135"/>
      <c r="I165" s="135"/>
      <c r="J165" s="135"/>
      <c r="K165" s="135"/>
      <c r="L165" s="135"/>
    </row>
    <row r="166" spans="1:12" x14ac:dyDescent="0.25">
      <c r="F166" s="135"/>
      <c r="G166" s="135"/>
      <c r="H166" s="135"/>
      <c r="I166" s="135"/>
      <c r="J166" s="135"/>
      <c r="K166" s="135"/>
      <c r="L166" s="135"/>
    </row>
    <row r="167" spans="1:12" x14ac:dyDescent="0.25">
      <c r="F167" s="135"/>
      <c r="G167" s="135"/>
      <c r="H167" s="135"/>
      <c r="I167" s="135"/>
      <c r="J167" s="135"/>
      <c r="K167" s="135"/>
      <c r="L167" s="135"/>
    </row>
    <row r="168" spans="1:12" x14ac:dyDescent="0.25">
      <c r="F168" s="135"/>
      <c r="G168" s="135"/>
      <c r="H168" s="135"/>
      <c r="I168" s="135"/>
      <c r="J168" s="135"/>
      <c r="K168" s="135"/>
      <c r="L168" s="135"/>
    </row>
    <row r="169" spans="1:12" ht="13" x14ac:dyDescent="0.3">
      <c r="F169" s="135"/>
      <c r="G169" s="137"/>
      <c r="H169" s="135"/>
      <c r="I169" s="135"/>
      <c r="J169" s="135"/>
      <c r="K169" s="135"/>
      <c r="L169" s="135"/>
    </row>
    <row r="170" spans="1:12" ht="13" x14ac:dyDescent="0.3">
      <c r="B170" t="s">
        <v>201</v>
      </c>
      <c r="F170" s="135"/>
      <c r="G170" s="137"/>
      <c r="H170" s="135"/>
      <c r="I170" s="135"/>
      <c r="J170" s="135"/>
      <c r="K170" s="135"/>
      <c r="L170" s="135"/>
    </row>
    <row r="171" spans="1:12" ht="13" x14ac:dyDescent="0.3">
      <c r="F171" s="135"/>
      <c r="G171" s="137"/>
      <c r="H171" s="135"/>
      <c r="I171" s="135"/>
      <c r="J171" s="135"/>
      <c r="K171" s="135"/>
      <c r="L171" s="135"/>
    </row>
    <row r="172" spans="1:12" ht="13" x14ac:dyDescent="0.3">
      <c r="A172" s="2" t="s">
        <v>309</v>
      </c>
      <c r="F172" s="135"/>
      <c r="G172" s="137"/>
      <c r="H172" s="135"/>
      <c r="I172" s="135"/>
      <c r="J172" s="135"/>
      <c r="K172" s="135"/>
      <c r="L172" s="135"/>
    </row>
    <row r="173" spans="1:12" ht="13" x14ac:dyDescent="0.3">
      <c r="A173" s="16" t="s">
        <v>848</v>
      </c>
      <c r="F173" s="135"/>
      <c r="G173" s="137"/>
      <c r="H173" s="135"/>
      <c r="I173" s="135"/>
      <c r="J173" s="135"/>
      <c r="K173" s="135"/>
      <c r="L173" s="135"/>
    </row>
    <row r="174" spans="1:12" ht="13" x14ac:dyDescent="0.3">
      <c r="A174" s="16" t="s">
        <v>849</v>
      </c>
      <c r="F174" s="135"/>
      <c r="G174" s="135"/>
      <c r="H174" s="135"/>
      <c r="I174" s="135"/>
      <c r="J174" s="135"/>
      <c r="K174" s="135"/>
      <c r="L174" s="135"/>
    </row>
    <row r="175" spans="1:12" ht="13.5" thickBot="1" x14ac:dyDescent="0.35">
      <c r="B175" s="29" t="s">
        <v>486</v>
      </c>
      <c r="F175" s="135"/>
      <c r="G175" s="135"/>
      <c r="H175" s="135"/>
      <c r="I175" s="135"/>
      <c r="J175" s="135"/>
      <c r="K175" s="135"/>
      <c r="L175" s="135"/>
    </row>
    <row r="176" spans="1:12" x14ac:dyDescent="0.25">
      <c r="A176" s="1" t="s">
        <v>596</v>
      </c>
      <c r="B176" s="194">
        <v>20000</v>
      </c>
      <c r="C176" s="8" t="s">
        <v>535</v>
      </c>
      <c r="F176" s="135"/>
      <c r="G176" s="135"/>
      <c r="H176" s="135"/>
      <c r="I176" s="135"/>
      <c r="J176" s="135"/>
      <c r="K176" s="135"/>
      <c r="L176" s="135"/>
    </row>
    <row r="177" spans="1:12" x14ac:dyDescent="0.25">
      <c r="A177" s="1" t="s">
        <v>17</v>
      </c>
      <c r="B177" s="33">
        <v>1.5</v>
      </c>
      <c r="C177" s="8" t="s">
        <v>209</v>
      </c>
      <c r="F177" s="135"/>
      <c r="G177" s="135"/>
      <c r="H177" s="135"/>
      <c r="I177" s="135"/>
      <c r="J177" s="135"/>
      <c r="K177" s="135"/>
      <c r="L177" s="135"/>
    </row>
    <row r="178" spans="1:12" x14ac:dyDescent="0.25">
      <c r="A178" s="1" t="s">
        <v>18</v>
      </c>
      <c r="B178" s="33">
        <v>0</v>
      </c>
      <c r="C178" s="8" t="s">
        <v>209</v>
      </c>
      <c r="F178" s="135"/>
      <c r="G178" s="135"/>
      <c r="H178" s="135"/>
      <c r="I178" s="135"/>
      <c r="J178" s="135"/>
      <c r="K178" s="135"/>
      <c r="L178" s="135"/>
    </row>
    <row r="179" spans="1:12" x14ac:dyDescent="0.25">
      <c r="A179" s="1" t="s">
        <v>115</v>
      </c>
      <c r="B179" s="67">
        <v>1.33</v>
      </c>
      <c r="C179" s="8" t="s">
        <v>406</v>
      </c>
      <c r="F179" s="135"/>
      <c r="G179" s="135"/>
      <c r="H179" s="135"/>
      <c r="I179" s="135"/>
      <c r="J179" s="135"/>
      <c r="K179" s="135"/>
      <c r="L179" s="135"/>
    </row>
    <row r="180" spans="1:12" x14ac:dyDescent="0.25">
      <c r="A180" s="1" t="s">
        <v>599</v>
      </c>
      <c r="B180" s="190">
        <v>11500000</v>
      </c>
      <c r="C180" s="12" t="s">
        <v>275</v>
      </c>
      <c r="F180" s="135"/>
      <c r="G180" s="135"/>
      <c r="H180" s="135"/>
      <c r="I180" s="135"/>
      <c r="J180" s="135"/>
      <c r="K180" s="135"/>
      <c r="L180" s="135"/>
    </row>
    <row r="181" spans="1:12" ht="13" thickBot="1" x14ac:dyDescent="0.3">
      <c r="A181" s="1" t="s">
        <v>674</v>
      </c>
      <c r="B181" s="34">
        <v>10</v>
      </c>
      <c r="C181" s="12" t="s">
        <v>209</v>
      </c>
      <c r="F181" s="135"/>
      <c r="G181" s="135"/>
      <c r="H181" s="135"/>
      <c r="I181" s="135"/>
      <c r="J181" s="135"/>
      <c r="K181" s="135"/>
      <c r="L181" s="135"/>
    </row>
    <row r="182" spans="1:12" ht="13" x14ac:dyDescent="0.3">
      <c r="A182" s="2"/>
      <c r="B182" s="29" t="s">
        <v>139</v>
      </c>
      <c r="C182" s="10"/>
      <c r="F182" s="135"/>
      <c r="G182" s="135"/>
      <c r="H182" s="135"/>
      <c r="I182" s="135"/>
      <c r="J182" s="135"/>
      <c r="K182" s="135"/>
      <c r="L182" s="135"/>
    </row>
    <row r="183" spans="1:12" ht="13" x14ac:dyDescent="0.3">
      <c r="A183" s="2" t="s">
        <v>579</v>
      </c>
      <c r="B183" s="4" t="s">
        <v>19</v>
      </c>
      <c r="C183" s="10"/>
      <c r="F183" s="135"/>
      <c r="G183" s="135"/>
      <c r="H183" s="135"/>
      <c r="I183" s="135"/>
      <c r="J183" s="135"/>
      <c r="K183" s="135"/>
      <c r="L183" s="135"/>
    </row>
    <row r="184" spans="1:12" ht="13" x14ac:dyDescent="0.3">
      <c r="A184" s="2" t="s">
        <v>544</v>
      </c>
      <c r="B184" s="11">
        <f>3.142*(B177^2-B178^2)/4</f>
        <v>1.7673749999999999</v>
      </c>
      <c r="C184" s="10" t="s">
        <v>583</v>
      </c>
      <c r="F184" s="135"/>
      <c r="G184" s="135"/>
      <c r="H184" s="135"/>
      <c r="I184" s="135"/>
      <c r="J184" s="135"/>
      <c r="K184" s="135"/>
      <c r="L184" s="135"/>
    </row>
    <row r="185" spans="1:12" ht="13" x14ac:dyDescent="0.3">
      <c r="A185" s="2" t="s">
        <v>227</v>
      </c>
      <c r="B185" s="4" t="s">
        <v>597</v>
      </c>
      <c r="C185" s="10"/>
      <c r="F185" s="135"/>
      <c r="G185" s="135"/>
      <c r="H185" s="135"/>
      <c r="I185" s="135"/>
      <c r="J185" s="135"/>
      <c r="K185" s="135"/>
      <c r="L185" s="135"/>
    </row>
    <row r="186" spans="1:12" ht="13" x14ac:dyDescent="0.3">
      <c r="A186" s="2" t="s">
        <v>675</v>
      </c>
      <c r="B186" s="5">
        <f>B179*B176/B184</f>
        <v>15050.5693471957</v>
      </c>
      <c r="C186" s="10" t="s">
        <v>275</v>
      </c>
      <c r="D186" t="s">
        <v>201</v>
      </c>
      <c r="F186" s="135"/>
      <c r="G186" s="135"/>
      <c r="H186" s="135"/>
      <c r="I186" s="135"/>
      <c r="J186" s="135"/>
      <c r="K186" s="135"/>
      <c r="L186" s="135"/>
    </row>
    <row r="187" spans="1:12" ht="13" x14ac:dyDescent="0.3">
      <c r="A187" s="2" t="s">
        <v>598</v>
      </c>
      <c r="B187" s="4" t="s">
        <v>601</v>
      </c>
      <c r="C187" s="10" t="s">
        <v>406</v>
      </c>
      <c r="F187" s="135"/>
      <c r="G187" s="135"/>
      <c r="H187" s="135"/>
      <c r="I187" s="135"/>
      <c r="J187" s="135"/>
      <c r="K187" s="135"/>
      <c r="L187" s="135"/>
    </row>
    <row r="188" spans="1:12" ht="13" x14ac:dyDescent="0.3">
      <c r="A188" s="2" t="s">
        <v>574</v>
      </c>
      <c r="B188" s="25">
        <f>B186/B180</f>
        <v>1.3087451606257131E-3</v>
      </c>
      <c r="C188" s="10" t="s">
        <v>406</v>
      </c>
      <c r="F188" s="135"/>
      <c r="G188" s="135"/>
      <c r="H188" s="135"/>
      <c r="I188" s="135"/>
      <c r="J188" s="135"/>
      <c r="K188" s="135"/>
      <c r="L188" s="135"/>
    </row>
    <row r="189" spans="1:12" ht="13" x14ac:dyDescent="0.3">
      <c r="A189" s="2" t="s">
        <v>600</v>
      </c>
      <c r="B189" s="4" t="s">
        <v>607</v>
      </c>
      <c r="C189" s="10"/>
      <c r="F189" s="135"/>
      <c r="G189" s="135"/>
      <c r="H189" s="135"/>
      <c r="I189" s="135"/>
      <c r="J189" s="135"/>
      <c r="K189" s="135"/>
      <c r="L189" s="135"/>
    </row>
    <row r="190" spans="1:12" ht="13" x14ac:dyDescent="0.3">
      <c r="A190" s="2" t="s">
        <v>608</v>
      </c>
      <c r="B190" s="11">
        <f>B188*B181</f>
        <v>1.3087451606257131E-2</v>
      </c>
      <c r="C190" s="10" t="s">
        <v>209</v>
      </c>
      <c r="F190" s="135"/>
      <c r="G190" s="135"/>
      <c r="H190" s="135"/>
      <c r="I190" s="135"/>
      <c r="J190" s="135"/>
      <c r="K190" s="135"/>
      <c r="L190" s="135"/>
    </row>
    <row r="191" spans="1:12" x14ac:dyDescent="0.25">
      <c r="F191" s="135"/>
      <c r="G191" s="135"/>
      <c r="H191" s="135"/>
      <c r="I191" s="135"/>
      <c r="J191" s="135"/>
      <c r="K191" s="135"/>
      <c r="L191" s="135"/>
    </row>
    <row r="192" spans="1:12" x14ac:dyDescent="0.25">
      <c r="A192" s="120"/>
      <c r="B192" s="120"/>
      <c r="C192" s="125"/>
      <c r="D192" s="120"/>
      <c r="E192" s="120"/>
      <c r="F192" s="135"/>
      <c r="G192" s="135"/>
      <c r="H192" s="135"/>
      <c r="I192" s="135"/>
      <c r="J192" s="135"/>
      <c r="K192" s="135"/>
      <c r="L192" s="135"/>
    </row>
    <row r="193" spans="1:12" x14ac:dyDescent="0.25">
      <c r="F193" s="135"/>
      <c r="G193" s="135"/>
      <c r="H193" s="135"/>
      <c r="I193" s="135"/>
      <c r="J193" s="135"/>
      <c r="K193" s="135"/>
      <c r="L193" s="135"/>
    </row>
    <row r="194" spans="1:12" ht="15.5" x14ac:dyDescent="0.35">
      <c r="A194" s="68" t="s">
        <v>795</v>
      </c>
      <c r="B194" s="3"/>
      <c r="F194" s="135"/>
      <c r="G194" s="135"/>
      <c r="H194" s="135"/>
      <c r="I194" s="135"/>
      <c r="J194" s="135"/>
      <c r="K194" s="135"/>
      <c r="L194" s="135"/>
    </row>
    <row r="195" spans="1:12" x14ac:dyDescent="0.25">
      <c r="A195" s="1"/>
      <c r="B195" s="3"/>
      <c r="F195" s="135"/>
      <c r="G195" s="135"/>
      <c r="H195" s="135"/>
      <c r="I195" s="135"/>
      <c r="J195" s="135"/>
      <c r="K195" s="135"/>
      <c r="L195" s="135"/>
    </row>
    <row r="196" spans="1:12" x14ac:dyDescent="0.25">
      <c r="A196" s="1"/>
      <c r="B196" s="3"/>
      <c r="F196" s="135"/>
      <c r="G196" s="135"/>
      <c r="H196" s="135"/>
      <c r="I196" s="135"/>
      <c r="J196" s="135"/>
      <c r="K196" s="135"/>
      <c r="L196" s="135"/>
    </row>
    <row r="197" spans="1:12" x14ac:dyDescent="0.25">
      <c r="A197" s="1"/>
      <c r="B197" s="3"/>
      <c r="F197" s="135"/>
      <c r="G197" s="135"/>
      <c r="H197" s="135"/>
      <c r="I197" s="135"/>
      <c r="J197" s="135"/>
      <c r="K197" s="135"/>
      <c r="L197" s="135"/>
    </row>
    <row r="198" spans="1:12" x14ac:dyDescent="0.25">
      <c r="A198" s="1"/>
      <c r="B198" s="3"/>
      <c r="F198" s="135"/>
      <c r="G198" s="135"/>
      <c r="H198" s="135"/>
      <c r="I198" s="135"/>
      <c r="J198" s="135"/>
      <c r="K198" s="135"/>
      <c r="L198" s="135"/>
    </row>
    <row r="199" spans="1:12" x14ac:dyDescent="0.25">
      <c r="A199" s="1"/>
      <c r="B199" s="3"/>
      <c r="F199" s="135"/>
      <c r="G199" s="135"/>
      <c r="H199" s="135"/>
      <c r="I199" s="135"/>
      <c r="J199" s="135"/>
      <c r="K199" s="135"/>
      <c r="L199" s="135"/>
    </row>
    <row r="200" spans="1:12" x14ac:dyDescent="0.25">
      <c r="A200" s="1"/>
      <c r="B200" s="3"/>
      <c r="F200" s="135"/>
      <c r="G200" s="135"/>
      <c r="H200" s="135"/>
      <c r="I200" s="135"/>
      <c r="J200" s="135"/>
      <c r="K200" s="135"/>
      <c r="L200" s="135"/>
    </row>
    <row r="201" spans="1:12" x14ac:dyDescent="0.25">
      <c r="A201" s="1"/>
      <c r="B201" s="3"/>
      <c r="F201" s="135"/>
      <c r="G201" s="135"/>
      <c r="H201" s="135"/>
      <c r="I201" s="135"/>
      <c r="J201" s="135"/>
      <c r="K201" s="135"/>
      <c r="L201" s="135"/>
    </row>
    <row r="202" spans="1:12" x14ac:dyDescent="0.25">
      <c r="A202" s="1"/>
      <c r="B202" s="3"/>
      <c r="F202" s="135"/>
      <c r="G202" s="135"/>
      <c r="H202" s="135"/>
      <c r="I202" s="135"/>
      <c r="J202" s="135"/>
      <c r="K202" s="135"/>
      <c r="L202" s="135"/>
    </row>
    <row r="203" spans="1:12" x14ac:dyDescent="0.25">
      <c r="F203" s="135"/>
      <c r="G203" s="135"/>
      <c r="H203" s="135"/>
      <c r="I203" s="135"/>
      <c r="J203" s="135"/>
      <c r="K203" s="135"/>
      <c r="L203" s="135"/>
    </row>
    <row r="204" spans="1:12" x14ac:dyDescent="0.25">
      <c r="F204" s="135"/>
      <c r="G204" s="135"/>
      <c r="H204" s="135"/>
      <c r="I204" s="135"/>
      <c r="J204" s="135"/>
      <c r="K204" s="135"/>
      <c r="L204" s="135"/>
    </row>
    <row r="205" spans="1:12" x14ac:dyDescent="0.25">
      <c r="F205" s="135"/>
      <c r="G205" s="135"/>
      <c r="H205" s="135"/>
      <c r="I205" s="135"/>
      <c r="J205" s="135"/>
      <c r="K205" s="135"/>
      <c r="L205" s="135"/>
    </row>
    <row r="206" spans="1:12" x14ac:dyDescent="0.25">
      <c r="F206" s="135"/>
      <c r="G206" s="135"/>
      <c r="H206" s="135"/>
      <c r="I206" s="135"/>
      <c r="J206" s="135"/>
      <c r="K206" s="135"/>
      <c r="L206" s="135"/>
    </row>
    <row r="207" spans="1:12" x14ac:dyDescent="0.25">
      <c r="F207" s="135"/>
      <c r="G207" s="135"/>
      <c r="H207" s="135"/>
      <c r="I207" s="135"/>
      <c r="J207" s="135"/>
      <c r="K207" s="135"/>
      <c r="L207" s="135"/>
    </row>
    <row r="208" spans="1:12" x14ac:dyDescent="0.25">
      <c r="F208" s="135"/>
      <c r="G208" s="135"/>
      <c r="H208" s="135"/>
      <c r="I208" s="135"/>
      <c r="J208" s="135"/>
      <c r="K208" s="135"/>
      <c r="L208" s="135"/>
    </row>
    <row r="209" spans="6:12" x14ac:dyDescent="0.25">
      <c r="F209" s="135"/>
      <c r="G209" s="135"/>
      <c r="H209" s="135"/>
      <c r="I209" s="135"/>
      <c r="J209" s="135"/>
      <c r="K209" s="135"/>
      <c r="L209" s="135"/>
    </row>
    <row r="210" spans="6:12" x14ac:dyDescent="0.25">
      <c r="F210" s="135"/>
      <c r="G210" s="135"/>
      <c r="H210" s="135"/>
      <c r="I210" s="135"/>
      <c r="J210" s="135"/>
      <c r="K210" s="135"/>
      <c r="L210" s="135"/>
    </row>
    <row r="211" spans="6:12" x14ac:dyDescent="0.25">
      <c r="F211" s="135"/>
      <c r="G211" s="135"/>
      <c r="H211" s="135"/>
      <c r="I211" s="135"/>
      <c r="J211" s="135"/>
      <c r="K211" s="135"/>
      <c r="L211" s="135"/>
    </row>
    <row r="212" spans="6:12" x14ac:dyDescent="0.25">
      <c r="F212" s="135"/>
      <c r="G212" s="135"/>
      <c r="H212" s="135"/>
      <c r="I212" s="135"/>
      <c r="J212" s="135"/>
      <c r="K212" s="135"/>
      <c r="L212" s="135"/>
    </row>
    <row r="213" spans="6:12" x14ac:dyDescent="0.25">
      <c r="F213" s="135"/>
      <c r="G213" s="135"/>
      <c r="H213" s="135"/>
      <c r="I213" s="135"/>
      <c r="J213" s="135"/>
      <c r="K213" s="135"/>
      <c r="L213" s="135"/>
    </row>
    <row r="214" spans="6:12" x14ac:dyDescent="0.25">
      <c r="F214" s="135"/>
      <c r="G214" s="135"/>
      <c r="H214" s="135"/>
      <c r="I214" s="135"/>
      <c r="J214" s="135"/>
      <c r="K214" s="135"/>
      <c r="L214" s="135"/>
    </row>
    <row r="215" spans="6:12" x14ac:dyDescent="0.25">
      <c r="F215" s="135"/>
      <c r="G215" s="135"/>
      <c r="H215" s="135"/>
      <c r="I215" s="135"/>
      <c r="J215" s="135"/>
      <c r="K215" s="135"/>
      <c r="L215" s="135"/>
    </row>
    <row r="216" spans="6:12" x14ac:dyDescent="0.25">
      <c r="F216" s="135"/>
      <c r="G216" s="135"/>
      <c r="H216" s="135"/>
      <c r="I216" s="135"/>
      <c r="J216" s="135"/>
      <c r="K216" s="135"/>
      <c r="L216" s="135"/>
    </row>
    <row r="217" spans="6:12" x14ac:dyDescent="0.25">
      <c r="F217" s="135"/>
      <c r="G217" s="135"/>
      <c r="H217" s="135"/>
      <c r="I217" s="135"/>
      <c r="J217" s="135"/>
      <c r="K217" s="135"/>
      <c r="L217" s="135"/>
    </row>
    <row r="218" spans="6:12" x14ac:dyDescent="0.25">
      <c r="F218" s="135"/>
      <c r="G218" s="135"/>
      <c r="H218" s="135"/>
      <c r="I218" s="135"/>
      <c r="J218" s="135"/>
      <c r="K218" s="135"/>
      <c r="L218" s="135"/>
    </row>
    <row r="219" spans="6:12" x14ac:dyDescent="0.25">
      <c r="F219" s="135"/>
      <c r="G219" s="135"/>
      <c r="H219" s="135"/>
      <c r="I219" s="135"/>
      <c r="J219" s="135"/>
      <c r="K219" s="135"/>
      <c r="L219" s="135"/>
    </row>
    <row r="220" spans="6:12" x14ac:dyDescent="0.25">
      <c r="F220" s="135"/>
      <c r="G220" s="135"/>
      <c r="H220" s="135"/>
      <c r="I220" s="135"/>
      <c r="J220" s="135"/>
      <c r="K220" s="135"/>
      <c r="L220" s="135"/>
    </row>
    <row r="221" spans="6:12" x14ac:dyDescent="0.25">
      <c r="F221" s="135"/>
      <c r="G221" s="135"/>
      <c r="H221" s="135"/>
      <c r="I221" s="135"/>
      <c r="J221" s="135"/>
      <c r="K221" s="135"/>
      <c r="L221" s="135"/>
    </row>
    <row r="222" spans="6:12" x14ac:dyDescent="0.25">
      <c r="F222" s="135"/>
      <c r="G222" s="135"/>
      <c r="H222" s="135"/>
      <c r="I222" s="135"/>
      <c r="J222" s="135"/>
      <c r="K222" s="135"/>
      <c r="L222" s="135"/>
    </row>
    <row r="223" spans="6:12" x14ac:dyDescent="0.25">
      <c r="F223" s="135"/>
      <c r="G223" s="135"/>
      <c r="H223" s="135"/>
      <c r="I223" s="135"/>
      <c r="J223" s="135"/>
      <c r="K223" s="135"/>
      <c r="L223" s="135"/>
    </row>
    <row r="224" spans="6:12" x14ac:dyDescent="0.25">
      <c r="F224" s="135"/>
      <c r="G224" s="135"/>
      <c r="H224" s="135"/>
      <c r="I224" s="135"/>
      <c r="J224" s="135"/>
      <c r="K224" s="135"/>
      <c r="L224" s="135"/>
    </row>
    <row r="225" spans="1:12" x14ac:dyDescent="0.25">
      <c r="A225" s="1" t="s">
        <v>201</v>
      </c>
      <c r="B225" s="3"/>
      <c r="F225" s="135"/>
      <c r="G225" s="135"/>
      <c r="H225" s="135"/>
      <c r="I225" s="135"/>
      <c r="J225" s="135"/>
      <c r="K225" s="135"/>
      <c r="L225" s="135"/>
    </row>
    <row r="226" spans="1:12" x14ac:dyDescent="0.25">
      <c r="A226" s="1"/>
      <c r="B226" s="3"/>
      <c r="F226" s="135"/>
      <c r="G226" s="135"/>
      <c r="H226" s="135"/>
      <c r="I226" s="135"/>
      <c r="J226" s="135"/>
      <c r="K226" s="135"/>
      <c r="L226" s="135"/>
    </row>
    <row r="227" spans="1:12" x14ac:dyDescent="0.25">
      <c r="A227" s="1"/>
      <c r="B227" s="3"/>
      <c r="F227" s="135"/>
      <c r="G227" s="135"/>
      <c r="H227" s="135"/>
      <c r="I227" s="135"/>
      <c r="J227" s="135"/>
      <c r="K227" s="135"/>
      <c r="L227" s="135"/>
    </row>
    <row r="228" spans="1:12" x14ac:dyDescent="0.25">
      <c r="A228" s="1"/>
      <c r="B228" s="3" t="s">
        <v>452</v>
      </c>
      <c r="F228" s="135"/>
      <c r="G228" s="135"/>
      <c r="H228" s="135"/>
      <c r="I228" s="135"/>
      <c r="J228" s="135"/>
      <c r="K228" s="135"/>
      <c r="L228" s="135"/>
    </row>
    <row r="229" spans="1:12" x14ac:dyDescent="0.25">
      <c r="A229" s="1"/>
      <c r="B229" s="3"/>
      <c r="F229" s="135"/>
      <c r="G229" s="135"/>
      <c r="H229" s="135"/>
      <c r="I229" s="135"/>
      <c r="J229" s="135"/>
      <c r="K229" s="135"/>
      <c r="L229" s="135"/>
    </row>
    <row r="230" spans="1:12" x14ac:dyDescent="0.25">
      <c r="F230" s="135"/>
      <c r="G230" s="135"/>
      <c r="H230" s="135"/>
      <c r="I230" s="135"/>
      <c r="J230" s="135"/>
      <c r="K230" s="135"/>
      <c r="L230" s="135"/>
    </row>
    <row r="231" spans="1:12" x14ac:dyDescent="0.25">
      <c r="F231" s="135"/>
      <c r="G231" s="135"/>
      <c r="H231" s="135"/>
      <c r="I231" s="135"/>
      <c r="J231" s="135"/>
      <c r="K231" s="135"/>
      <c r="L231" s="135"/>
    </row>
    <row r="232" spans="1:12" x14ac:dyDescent="0.25">
      <c r="F232" s="135"/>
      <c r="G232" s="135"/>
      <c r="H232" s="135"/>
      <c r="I232" s="135"/>
      <c r="J232" s="135"/>
      <c r="K232" s="135"/>
      <c r="L232" s="135"/>
    </row>
    <row r="233" spans="1:12" x14ac:dyDescent="0.25">
      <c r="F233" s="135"/>
      <c r="G233" s="135"/>
      <c r="H233" s="135"/>
      <c r="I233" s="135"/>
      <c r="J233" s="135"/>
      <c r="K233" s="135"/>
      <c r="L233" s="135"/>
    </row>
    <row r="234" spans="1:12" x14ac:dyDescent="0.25">
      <c r="F234" s="135"/>
      <c r="G234" s="135"/>
      <c r="H234" s="135"/>
      <c r="I234" s="135"/>
      <c r="J234" s="135"/>
      <c r="K234" s="135"/>
      <c r="L234" s="135"/>
    </row>
    <row r="235" spans="1:12" ht="15.5" x14ac:dyDescent="0.35">
      <c r="A235" s="68" t="s">
        <v>796</v>
      </c>
      <c r="C235" s="8" t="s">
        <v>452</v>
      </c>
      <c r="F235" s="135"/>
      <c r="G235" s="135"/>
      <c r="H235" s="135"/>
      <c r="I235" s="135"/>
      <c r="J235" s="135"/>
      <c r="K235" s="135"/>
      <c r="L235" s="135"/>
    </row>
    <row r="236" spans="1:12" ht="13" x14ac:dyDescent="0.3">
      <c r="A236" s="2" t="s">
        <v>305</v>
      </c>
      <c r="B236" s="10" t="s">
        <v>106</v>
      </c>
      <c r="F236" s="135"/>
      <c r="G236" s="135"/>
      <c r="H236" s="135"/>
      <c r="I236" s="135"/>
      <c r="J236" s="135"/>
      <c r="K236" s="135"/>
      <c r="L236" s="135"/>
    </row>
    <row r="237" spans="1:12" ht="13" x14ac:dyDescent="0.3">
      <c r="A237" s="2"/>
      <c r="B237" s="10"/>
      <c r="F237" s="135"/>
      <c r="G237" s="135"/>
      <c r="H237" s="135"/>
      <c r="I237" s="135"/>
      <c r="J237" s="135"/>
      <c r="K237" s="135"/>
      <c r="L237" s="135"/>
    </row>
    <row r="238" spans="1:12" ht="13" x14ac:dyDescent="0.3">
      <c r="A238" s="2" t="s">
        <v>306</v>
      </c>
      <c r="B238" s="10" t="s">
        <v>105</v>
      </c>
      <c r="F238" s="135"/>
      <c r="G238" s="135"/>
      <c r="H238" s="135"/>
      <c r="I238" s="135"/>
      <c r="J238" s="135"/>
      <c r="K238" s="135"/>
      <c r="L238" s="135"/>
    </row>
    <row r="239" spans="1:12" ht="13" x14ac:dyDescent="0.3">
      <c r="A239" s="2"/>
      <c r="B239" s="10"/>
      <c r="F239" s="135"/>
      <c r="G239" s="135"/>
      <c r="H239" s="135"/>
      <c r="I239" s="135"/>
      <c r="J239" s="135"/>
      <c r="K239" s="135"/>
      <c r="L239" s="135"/>
    </row>
    <row r="240" spans="1:12" ht="13" x14ac:dyDescent="0.3">
      <c r="A240" s="2" t="s">
        <v>100</v>
      </c>
      <c r="B240" s="10" t="s">
        <v>698</v>
      </c>
      <c r="F240" s="135"/>
      <c r="G240" s="135"/>
      <c r="H240" s="135"/>
      <c r="I240" s="135"/>
      <c r="J240" s="135"/>
      <c r="K240" s="135"/>
      <c r="L240" s="135"/>
    </row>
    <row r="241" spans="1:12" x14ac:dyDescent="0.25">
      <c r="F241" s="135"/>
      <c r="G241" s="135"/>
      <c r="H241" s="135"/>
      <c r="I241" s="135"/>
      <c r="J241" s="135"/>
      <c r="K241" s="135"/>
      <c r="L241" s="135"/>
    </row>
    <row r="242" spans="1:12" ht="13" x14ac:dyDescent="0.3">
      <c r="A242" s="2" t="s">
        <v>308</v>
      </c>
      <c r="B242" s="16" t="s">
        <v>307</v>
      </c>
      <c r="F242" s="135"/>
      <c r="G242" s="135"/>
      <c r="H242" s="135"/>
      <c r="I242" s="135"/>
      <c r="J242" s="135"/>
      <c r="K242" s="135"/>
      <c r="L242" s="135"/>
    </row>
    <row r="243" spans="1:12" x14ac:dyDescent="0.25">
      <c r="F243" s="135"/>
      <c r="G243" s="135"/>
      <c r="H243" s="135"/>
      <c r="I243" s="135"/>
      <c r="J243" s="135"/>
      <c r="K243" s="135"/>
      <c r="L243" s="135"/>
    </row>
    <row r="244" spans="1:12" ht="13.5" thickBot="1" x14ac:dyDescent="0.35">
      <c r="B244" s="29" t="s">
        <v>486</v>
      </c>
      <c r="D244" s="135"/>
      <c r="F244" s="135"/>
      <c r="G244" s="135"/>
      <c r="H244" s="135"/>
      <c r="I244" s="135"/>
      <c r="J244" s="135"/>
      <c r="K244" s="135"/>
      <c r="L244" s="135"/>
    </row>
    <row r="245" spans="1:12" x14ac:dyDescent="0.25">
      <c r="A245" s="1" t="s">
        <v>1140</v>
      </c>
      <c r="B245" s="194">
        <v>30000</v>
      </c>
      <c r="C245" s="8" t="s">
        <v>210</v>
      </c>
      <c r="D245" s="135"/>
      <c r="F245" s="135"/>
      <c r="G245" s="135"/>
      <c r="H245" s="135"/>
      <c r="I245" s="135"/>
      <c r="J245" s="135"/>
      <c r="K245" s="135"/>
      <c r="L245" s="135"/>
    </row>
    <row r="246" spans="1:12" x14ac:dyDescent="0.25">
      <c r="A246" s="156" t="s">
        <v>1144</v>
      </c>
      <c r="B246" s="190">
        <v>20000</v>
      </c>
      <c r="C246" s="8" t="s">
        <v>210</v>
      </c>
      <c r="D246" s="135"/>
      <c r="K246" s="135"/>
      <c r="L246" s="135"/>
    </row>
    <row r="247" spans="1:12" ht="13" thickBot="1" x14ac:dyDescent="0.3">
      <c r="A247" s="1" t="s">
        <v>1141</v>
      </c>
      <c r="B247" s="191">
        <v>10000</v>
      </c>
      <c r="C247" s="8" t="s">
        <v>210</v>
      </c>
      <c r="D247" s="135"/>
      <c r="K247" s="135"/>
      <c r="L247" s="135"/>
    </row>
    <row r="248" spans="1:12" ht="13" x14ac:dyDescent="0.3">
      <c r="A248" s="1"/>
      <c r="B248" s="29" t="s">
        <v>139</v>
      </c>
      <c r="D248" s="135"/>
      <c r="K248" s="135"/>
      <c r="L248" s="135"/>
    </row>
    <row r="249" spans="1:12" ht="13" x14ac:dyDescent="0.3">
      <c r="A249" s="2" t="s">
        <v>305</v>
      </c>
      <c r="B249" s="10" t="s">
        <v>1146</v>
      </c>
      <c r="K249" s="135"/>
      <c r="L249" s="135"/>
    </row>
    <row r="250" spans="1:12" ht="13" x14ac:dyDescent="0.3">
      <c r="A250" s="2"/>
      <c r="B250" s="198">
        <f>(B245+B246)/2 +  (((B245-B246)^2 + (4*B247^2) )^0.5 )/2</f>
        <v>36180.339887498951</v>
      </c>
      <c r="K250" s="135"/>
      <c r="L250" s="135"/>
    </row>
    <row r="251" spans="1:12" ht="13" x14ac:dyDescent="0.3">
      <c r="A251" s="2" t="s">
        <v>306</v>
      </c>
      <c r="B251" s="10" t="s">
        <v>1147</v>
      </c>
      <c r="K251" s="135"/>
      <c r="L251" s="135"/>
    </row>
    <row r="252" spans="1:12" ht="13" x14ac:dyDescent="0.3">
      <c r="A252" s="2"/>
      <c r="B252" s="198">
        <f>(B245+B246)/2 -  (((B245-B246)^2 + (4*B247^2) )^0.5 )/2</f>
        <v>13819.660112501051</v>
      </c>
      <c r="K252" s="135"/>
      <c r="L252" s="135"/>
    </row>
    <row r="253" spans="1:12" ht="13" x14ac:dyDescent="0.3">
      <c r="A253" s="2" t="s">
        <v>1143</v>
      </c>
      <c r="B253" s="10" t="s">
        <v>1142</v>
      </c>
      <c r="K253" s="135"/>
      <c r="L253" s="135"/>
    </row>
    <row r="254" spans="1:12" ht="13" x14ac:dyDescent="0.3">
      <c r="B254" s="198">
        <f>(B250 - B252) / 2</f>
        <v>11180.339887498951</v>
      </c>
      <c r="K254" s="135"/>
      <c r="L254" s="135"/>
    </row>
    <row r="255" spans="1:12" ht="13" x14ac:dyDescent="0.3">
      <c r="A255" s="2" t="s">
        <v>1145</v>
      </c>
      <c r="B255" s="16"/>
      <c r="K255" s="135"/>
      <c r="L255" s="135"/>
    </row>
    <row r="256" spans="1:12" ht="13" x14ac:dyDescent="0.3">
      <c r="A256" s="2" t="s">
        <v>1148</v>
      </c>
      <c r="B256" s="10" t="s">
        <v>1149</v>
      </c>
      <c r="C256"/>
      <c r="K256" s="135"/>
      <c r="L256" s="135"/>
    </row>
    <row r="257" spans="1:12" ht="13" x14ac:dyDescent="0.3">
      <c r="A257" s="2" t="s">
        <v>1153</v>
      </c>
      <c r="B257" s="10" t="s">
        <v>1150</v>
      </c>
      <c r="C257"/>
      <c r="K257" s="135"/>
      <c r="L257" s="135"/>
    </row>
    <row r="258" spans="1:12" ht="13" x14ac:dyDescent="0.3">
      <c r="A258" s="2" t="s">
        <v>544</v>
      </c>
      <c r="B258" s="243">
        <f>(ATAN(2*B247 /(B245 - B246))) / 2</f>
        <v>0.5535743588970452</v>
      </c>
      <c r="C258" s="16" t="s">
        <v>211</v>
      </c>
      <c r="K258" s="135"/>
      <c r="L258" s="135"/>
    </row>
    <row r="259" spans="1:12" ht="13.5" thickBot="1" x14ac:dyDescent="0.35">
      <c r="A259" s="2" t="s">
        <v>544</v>
      </c>
      <c r="B259" s="343">
        <f>57.3*B258</f>
        <v>31.719810764800688</v>
      </c>
      <c r="C259" s="16" t="s">
        <v>214</v>
      </c>
      <c r="K259" s="135"/>
      <c r="L259" s="135"/>
    </row>
    <row r="260" spans="1:12" ht="13" x14ac:dyDescent="0.3">
      <c r="A260" s="2" t="s">
        <v>1152</v>
      </c>
      <c r="B260" s="16" t="s">
        <v>1151</v>
      </c>
      <c r="C260"/>
      <c r="K260" s="135"/>
      <c r="L260" s="135"/>
    </row>
    <row r="261" spans="1:12" ht="13.5" thickBot="1" x14ac:dyDescent="0.35">
      <c r="A261" s="2" t="s">
        <v>544</v>
      </c>
      <c r="B261" s="343">
        <f>B259+90</f>
        <v>121.71981076480068</v>
      </c>
      <c r="C261" s="16" t="s">
        <v>214</v>
      </c>
      <c r="K261" s="135"/>
      <c r="L261" s="135"/>
    </row>
    <row r="262" spans="1:12" x14ac:dyDescent="0.25">
      <c r="L262" s="135"/>
    </row>
    <row r="263" spans="1:12" x14ac:dyDescent="0.25">
      <c r="L263" s="135"/>
    </row>
    <row r="264" spans="1:12" x14ac:dyDescent="0.25">
      <c r="A264" s="120"/>
      <c r="B264" s="120"/>
      <c r="C264" s="125"/>
      <c r="D264" s="120"/>
      <c r="E264" s="120"/>
      <c r="L264" s="135"/>
    </row>
    <row r="267" spans="1:12" x14ac:dyDescent="0.25">
      <c r="A267" s="1"/>
      <c r="B267" s="8"/>
      <c r="C267"/>
    </row>
    <row r="268" spans="1:12" x14ac:dyDescent="0.25">
      <c r="A268" s="1"/>
      <c r="B268" s="8"/>
      <c r="C268"/>
    </row>
    <row r="269" spans="1:12" x14ac:dyDescent="0.25">
      <c r="A269" s="1"/>
      <c r="B269" s="8"/>
      <c r="C269"/>
    </row>
    <row r="270" spans="1:12" x14ac:dyDescent="0.25">
      <c r="A270" s="1"/>
      <c r="B270" s="8"/>
      <c r="C270"/>
    </row>
    <row r="271" spans="1:12" x14ac:dyDescent="0.25">
      <c r="A271" s="1"/>
      <c r="B271" s="8"/>
      <c r="C271"/>
    </row>
    <row r="272" spans="1:12" x14ac:dyDescent="0.25">
      <c r="A272" s="1"/>
      <c r="B272" s="8"/>
      <c r="C272"/>
    </row>
    <row r="273" spans="1:5" x14ac:dyDescent="0.25">
      <c r="A273" s="1"/>
      <c r="B273" s="8"/>
      <c r="C273"/>
    </row>
    <row r="274" spans="1:5" x14ac:dyDescent="0.25">
      <c r="A274" s="1"/>
      <c r="B274" s="8"/>
      <c r="C274"/>
    </row>
    <row r="275" spans="1:5" x14ac:dyDescent="0.25">
      <c r="A275" s="1"/>
      <c r="B275" s="8"/>
      <c r="C275"/>
    </row>
    <row r="276" spans="1:5" x14ac:dyDescent="0.25">
      <c r="A276" s="1"/>
      <c r="B276" s="8"/>
      <c r="C276"/>
    </row>
    <row r="277" spans="1:5" ht="18.5" x14ac:dyDescent="0.45">
      <c r="A277" s="344" t="s">
        <v>1167</v>
      </c>
      <c r="B277" s="8"/>
      <c r="C277"/>
    </row>
    <row r="278" spans="1:5" ht="19" thickBot="1" x14ac:dyDescent="0.5">
      <c r="A278" s="344"/>
      <c r="B278" s="345" t="s">
        <v>484</v>
      </c>
      <c r="C278"/>
    </row>
    <row r="279" spans="1:5" ht="14.5" x14ac:dyDescent="0.35">
      <c r="A279" s="346" t="s">
        <v>1155</v>
      </c>
      <c r="B279" s="347">
        <v>200</v>
      </c>
      <c r="C279" s="337" t="s">
        <v>210</v>
      </c>
    </row>
    <row r="280" spans="1:5" ht="14.5" x14ac:dyDescent="0.35">
      <c r="A280" s="314" t="s">
        <v>1156</v>
      </c>
      <c r="B280" s="348">
        <v>36</v>
      </c>
      <c r="C280" s="337" t="s">
        <v>209</v>
      </c>
    </row>
    <row r="281" spans="1:5" ht="14.5" x14ac:dyDescent="0.35">
      <c r="A281" s="346" t="s">
        <v>1168</v>
      </c>
      <c r="B281" s="349">
        <v>0.66666666566103927</v>
      </c>
      <c r="C281" s="337" t="s">
        <v>209</v>
      </c>
      <c r="E281" s="135"/>
    </row>
    <row r="282" spans="1:5" ht="15" thickBot="1" x14ac:dyDescent="0.4">
      <c r="A282" s="346" t="s">
        <v>1157</v>
      </c>
      <c r="B282" s="350">
        <v>0.33300000000000002</v>
      </c>
      <c r="C282" s="337" t="s">
        <v>209</v>
      </c>
      <c r="E282" s="135"/>
    </row>
    <row r="283" spans="1:5" ht="14.5" x14ac:dyDescent="0.35">
      <c r="A283" s="3"/>
      <c r="B283" s="345" t="s">
        <v>565</v>
      </c>
      <c r="C283" s="337"/>
      <c r="E283" s="135"/>
    </row>
    <row r="284" spans="1:5" ht="16.5" x14ac:dyDescent="0.45">
      <c r="A284" s="314" t="s">
        <v>1158</v>
      </c>
      <c r="B284" s="315" t="s">
        <v>1159</v>
      </c>
      <c r="C284" s="337"/>
      <c r="E284" s="135"/>
    </row>
    <row r="285" spans="1:5" ht="14.5" x14ac:dyDescent="0.35">
      <c r="A285" s="314" t="s">
        <v>101</v>
      </c>
      <c r="B285" s="351">
        <f>B279*B280 / (2*B281)</f>
        <v>5400.0000081455819</v>
      </c>
      <c r="C285" s="337" t="s">
        <v>210</v>
      </c>
      <c r="E285" s="135"/>
    </row>
    <row r="286" spans="1:5" ht="16.5" x14ac:dyDescent="0.45">
      <c r="A286" s="314" t="s">
        <v>1160</v>
      </c>
      <c r="B286" s="315" t="s">
        <v>1161</v>
      </c>
      <c r="C286" s="337"/>
      <c r="E286" s="135"/>
    </row>
    <row r="287" spans="1:5" ht="14.5" x14ac:dyDescent="0.35">
      <c r="A287" s="1" t="s">
        <v>101</v>
      </c>
      <c r="B287" s="351">
        <f>B279*B280 / B281</f>
        <v>10800.000016291164</v>
      </c>
      <c r="C287" s="337" t="s">
        <v>210</v>
      </c>
      <c r="E287" s="135"/>
    </row>
    <row r="288" spans="1:5" ht="16.5" x14ac:dyDescent="0.45">
      <c r="A288" s="314" t="s">
        <v>1162</v>
      </c>
      <c r="B288" s="315" t="s">
        <v>1163</v>
      </c>
      <c r="C288"/>
      <c r="E288" s="135"/>
    </row>
    <row r="289" spans="1:12" ht="14.5" x14ac:dyDescent="0.35">
      <c r="A289" s="314" t="s">
        <v>1164</v>
      </c>
      <c r="B289" s="351">
        <f>B279*B280 /(2* B282)</f>
        <v>10810.81081081081</v>
      </c>
      <c r="C289" s="337" t="s">
        <v>210</v>
      </c>
      <c r="E289" s="135"/>
    </row>
    <row r="290" spans="1:12" x14ac:dyDescent="0.25">
      <c r="A290" s="1"/>
      <c r="B290" s="8"/>
      <c r="C290"/>
      <c r="E290" s="135"/>
    </row>
    <row r="291" spans="1:12" ht="14.5" x14ac:dyDescent="0.35">
      <c r="A291" s="315" t="s">
        <v>1165</v>
      </c>
      <c r="B291" s="8"/>
      <c r="C291"/>
      <c r="E291" s="135"/>
    </row>
    <row r="292" spans="1:12" ht="14.5" x14ac:dyDescent="0.35">
      <c r="A292" s="315" t="s">
        <v>1166</v>
      </c>
      <c r="B292" s="8"/>
      <c r="C292"/>
      <c r="E292" s="135"/>
    </row>
    <row r="293" spans="1:12" x14ac:dyDescent="0.25">
      <c r="F293" s="135"/>
      <c r="G293" s="135"/>
      <c r="H293" s="135"/>
      <c r="I293" s="135"/>
      <c r="J293" s="135"/>
      <c r="K293" s="135"/>
      <c r="L293" s="135"/>
    </row>
    <row r="294" spans="1:12" x14ac:dyDescent="0.25">
      <c r="A294" s="120"/>
      <c r="B294" s="120"/>
      <c r="C294" s="125"/>
      <c r="D294" s="120"/>
      <c r="E294" s="120"/>
      <c r="F294" s="135"/>
      <c r="G294" s="135" t="s">
        <v>694</v>
      </c>
      <c r="H294" s="135"/>
      <c r="I294" s="135"/>
      <c r="J294" s="135"/>
      <c r="K294" s="135"/>
      <c r="L294" s="135"/>
    </row>
    <row r="295" spans="1:12" x14ac:dyDescent="0.25">
      <c r="F295" s="135"/>
      <c r="G295" s="135"/>
      <c r="H295" s="135"/>
      <c r="I295" s="135"/>
      <c r="J295" s="135"/>
      <c r="K295" s="135"/>
      <c r="L295" s="135"/>
    </row>
    <row r="296" spans="1:12" ht="15.5" x14ac:dyDescent="0.35">
      <c r="A296" s="68" t="s">
        <v>112</v>
      </c>
      <c r="F296" s="135"/>
      <c r="G296" s="135"/>
      <c r="H296" s="135"/>
      <c r="I296" s="135"/>
      <c r="J296" s="135"/>
      <c r="K296" s="135"/>
      <c r="L296" s="135"/>
    </row>
    <row r="297" spans="1:12" x14ac:dyDescent="0.25">
      <c r="F297" s="135"/>
      <c r="G297" s="135"/>
      <c r="H297" s="135"/>
      <c r="I297" s="135"/>
      <c r="J297" s="135"/>
      <c r="K297" s="135"/>
      <c r="L297" s="135"/>
    </row>
    <row r="298" spans="1:12" x14ac:dyDescent="0.25">
      <c r="F298" s="135"/>
      <c r="G298" s="135"/>
      <c r="H298" s="135"/>
      <c r="I298" s="135"/>
      <c r="J298" s="135"/>
      <c r="K298" s="135"/>
      <c r="L298" s="135"/>
    </row>
    <row r="299" spans="1:12" x14ac:dyDescent="0.25">
      <c r="F299" s="135"/>
      <c r="G299" s="135" t="s">
        <v>201</v>
      </c>
      <c r="H299" s="135"/>
      <c r="I299" s="135"/>
      <c r="J299" s="135"/>
      <c r="K299" s="135"/>
      <c r="L299" s="135"/>
    </row>
    <row r="300" spans="1:12" x14ac:dyDescent="0.25">
      <c r="F300" s="135"/>
      <c r="G300" s="135"/>
      <c r="H300" s="135"/>
      <c r="I300" s="135"/>
      <c r="J300" s="135"/>
      <c r="K300" s="135"/>
      <c r="L300" s="135"/>
    </row>
    <row r="301" spans="1:12" x14ac:dyDescent="0.25">
      <c r="F301" s="135"/>
      <c r="G301" s="135"/>
      <c r="H301" s="135"/>
      <c r="I301" s="135"/>
      <c r="J301" s="135"/>
      <c r="K301" s="135"/>
      <c r="L301" s="135"/>
    </row>
    <row r="302" spans="1:12" x14ac:dyDescent="0.25">
      <c r="F302" s="135"/>
      <c r="G302" s="135"/>
      <c r="H302" s="135"/>
      <c r="I302" s="135"/>
      <c r="J302" s="135"/>
      <c r="K302" s="135"/>
      <c r="L302" s="135"/>
    </row>
    <row r="303" spans="1:12" x14ac:dyDescent="0.25">
      <c r="F303" s="135"/>
      <c r="G303" s="135"/>
      <c r="H303" s="135"/>
      <c r="I303" s="135"/>
      <c r="J303" s="135"/>
      <c r="K303" s="135"/>
      <c r="L303" s="135"/>
    </row>
    <row r="304" spans="1:12" x14ac:dyDescent="0.25">
      <c r="F304" s="135"/>
      <c r="G304" s="135"/>
      <c r="H304" s="135"/>
      <c r="I304" s="135"/>
      <c r="J304" s="135"/>
      <c r="K304" s="135"/>
      <c r="L304" s="135"/>
    </row>
    <row r="305" spans="1:12" x14ac:dyDescent="0.25">
      <c r="F305" s="135"/>
      <c r="G305" s="135"/>
      <c r="H305" s="135"/>
      <c r="I305" s="135"/>
      <c r="J305" s="135"/>
      <c r="K305" s="135"/>
      <c r="L305" s="135"/>
    </row>
    <row r="306" spans="1:12" x14ac:dyDescent="0.25">
      <c r="F306" s="135"/>
      <c r="G306" s="135"/>
      <c r="H306" s="135"/>
      <c r="I306" s="135"/>
      <c r="J306" s="135"/>
      <c r="K306" s="135"/>
      <c r="L306" s="135"/>
    </row>
    <row r="307" spans="1:12" x14ac:dyDescent="0.25">
      <c r="F307" s="135"/>
      <c r="G307" s="135"/>
      <c r="H307" s="135"/>
      <c r="I307" s="135"/>
      <c r="J307" s="135"/>
      <c r="K307" s="135"/>
      <c r="L307" s="135"/>
    </row>
    <row r="308" spans="1:12" x14ac:dyDescent="0.25">
      <c r="F308" s="135"/>
      <c r="G308" s="135"/>
      <c r="H308" s="135"/>
      <c r="I308" s="135"/>
      <c r="J308" s="135"/>
      <c r="K308" s="135"/>
      <c r="L308" s="135"/>
    </row>
    <row r="309" spans="1:12" x14ac:dyDescent="0.25">
      <c r="F309" s="135"/>
      <c r="G309" s="135"/>
      <c r="H309" s="135"/>
      <c r="I309" s="135"/>
      <c r="J309" s="135"/>
      <c r="K309" s="135"/>
      <c r="L309" s="135"/>
    </row>
    <row r="310" spans="1:12" x14ac:dyDescent="0.25">
      <c r="F310" s="135"/>
      <c r="G310" s="135"/>
      <c r="H310" s="135"/>
      <c r="I310" s="135"/>
      <c r="J310" s="135"/>
      <c r="K310" s="135"/>
      <c r="L310" s="135"/>
    </row>
    <row r="311" spans="1:12" x14ac:dyDescent="0.25">
      <c r="B311" s="3"/>
      <c r="F311" s="135"/>
      <c r="G311" s="135"/>
      <c r="H311" s="135"/>
      <c r="I311" s="135"/>
      <c r="J311" s="135"/>
      <c r="K311" s="135"/>
      <c r="L311" s="135"/>
    </row>
    <row r="312" spans="1:12" ht="13.5" thickBot="1" x14ac:dyDescent="0.35">
      <c r="B312" s="29" t="s">
        <v>486</v>
      </c>
      <c r="F312" s="135"/>
      <c r="G312" s="135"/>
      <c r="H312" s="135"/>
      <c r="I312" s="135"/>
      <c r="J312" s="135"/>
      <c r="K312" s="135"/>
      <c r="L312" s="135"/>
    </row>
    <row r="313" spans="1:12" x14ac:dyDescent="0.25">
      <c r="A313" s="1" t="s">
        <v>699</v>
      </c>
      <c r="B313" s="194">
        <v>3000</v>
      </c>
      <c r="C313" s="8" t="s">
        <v>230</v>
      </c>
      <c r="F313" s="135"/>
      <c r="G313" s="135"/>
      <c r="H313" s="135"/>
      <c r="I313" s="135"/>
      <c r="J313" s="135"/>
      <c r="K313" s="135"/>
      <c r="L313" s="135"/>
    </row>
    <row r="314" spans="1:12" x14ac:dyDescent="0.25">
      <c r="A314" s="1" t="s">
        <v>700</v>
      </c>
      <c r="B314" s="190">
        <v>600</v>
      </c>
      <c r="C314" s="8" t="s">
        <v>230</v>
      </c>
      <c r="F314" s="135"/>
      <c r="G314" s="135"/>
      <c r="H314" s="135"/>
      <c r="I314" s="135"/>
      <c r="J314" s="135"/>
      <c r="K314" s="135"/>
      <c r="L314" s="135"/>
    </row>
    <row r="315" spans="1:12" x14ac:dyDescent="0.25">
      <c r="A315" s="1" t="s">
        <v>701</v>
      </c>
      <c r="B315" s="190">
        <v>2000</v>
      </c>
      <c r="C315" s="8" t="s">
        <v>205</v>
      </c>
      <c r="F315" s="135"/>
      <c r="G315" s="135"/>
      <c r="H315" s="135"/>
      <c r="I315" s="135"/>
      <c r="J315" s="135"/>
      <c r="K315" s="135"/>
      <c r="L315" s="135"/>
    </row>
    <row r="316" spans="1:12" x14ac:dyDescent="0.25">
      <c r="A316" s="1" t="s">
        <v>702</v>
      </c>
      <c r="B316" s="32">
        <v>10</v>
      </c>
      <c r="C316" s="8" t="s">
        <v>204</v>
      </c>
      <c r="F316" s="135"/>
      <c r="G316" s="135"/>
      <c r="H316" s="135"/>
      <c r="I316" s="135"/>
      <c r="J316" s="135"/>
      <c r="K316" s="135"/>
      <c r="L316" s="135"/>
    </row>
    <row r="317" spans="1:12" ht="13" thickBot="1" x14ac:dyDescent="0.3">
      <c r="A317" s="1" t="s">
        <v>703</v>
      </c>
      <c r="B317" s="34">
        <v>2</v>
      </c>
      <c r="C317" s="8" t="s">
        <v>209</v>
      </c>
      <c r="F317" s="135"/>
      <c r="G317" s="135"/>
      <c r="H317" s="135"/>
      <c r="I317" s="135"/>
      <c r="J317" s="135"/>
      <c r="K317" s="135"/>
      <c r="L317" s="135"/>
    </row>
    <row r="318" spans="1:12" ht="13" x14ac:dyDescent="0.3">
      <c r="A318" s="10" t="s">
        <v>705</v>
      </c>
      <c r="B318" s="29" t="s">
        <v>139</v>
      </c>
      <c r="F318" s="135"/>
      <c r="G318" s="135"/>
      <c r="H318" s="135"/>
      <c r="I318" s="135"/>
      <c r="J318" s="135"/>
      <c r="K318" s="135"/>
      <c r="L318" s="135"/>
    </row>
    <row r="319" spans="1:12" ht="13" x14ac:dyDescent="0.3">
      <c r="A319" s="2" t="s">
        <v>773</v>
      </c>
      <c r="B319" s="4">
        <v>3.1415999999999999</v>
      </c>
      <c r="C319" s="69" t="s">
        <v>406</v>
      </c>
      <c r="F319" s="135"/>
      <c r="G319" s="135"/>
      <c r="H319" s="135"/>
      <c r="I319" s="135"/>
      <c r="J319" s="135"/>
      <c r="K319" s="135"/>
      <c r="L319" s="135"/>
    </row>
    <row r="320" spans="1:12" ht="13" x14ac:dyDescent="0.3">
      <c r="A320" s="2" t="s">
        <v>706</v>
      </c>
      <c r="B320" s="4" t="s">
        <v>20</v>
      </c>
      <c r="C320" s="10" t="s">
        <v>201</v>
      </c>
      <c r="F320" s="135"/>
      <c r="G320" s="135"/>
      <c r="H320" s="135"/>
      <c r="I320" s="135"/>
      <c r="J320" s="135"/>
      <c r="K320" s="135"/>
      <c r="L320" s="135"/>
    </row>
    <row r="321" spans="1:12" ht="13" x14ac:dyDescent="0.3">
      <c r="A321" s="2" t="s">
        <v>544</v>
      </c>
      <c r="B321" s="9">
        <f>B319*B317^2/4</f>
        <v>3.1415999999999999</v>
      </c>
      <c r="C321" s="10" t="s">
        <v>583</v>
      </c>
      <c r="F321" s="135"/>
      <c r="G321" s="135"/>
      <c r="H321" s="135"/>
      <c r="I321" s="135"/>
      <c r="J321" s="135"/>
      <c r="K321" s="135"/>
      <c r="L321" s="135"/>
    </row>
    <row r="322" spans="1:12" ht="13" x14ac:dyDescent="0.3">
      <c r="A322" s="2" t="s">
        <v>246</v>
      </c>
      <c r="B322" s="4" t="s">
        <v>619</v>
      </c>
      <c r="C322" s="10"/>
      <c r="F322" s="135"/>
      <c r="G322" s="135"/>
      <c r="H322" s="135"/>
      <c r="I322" s="135"/>
      <c r="J322" s="135"/>
      <c r="K322" s="135"/>
      <c r="L322" s="135"/>
    </row>
    <row r="323" spans="1:12" ht="13" x14ac:dyDescent="0.3">
      <c r="A323" s="2" t="s">
        <v>415</v>
      </c>
      <c r="B323" s="11">
        <f>B319*B317^4/64</f>
        <v>0.78539999999999999</v>
      </c>
      <c r="C323" s="10" t="s">
        <v>203</v>
      </c>
      <c r="F323" s="135"/>
      <c r="G323" s="135"/>
      <c r="H323" s="135"/>
      <c r="I323" s="135"/>
      <c r="J323" s="135"/>
      <c r="K323" s="135"/>
      <c r="L323" s="135"/>
    </row>
    <row r="324" spans="1:12" ht="13" x14ac:dyDescent="0.3">
      <c r="A324" s="2" t="s">
        <v>676</v>
      </c>
      <c r="B324" s="4" t="s">
        <v>299</v>
      </c>
      <c r="C324" s="10"/>
      <c r="F324" s="135"/>
      <c r="G324" s="135"/>
      <c r="H324" s="135"/>
      <c r="I324" s="135"/>
      <c r="J324" s="135"/>
      <c r="K324" s="135"/>
      <c r="L324" s="135"/>
    </row>
    <row r="325" spans="1:12" ht="13" x14ac:dyDescent="0.3">
      <c r="A325" s="2" t="s">
        <v>222</v>
      </c>
      <c r="B325" s="11">
        <f>B319*B317^4/32</f>
        <v>1.5708</v>
      </c>
      <c r="C325" s="10" t="s">
        <v>203</v>
      </c>
      <c r="F325" s="135"/>
      <c r="G325" s="135"/>
      <c r="H325" s="135"/>
      <c r="I325" s="135"/>
      <c r="J325" s="135"/>
      <c r="K325" s="135"/>
      <c r="L325" s="135"/>
    </row>
    <row r="326" spans="1:12" ht="13" x14ac:dyDescent="0.3">
      <c r="A326" s="10" t="s">
        <v>23</v>
      </c>
      <c r="B326" s="4"/>
      <c r="C326" s="10"/>
      <c r="F326" s="135"/>
      <c r="G326" s="135"/>
      <c r="H326" s="135"/>
      <c r="I326" s="135"/>
      <c r="J326" s="135"/>
      <c r="K326" s="135"/>
      <c r="L326" s="135"/>
    </row>
    <row r="327" spans="1:12" ht="13" x14ac:dyDescent="0.3">
      <c r="A327" s="2" t="s">
        <v>726</v>
      </c>
      <c r="B327" s="4" t="s">
        <v>21</v>
      </c>
      <c r="C327" s="10"/>
      <c r="F327" s="135"/>
      <c r="G327" s="135"/>
      <c r="H327" s="135"/>
      <c r="I327" s="135"/>
      <c r="J327" s="135"/>
      <c r="K327" s="135"/>
      <c r="L327" s="135"/>
    </row>
    <row r="328" spans="1:12" ht="13" x14ac:dyDescent="0.3">
      <c r="A328" s="2" t="s">
        <v>506</v>
      </c>
      <c r="B328" s="5">
        <f>(B313/B321)</f>
        <v>954.92742551566084</v>
      </c>
      <c r="C328" s="10" t="s">
        <v>275</v>
      </c>
      <c r="F328" s="135"/>
      <c r="G328" s="135"/>
      <c r="H328" s="135"/>
      <c r="I328" s="135"/>
      <c r="J328" s="135"/>
      <c r="K328" s="135"/>
      <c r="L328" s="135"/>
    </row>
    <row r="329" spans="1:12" ht="13" x14ac:dyDescent="0.3">
      <c r="A329" s="2" t="s">
        <v>22</v>
      </c>
      <c r="B329" s="4" t="s">
        <v>228</v>
      </c>
      <c r="F329" s="135"/>
      <c r="G329" s="135"/>
      <c r="H329" s="135"/>
      <c r="I329" s="135"/>
      <c r="J329" s="135"/>
      <c r="K329" s="135"/>
      <c r="L329" s="135"/>
    </row>
    <row r="330" spans="1:12" ht="13" x14ac:dyDescent="0.3">
      <c r="A330" s="2" t="s">
        <v>727</v>
      </c>
      <c r="B330" s="5">
        <f>B314*B316*(B317/2)/B323</f>
        <v>7639.4194041252867</v>
      </c>
      <c r="C330" s="10" t="s">
        <v>275</v>
      </c>
      <c r="F330" s="135"/>
      <c r="G330" s="135"/>
      <c r="H330" s="135"/>
      <c r="I330" s="135"/>
      <c r="J330" s="135"/>
      <c r="K330" s="135"/>
      <c r="L330" s="135"/>
    </row>
    <row r="331" spans="1:12" ht="13" x14ac:dyDescent="0.3">
      <c r="A331" s="2" t="s">
        <v>724</v>
      </c>
      <c r="B331" s="4" t="s">
        <v>728</v>
      </c>
      <c r="F331" s="135"/>
      <c r="G331" s="135"/>
      <c r="H331" s="135"/>
      <c r="I331" s="135"/>
      <c r="J331" s="135"/>
      <c r="K331" s="135"/>
      <c r="L331" s="135"/>
    </row>
    <row r="332" spans="1:12" ht="13" x14ac:dyDescent="0.3">
      <c r="A332" s="2" t="s">
        <v>725</v>
      </c>
      <c r="B332" s="5">
        <f>B328+B330</f>
        <v>8594.3468296409483</v>
      </c>
      <c r="C332" s="10" t="s">
        <v>275</v>
      </c>
      <c r="F332" s="135"/>
      <c r="G332" s="135"/>
      <c r="H332" s="135"/>
      <c r="I332" s="135"/>
      <c r="J332" s="135"/>
      <c r="K332" s="135"/>
      <c r="L332" s="135"/>
    </row>
    <row r="333" spans="1:12" ht="13" x14ac:dyDescent="0.3">
      <c r="A333" s="2" t="s">
        <v>24</v>
      </c>
      <c r="B333" s="4">
        <v>0</v>
      </c>
      <c r="C333" s="10" t="s">
        <v>275</v>
      </c>
      <c r="F333" s="135"/>
      <c r="G333" s="135"/>
      <c r="H333" s="135"/>
      <c r="I333" s="135"/>
      <c r="J333" s="135"/>
      <c r="K333" s="135"/>
      <c r="L333" s="135"/>
    </row>
    <row r="334" spans="1:12" ht="13" x14ac:dyDescent="0.3">
      <c r="A334" s="2" t="s">
        <v>97</v>
      </c>
      <c r="B334" s="4" t="s">
        <v>191</v>
      </c>
      <c r="C334" s="10"/>
      <c r="F334" s="135"/>
      <c r="G334" s="135"/>
      <c r="H334" s="135"/>
      <c r="I334" s="135"/>
      <c r="J334" s="135"/>
      <c r="K334" s="135"/>
      <c r="L334" s="135"/>
    </row>
    <row r="335" spans="1:12" ht="13" x14ac:dyDescent="0.3">
      <c r="A335" s="2" t="s">
        <v>704</v>
      </c>
      <c r="B335" s="5">
        <f>$B$315*($B$317/2)/$B$325</f>
        <v>1273.2365673542145</v>
      </c>
      <c r="C335" s="10" t="s">
        <v>275</v>
      </c>
      <c r="F335" s="135"/>
      <c r="G335" s="135"/>
      <c r="H335" s="135"/>
      <c r="I335" s="135"/>
      <c r="J335" s="135"/>
      <c r="K335" s="135"/>
      <c r="L335" s="135"/>
    </row>
    <row r="336" spans="1:12" ht="13" x14ac:dyDescent="0.3">
      <c r="B336" s="4"/>
      <c r="C336" s="10"/>
      <c r="F336" s="135"/>
      <c r="G336" s="135"/>
      <c r="H336" s="135"/>
      <c r="I336" s="135"/>
      <c r="J336" s="135"/>
      <c r="K336" s="135"/>
      <c r="L336" s="135"/>
    </row>
    <row r="337" spans="1:12" ht="13" x14ac:dyDescent="0.3">
      <c r="A337" s="2" t="s">
        <v>108</v>
      </c>
      <c r="B337" s="10" t="s">
        <v>106</v>
      </c>
      <c r="C337" s="10"/>
      <c r="F337" s="135"/>
      <c r="G337" s="135"/>
      <c r="H337" s="135"/>
      <c r="I337" s="135"/>
      <c r="J337" s="135"/>
      <c r="K337" s="135"/>
      <c r="L337" s="135"/>
    </row>
    <row r="338" spans="1:12" ht="13" x14ac:dyDescent="0.3">
      <c r="A338" s="2" t="s">
        <v>102</v>
      </c>
      <c r="B338" s="91">
        <f>((B332+B333)/2)+(((B332-B333)/2)^2+B335^2)^0.5</f>
        <v>8779.0068246526371</v>
      </c>
      <c r="C338" s="10" t="s">
        <v>275</v>
      </c>
      <c r="F338" s="135"/>
      <c r="G338" s="135"/>
      <c r="H338" s="135"/>
      <c r="I338" s="135"/>
      <c r="J338" s="135"/>
      <c r="K338" s="135"/>
      <c r="L338" s="135"/>
    </row>
    <row r="339" spans="1:12" ht="13" x14ac:dyDescent="0.3">
      <c r="A339" s="2" t="s">
        <v>109</v>
      </c>
      <c r="B339" s="10" t="s">
        <v>107</v>
      </c>
      <c r="C339" s="10"/>
      <c r="F339" s="135"/>
      <c r="G339" s="135"/>
      <c r="H339" s="135"/>
      <c r="I339" s="135"/>
      <c r="J339" s="135"/>
      <c r="K339" s="135"/>
      <c r="L339" s="135"/>
    </row>
    <row r="340" spans="1:12" ht="13" x14ac:dyDescent="0.3">
      <c r="A340" s="2" t="s">
        <v>103</v>
      </c>
      <c r="B340" s="91">
        <f>((B332+B333)/2)-(((B332-B333)/2)^2+B335^2)^0.5</f>
        <v>-184.65999501168881</v>
      </c>
      <c r="C340" s="10" t="s">
        <v>275</v>
      </c>
      <c r="F340" s="135"/>
      <c r="G340" s="135"/>
      <c r="H340" s="135"/>
      <c r="I340" s="135"/>
      <c r="J340" s="135"/>
      <c r="K340" s="135"/>
      <c r="L340" s="135"/>
    </row>
    <row r="341" spans="1:12" ht="13" x14ac:dyDescent="0.3">
      <c r="A341" s="2" t="s">
        <v>110</v>
      </c>
      <c r="B341" s="10" t="s">
        <v>698</v>
      </c>
      <c r="C341" s="10"/>
      <c r="F341" s="135"/>
      <c r="G341" s="135"/>
      <c r="H341" s="135"/>
      <c r="I341" s="135"/>
      <c r="J341" s="135"/>
      <c r="K341" s="135"/>
      <c r="L341" s="135"/>
    </row>
    <row r="342" spans="1:12" ht="13" x14ac:dyDescent="0.3">
      <c r="A342" s="43" t="s">
        <v>101</v>
      </c>
      <c r="B342" s="91">
        <f>(B338-B340)/2</f>
        <v>4481.8334098321629</v>
      </c>
      <c r="C342" s="10" t="s">
        <v>275</v>
      </c>
      <c r="F342" s="135"/>
      <c r="G342" s="135"/>
      <c r="H342" s="135"/>
      <c r="I342" s="135"/>
      <c r="J342" s="135"/>
      <c r="K342" s="135"/>
      <c r="L342" s="135"/>
    </row>
    <row r="343" spans="1:12" x14ac:dyDescent="0.25">
      <c r="A343" s="1"/>
      <c r="B343" s="3"/>
      <c r="F343" s="135"/>
      <c r="G343" s="135"/>
      <c r="H343" s="135"/>
      <c r="I343" s="135"/>
      <c r="J343" s="135"/>
      <c r="K343" s="135"/>
      <c r="L343" s="135"/>
    </row>
    <row r="344" spans="1:12" ht="13" x14ac:dyDescent="0.3">
      <c r="A344" s="10" t="s">
        <v>98</v>
      </c>
      <c r="B344" s="4"/>
      <c r="C344" s="10"/>
      <c r="F344" s="135"/>
      <c r="G344" s="135"/>
      <c r="H344" s="135"/>
      <c r="I344" s="135"/>
      <c r="J344" s="135"/>
      <c r="K344" s="135"/>
      <c r="L344" s="135"/>
    </row>
    <row r="345" spans="1:12" ht="13" x14ac:dyDescent="0.3">
      <c r="A345" s="2" t="s">
        <v>726</v>
      </c>
      <c r="B345" s="4" t="s">
        <v>723</v>
      </c>
      <c r="C345" s="10"/>
      <c r="F345" s="135"/>
      <c r="G345" s="135"/>
      <c r="H345" s="135"/>
      <c r="I345" s="135"/>
      <c r="J345" s="135"/>
      <c r="K345" s="135"/>
      <c r="L345" s="135"/>
    </row>
    <row r="346" spans="1:12" ht="13" x14ac:dyDescent="0.3">
      <c r="A346" s="2" t="s">
        <v>506</v>
      </c>
      <c r="B346" s="195">
        <f>(B328)</f>
        <v>954.92742551566084</v>
      </c>
      <c r="C346" s="10" t="s">
        <v>275</v>
      </c>
      <c r="F346" s="135"/>
      <c r="G346" s="135"/>
      <c r="H346" s="135"/>
      <c r="I346" s="135"/>
      <c r="J346" s="135"/>
      <c r="K346" s="135"/>
      <c r="L346" s="135"/>
    </row>
    <row r="347" spans="1:12" ht="13" x14ac:dyDescent="0.3">
      <c r="A347" s="2" t="s">
        <v>22</v>
      </c>
      <c r="B347" s="13" t="s">
        <v>192</v>
      </c>
      <c r="F347" s="135"/>
      <c r="G347" s="135"/>
      <c r="H347" s="135"/>
      <c r="I347" s="135"/>
      <c r="J347" s="135"/>
      <c r="K347" s="135"/>
      <c r="L347" s="135"/>
    </row>
    <row r="348" spans="1:12" ht="13" x14ac:dyDescent="0.3">
      <c r="A348" s="2" t="s">
        <v>727</v>
      </c>
      <c r="B348" s="195">
        <f>-B330</f>
        <v>-7639.4194041252867</v>
      </c>
      <c r="C348" s="10" t="s">
        <v>275</v>
      </c>
      <c r="F348" s="135"/>
      <c r="G348" s="135"/>
      <c r="H348" s="135"/>
      <c r="I348" s="135"/>
      <c r="J348" s="135"/>
      <c r="K348" s="135"/>
      <c r="L348" s="135"/>
    </row>
    <row r="349" spans="1:12" ht="13" x14ac:dyDescent="0.3">
      <c r="A349" s="2" t="s">
        <v>724</v>
      </c>
      <c r="B349" s="4" t="s">
        <v>728</v>
      </c>
      <c r="F349" s="135"/>
      <c r="G349" s="135"/>
      <c r="H349" s="135"/>
      <c r="I349" s="135"/>
      <c r="J349" s="135"/>
      <c r="K349" s="135"/>
      <c r="L349" s="135"/>
    </row>
    <row r="350" spans="1:12" ht="13" x14ac:dyDescent="0.3">
      <c r="A350" s="2" t="s">
        <v>725</v>
      </c>
      <c r="B350" s="195">
        <f>B346+B348</f>
        <v>-6684.4919786096261</v>
      </c>
      <c r="C350" s="10" t="s">
        <v>275</v>
      </c>
      <c r="E350" t="s">
        <v>201</v>
      </c>
      <c r="F350" s="135"/>
      <c r="G350" s="135"/>
      <c r="H350" s="135"/>
      <c r="I350" s="135"/>
      <c r="J350" s="135"/>
      <c r="K350" s="135"/>
      <c r="L350" s="135"/>
    </row>
    <row r="351" spans="1:12" ht="13" x14ac:dyDescent="0.3">
      <c r="A351" s="2" t="s">
        <v>24</v>
      </c>
      <c r="B351" s="4">
        <v>0</v>
      </c>
      <c r="C351" s="10" t="s">
        <v>275</v>
      </c>
      <c r="F351" s="135"/>
      <c r="G351" s="135"/>
      <c r="H351" s="135"/>
      <c r="I351" s="135"/>
      <c r="J351" s="135"/>
      <c r="K351" s="135"/>
      <c r="L351" s="135"/>
    </row>
    <row r="352" spans="1:12" ht="13" x14ac:dyDescent="0.3">
      <c r="A352" s="2" t="s">
        <v>97</v>
      </c>
      <c r="B352" s="4" t="s">
        <v>722</v>
      </c>
      <c r="C352" s="10"/>
      <c r="F352" s="135"/>
      <c r="G352" s="135"/>
      <c r="H352" s="135"/>
      <c r="I352" s="135"/>
      <c r="J352" s="135"/>
      <c r="K352" s="135"/>
      <c r="L352" s="135"/>
    </row>
    <row r="353" spans="1:12" ht="13" x14ac:dyDescent="0.3">
      <c r="A353" s="2" t="s">
        <v>704</v>
      </c>
      <c r="B353" s="195">
        <f>$B$315*$B$317/(2*$B$325)</f>
        <v>1273.2365673542145</v>
      </c>
      <c r="C353" s="10" t="s">
        <v>275</v>
      </c>
      <c r="F353" s="135"/>
      <c r="G353" s="135"/>
      <c r="H353" s="135"/>
      <c r="I353" s="135"/>
      <c r="J353" s="135"/>
      <c r="K353" s="135"/>
      <c r="L353" s="135"/>
    </row>
    <row r="354" spans="1:12" x14ac:dyDescent="0.25">
      <c r="F354" s="135"/>
      <c r="G354" s="135"/>
      <c r="H354" s="135"/>
      <c r="I354" s="135"/>
      <c r="J354" s="135"/>
      <c r="K354" s="135"/>
      <c r="L354" s="135"/>
    </row>
    <row r="355" spans="1:12" ht="13" x14ac:dyDescent="0.3">
      <c r="A355" s="2" t="s">
        <v>774</v>
      </c>
      <c r="B355" s="10" t="s">
        <v>106</v>
      </c>
      <c r="C355" s="10"/>
      <c r="F355" s="135"/>
      <c r="G355" s="135"/>
      <c r="H355" s="135"/>
      <c r="I355" s="135"/>
      <c r="J355" s="135"/>
      <c r="K355" s="135"/>
      <c r="L355" s="135"/>
    </row>
    <row r="356" spans="1:12" ht="13" x14ac:dyDescent="0.3">
      <c r="A356" s="2" t="s">
        <v>102</v>
      </c>
      <c r="B356" s="5">
        <f>((B350+B351)/2)+(((B350-B351)/2)^2+B353^2)^0.5</f>
        <v>234.30816371343144</v>
      </c>
      <c r="C356" s="10" t="s">
        <v>275</v>
      </c>
      <c r="F356" s="135"/>
      <c r="G356" s="135"/>
      <c r="H356" s="135"/>
      <c r="I356" s="135"/>
      <c r="J356" s="135"/>
      <c r="K356" s="135"/>
      <c r="L356" s="135"/>
    </row>
    <row r="357" spans="1:12" ht="13" x14ac:dyDescent="0.3">
      <c r="A357" s="2" t="s">
        <v>775</v>
      </c>
      <c r="B357" s="10" t="s">
        <v>105</v>
      </c>
      <c r="C357" s="10"/>
      <c r="F357" s="135"/>
      <c r="G357" s="135"/>
      <c r="H357" s="135"/>
      <c r="I357" s="135"/>
      <c r="J357" s="135"/>
      <c r="K357" s="135"/>
      <c r="L357" s="135"/>
    </row>
    <row r="358" spans="1:12" ht="13" x14ac:dyDescent="0.3">
      <c r="A358" s="2" t="s">
        <v>103</v>
      </c>
      <c r="B358" s="195">
        <f>((B350+B351)/2)-(((B350-B351)/2)^2+B353^2)^0.5</f>
        <v>-6918.800142323058</v>
      </c>
      <c r="C358" s="10" t="s">
        <v>275</v>
      </c>
      <c r="F358" s="135"/>
      <c r="G358" s="135"/>
      <c r="H358" s="135"/>
      <c r="I358" s="135"/>
      <c r="J358" s="135"/>
      <c r="K358" s="135"/>
      <c r="L358" s="135"/>
    </row>
    <row r="359" spans="1:12" ht="13" x14ac:dyDescent="0.3">
      <c r="A359" s="2" t="s">
        <v>99</v>
      </c>
      <c r="B359" s="10" t="s">
        <v>698</v>
      </c>
      <c r="C359" s="10"/>
      <c r="F359" s="135"/>
      <c r="G359" s="135"/>
      <c r="H359" s="135"/>
      <c r="I359" s="135"/>
      <c r="J359" s="135"/>
      <c r="K359" s="135"/>
      <c r="L359" s="135"/>
    </row>
    <row r="360" spans="1:12" ht="13" x14ac:dyDescent="0.3">
      <c r="A360" s="1"/>
      <c r="B360" s="195">
        <f>(B356-B358)/2</f>
        <v>3576.5541530182445</v>
      </c>
      <c r="C360" s="10" t="s">
        <v>275</v>
      </c>
      <c r="F360" s="135"/>
      <c r="G360" s="135"/>
      <c r="H360" s="135"/>
      <c r="I360" s="135"/>
      <c r="J360" s="135"/>
      <c r="K360" s="135"/>
      <c r="L360" s="135"/>
    </row>
    <row r="361" spans="1:12" x14ac:dyDescent="0.25">
      <c r="F361" s="135"/>
      <c r="G361" s="135"/>
      <c r="H361" s="135"/>
      <c r="I361" s="135"/>
      <c r="J361" s="135"/>
      <c r="K361" s="135"/>
      <c r="L361" s="135"/>
    </row>
    <row r="362" spans="1:12" x14ac:dyDescent="0.25">
      <c r="A362" s="120"/>
      <c r="B362" s="120"/>
      <c r="C362" s="125"/>
      <c r="D362" s="120"/>
      <c r="E362" s="120"/>
      <c r="F362" s="135"/>
      <c r="G362" s="135"/>
      <c r="H362" s="135"/>
      <c r="I362" s="135"/>
      <c r="J362" s="135"/>
      <c r="K362" s="135"/>
      <c r="L362" s="135"/>
    </row>
    <row r="363" spans="1:12" x14ac:dyDescent="0.25">
      <c r="F363" s="135"/>
      <c r="G363" s="135"/>
      <c r="H363" s="135"/>
      <c r="I363" s="135"/>
      <c r="J363" s="135"/>
      <c r="K363" s="135"/>
      <c r="L363" s="135"/>
    </row>
    <row r="364" spans="1:12" ht="15.5" x14ac:dyDescent="0.35">
      <c r="A364" s="68" t="s">
        <v>850</v>
      </c>
      <c r="F364" s="135"/>
      <c r="G364" s="135"/>
      <c r="H364" s="135"/>
      <c r="I364" s="135"/>
      <c r="J364" s="135"/>
      <c r="K364" s="135"/>
      <c r="L364" s="135"/>
    </row>
    <row r="365" spans="1:12" x14ac:dyDescent="0.25">
      <c r="F365" s="135"/>
      <c r="G365" s="135"/>
      <c r="H365" s="135"/>
      <c r="I365" s="135"/>
      <c r="J365" s="135"/>
      <c r="K365" s="135"/>
      <c r="L365" s="135"/>
    </row>
    <row r="366" spans="1:12" x14ac:dyDescent="0.25">
      <c r="F366" s="135"/>
      <c r="G366" s="135"/>
      <c r="H366" s="135"/>
      <c r="I366" s="135"/>
      <c r="J366" s="135"/>
      <c r="K366" s="135"/>
      <c r="L366" s="135"/>
    </row>
    <row r="367" spans="1:12" x14ac:dyDescent="0.25">
      <c r="D367" s="1"/>
      <c r="F367" s="135"/>
      <c r="G367" s="135"/>
      <c r="H367" s="135"/>
      <c r="I367" s="135"/>
      <c r="J367" s="135"/>
      <c r="K367" s="135"/>
      <c r="L367" s="135"/>
    </row>
    <row r="368" spans="1:12" x14ac:dyDescent="0.25">
      <c r="F368" s="135"/>
      <c r="G368" s="135"/>
      <c r="H368" s="135"/>
      <c r="I368" s="135"/>
      <c r="J368" s="135"/>
      <c r="K368" s="135"/>
      <c r="L368" s="135"/>
    </row>
    <row r="369" spans="1:12" x14ac:dyDescent="0.25">
      <c r="F369" s="135"/>
      <c r="G369" s="135"/>
      <c r="H369" s="135"/>
      <c r="I369" s="135"/>
      <c r="J369" s="135"/>
      <c r="K369" s="135"/>
      <c r="L369" s="135"/>
    </row>
    <row r="370" spans="1:12" x14ac:dyDescent="0.25">
      <c r="F370" s="135"/>
      <c r="G370" s="135"/>
      <c r="H370" s="135"/>
      <c r="I370" s="135"/>
      <c r="J370" s="135"/>
      <c r="K370" s="135"/>
      <c r="L370" s="135"/>
    </row>
    <row r="371" spans="1:12" x14ac:dyDescent="0.25">
      <c r="E371" s="92"/>
      <c r="F371" s="135"/>
      <c r="G371" s="135"/>
      <c r="H371" s="135"/>
      <c r="I371" s="135"/>
      <c r="J371" s="135"/>
      <c r="K371" s="135"/>
      <c r="L371" s="135"/>
    </row>
    <row r="372" spans="1:12" x14ac:dyDescent="0.25">
      <c r="F372" s="135"/>
      <c r="G372" s="135"/>
      <c r="H372" s="135"/>
      <c r="I372" s="135"/>
      <c r="J372" s="135"/>
      <c r="K372" s="135"/>
      <c r="L372" s="135"/>
    </row>
    <row r="373" spans="1:12" x14ac:dyDescent="0.25">
      <c r="F373" s="135"/>
      <c r="G373" s="135"/>
      <c r="H373" s="135"/>
      <c r="I373" s="135"/>
      <c r="J373" s="135"/>
      <c r="K373" s="135"/>
      <c r="L373" s="135"/>
    </row>
    <row r="374" spans="1:12" ht="13" x14ac:dyDescent="0.3">
      <c r="E374" s="4" t="s">
        <v>201</v>
      </c>
      <c r="F374" s="135"/>
      <c r="G374" s="135"/>
      <c r="H374" s="135"/>
      <c r="I374" s="135"/>
      <c r="J374" s="135"/>
      <c r="K374" s="135"/>
      <c r="L374" s="135"/>
    </row>
    <row r="375" spans="1:12" x14ac:dyDescent="0.25">
      <c r="F375" s="135"/>
      <c r="G375" s="135"/>
      <c r="H375" s="135"/>
      <c r="I375" s="135"/>
      <c r="J375" s="135"/>
      <c r="K375" s="135"/>
      <c r="L375" s="135"/>
    </row>
    <row r="376" spans="1:12" x14ac:dyDescent="0.25">
      <c r="F376" s="135"/>
      <c r="G376" s="135"/>
      <c r="H376" s="135"/>
      <c r="I376" s="135"/>
      <c r="J376" s="135"/>
      <c r="K376" s="135"/>
      <c r="L376" s="135"/>
    </row>
    <row r="377" spans="1:12" x14ac:dyDescent="0.25">
      <c r="F377" s="135"/>
      <c r="G377" s="135"/>
      <c r="H377" s="135"/>
      <c r="I377" s="135"/>
      <c r="J377" s="135"/>
      <c r="K377" s="135"/>
      <c r="L377" s="135"/>
    </row>
    <row r="378" spans="1:12" x14ac:dyDescent="0.25">
      <c r="F378" s="135"/>
      <c r="G378" s="135"/>
      <c r="H378" s="135"/>
      <c r="I378" s="135"/>
      <c r="J378" s="135"/>
      <c r="K378" s="135"/>
      <c r="L378" s="135"/>
    </row>
    <row r="379" spans="1:12" x14ac:dyDescent="0.25">
      <c r="F379" s="135"/>
      <c r="G379" s="135"/>
      <c r="H379" s="135"/>
      <c r="I379" s="135"/>
      <c r="J379" s="135"/>
      <c r="K379" s="135"/>
      <c r="L379" s="135"/>
    </row>
    <row r="380" spans="1:12" x14ac:dyDescent="0.25">
      <c r="F380" s="135"/>
      <c r="G380" s="135"/>
      <c r="H380" s="135"/>
      <c r="I380" s="135"/>
      <c r="J380" s="135"/>
      <c r="K380" s="135"/>
      <c r="L380" s="135"/>
    </row>
    <row r="381" spans="1:12" ht="15.5" x14ac:dyDescent="0.35">
      <c r="A381" s="68" t="s">
        <v>547</v>
      </c>
      <c r="F381" s="135"/>
      <c r="G381" s="135"/>
      <c r="H381" s="135"/>
      <c r="I381" s="135"/>
      <c r="J381" s="135"/>
      <c r="K381" s="135"/>
      <c r="L381" s="135"/>
    </row>
    <row r="382" spans="1:12" ht="13.5" thickBot="1" x14ac:dyDescent="0.35">
      <c r="B382" s="29" t="s">
        <v>486</v>
      </c>
      <c r="F382" s="135"/>
      <c r="G382" s="135"/>
      <c r="H382" s="135"/>
      <c r="I382" s="135"/>
      <c r="J382" s="135"/>
      <c r="K382" s="135"/>
      <c r="L382" s="135"/>
    </row>
    <row r="383" spans="1:12" x14ac:dyDescent="0.25">
      <c r="A383" s="1" t="s">
        <v>603</v>
      </c>
      <c r="B383" s="36">
        <v>8.5</v>
      </c>
      <c r="C383" s="8" t="s">
        <v>209</v>
      </c>
      <c r="F383" s="135"/>
      <c r="G383" s="135"/>
      <c r="H383" s="135"/>
      <c r="I383" s="135"/>
      <c r="J383" s="135"/>
      <c r="K383" s="135"/>
      <c r="L383" s="135"/>
    </row>
    <row r="384" spans="1:12" x14ac:dyDescent="0.25">
      <c r="A384" s="1" t="s">
        <v>604</v>
      </c>
      <c r="B384" s="33">
        <v>7</v>
      </c>
      <c r="C384" s="8" t="s">
        <v>209</v>
      </c>
      <c r="F384" s="135"/>
      <c r="G384" s="135"/>
      <c r="H384" s="135"/>
      <c r="I384" s="135"/>
      <c r="J384" s="135"/>
      <c r="K384" s="135"/>
      <c r="L384" s="135"/>
    </row>
    <row r="385" spans="1:12" x14ac:dyDescent="0.25">
      <c r="A385" s="1" t="s">
        <v>581</v>
      </c>
      <c r="B385" s="33">
        <v>1.5</v>
      </c>
      <c r="C385" s="8" t="s">
        <v>209</v>
      </c>
      <c r="F385" s="135"/>
      <c r="G385" s="135"/>
      <c r="H385" s="135"/>
      <c r="I385" s="135"/>
      <c r="J385" s="135"/>
      <c r="K385" s="135"/>
      <c r="L385" s="135"/>
    </row>
    <row r="386" spans="1:12" ht="13" thickBot="1" x14ac:dyDescent="0.3">
      <c r="A386" s="22" t="s">
        <v>610</v>
      </c>
      <c r="B386" s="197">
        <v>5000</v>
      </c>
      <c r="C386" s="12" t="s">
        <v>205</v>
      </c>
      <c r="F386" s="135"/>
      <c r="G386" s="135"/>
      <c r="H386" s="135"/>
      <c r="I386" s="135"/>
      <c r="J386" s="135"/>
      <c r="K386" s="135"/>
      <c r="L386" s="135"/>
    </row>
    <row r="387" spans="1:12" ht="13" x14ac:dyDescent="0.3">
      <c r="B387" s="29" t="s">
        <v>139</v>
      </c>
      <c r="F387" s="135"/>
      <c r="G387" s="135"/>
      <c r="H387" s="135"/>
      <c r="I387" s="135"/>
      <c r="J387" s="135"/>
      <c r="K387" s="135"/>
      <c r="L387" s="135"/>
    </row>
    <row r="388" spans="1:12" ht="13" x14ac:dyDescent="0.3">
      <c r="A388" s="2" t="s">
        <v>580</v>
      </c>
      <c r="B388" s="4" t="s">
        <v>609</v>
      </c>
      <c r="C388" s="10" t="s">
        <v>209</v>
      </c>
      <c r="F388" s="135"/>
      <c r="G388" s="135"/>
      <c r="H388" s="135"/>
      <c r="I388" s="135"/>
      <c r="J388" s="135"/>
      <c r="K388" s="135"/>
      <c r="L388" s="135"/>
    </row>
    <row r="389" spans="1:12" ht="13" x14ac:dyDescent="0.3">
      <c r="A389" s="43" t="s">
        <v>489</v>
      </c>
      <c r="B389" s="9">
        <f>B383-B384</f>
        <v>1.5</v>
      </c>
      <c r="C389" s="10" t="s">
        <v>209</v>
      </c>
      <c r="F389" s="135"/>
      <c r="G389" s="135"/>
      <c r="H389" s="135"/>
      <c r="I389" s="135"/>
      <c r="J389" s="135"/>
      <c r="K389" s="135"/>
      <c r="L389" s="135"/>
    </row>
    <row r="390" spans="1:12" ht="13" x14ac:dyDescent="0.3">
      <c r="A390" s="2" t="s">
        <v>579</v>
      </c>
      <c r="B390" s="4" t="s">
        <v>582</v>
      </c>
      <c r="F390" s="135"/>
      <c r="G390" s="135"/>
      <c r="H390" s="135"/>
      <c r="I390" s="135"/>
      <c r="J390" s="135"/>
      <c r="K390" s="135"/>
      <c r="L390" s="135"/>
    </row>
    <row r="391" spans="1:12" ht="13" x14ac:dyDescent="0.3">
      <c r="A391" s="22" t="s">
        <v>101</v>
      </c>
      <c r="B391" s="9">
        <f>B389*B385</f>
        <v>2.25</v>
      </c>
      <c r="C391" s="10" t="s">
        <v>583</v>
      </c>
      <c r="F391" s="135"/>
      <c r="G391" s="135"/>
      <c r="H391" s="135"/>
      <c r="I391" s="135"/>
      <c r="J391" s="135"/>
      <c r="K391" s="135"/>
      <c r="L391" s="135"/>
    </row>
    <row r="392" spans="1:12" ht="13" x14ac:dyDescent="0.3">
      <c r="A392" s="2" t="s">
        <v>851</v>
      </c>
      <c r="B392" s="4" t="s">
        <v>606</v>
      </c>
      <c r="C392" s="10"/>
      <c r="F392" s="135"/>
      <c r="G392" s="135"/>
      <c r="H392" s="135"/>
      <c r="I392" s="135"/>
      <c r="J392" s="135"/>
      <c r="K392" s="135"/>
      <c r="L392" s="135"/>
    </row>
    <row r="393" spans="1:12" ht="13" x14ac:dyDescent="0.3">
      <c r="A393" s="2" t="s">
        <v>101</v>
      </c>
      <c r="B393" s="4" t="s">
        <v>614</v>
      </c>
      <c r="C393" s="10"/>
      <c r="F393" s="135"/>
      <c r="G393" s="135"/>
      <c r="H393" s="135"/>
      <c r="I393" s="135"/>
      <c r="J393" s="135"/>
      <c r="K393" s="135"/>
      <c r="L393" s="135"/>
    </row>
    <row r="394" spans="1:12" ht="13" x14ac:dyDescent="0.3">
      <c r="A394" s="43" t="s">
        <v>101</v>
      </c>
      <c r="B394" s="9">
        <f>B389/(LN(B383/B384))</f>
        <v>7.7257457324668568</v>
      </c>
      <c r="C394" s="10" t="s">
        <v>209</v>
      </c>
      <c r="F394" s="135"/>
      <c r="G394" s="135"/>
      <c r="H394" s="135"/>
      <c r="I394" s="135"/>
      <c r="J394" s="135"/>
      <c r="K394" s="135"/>
      <c r="L394" s="135"/>
    </row>
    <row r="395" spans="1:12" ht="13" x14ac:dyDescent="0.3">
      <c r="A395" s="2" t="s">
        <v>574</v>
      </c>
      <c r="B395" s="4" t="s">
        <v>612</v>
      </c>
      <c r="C395" s="10"/>
      <c r="D395" s="193" t="s">
        <v>852</v>
      </c>
      <c r="F395" s="135"/>
      <c r="G395" s="135"/>
      <c r="H395" s="135"/>
      <c r="I395" s="135"/>
      <c r="J395" s="135"/>
      <c r="K395" s="135"/>
      <c r="L395" s="135"/>
    </row>
    <row r="396" spans="1:12" ht="13" x14ac:dyDescent="0.3">
      <c r="A396" s="43" t="s">
        <v>101</v>
      </c>
      <c r="B396" s="11">
        <f>B384+(B389/2)-B394</f>
        <v>2.4254267533143192E-2</v>
      </c>
      <c r="C396" s="10" t="s">
        <v>209</v>
      </c>
      <c r="D396" s="196">
        <f>((B383 + B384)/2) - B394</f>
        <v>2.4254267533143192E-2</v>
      </c>
      <c r="F396" s="135"/>
      <c r="G396" s="126"/>
      <c r="H396" s="135"/>
      <c r="I396" s="135"/>
      <c r="J396" s="135"/>
      <c r="K396" s="135"/>
      <c r="L396" s="135"/>
    </row>
    <row r="397" spans="1:12" ht="13" x14ac:dyDescent="0.3">
      <c r="A397" s="2" t="s">
        <v>549</v>
      </c>
      <c r="B397" s="4" t="s">
        <v>613</v>
      </c>
      <c r="C397" s="10"/>
      <c r="F397" s="135"/>
      <c r="G397" s="126"/>
      <c r="H397" s="135"/>
      <c r="I397" s="135"/>
      <c r="J397" s="135"/>
      <c r="K397" s="135"/>
      <c r="L397" s="135"/>
    </row>
    <row r="398" spans="1:12" ht="13" x14ac:dyDescent="0.3">
      <c r="A398" s="43" t="s">
        <v>101</v>
      </c>
      <c r="B398" s="195">
        <f>B386*(B394-B384)/(B391*(B396)*B384)</f>
        <v>9499.1724779800534</v>
      </c>
      <c r="C398" s="10" t="s">
        <v>275</v>
      </c>
      <c r="F398" s="135"/>
      <c r="G398" s="135"/>
      <c r="H398" s="135"/>
      <c r="I398" s="135"/>
      <c r="J398" s="135"/>
      <c r="K398" s="135"/>
      <c r="L398" s="135"/>
    </row>
    <row r="399" spans="1:12" ht="13" x14ac:dyDescent="0.3">
      <c r="A399" s="2" t="s">
        <v>789</v>
      </c>
      <c r="B399" s="4" t="s">
        <v>790</v>
      </c>
      <c r="C399" s="10"/>
      <c r="F399" s="135"/>
      <c r="G399" s="135"/>
      <c r="H399" s="135"/>
      <c r="I399" s="135"/>
      <c r="J399" s="135"/>
      <c r="K399" s="135"/>
      <c r="L399" s="135"/>
    </row>
    <row r="400" spans="1:12" ht="13" x14ac:dyDescent="0.3">
      <c r="A400" s="43" t="s">
        <v>101</v>
      </c>
      <c r="B400" s="195">
        <f>B386*(B383-B394)/(B391*B396*B384)</f>
        <v>10134.093112900689</v>
      </c>
      <c r="C400" s="10" t="s">
        <v>275</v>
      </c>
      <c r="F400" s="135"/>
      <c r="G400" s="135"/>
      <c r="H400" s="135"/>
      <c r="I400" s="135"/>
      <c r="J400" s="135"/>
      <c r="K400" s="135"/>
      <c r="L400" s="135"/>
    </row>
    <row r="401" spans="1:12" x14ac:dyDescent="0.25">
      <c r="F401" s="135"/>
      <c r="G401" s="135"/>
      <c r="H401" s="135"/>
      <c r="I401" s="135"/>
      <c r="J401" s="135"/>
      <c r="K401" s="135"/>
      <c r="L401" s="135"/>
    </row>
    <row r="402" spans="1:12" ht="15.5" x14ac:dyDescent="0.35">
      <c r="A402" s="68" t="s">
        <v>791</v>
      </c>
      <c r="B402" s="3"/>
      <c r="F402" s="135"/>
      <c r="G402" s="135"/>
      <c r="H402" s="135"/>
      <c r="I402" s="135"/>
      <c r="J402" s="135"/>
      <c r="K402" s="135"/>
      <c r="L402" s="135"/>
    </row>
    <row r="403" spans="1:12" x14ac:dyDescent="0.25">
      <c r="F403" s="135"/>
      <c r="G403" s="135"/>
      <c r="H403" s="135"/>
      <c r="I403" s="135"/>
      <c r="J403" s="135"/>
      <c r="K403" s="135"/>
      <c r="L403" s="135"/>
    </row>
    <row r="404" spans="1:12" ht="13" x14ac:dyDescent="0.3">
      <c r="A404" s="2" t="s">
        <v>792</v>
      </c>
      <c r="B404" s="4" t="s">
        <v>609</v>
      </c>
      <c r="F404" s="135"/>
      <c r="G404" s="135"/>
      <c r="H404" s="135"/>
      <c r="I404" s="135"/>
      <c r="J404" s="135"/>
      <c r="K404" s="135"/>
      <c r="L404" s="135"/>
    </row>
    <row r="405" spans="1:12" ht="13" x14ac:dyDescent="0.3">
      <c r="A405" s="43" t="s">
        <v>489</v>
      </c>
      <c r="B405" s="9">
        <f>B383-B384</f>
        <v>1.5</v>
      </c>
      <c r="C405" s="10" t="s">
        <v>209</v>
      </c>
      <c r="F405" s="135"/>
      <c r="G405" s="135"/>
      <c r="H405" s="135"/>
      <c r="I405" s="135"/>
      <c r="J405" s="135"/>
      <c r="K405" s="135"/>
      <c r="L405" s="135"/>
    </row>
    <row r="406" spans="1:12" ht="13" x14ac:dyDescent="0.3">
      <c r="A406" s="2" t="s">
        <v>616</v>
      </c>
      <c r="B406" s="10" t="s">
        <v>548</v>
      </c>
      <c r="C406" s="10"/>
      <c r="F406" s="135"/>
      <c r="G406" s="135"/>
      <c r="H406" s="135"/>
      <c r="I406" s="135"/>
      <c r="J406" s="135"/>
      <c r="K406" s="135"/>
      <c r="L406" s="135"/>
    </row>
    <row r="407" spans="1:12" ht="13" x14ac:dyDescent="0.3">
      <c r="A407" s="43" t="s">
        <v>489</v>
      </c>
      <c r="B407" s="9">
        <f>0.25*((B383^0.5+B384^0.5)^2)</f>
        <v>7.7318121551353789</v>
      </c>
      <c r="C407" s="10" t="s">
        <v>209</v>
      </c>
      <c r="F407" s="135"/>
      <c r="G407" s="135"/>
      <c r="H407" s="135"/>
      <c r="I407" s="135"/>
      <c r="J407" s="135"/>
      <c r="K407" s="135"/>
      <c r="L407" s="135"/>
    </row>
    <row r="408" spans="1:12" ht="13" x14ac:dyDescent="0.3">
      <c r="A408" s="2" t="s">
        <v>574</v>
      </c>
      <c r="B408" s="4" t="s">
        <v>688</v>
      </c>
      <c r="F408" s="135"/>
      <c r="G408" s="135"/>
      <c r="H408" s="135"/>
      <c r="I408" s="135"/>
      <c r="J408" s="135"/>
      <c r="K408" s="135"/>
      <c r="L408" s="135"/>
    </row>
    <row r="409" spans="1:12" ht="13" x14ac:dyDescent="0.3">
      <c r="A409" s="43" t="s">
        <v>101</v>
      </c>
      <c r="B409" s="9">
        <f>B384+(B383-B384)/2-B407</f>
        <v>1.8187844864621106E-2</v>
      </c>
      <c r="C409" s="10" t="s">
        <v>209</v>
      </c>
      <c r="F409" s="135"/>
      <c r="G409" s="135"/>
      <c r="H409" s="135"/>
      <c r="I409" s="135"/>
      <c r="J409" s="135"/>
      <c r="K409" s="135"/>
      <c r="L409" s="135"/>
    </row>
    <row r="410" spans="1:12" ht="13" x14ac:dyDescent="0.3">
      <c r="A410" s="2" t="s">
        <v>549</v>
      </c>
      <c r="B410" s="10" t="s">
        <v>613</v>
      </c>
      <c r="C410" s="10"/>
      <c r="F410" s="135"/>
      <c r="G410" s="135"/>
      <c r="H410" s="135"/>
      <c r="I410" s="135"/>
      <c r="J410" s="135"/>
      <c r="K410" s="135"/>
      <c r="L410" s="135"/>
    </row>
    <row r="411" spans="1:12" ht="13" x14ac:dyDescent="0.3">
      <c r="A411" s="43" t="s">
        <v>101</v>
      </c>
      <c r="B411" s="195">
        <f>B386*(B407-B384)/((3.142*(B405^2)/4)*B409*B384)</f>
        <v>16261.538599034928</v>
      </c>
      <c r="C411" s="10" t="s">
        <v>275</v>
      </c>
      <c r="F411" s="135"/>
      <c r="G411" s="135"/>
      <c r="H411" s="135"/>
      <c r="I411" s="135"/>
      <c r="J411" s="135"/>
      <c r="K411" s="135"/>
      <c r="L411" s="135"/>
    </row>
    <row r="412" spans="1:12" ht="13" x14ac:dyDescent="0.3">
      <c r="A412" s="2" t="s">
        <v>104</v>
      </c>
      <c r="B412" s="10" t="s">
        <v>615</v>
      </c>
      <c r="C412" s="10"/>
      <c r="F412" s="135"/>
      <c r="G412" s="135"/>
      <c r="H412" s="135"/>
      <c r="I412" s="135"/>
      <c r="J412" s="135"/>
      <c r="K412" s="135"/>
      <c r="L412" s="135"/>
    </row>
    <row r="413" spans="1:12" ht="13" x14ac:dyDescent="0.3">
      <c r="A413" s="43" t="s">
        <v>489</v>
      </c>
      <c r="B413" s="195">
        <f>B386*(B383-B407)/((3.142*B405^2/4)*B409*B383)</f>
        <v>14057.515172986556</v>
      </c>
      <c r="C413" s="10" t="s">
        <v>275</v>
      </c>
      <c r="F413" s="135"/>
      <c r="G413" s="63"/>
      <c r="H413" s="135"/>
      <c r="I413" s="135"/>
      <c r="J413" s="135"/>
      <c r="K413" s="135"/>
      <c r="L413" s="135"/>
    </row>
    <row r="414" spans="1:12" x14ac:dyDescent="0.25">
      <c r="F414" s="135"/>
      <c r="G414" s="63"/>
      <c r="H414" s="135"/>
      <c r="I414" s="135"/>
      <c r="J414" s="135"/>
      <c r="K414" s="135"/>
      <c r="L414" s="135"/>
    </row>
    <row r="415" spans="1:12" x14ac:dyDescent="0.25">
      <c r="A415" s="120"/>
      <c r="B415" s="120"/>
      <c r="C415" s="125"/>
      <c r="D415" s="120"/>
      <c r="E415" s="120"/>
      <c r="F415" s="135"/>
      <c r="G415" s="63"/>
      <c r="H415" s="135"/>
      <c r="I415" s="135"/>
      <c r="J415" s="135"/>
      <c r="K415" s="135"/>
      <c r="L415" s="135"/>
    </row>
    <row r="416" spans="1:12" ht="13" x14ac:dyDescent="0.3">
      <c r="A416" s="2"/>
      <c r="B416" s="5"/>
      <c r="C416" s="10"/>
      <c r="E416" s="4" t="s">
        <v>201</v>
      </c>
      <c r="F416" s="135"/>
      <c r="G416" s="135"/>
      <c r="H416" s="135"/>
      <c r="I416" s="135"/>
      <c r="J416" s="135"/>
      <c r="K416" s="135"/>
      <c r="L416" s="135"/>
    </row>
    <row r="417" spans="1:12" ht="15.5" x14ac:dyDescent="0.35">
      <c r="A417" s="68" t="s">
        <v>550</v>
      </c>
      <c r="F417" s="135"/>
      <c r="G417" s="135"/>
      <c r="H417" s="135"/>
      <c r="I417" s="135"/>
      <c r="J417" s="135"/>
      <c r="K417" s="135"/>
      <c r="L417" s="135"/>
    </row>
    <row r="418" spans="1:12" x14ac:dyDescent="0.25">
      <c r="F418" s="135"/>
      <c r="G418" s="135"/>
      <c r="H418" s="135"/>
      <c r="I418" s="135"/>
      <c r="J418" s="135"/>
      <c r="K418" s="135"/>
      <c r="L418" s="135"/>
    </row>
    <row r="419" spans="1:12" x14ac:dyDescent="0.25">
      <c r="F419" s="135"/>
      <c r="G419" s="135"/>
      <c r="H419" s="135"/>
      <c r="I419" s="135"/>
      <c r="J419" s="135"/>
      <c r="K419" s="135"/>
      <c r="L419" s="135"/>
    </row>
    <row r="420" spans="1:12" x14ac:dyDescent="0.25">
      <c r="F420" s="135"/>
      <c r="G420" s="135"/>
      <c r="H420" s="135"/>
      <c r="I420" s="135"/>
      <c r="J420" s="135"/>
      <c r="K420" s="135"/>
      <c r="L420" s="135"/>
    </row>
    <row r="421" spans="1:12" x14ac:dyDescent="0.25">
      <c r="F421" s="135"/>
      <c r="G421" s="135"/>
      <c r="H421" s="135"/>
      <c r="I421" s="135"/>
      <c r="J421" s="135"/>
      <c r="K421" s="135"/>
      <c r="L421" s="135"/>
    </row>
    <row r="422" spans="1:12" x14ac:dyDescent="0.25">
      <c r="F422" s="135"/>
      <c r="G422" s="135"/>
      <c r="H422" s="135"/>
      <c r="I422" s="135"/>
      <c r="J422" s="135"/>
      <c r="K422" s="135"/>
      <c r="L422" s="135"/>
    </row>
    <row r="423" spans="1:12" x14ac:dyDescent="0.25">
      <c r="F423" s="135"/>
      <c r="G423" s="135"/>
      <c r="H423" s="135"/>
      <c r="I423" s="135"/>
      <c r="J423" s="135"/>
      <c r="K423" s="135"/>
      <c r="L423" s="135"/>
    </row>
    <row r="424" spans="1:12" x14ac:dyDescent="0.25">
      <c r="F424" s="135"/>
      <c r="G424" s="135"/>
      <c r="H424" s="135"/>
      <c r="I424" s="135"/>
      <c r="J424" s="135"/>
      <c r="K424" s="135"/>
      <c r="L424" s="135"/>
    </row>
    <row r="425" spans="1:12" x14ac:dyDescent="0.25">
      <c r="F425" s="135"/>
      <c r="G425" s="135"/>
      <c r="H425" s="135"/>
      <c r="I425" s="135"/>
      <c r="J425" s="135"/>
      <c r="K425" s="135"/>
      <c r="L425" s="135"/>
    </row>
    <row r="426" spans="1:12" x14ac:dyDescent="0.25">
      <c r="F426" s="135"/>
      <c r="G426" s="135"/>
      <c r="H426" s="135"/>
      <c r="I426" s="135"/>
      <c r="J426" s="135"/>
      <c r="K426" s="135"/>
      <c r="L426" s="135"/>
    </row>
    <row r="427" spans="1:12" x14ac:dyDescent="0.25">
      <c r="F427" s="135"/>
      <c r="G427" s="135"/>
      <c r="H427" s="135"/>
      <c r="I427" s="135"/>
      <c r="J427" s="135"/>
      <c r="K427" s="135"/>
      <c r="L427" s="135"/>
    </row>
    <row r="428" spans="1:12" x14ac:dyDescent="0.25">
      <c r="F428" s="135"/>
      <c r="G428" s="135"/>
      <c r="H428" s="135"/>
      <c r="I428" s="135"/>
      <c r="J428" s="135"/>
      <c r="K428" s="135"/>
      <c r="L428" s="135"/>
    </row>
    <row r="429" spans="1:12" x14ac:dyDescent="0.25">
      <c r="F429" s="135"/>
      <c r="G429" s="135"/>
      <c r="H429" s="135"/>
      <c r="I429" s="135"/>
      <c r="J429" s="135"/>
      <c r="K429" s="135"/>
      <c r="L429" s="135"/>
    </row>
    <row r="430" spans="1:12" x14ac:dyDescent="0.25">
      <c r="F430" s="135"/>
      <c r="G430" s="135"/>
      <c r="H430" s="135"/>
      <c r="I430" s="135"/>
      <c r="J430" s="135"/>
      <c r="K430" s="135"/>
      <c r="L430" s="135"/>
    </row>
    <row r="431" spans="1:12" x14ac:dyDescent="0.25">
      <c r="F431" s="135"/>
      <c r="G431" s="135"/>
      <c r="H431" s="135"/>
      <c r="I431" s="135"/>
      <c r="J431" s="135"/>
      <c r="K431" s="135"/>
      <c r="L431" s="135"/>
    </row>
    <row r="432" spans="1:12" x14ac:dyDescent="0.25">
      <c r="F432" s="135"/>
      <c r="G432" s="135"/>
      <c r="H432" s="135"/>
      <c r="I432" s="135"/>
      <c r="J432" s="135"/>
      <c r="K432" s="135"/>
      <c r="L432" s="135"/>
    </row>
    <row r="433" spans="1:12" x14ac:dyDescent="0.25">
      <c r="F433" s="135"/>
      <c r="G433" s="135"/>
      <c r="H433" s="135"/>
      <c r="I433" s="135"/>
      <c r="J433" s="135"/>
      <c r="K433" s="135"/>
      <c r="L433" s="135"/>
    </row>
    <row r="434" spans="1:12" ht="13.5" thickBot="1" x14ac:dyDescent="0.35">
      <c r="B434" s="29" t="s">
        <v>486</v>
      </c>
      <c r="F434" s="135"/>
      <c r="G434" s="135"/>
      <c r="H434" s="135"/>
      <c r="I434" s="135"/>
      <c r="J434" s="135"/>
      <c r="K434" s="135"/>
      <c r="L434" s="135"/>
    </row>
    <row r="435" spans="1:12" x14ac:dyDescent="0.25">
      <c r="A435" s="1" t="s">
        <v>603</v>
      </c>
      <c r="B435" s="36">
        <v>6</v>
      </c>
      <c r="C435" s="8" t="s">
        <v>209</v>
      </c>
      <c r="F435" s="135"/>
      <c r="G435" s="135"/>
      <c r="H435" s="135"/>
      <c r="I435" s="135"/>
      <c r="J435" s="135"/>
      <c r="K435" s="135"/>
      <c r="L435" s="135"/>
    </row>
    <row r="436" spans="1:12" x14ac:dyDescent="0.25">
      <c r="A436" s="1" t="s">
        <v>604</v>
      </c>
      <c r="B436" s="33">
        <v>4</v>
      </c>
      <c r="C436" s="8" t="s">
        <v>209</v>
      </c>
      <c r="F436" s="135"/>
      <c r="G436" s="135"/>
      <c r="H436" s="135"/>
      <c r="I436" s="135"/>
      <c r="J436" s="135"/>
      <c r="K436" s="135"/>
      <c r="L436" s="135"/>
    </row>
    <row r="437" spans="1:12" ht="13" thickBot="1" x14ac:dyDescent="0.3">
      <c r="A437" s="22" t="s">
        <v>610</v>
      </c>
      <c r="B437" s="51">
        <v>175</v>
      </c>
      <c r="C437" s="12" t="s">
        <v>205</v>
      </c>
      <c r="F437" s="135"/>
      <c r="G437" s="63"/>
      <c r="H437" s="135"/>
      <c r="I437" s="135"/>
      <c r="J437" s="135"/>
      <c r="K437" s="135"/>
      <c r="L437" s="135"/>
    </row>
    <row r="438" spans="1:12" ht="13" x14ac:dyDescent="0.3">
      <c r="B438" s="29" t="s">
        <v>139</v>
      </c>
      <c r="F438" s="135"/>
      <c r="G438" s="63"/>
      <c r="H438" s="135"/>
      <c r="I438" s="135"/>
      <c r="J438" s="135"/>
      <c r="K438" s="135"/>
      <c r="L438" s="135"/>
    </row>
    <row r="439" spans="1:12" ht="13" x14ac:dyDescent="0.3">
      <c r="A439" s="2" t="s">
        <v>792</v>
      </c>
      <c r="B439" s="4" t="s">
        <v>609</v>
      </c>
      <c r="F439" s="135"/>
      <c r="G439" s="63"/>
      <c r="H439" s="135"/>
      <c r="I439" s="135"/>
      <c r="J439" s="135"/>
      <c r="K439" s="135"/>
      <c r="L439" s="135"/>
    </row>
    <row r="440" spans="1:12" ht="13" x14ac:dyDescent="0.3">
      <c r="A440" s="2" t="s">
        <v>625</v>
      </c>
      <c r="B440" s="4">
        <f>B435-B436</f>
        <v>2</v>
      </c>
      <c r="C440" s="10" t="s">
        <v>209</v>
      </c>
      <c r="F440" s="135"/>
      <c r="G440" s="63"/>
      <c r="H440" s="135"/>
      <c r="I440" s="135"/>
      <c r="J440" s="135"/>
      <c r="K440" s="135"/>
      <c r="L440" s="135"/>
    </row>
    <row r="441" spans="1:12" ht="13" x14ac:dyDescent="0.3">
      <c r="A441" s="2" t="s">
        <v>616</v>
      </c>
      <c r="B441" s="10" t="s">
        <v>548</v>
      </c>
      <c r="C441" s="10"/>
      <c r="F441" s="135"/>
      <c r="G441" s="63"/>
      <c r="H441" s="135"/>
      <c r="I441" s="135"/>
      <c r="J441" s="135"/>
      <c r="K441" s="135"/>
      <c r="L441" s="135"/>
    </row>
    <row r="442" spans="1:12" ht="13" x14ac:dyDescent="0.3">
      <c r="A442" s="2" t="s">
        <v>605</v>
      </c>
      <c r="B442" s="9">
        <f>0.25*((B435^0.5+B436^0.5)^2)</f>
        <v>4.9494897427831779</v>
      </c>
      <c r="C442" s="10" t="s">
        <v>209</v>
      </c>
      <c r="F442" s="135"/>
      <c r="G442" s="63"/>
      <c r="H442" s="135"/>
      <c r="I442" s="135"/>
      <c r="J442" s="135"/>
      <c r="K442" s="135"/>
      <c r="L442" s="135"/>
    </row>
    <row r="443" spans="1:12" ht="13" x14ac:dyDescent="0.3">
      <c r="A443" s="2" t="s">
        <v>574</v>
      </c>
      <c r="B443" s="4" t="s">
        <v>688</v>
      </c>
      <c r="F443" s="135"/>
      <c r="G443" s="135"/>
      <c r="H443" s="135"/>
      <c r="I443" s="135"/>
      <c r="J443" s="135"/>
      <c r="K443" s="135"/>
      <c r="L443" s="135"/>
    </row>
    <row r="444" spans="1:12" ht="13" x14ac:dyDescent="0.3">
      <c r="A444" s="2" t="s">
        <v>574</v>
      </c>
      <c r="B444" s="9">
        <f>B436+(B435-B436)/2-B442</f>
        <v>5.0510257216822119E-2</v>
      </c>
      <c r="C444" s="10" t="s">
        <v>209</v>
      </c>
      <c r="F444" s="135"/>
      <c r="G444" s="135"/>
      <c r="H444" s="135"/>
      <c r="I444" s="135"/>
      <c r="J444" s="135"/>
      <c r="K444" s="135"/>
      <c r="L444" s="135"/>
    </row>
    <row r="445" spans="1:12" ht="13" x14ac:dyDescent="0.3">
      <c r="A445" s="2" t="s">
        <v>549</v>
      </c>
      <c r="B445" s="10" t="s">
        <v>551</v>
      </c>
      <c r="C445" s="10"/>
      <c r="F445" s="135"/>
      <c r="G445" s="135"/>
      <c r="H445" s="135"/>
      <c r="I445" s="135"/>
      <c r="J445" s="135"/>
      <c r="K445" s="135"/>
      <c r="L445" s="135"/>
    </row>
    <row r="446" spans="1:12" ht="13" x14ac:dyDescent="0.3">
      <c r="A446" s="2" t="s">
        <v>489</v>
      </c>
      <c r="B446" s="198">
        <f>(B437*(B442+B444))*(B442-B436)/((3.142*(B440^2)/4)*B444*B436)</f>
        <v>1308.7375954599815</v>
      </c>
      <c r="C446" s="10" t="s">
        <v>275</v>
      </c>
      <c r="F446" s="135"/>
      <c r="G446" s="135"/>
      <c r="H446" s="135"/>
      <c r="I446" s="135"/>
      <c r="J446" s="135"/>
      <c r="K446" s="135"/>
      <c r="L446" s="135"/>
    </row>
    <row r="447" spans="1:12" ht="13" x14ac:dyDescent="0.3">
      <c r="A447" s="2" t="s">
        <v>611</v>
      </c>
      <c r="B447" s="10" t="s">
        <v>615</v>
      </c>
      <c r="C447" s="10"/>
      <c r="F447" s="135"/>
      <c r="G447" s="135"/>
      <c r="H447" s="135"/>
      <c r="I447" s="135"/>
      <c r="J447" s="135"/>
      <c r="K447" s="135"/>
      <c r="L447" s="135"/>
    </row>
    <row r="448" spans="1:12" ht="13" x14ac:dyDescent="0.3">
      <c r="A448" s="2" t="s">
        <v>489</v>
      </c>
      <c r="B448" s="195">
        <f>B437*(B435-B442)/((3.142*B440^2/4)*B444*B435)</f>
        <v>193.06401548632556</v>
      </c>
      <c r="C448" s="10" t="s">
        <v>275</v>
      </c>
      <c r="F448" s="135"/>
      <c r="G448" s="135"/>
      <c r="H448" s="135"/>
      <c r="I448" s="135"/>
      <c r="J448" s="135"/>
      <c r="K448" s="135"/>
      <c r="L448" s="135"/>
    </row>
    <row r="449" spans="1:12" x14ac:dyDescent="0.25">
      <c r="F449" s="135"/>
      <c r="G449" s="135"/>
      <c r="H449" s="135"/>
      <c r="I449" s="135"/>
      <c r="J449" s="135"/>
      <c r="K449" s="135"/>
      <c r="L449" s="135"/>
    </row>
    <row r="450" spans="1:12" x14ac:dyDescent="0.25">
      <c r="A450" s="120"/>
      <c r="B450" s="120"/>
      <c r="C450" s="125"/>
      <c r="D450" s="120"/>
      <c r="E450" s="120"/>
      <c r="F450" s="135"/>
      <c r="G450" s="135"/>
      <c r="H450" s="135"/>
      <c r="I450" s="135"/>
      <c r="J450" s="135"/>
      <c r="K450" s="135"/>
      <c r="L450" s="135"/>
    </row>
    <row r="451" spans="1:12" x14ac:dyDescent="0.25">
      <c r="F451" s="135"/>
      <c r="G451" s="135"/>
      <c r="H451" s="135"/>
      <c r="I451" s="135"/>
      <c r="J451" s="135"/>
      <c r="K451" s="135"/>
      <c r="L451" s="135"/>
    </row>
    <row r="452" spans="1:12" ht="15.5" x14ac:dyDescent="0.35">
      <c r="A452" s="68" t="s">
        <v>715</v>
      </c>
      <c r="F452" s="135"/>
      <c r="G452" s="135"/>
      <c r="H452" s="135"/>
      <c r="I452" s="135"/>
      <c r="J452" s="135"/>
      <c r="K452" s="135"/>
      <c r="L452" s="135"/>
    </row>
    <row r="453" spans="1:12" ht="13.5" thickBot="1" x14ac:dyDescent="0.35">
      <c r="B453" s="29" t="s">
        <v>486</v>
      </c>
      <c r="F453" s="135"/>
      <c r="G453" s="135"/>
      <c r="H453" s="135"/>
      <c r="I453" s="135"/>
      <c r="J453" s="135"/>
      <c r="K453" s="135"/>
      <c r="L453" s="135"/>
    </row>
    <row r="454" spans="1:12" x14ac:dyDescent="0.25">
      <c r="A454" s="1" t="s">
        <v>475</v>
      </c>
      <c r="B454" s="36">
        <v>1.25</v>
      </c>
      <c r="C454" s="8" t="s">
        <v>209</v>
      </c>
      <c r="F454" s="135"/>
      <c r="G454" s="135"/>
      <c r="H454" s="135"/>
      <c r="I454" s="135"/>
      <c r="J454" s="135"/>
      <c r="K454" s="135"/>
      <c r="L454" s="135"/>
    </row>
    <row r="455" spans="1:12" ht="13" thickBot="1" x14ac:dyDescent="0.3">
      <c r="A455" s="1" t="s">
        <v>226</v>
      </c>
      <c r="B455" s="37">
        <v>3.5</v>
      </c>
      <c r="C455" s="8" t="s">
        <v>209</v>
      </c>
      <c r="F455" s="135"/>
      <c r="G455" s="135"/>
      <c r="H455" s="135"/>
      <c r="I455" s="135"/>
      <c r="J455" s="135"/>
      <c r="K455" s="135"/>
      <c r="L455" s="135"/>
    </row>
    <row r="456" spans="1:12" ht="13" x14ac:dyDescent="0.3">
      <c r="B456" s="29" t="s">
        <v>139</v>
      </c>
      <c r="F456" s="135"/>
      <c r="G456" s="135"/>
      <c r="H456" s="135"/>
      <c r="I456" s="135"/>
      <c r="J456" s="135"/>
      <c r="K456" s="135"/>
      <c r="L456" s="135"/>
    </row>
    <row r="457" spans="1:12" ht="13" x14ac:dyDescent="0.3">
      <c r="A457" s="2" t="s">
        <v>712</v>
      </c>
      <c r="B457" s="4" t="s">
        <v>264</v>
      </c>
      <c r="F457" s="135"/>
      <c r="G457" s="135"/>
      <c r="H457" s="135"/>
      <c r="I457" s="135"/>
      <c r="J457" s="135"/>
      <c r="K457" s="135"/>
      <c r="L457" s="135"/>
    </row>
    <row r="458" spans="1:12" ht="13" x14ac:dyDescent="0.3">
      <c r="A458" s="2" t="s">
        <v>713</v>
      </c>
      <c r="B458" s="9">
        <f>B454*B455^3/12</f>
        <v>4.466145833333333</v>
      </c>
      <c r="C458" s="10" t="s">
        <v>203</v>
      </c>
      <c r="F458" s="135"/>
      <c r="G458" s="135"/>
      <c r="H458" s="135"/>
      <c r="I458" s="135"/>
      <c r="J458" s="135"/>
      <c r="K458" s="135"/>
      <c r="L458" s="135"/>
    </row>
    <row r="459" spans="1:12" ht="13" x14ac:dyDescent="0.3">
      <c r="A459" s="2" t="s">
        <v>716</v>
      </c>
      <c r="B459" s="4" t="s">
        <v>714</v>
      </c>
      <c r="F459" s="135"/>
      <c r="G459" s="135"/>
      <c r="H459" s="135"/>
      <c r="I459" s="135"/>
      <c r="J459" s="135"/>
      <c r="K459" s="135"/>
      <c r="L459" s="135"/>
    </row>
    <row r="460" spans="1:12" ht="13" x14ac:dyDescent="0.3">
      <c r="A460" s="43" t="s">
        <v>101</v>
      </c>
      <c r="B460" s="4">
        <f>B455/2</f>
        <v>1.75</v>
      </c>
      <c r="C460" s="10" t="s">
        <v>209</v>
      </c>
      <c r="F460" s="135"/>
      <c r="G460" s="135"/>
      <c r="H460" s="135"/>
      <c r="I460" s="135"/>
      <c r="J460" s="135"/>
      <c r="K460" s="135"/>
      <c r="L460" s="135"/>
    </row>
    <row r="461" spans="1:12" x14ac:dyDescent="0.25">
      <c r="F461" s="135"/>
      <c r="G461" s="135"/>
      <c r="H461" s="135"/>
      <c r="I461" s="135"/>
      <c r="J461" s="135"/>
      <c r="K461" s="135"/>
      <c r="L461" s="135"/>
    </row>
    <row r="462" spans="1:12" x14ac:dyDescent="0.25">
      <c r="A462" s="120"/>
      <c r="B462" s="120"/>
      <c r="C462" s="125"/>
      <c r="D462" s="120"/>
      <c r="E462" s="120"/>
      <c r="F462" s="135"/>
      <c r="G462" s="135"/>
      <c r="H462" s="135"/>
      <c r="I462" s="135"/>
      <c r="J462" s="135"/>
      <c r="K462" s="135"/>
      <c r="L462" s="135"/>
    </row>
    <row r="463" spans="1:12" x14ac:dyDescent="0.25">
      <c r="F463" s="135"/>
      <c r="G463" s="135"/>
      <c r="H463" s="135"/>
      <c r="I463" s="135"/>
      <c r="J463" s="135"/>
      <c r="K463" s="135"/>
      <c r="L463" s="135"/>
    </row>
    <row r="464" spans="1:12" ht="15.5" x14ac:dyDescent="0.35">
      <c r="A464" s="82" t="s">
        <v>799</v>
      </c>
      <c r="F464" s="135"/>
      <c r="G464" s="135"/>
      <c r="H464" s="135"/>
      <c r="I464" s="135"/>
      <c r="J464" s="135"/>
      <c r="K464" s="135"/>
      <c r="L464" s="135"/>
    </row>
    <row r="465" spans="1:12" ht="13" x14ac:dyDescent="0.3">
      <c r="E465" s="4" t="s">
        <v>201</v>
      </c>
      <c r="F465" s="135"/>
      <c r="G465" s="135"/>
      <c r="H465" s="135"/>
      <c r="I465" s="135"/>
      <c r="J465" s="135"/>
      <c r="K465" s="135"/>
      <c r="L465" s="135"/>
    </row>
    <row r="466" spans="1:12" x14ac:dyDescent="0.25">
      <c r="F466" s="135"/>
      <c r="G466" s="135"/>
      <c r="H466" s="135"/>
      <c r="I466" s="135"/>
      <c r="J466" s="135"/>
      <c r="K466" s="135"/>
      <c r="L466" s="135"/>
    </row>
    <row r="467" spans="1:12" x14ac:dyDescent="0.25">
      <c r="F467" s="135"/>
      <c r="G467" s="135"/>
      <c r="H467" s="135"/>
      <c r="I467" s="135"/>
      <c r="J467" s="135"/>
      <c r="K467" s="135"/>
      <c r="L467" s="135"/>
    </row>
    <row r="468" spans="1:12" x14ac:dyDescent="0.25">
      <c r="F468" s="135"/>
      <c r="G468" s="135"/>
      <c r="H468" s="135"/>
      <c r="I468" s="135"/>
      <c r="J468" s="135"/>
      <c r="K468" s="135"/>
      <c r="L468" s="135"/>
    </row>
    <row r="469" spans="1:12" ht="16" thickBot="1" x14ac:dyDescent="0.4">
      <c r="A469" s="1"/>
      <c r="B469" s="93" t="s">
        <v>14</v>
      </c>
      <c r="F469" s="135"/>
      <c r="G469" s="135"/>
      <c r="H469" s="135"/>
      <c r="I469" s="135"/>
      <c r="J469" s="135"/>
      <c r="K469" s="135"/>
      <c r="L469" s="135"/>
    </row>
    <row r="470" spans="1:12" ht="13.5" thickBot="1" x14ac:dyDescent="0.35">
      <c r="A470" s="94"/>
      <c r="B470" s="95" t="s">
        <v>485</v>
      </c>
      <c r="C470" s="171"/>
      <c r="D470" s="96" t="s">
        <v>777</v>
      </c>
      <c r="E470" s="85"/>
      <c r="F470" s="135"/>
      <c r="G470" s="135"/>
      <c r="H470" s="135"/>
      <c r="I470" s="135"/>
      <c r="J470" s="135"/>
      <c r="K470" s="135"/>
      <c r="L470" s="135"/>
    </row>
    <row r="471" spans="1:12" ht="13.5" thickBot="1" x14ac:dyDescent="0.35">
      <c r="A471" s="4" t="s">
        <v>201</v>
      </c>
      <c r="B471" s="17" t="s">
        <v>490</v>
      </c>
      <c r="C471" s="172" t="s">
        <v>491</v>
      </c>
      <c r="D471" s="97" t="s">
        <v>483</v>
      </c>
      <c r="E471" s="84" t="s">
        <v>493</v>
      </c>
      <c r="F471" s="135"/>
      <c r="G471" s="135"/>
      <c r="H471" s="135"/>
      <c r="I471" s="135"/>
      <c r="J471" s="135"/>
      <c r="K471" s="135"/>
      <c r="L471" s="135"/>
    </row>
    <row r="472" spans="1:12" ht="13" x14ac:dyDescent="0.3">
      <c r="A472" s="2">
        <v>1</v>
      </c>
      <c r="B472" s="52">
        <v>9</v>
      </c>
      <c r="C472" s="173">
        <v>2</v>
      </c>
      <c r="D472" s="98">
        <f>B472*C472</f>
        <v>18</v>
      </c>
      <c r="E472" s="98">
        <f>(C474)+(C473)+(C472/2)</f>
        <v>11</v>
      </c>
      <c r="F472" s="135"/>
      <c r="G472" s="135"/>
      <c r="H472" s="135"/>
      <c r="I472" s="135"/>
      <c r="J472" s="135"/>
      <c r="K472" s="135"/>
      <c r="L472" s="135"/>
    </row>
    <row r="473" spans="1:12" ht="13" x14ac:dyDescent="0.3">
      <c r="A473" s="2">
        <v>2</v>
      </c>
      <c r="B473" s="52">
        <v>1.5</v>
      </c>
      <c r="C473" s="174">
        <v>7</v>
      </c>
      <c r="D473" s="99">
        <f>B473*C473</f>
        <v>10.5</v>
      </c>
      <c r="E473" s="99">
        <f>(C474)+(C473/2)</f>
        <v>6.5</v>
      </c>
      <c r="F473" s="135"/>
      <c r="G473" s="135"/>
      <c r="H473" s="135"/>
      <c r="I473" s="135"/>
      <c r="J473" s="135"/>
      <c r="K473" s="135"/>
      <c r="L473" s="135"/>
    </row>
    <row r="474" spans="1:12" ht="13.5" thickBot="1" x14ac:dyDescent="0.35">
      <c r="A474" s="2">
        <v>3</v>
      </c>
      <c r="B474" s="53">
        <v>6</v>
      </c>
      <c r="C474" s="175">
        <v>3</v>
      </c>
      <c r="D474" s="21">
        <f>B474*C474</f>
        <v>18</v>
      </c>
      <c r="E474" s="21">
        <f>C474/2</f>
        <v>1.5</v>
      </c>
      <c r="F474" s="135"/>
      <c r="G474" s="135"/>
      <c r="H474" s="135"/>
      <c r="I474" s="135"/>
      <c r="J474" s="135"/>
      <c r="K474" s="135"/>
      <c r="L474" s="135"/>
    </row>
    <row r="475" spans="1:12" ht="13.5" thickBot="1" x14ac:dyDescent="0.35">
      <c r="B475" s="3" t="s">
        <v>201</v>
      </c>
      <c r="C475" s="10" t="s">
        <v>266</v>
      </c>
      <c r="D475" s="84">
        <f>SUM(D472:D474)</f>
        <v>46.5</v>
      </c>
      <c r="F475" s="135"/>
      <c r="G475" s="135"/>
      <c r="H475" s="135"/>
      <c r="I475" s="135"/>
      <c r="J475" s="135"/>
      <c r="K475" s="135"/>
      <c r="L475" s="135"/>
    </row>
    <row r="476" spans="1:12" ht="13" thickBot="1" x14ac:dyDescent="0.3">
      <c r="B476" s="3"/>
      <c r="F476" s="135"/>
      <c r="G476" s="135"/>
      <c r="H476" s="135"/>
      <c r="I476" s="135"/>
      <c r="J476" s="135"/>
      <c r="K476" s="135"/>
      <c r="L476" s="135"/>
    </row>
    <row r="477" spans="1:12" ht="13.5" thickBot="1" x14ac:dyDescent="0.35">
      <c r="B477" s="100"/>
      <c r="C477" s="96" t="s">
        <v>139</v>
      </c>
      <c r="D477" s="101"/>
      <c r="E477" s="102"/>
      <c r="F477" s="135"/>
      <c r="G477" s="135"/>
      <c r="H477" s="135"/>
      <c r="I477" s="135"/>
      <c r="J477" s="135"/>
      <c r="K477" s="135"/>
      <c r="L477" s="135"/>
    </row>
    <row r="478" spans="1:12" ht="13.5" thickBot="1" x14ac:dyDescent="0.35">
      <c r="B478" s="84" t="s">
        <v>493</v>
      </c>
      <c r="C478" s="27" t="s">
        <v>710</v>
      </c>
      <c r="D478" s="97" t="s">
        <v>711</v>
      </c>
      <c r="E478" s="84" t="s">
        <v>487</v>
      </c>
      <c r="F478" s="135"/>
      <c r="G478" s="135"/>
      <c r="H478" s="135"/>
      <c r="I478" s="135"/>
      <c r="J478" s="135"/>
      <c r="K478" s="135"/>
      <c r="L478" s="135"/>
    </row>
    <row r="479" spans="1:12" ht="13" x14ac:dyDescent="0.3">
      <c r="A479" s="2">
        <v>1</v>
      </c>
      <c r="B479" s="103">
        <f>(E472)</f>
        <v>11</v>
      </c>
      <c r="C479" s="176">
        <f>(B472*C472)*E472</f>
        <v>198</v>
      </c>
      <c r="D479" s="105">
        <f>(B472*C472)*B479^2</f>
        <v>2178</v>
      </c>
      <c r="E479" s="105">
        <f>(B472*C472^3)/12</f>
        <v>6</v>
      </c>
      <c r="F479" s="135"/>
      <c r="G479" s="135"/>
      <c r="H479" s="135"/>
      <c r="I479" s="135"/>
      <c r="J479" s="135"/>
      <c r="K479" s="135"/>
      <c r="L479" s="135"/>
    </row>
    <row r="480" spans="1:12" ht="13" x14ac:dyDescent="0.3">
      <c r="A480" s="2">
        <v>2</v>
      </c>
      <c r="B480" s="106">
        <f>(E473)</f>
        <v>6.5</v>
      </c>
      <c r="C480" s="169">
        <f>(B473*C473)*E473</f>
        <v>68.25</v>
      </c>
      <c r="D480" s="107">
        <f>(B473*C473)*B480^2</f>
        <v>443.625</v>
      </c>
      <c r="E480" s="107">
        <f>(B473*C473^3)/12</f>
        <v>42.875</v>
      </c>
      <c r="F480" s="135"/>
      <c r="G480" s="135"/>
      <c r="H480" s="135"/>
      <c r="I480" s="135"/>
      <c r="J480" s="135"/>
      <c r="K480" s="135"/>
      <c r="L480" s="135"/>
    </row>
    <row r="481" spans="1:12" ht="13.5" thickBot="1" x14ac:dyDescent="0.35">
      <c r="A481" s="2">
        <v>3</v>
      </c>
      <c r="B481" s="108">
        <f>(E474)</f>
        <v>1.5</v>
      </c>
      <c r="C481" s="170">
        <f>(B474*C474)*E474</f>
        <v>27</v>
      </c>
      <c r="D481" s="109">
        <f>(B474*C474)*B481^2</f>
        <v>40.5</v>
      </c>
      <c r="E481" s="109">
        <f>(B474*C474^3)/12</f>
        <v>13.5</v>
      </c>
      <c r="F481" s="135"/>
      <c r="G481" s="135"/>
      <c r="H481" s="135"/>
      <c r="I481" s="135"/>
      <c r="J481" s="135"/>
      <c r="K481" s="135"/>
      <c r="L481" s="135"/>
    </row>
    <row r="482" spans="1:12" ht="13.5" thickBot="1" x14ac:dyDescent="0.35">
      <c r="A482" s="1"/>
      <c r="B482" s="2" t="s">
        <v>488</v>
      </c>
      <c r="C482" s="177">
        <f>SUM(C479:C481)</f>
        <v>293.25</v>
      </c>
      <c r="D482" s="110">
        <f>SUM(D479:D481)</f>
        <v>2662.125</v>
      </c>
      <c r="E482" s="110">
        <f>SUM(E479:E481)</f>
        <v>62.375</v>
      </c>
      <c r="F482" s="135"/>
      <c r="G482" s="135"/>
      <c r="H482" s="135"/>
      <c r="I482" s="135"/>
      <c r="J482" s="135"/>
      <c r="K482" s="135"/>
      <c r="L482" s="135"/>
    </row>
    <row r="483" spans="1:12" x14ac:dyDescent="0.25">
      <c r="F483" s="135"/>
      <c r="G483" s="135"/>
      <c r="H483" s="135"/>
      <c r="I483" s="135"/>
      <c r="J483" s="135"/>
      <c r="K483" s="135"/>
      <c r="L483" s="135"/>
    </row>
    <row r="484" spans="1:12" ht="13" x14ac:dyDescent="0.3">
      <c r="A484" s="1"/>
      <c r="C484" s="14" t="s">
        <v>139</v>
      </c>
      <c r="E484" s="3"/>
      <c r="F484" s="135"/>
      <c r="G484" s="135"/>
      <c r="H484" s="135"/>
      <c r="I484" s="135"/>
      <c r="J484" s="135"/>
      <c r="K484" s="135"/>
      <c r="L484" s="135"/>
    </row>
    <row r="485" spans="1:12" ht="13" x14ac:dyDescent="0.3">
      <c r="A485" s="1"/>
      <c r="B485" s="2" t="s">
        <v>709</v>
      </c>
      <c r="C485" s="10" t="s">
        <v>721</v>
      </c>
      <c r="D485" s="4"/>
      <c r="E485" s="9"/>
      <c r="F485" s="135"/>
      <c r="G485" s="135"/>
      <c r="H485" s="135"/>
      <c r="I485" s="135"/>
      <c r="J485" s="135"/>
      <c r="K485" s="135"/>
      <c r="L485" s="135"/>
    </row>
    <row r="486" spans="1:12" ht="13" x14ac:dyDescent="0.3">
      <c r="A486" s="1"/>
      <c r="B486" s="2" t="s">
        <v>489</v>
      </c>
      <c r="C486" s="41">
        <f>D482+E482</f>
        <v>2724.5</v>
      </c>
      <c r="D486" s="16" t="s">
        <v>203</v>
      </c>
      <c r="E486" s="3"/>
      <c r="F486" s="135"/>
      <c r="G486" s="135"/>
      <c r="H486" s="135"/>
      <c r="I486" s="135"/>
      <c r="J486" s="135"/>
      <c r="K486" s="135"/>
      <c r="L486" s="135"/>
    </row>
    <row r="487" spans="1:12" ht="13" x14ac:dyDescent="0.3">
      <c r="A487" s="1"/>
      <c r="B487" s="2" t="s">
        <v>720</v>
      </c>
      <c r="C487" s="10" t="s">
        <v>494</v>
      </c>
      <c r="D487" s="3"/>
      <c r="E487" s="6"/>
      <c r="F487" s="135"/>
      <c r="G487" s="135"/>
      <c r="H487" s="135"/>
      <c r="I487" s="135"/>
      <c r="J487" s="135"/>
      <c r="K487" s="135"/>
      <c r="L487" s="135"/>
    </row>
    <row r="488" spans="1:12" ht="13" x14ac:dyDescent="0.3">
      <c r="B488" s="2" t="s">
        <v>489</v>
      </c>
      <c r="C488" s="178">
        <f>C482/D475</f>
        <v>6.306451612903226</v>
      </c>
      <c r="D488" s="16" t="s">
        <v>209</v>
      </c>
      <c r="F488" s="135"/>
      <c r="G488" s="135"/>
      <c r="H488" s="135"/>
      <c r="I488" s="135"/>
      <c r="J488" s="135"/>
      <c r="K488" s="135"/>
      <c r="L488" s="135"/>
    </row>
    <row r="489" spans="1:12" ht="15.5" x14ac:dyDescent="0.35">
      <c r="A489" s="68" t="s">
        <v>201</v>
      </c>
      <c r="B489" s="2" t="s">
        <v>645</v>
      </c>
      <c r="C489" s="10" t="s">
        <v>719</v>
      </c>
      <c r="D489" s="16"/>
      <c r="F489" s="135"/>
      <c r="G489" s="135"/>
      <c r="H489" s="135"/>
      <c r="I489" s="135"/>
      <c r="J489" s="135"/>
      <c r="K489" s="135"/>
      <c r="L489" s="135"/>
    </row>
    <row r="490" spans="1:12" ht="13" x14ac:dyDescent="0.3">
      <c r="B490" s="43" t="s">
        <v>101</v>
      </c>
      <c r="C490" s="178">
        <f>E472+C472/2</f>
        <v>12</v>
      </c>
      <c r="D490" s="16" t="s">
        <v>209</v>
      </c>
      <c r="F490" s="135"/>
      <c r="G490" s="135"/>
      <c r="H490" s="135"/>
      <c r="I490" s="135"/>
      <c r="J490" s="135"/>
      <c r="K490" s="135"/>
      <c r="L490" s="135"/>
    </row>
    <row r="491" spans="1:12" x14ac:dyDescent="0.25">
      <c r="F491" s="135"/>
      <c r="G491" s="135"/>
      <c r="H491" s="135"/>
      <c r="I491" s="135"/>
      <c r="J491" s="135"/>
      <c r="K491" s="135"/>
      <c r="L491" s="135"/>
    </row>
    <row r="492" spans="1:12" x14ac:dyDescent="0.25">
      <c r="A492" s="120"/>
      <c r="B492" s="120"/>
      <c r="C492" s="125"/>
      <c r="D492" s="120"/>
      <c r="E492" s="120"/>
      <c r="F492" s="135"/>
      <c r="G492" s="135"/>
      <c r="H492" s="135"/>
      <c r="I492" s="135"/>
      <c r="J492" s="135"/>
      <c r="K492" s="135"/>
      <c r="L492" s="135"/>
    </row>
    <row r="493" spans="1:12" x14ac:dyDescent="0.25">
      <c r="F493" s="135"/>
      <c r="G493" s="135"/>
      <c r="H493" s="135"/>
      <c r="I493" s="135"/>
      <c r="J493" s="135"/>
      <c r="K493" s="135"/>
      <c r="L493" s="135"/>
    </row>
    <row r="494" spans="1:12" ht="15.5" x14ac:dyDescent="0.35">
      <c r="A494" s="82" t="s">
        <v>797</v>
      </c>
      <c r="F494" s="135"/>
      <c r="G494" s="135"/>
      <c r="H494" s="135"/>
      <c r="I494" s="135"/>
      <c r="J494" s="135"/>
      <c r="K494" s="135"/>
      <c r="L494" s="135"/>
    </row>
    <row r="495" spans="1:12" x14ac:dyDescent="0.25">
      <c r="F495" s="135"/>
      <c r="G495" s="135"/>
      <c r="H495" s="135"/>
      <c r="I495" s="135"/>
      <c r="J495" s="135"/>
      <c r="K495" s="135"/>
      <c r="L495" s="135"/>
    </row>
    <row r="496" spans="1:12" x14ac:dyDescent="0.25">
      <c r="F496" s="135"/>
      <c r="G496" s="135"/>
      <c r="H496" s="135"/>
      <c r="I496" s="135"/>
      <c r="J496" s="135"/>
      <c r="K496" s="135"/>
      <c r="L496" s="135"/>
    </row>
    <row r="497" spans="1:12" x14ac:dyDescent="0.25">
      <c r="F497" s="135"/>
      <c r="G497" s="135"/>
      <c r="H497" s="135"/>
      <c r="I497" s="135"/>
      <c r="J497" s="135"/>
      <c r="K497" s="135"/>
      <c r="L497" s="135"/>
    </row>
    <row r="498" spans="1:12" x14ac:dyDescent="0.25">
      <c r="F498" s="135"/>
      <c r="G498" s="135"/>
      <c r="H498" s="135"/>
      <c r="I498" s="135"/>
      <c r="J498" s="135"/>
      <c r="K498" s="135"/>
      <c r="L498" s="135"/>
    </row>
    <row r="499" spans="1:12" x14ac:dyDescent="0.25">
      <c r="F499" s="135"/>
      <c r="G499" s="135"/>
      <c r="H499" s="135"/>
      <c r="I499" s="135"/>
      <c r="J499" s="135"/>
      <c r="K499" s="135"/>
      <c r="L499" s="135"/>
    </row>
    <row r="500" spans="1:12" x14ac:dyDescent="0.25">
      <c r="F500" s="135"/>
      <c r="G500" s="135"/>
      <c r="H500" s="135"/>
      <c r="I500" s="135"/>
      <c r="J500" s="135"/>
      <c r="K500" s="135"/>
      <c r="L500" s="135"/>
    </row>
    <row r="501" spans="1:12" x14ac:dyDescent="0.25">
      <c r="F501" s="135"/>
      <c r="G501" s="135"/>
      <c r="H501" s="135"/>
      <c r="I501" s="135"/>
      <c r="J501" s="135"/>
      <c r="K501" s="135"/>
      <c r="L501" s="135"/>
    </row>
    <row r="502" spans="1:12" x14ac:dyDescent="0.25">
      <c r="F502" s="135"/>
      <c r="G502" s="135"/>
      <c r="H502" s="135"/>
      <c r="I502" s="135"/>
      <c r="J502" s="135"/>
      <c r="K502" s="135"/>
      <c r="L502" s="135"/>
    </row>
    <row r="503" spans="1:12" x14ac:dyDescent="0.25">
      <c r="F503" s="135"/>
      <c r="G503" s="135"/>
      <c r="H503" s="135"/>
      <c r="I503" s="135"/>
      <c r="J503" s="135"/>
      <c r="K503" s="135"/>
      <c r="L503" s="135"/>
    </row>
    <row r="504" spans="1:12" ht="13.5" thickBot="1" x14ac:dyDescent="0.35">
      <c r="B504" s="29" t="s">
        <v>484</v>
      </c>
      <c r="F504" s="135"/>
      <c r="G504" s="135"/>
      <c r="H504" s="135"/>
      <c r="I504" s="135"/>
      <c r="J504" s="135"/>
      <c r="K504" s="135"/>
      <c r="L504" s="135"/>
    </row>
    <row r="505" spans="1:12" x14ac:dyDescent="0.25">
      <c r="A505" s="1" t="s">
        <v>368</v>
      </c>
      <c r="B505" s="194">
        <v>2200</v>
      </c>
      <c r="C505" s="8" t="s">
        <v>230</v>
      </c>
      <c r="E505" s="63"/>
      <c r="F505" s="135"/>
      <c r="G505" s="135"/>
      <c r="H505" s="135"/>
      <c r="I505" s="135"/>
      <c r="J505" s="135"/>
      <c r="K505" s="135"/>
      <c r="L505" s="135"/>
    </row>
    <row r="506" spans="1:12" x14ac:dyDescent="0.25">
      <c r="A506" s="1" t="s">
        <v>564</v>
      </c>
      <c r="B506" s="32">
        <v>24</v>
      </c>
      <c r="C506" s="8" t="s">
        <v>209</v>
      </c>
      <c r="E506" s="63"/>
      <c r="F506" s="135"/>
      <c r="G506" s="135"/>
      <c r="H506" s="135"/>
      <c r="I506" s="135"/>
      <c r="J506" s="135"/>
      <c r="K506" s="135"/>
      <c r="L506" s="135"/>
    </row>
    <row r="507" spans="1:12" ht="13" thickBot="1" x14ac:dyDescent="0.3">
      <c r="A507" s="1" t="s">
        <v>111</v>
      </c>
      <c r="B507" s="34">
        <v>8</v>
      </c>
      <c r="C507" s="8" t="s">
        <v>209</v>
      </c>
      <c r="E507" s="3"/>
      <c r="F507" s="135"/>
      <c r="G507" s="135"/>
      <c r="H507" s="135"/>
      <c r="I507" s="135"/>
      <c r="J507" s="135"/>
      <c r="K507" s="135"/>
      <c r="L507" s="135"/>
    </row>
    <row r="508" spans="1:12" ht="13" x14ac:dyDescent="0.3">
      <c r="B508" s="29" t="s">
        <v>139</v>
      </c>
      <c r="F508" s="135"/>
      <c r="G508" s="135"/>
      <c r="H508" s="135"/>
      <c r="I508" s="135"/>
      <c r="J508" s="135"/>
      <c r="K508" s="135"/>
      <c r="L508" s="135"/>
    </row>
    <row r="509" spans="1:12" ht="13" x14ac:dyDescent="0.3">
      <c r="A509" s="2" t="s">
        <v>363</v>
      </c>
      <c r="B509" s="4" t="s">
        <v>364</v>
      </c>
      <c r="F509" s="135"/>
      <c r="G509" s="135"/>
      <c r="H509" s="135"/>
      <c r="I509" s="135"/>
      <c r="J509" s="135"/>
      <c r="K509" s="135"/>
      <c r="L509" s="135"/>
    </row>
    <row r="510" spans="1:12" ht="13" x14ac:dyDescent="0.3">
      <c r="B510" s="4">
        <f>B506-B507</f>
        <v>16</v>
      </c>
      <c r="F510" s="135"/>
      <c r="G510" s="135"/>
      <c r="H510" s="135"/>
      <c r="I510" s="135"/>
      <c r="J510" s="135"/>
      <c r="K510" s="135"/>
      <c r="L510" s="135"/>
    </row>
    <row r="511" spans="1:12" ht="15" x14ac:dyDescent="0.4">
      <c r="A511" s="2" t="s">
        <v>359</v>
      </c>
      <c r="B511" s="4" t="s">
        <v>361</v>
      </c>
      <c r="C511" s="10"/>
      <c r="F511" s="135"/>
      <c r="G511" s="135"/>
      <c r="H511" s="135"/>
      <c r="I511" s="135"/>
      <c r="J511" s="135"/>
      <c r="K511" s="135"/>
      <c r="L511" s="135"/>
    </row>
    <row r="512" spans="1:12" ht="13" x14ac:dyDescent="0.3">
      <c r="A512" s="16"/>
      <c r="B512" s="195">
        <f>B505*B506</f>
        <v>52800</v>
      </c>
      <c r="C512" s="10" t="s">
        <v>257</v>
      </c>
      <c r="F512" s="135"/>
      <c r="G512" s="135"/>
      <c r="H512" s="135"/>
      <c r="I512" s="135"/>
      <c r="J512" s="135"/>
      <c r="K512" s="135"/>
      <c r="L512" s="135"/>
    </row>
    <row r="513" spans="1:12" ht="15" x14ac:dyDescent="0.4">
      <c r="A513" s="2" t="s">
        <v>366</v>
      </c>
      <c r="B513" s="4" t="s">
        <v>362</v>
      </c>
      <c r="C513" s="10"/>
      <c r="F513" s="135"/>
      <c r="G513" s="135"/>
      <c r="H513" s="135"/>
      <c r="I513" s="135"/>
      <c r="J513" s="135"/>
      <c r="K513" s="135"/>
      <c r="L513" s="135"/>
    </row>
    <row r="514" spans="1:12" ht="13" x14ac:dyDescent="0.3">
      <c r="A514" s="16"/>
      <c r="B514" s="195">
        <f>B505 * B507 * B510^2 / B506^2</f>
        <v>7822.2222222222226</v>
      </c>
      <c r="C514" s="10" t="s">
        <v>257</v>
      </c>
      <c r="F514" s="135"/>
      <c r="G514" s="135"/>
      <c r="H514" s="135"/>
      <c r="I514" s="135"/>
      <c r="J514" s="135"/>
      <c r="K514" s="135"/>
      <c r="L514" s="135"/>
    </row>
    <row r="515" spans="1:12" ht="15" x14ac:dyDescent="0.4">
      <c r="A515" s="2" t="s">
        <v>367</v>
      </c>
      <c r="B515" s="4" t="s">
        <v>365</v>
      </c>
      <c r="C515" s="10"/>
      <c r="E515" s="4" t="s">
        <v>201</v>
      </c>
      <c r="F515" s="135"/>
      <c r="G515" s="135"/>
      <c r="H515" s="135"/>
      <c r="I515" s="135"/>
      <c r="J515" s="135"/>
      <c r="K515" s="135"/>
      <c r="L515" s="135"/>
    </row>
    <row r="516" spans="1:12" ht="13" x14ac:dyDescent="0.3">
      <c r="A516" s="16"/>
      <c r="B516" s="195">
        <f>B505 * B507 * B510 / B506</f>
        <v>11733.333333333334</v>
      </c>
      <c r="C516" s="10" t="s">
        <v>257</v>
      </c>
      <c r="F516" s="135"/>
      <c r="G516" s="135"/>
      <c r="H516" s="135"/>
      <c r="I516" s="135"/>
      <c r="J516" s="135"/>
      <c r="K516" s="135"/>
      <c r="L516" s="135"/>
    </row>
    <row r="517" spans="1:12" x14ac:dyDescent="0.25">
      <c r="F517" s="135"/>
      <c r="G517" s="135"/>
      <c r="H517" s="135"/>
      <c r="I517" s="135"/>
      <c r="J517" s="135"/>
      <c r="K517" s="135"/>
      <c r="L517" s="135"/>
    </row>
    <row r="518" spans="1:12" ht="15" x14ac:dyDescent="0.4">
      <c r="A518" s="10" t="s">
        <v>798</v>
      </c>
      <c r="F518" s="135"/>
      <c r="G518" s="135"/>
      <c r="H518" s="135"/>
      <c r="I518" s="135"/>
      <c r="J518" s="135"/>
      <c r="K518" s="135"/>
      <c r="L518" s="135"/>
    </row>
    <row r="519" spans="1:12" ht="13" x14ac:dyDescent="0.3">
      <c r="A519" s="10" t="s">
        <v>357</v>
      </c>
      <c r="F519" s="135"/>
      <c r="G519" s="135"/>
      <c r="H519" s="135"/>
      <c r="I519" s="135"/>
      <c r="J519" s="135"/>
      <c r="K519" s="135"/>
      <c r="L519" s="135"/>
    </row>
    <row r="520" spans="1:12" ht="13.5" thickBot="1" x14ac:dyDescent="0.35">
      <c r="B520" s="29" t="s">
        <v>484</v>
      </c>
      <c r="F520" s="135"/>
      <c r="G520" s="135"/>
      <c r="H520" s="135"/>
      <c r="I520" s="135"/>
      <c r="J520" s="135"/>
      <c r="K520" s="135"/>
      <c r="L520" s="135"/>
    </row>
    <row r="521" spans="1:12" x14ac:dyDescent="0.25">
      <c r="A521" s="1" t="s">
        <v>672</v>
      </c>
      <c r="B521" s="56">
        <v>3</v>
      </c>
      <c r="C521" s="12" t="s">
        <v>406</v>
      </c>
      <c r="F521" s="135"/>
      <c r="G521" s="135"/>
      <c r="H521" s="135"/>
      <c r="I521" s="135"/>
      <c r="J521" s="135"/>
      <c r="K521" s="135"/>
      <c r="L521" s="135"/>
    </row>
    <row r="522" spans="1:12" ht="15.5" x14ac:dyDescent="0.4">
      <c r="A522" s="1" t="s">
        <v>360</v>
      </c>
      <c r="B522" s="190">
        <v>13200</v>
      </c>
      <c r="C522" s="8" t="s">
        <v>205</v>
      </c>
      <c r="F522" s="135"/>
      <c r="G522" s="135"/>
      <c r="H522" s="135"/>
      <c r="I522" s="135"/>
      <c r="J522" s="135"/>
      <c r="K522" s="135"/>
      <c r="L522" s="135"/>
    </row>
    <row r="523" spans="1:12" x14ac:dyDescent="0.25">
      <c r="A523" s="1" t="s">
        <v>562</v>
      </c>
      <c r="B523" s="33">
        <v>1.75</v>
      </c>
      <c r="C523" s="8" t="s">
        <v>209</v>
      </c>
      <c r="F523" s="135"/>
      <c r="G523" s="135"/>
      <c r="H523" s="135"/>
      <c r="I523" s="135"/>
      <c r="J523" s="135"/>
      <c r="K523" s="135"/>
      <c r="L523" s="135"/>
    </row>
    <row r="524" spans="1:12" x14ac:dyDescent="0.25">
      <c r="A524" s="1" t="s">
        <v>712</v>
      </c>
      <c r="B524" s="32">
        <v>4.66</v>
      </c>
      <c r="C524" s="12" t="s">
        <v>203</v>
      </c>
      <c r="F524" s="135"/>
      <c r="G524" s="135"/>
      <c r="H524" s="135"/>
      <c r="I524" s="135"/>
      <c r="J524" s="135"/>
      <c r="K524" s="135"/>
      <c r="L524" s="135"/>
    </row>
    <row r="525" spans="1:12" ht="13" thickBot="1" x14ac:dyDescent="0.3">
      <c r="A525" s="1" t="s">
        <v>672</v>
      </c>
      <c r="B525" s="39">
        <v>1</v>
      </c>
      <c r="C525" s="8" t="s">
        <v>406</v>
      </c>
      <c r="F525" s="135"/>
      <c r="G525" s="135"/>
      <c r="H525" s="135"/>
      <c r="I525" s="135"/>
      <c r="J525" s="135"/>
      <c r="K525" s="135"/>
      <c r="L525" s="135"/>
    </row>
    <row r="526" spans="1:12" ht="13" x14ac:dyDescent="0.3">
      <c r="B526" s="29" t="s">
        <v>139</v>
      </c>
      <c r="F526" s="135"/>
      <c r="G526" s="135"/>
      <c r="H526" s="135"/>
      <c r="I526" s="135"/>
      <c r="J526" s="135"/>
      <c r="K526" s="135"/>
      <c r="L526" s="135"/>
    </row>
    <row r="527" spans="1:12" ht="13" x14ac:dyDescent="0.3">
      <c r="A527" s="2" t="s">
        <v>358</v>
      </c>
      <c r="B527" s="4" t="s">
        <v>561</v>
      </c>
      <c r="F527" s="135"/>
      <c r="G527" s="135"/>
      <c r="H527" s="135"/>
      <c r="I527" s="135"/>
      <c r="J527" s="135"/>
      <c r="K527" s="135"/>
      <c r="L527" s="135"/>
    </row>
    <row r="528" spans="1:12" ht="13" x14ac:dyDescent="0.3">
      <c r="A528" s="2" t="s">
        <v>489</v>
      </c>
      <c r="B528" s="195">
        <f>B525*B522*B523/B524</f>
        <v>4957.0815450643777</v>
      </c>
      <c r="C528" s="10" t="s">
        <v>223</v>
      </c>
      <c r="F528" s="135"/>
      <c r="G528" s="135"/>
      <c r="H528" s="135"/>
      <c r="I528" s="135"/>
      <c r="J528" s="135"/>
      <c r="K528" s="135"/>
      <c r="L528" s="135"/>
    </row>
    <row r="529" spans="1:12" x14ac:dyDescent="0.25">
      <c r="A529" s="120"/>
      <c r="B529" s="120"/>
      <c r="C529" s="125"/>
      <c r="D529" s="120"/>
      <c r="E529" s="120"/>
      <c r="F529" s="135"/>
      <c r="G529" s="135"/>
      <c r="H529" s="135"/>
      <c r="I529" s="135"/>
      <c r="J529" s="135"/>
      <c r="K529" s="135"/>
      <c r="L529" s="135"/>
    </row>
    <row r="530" spans="1:12" x14ac:dyDescent="0.25">
      <c r="F530" s="135"/>
      <c r="G530" s="135"/>
      <c r="H530" s="135"/>
      <c r="I530" s="135"/>
      <c r="J530" s="135"/>
      <c r="K530" s="135"/>
      <c r="L530" s="135"/>
    </row>
    <row r="531" spans="1:12" ht="15.5" x14ac:dyDescent="0.35">
      <c r="A531" s="82" t="s">
        <v>800</v>
      </c>
      <c r="F531" s="135"/>
      <c r="G531" s="135"/>
      <c r="H531" s="135"/>
      <c r="I531" s="135"/>
      <c r="J531" s="135"/>
      <c r="K531" s="135"/>
      <c r="L531" s="135"/>
    </row>
    <row r="532" spans="1:12" ht="13" thickBot="1" x14ac:dyDescent="0.3">
      <c r="F532" s="135"/>
      <c r="G532" s="135"/>
      <c r="H532" s="135"/>
      <c r="I532" s="135"/>
      <c r="J532" s="135"/>
      <c r="K532" s="135"/>
      <c r="L532" s="135"/>
    </row>
    <row r="533" spans="1:12" ht="13.5" thickBot="1" x14ac:dyDescent="0.35">
      <c r="B533" s="111" t="s">
        <v>485</v>
      </c>
      <c r="C533" s="171"/>
      <c r="D533" s="96" t="s">
        <v>777</v>
      </c>
      <c r="E533" s="85"/>
      <c r="F533" s="135"/>
      <c r="G533" s="135"/>
      <c r="H533" s="135"/>
      <c r="I533" s="135"/>
      <c r="J533" s="135"/>
      <c r="K533" s="135"/>
      <c r="L533" s="135"/>
    </row>
    <row r="534" spans="1:12" ht="13.5" thickBot="1" x14ac:dyDescent="0.35">
      <c r="B534" s="17" t="s">
        <v>490</v>
      </c>
      <c r="C534" s="172" t="s">
        <v>491</v>
      </c>
      <c r="D534" s="97" t="s">
        <v>483</v>
      </c>
      <c r="E534" s="98" t="s">
        <v>493</v>
      </c>
      <c r="F534" s="135"/>
      <c r="G534" s="135"/>
      <c r="H534" s="135"/>
      <c r="I534" s="135"/>
      <c r="J534" s="135"/>
      <c r="K534" s="135"/>
      <c r="L534" s="135"/>
    </row>
    <row r="535" spans="1:12" ht="13" x14ac:dyDescent="0.3">
      <c r="A535" s="16">
        <v>1</v>
      </c>
      <c r="B535" s="31">
        <v>2</v>
      </c>
      <c r="C535" s="179">
        <v>9</v>
      </c>
      <c r="D535" s="112">
        <f>B535*C535</f>
        <v>18</v>
      </c>
      <c r="E535" s="105">
        <f>B535/2</f>
        <v>1</v>
      </c>
      <c r="F535" s="135"/>
      <c r="G535" s="135"/>
      <c r="H535" s="135"/>
      <c r="I535" s="135"/>
      <c r="J535" s="135"/>
      <c r="K535" s="135"/>
      <c r="L535" s="135"/>
    </row>
    <row r="536" spans="1:12" ht="13" x14ac:dyDescent="0.3">
      <c r="A536" s="16">
        <v>2</v>
      </c>
      <c r="B536" s="32">
        <v>7</v>
      </c>
      <c r="C536" s="179">
        <v>1.5</v>
      </c>
      <c r="D536" s="113">
        <f>B536*C536</f>
        <v>10.5</v>
      </c>
      <c r="E536" s="107">
        <f>B536/2</f>
        <v>3.5</v>
      </c>
      <c r="F536" s="135"/>
      <c r="G536" s="135"/>
      <c r="H536" s="135"/>
      <c r="I536" s="135"/>
      <c r="J536" s="135"/>
      <c r="K536" s="135"/>
      <c r="L536" s="135"/>
    </row>
    <row r="537" spans="1:12" ht="13.5" thickBot="1" x14ac:dyDescent="0.35">
      <c r="A537" s="16">
        <v>3</v>
      </c>
      <c r="B537" s="34">
        <v>3</v>
      </c>
      <c r="C537" s="180">
        <v>6</v>
      </c>
      <c r="D537" s="114">
        <f>B537*C537</f>
        <v>18</v>
      </c>
      <c r="E537" s="109">
        <f>B537/2</f>
        <v>1.5</v>
      </c>
      <c r="F537" s="135"/>
      <c r="G537" s="135"/>
      <c r="H537" s="135"/>
      <c r="I537" s="135"/>
      <c r="J537" s="135"/>
      <c r="K537" s="135"/>
      <c r="L537" s="135"/>
    </row>
    <row r="538" spans="1:12" ht="13.5" thickBot="1" x14ac:dyDescent="0.35">
      <c r="B538" s="3" t="s">
        <v>201</v>
      </c>
      <c r="C538" s="10" t="s">
        <v>266</v>
      </c>
      <c r="D538" s="84">
        <f>SUM(D535:D537)</f>
        <v>46.5</v>
      </c>
      <c r="F538" s="135"/>
      <c r="G538" s="135"/>
      <c r="H538" s="135"/>
      <c r="I538" s="135"/>
      <c r="J538" s="135"/>
      <c r="K538" s="135"/>
      <c r="L538" s="135"/>
    </row>
    <row r="539" spans="1:12" ht="13" thickBot="1" x14ac:dyDescent="0.3">
      <c r="B539" s="3"/>
      <c r="F539" s="135"/>
      <c r="G539" s="135"/>
      <c r="H539" s="135"/>
      <c r="I539" s="135"/>
      <c r="J539" s="135"/>
      <c r="K539" s="135"/>
      <c r="L539" s="135"/>
    </row>
    <row r="540" spans="1:12" ht="13.5" thickBot="1" x14ac:dyDescent="0.35">
      <c r="B540" s="100"/>
      <c r="C540" s="96" t="s">
        <v>502</v>
      </c>
      <c r="D540" s="101"/>
      <c r="E540" s="102"/>
      <c r="F540" s="135"/>
      <c r="G540" s="135"/>
      <c r="H540" s="135"/>
      <c r="I540" s="135"/>
      <c r="J540" s="135"/>
      <c r="K540" s="135"/>
      <c r="L540" s="135"/>
    </row>
    <row r="541" spans="1:12" ht="13.5" thickBot="1" x14ac:dyDescent="0.35">
      <c r="B541" s="84" t="s">
        <v>493</v>
      </c>
      <c r="C541" s="181" t="s">
        <v>710</v>
      </c>
      <c r="D541" s="70" t="s">
        <v>711</v>
      </c>
      <c r="E541" s="84" t="s">
        <v>487</v>
      </c>
      <c r="F541" s="135"/>
      <c r="G541" s="135"/>
      <c r="H541" s="135"/>
      <c r="I541" s="135"/>
      <c r="J541" s="135"/>
      <c r="K541" s="135"/>
      <c r="L541" s="135"/>
    </row>
    <row r="542" spans="1:12" ht="13" x14ac:dyDescent="0.3">
      <c r="B542" s="115">
        <f>(E535)</f>
        <v>1</v>
      </c>
      <c r="C542" s="182">
        <f>D535*(E535/2)</f>
        <v>9</v>
      </c>
      <c r="D542" s="105">
        <f>D535*(E535/2)^2</f>
        <v>4.5</v>
      </c>
      <c r="E542" s="104">
        <f>(B535*C535^3)/12</f>
        <v>121.5</v>
      </c>
      <c r="F542" s="135"/>
      <c r="G542" s="63"/>
      <c r="H542" s="135"/>
      <c r="I542" s="135"/>
      <c r="J542" s="135"/>
      <c r="K542" s="135"/>
      <c r="L542" s="135"/>
    </row>
    <row r="543" spans="1:12" ht="13" x14ac:dyDescent="0.3">
      <c r="B543" s="116">
        <f>(E536)</f>
        <v>3.5</v>
      </c>
      <c r="C543" s="183">
        <f>D536*(E536/2)</f>
        <v>18.375</v>
      </c>
      <c r="D543" s="107">
        <f>D536*(E536/2)^2</f>
        <v>32.15625</v>
      </c>
      <c r="E543" s="88">
        <f>(B536*C536^3)/12</f>
        <v>1.96875</v>
      </c>
      <c r="F543" s="135"/>
      <c r="G543" s="126"/>
      <c r="H543" s="135"/>
      <c r="I543" s="135"/>
      <c r="J543" s="135"/>
      <c r="K543" s="135"/>
      <c r="L543" s="135"/>
    </row>
    <row r="544" spans="1:12" ht="13.5" thickBot="1" x14ac:dyDescent="0.35">
      <c r="B544" s="117">
        <f>(E537)</f>
        <v>1.5</v>
      </c>
      <c r="C544" s="184">
        <f>D537*(E537/2)</f>
        <v>13.5</v>
      </c>
      <c r="D544" s="109">
        <f>D537*(E537/2)^2</f>
        <v>10.125</v>
      </c>
      <c r="E544" s="90">
        <f>(B537*C537^3)/12</f>
        <v>54</v>
      </c>
      <c r="F544" s="135"/>
      <c r="G544" s="63"/>
      <c r="H544" s="135"/>
      <c r="I544" s="135"/>
      <c r="J544" s="135"/>
      <c r="K544" s="135"/>
      <c r="L544" s="135"/>
    </row>
    <row r="545" spans="1:12" ht="13.5" thickBot="1" x14ac:dyDescent="0.35">
      <c r="B545" s="2" t="s">
        <v>488</v>
      </c>
      <c r="C545" s="184">
        <f>SUM(C542:C544)</f>
        <v>40.875</v>
      </c>
      <c r="D545" s="109">
        <f>SUM(D542:D544)</f>
        <v>46.78125</v>
      </c>
      <c r="E545" s="110">
        <f>SUM(E542:E544)</f>
        <v>177.46875</v>
      </c>
      <c r="F545" s="135"/>
      <c r="G545" s="63"/>
      <c r="H545" s="135"/>
      <c r="I545" s="135"/>
      <c r="J545" s="135"/>
      <c r="K545" s="135"/>
      <c r="L545" s="135"/>
    </row>
    <row r="546" spans="1:12" x14ac:dyDescent="0.25">
      <c r="F546" s="135"/>
      <c r="G546" s="63"/>
      <c r="H546" s="135"/>
      <c r="I546" s="135"/>
      <c r="J546" s="135"/>
      <c r="K546" s="135"/>
      <c r="L546" s="135"/>
    </row>
    <row r="547" spans="1:12" ht="13" x14ac:dyDescent="0.3">
      <c r="B547" s="2" t="s">
        <v>709</v>
      </c>
      <c r="C547" s="10" t="s">
        <v>267</v>
      </c>
      <c r="D547" s="4"/>
      <c r="E547" s="3"/>
      <c r="F547" s="135"/>
      <c r="G547" s="135"/>
      <c r="H547" s="135"/>
      <c r="I547" s="135"/>
      <c r="J547" s="135"/>
      <c r="K547" s="135"/>
      <c r="L547" s="135"/>
    </row>
    <row r="548" spans="1:12" ht="13" x14ac:dyDescent="0.3">
      <c r="B548" s="2" t="s">
        <v>489</v>
      </c>
      <c r="C548" s="41">
        <f>D545+E545</f>
        <v>224.25</v>
      </c>
      <c r="D548" s="16" t="s">
        <v>203</v>
      </c>
      <c r="E548" s="9"/>
      <c r="F548" s="135"/>
      <c r="G548" s="135"/>
      <c r="H548" s="135"/>
      <c r="I548" s="135"/>
      <c r="J548" s="135"/>
      <c r="K548" s="135"/>
      <c r="L548" s="135"/>
    </row>
    <row r="549" spans="1:12" ht="13" x14ac:dyDescent="0.3">
      <c r="B549" s="2" t="s">
        <v>720</v>
      </c>
      <c r="C549" s="10" t="s">
        <v>494</v>
      </c>
      <c r="D549" s="3"/>
      <c r="E549" s="3"/>
      <c r="F549" s="135"/>
      <c r="G549" s="135"/>
      <c r="H549" s="135"/>
      <c r="I549" s="135"/>
      <c r="J549" s="135"/>
      <c r="K549" s="135"/>
      <c r="L549" s="135"/>
    </row>
    <row r="550" spans="1:12" ht="13" x14ac:dyDescent="0.3">
      <c r="B550" s="2" t="s">
        <v>489</v>
      </c>
      <c r="C550" s="178">
        <f>C545/D538</f>
        <v>0.87903225806451613</v>
      </c>
      <c r="D550" s="16" t="s">
        <v>209</v>
      </c>
      <c r="E550" s="6"/>
      <c r="F550" s="135"/>
      <c r="G550" s="135"/>
      <c r="H550" s="135"/>
      <c r="I550" s="135"/>
      <c r="J550" s="135"/>
      <c r="K550" s="135"/>
      <c r="L550" s="135"/>
    </row>
    <row r="551" spans="1:12" ht="13" x14ac:dyDescent="0.3">
      <c r="B551" s="2" t="s">
        <v>645</v>
      </c>
      <c r="C551" s="10" t="s">
        <v>718</v>
      </c>
      <c r="D551" s="16"/>
      <c r="F551" s="135"/>
      <c r="G551" s="135"/>
      <c r="H551" s="135"/>
      <c r="I551" s="135"/>
      <c r="J551" s="135"/>
      <c r="K551" s="135"/>
      <c r="L551" s="135"/>
    </row>
    <row r="552" spans="1:12" ht="13" x14ac:dyDescent="0.3">
      <c r="B552" s="43" t="s">
        <v>101</v>
      </c>
      <c r="C552" s="178">
        <f>B535-C550</f>
        <v>1.120967741935484</v>
      </c>
      <c r="D552" s="16" t="s">
        <v>209</v>
      </c>
      <c r="F552" s="135"/>
      <c r="G552" s="135"/>
      <c r="H552" s="135"/>
      <c r="I552" s="135"/>
      <c r="J552" s="135"/>
      <c r="K552" s="135"/>
      <c r="L552" s="135"/>
    </row>
    <row r="553" spans="1:12" x14ac:dyDescent="0.25">
      <c r="F553" s="135"/>
      <c r="G553" s="135"/>
      <c r="H553" s="135"/>
      <c r="I553" s="135"/>
      <c r="J553" s="135"/>
      <c r="K553" s="135"/>
      <c r="L553" s="135"/>
    </row>
    <row r="554" spans="1:12" x14ac:dyDescent="0.25">
      <c r="A554" s="120"/>
      <c r="B554" s="120"/>
      <c r="C554" s="125"/>
      <c r="D554" s="120"/>
      <c r="E554" s="120"/>
      <c r="F554" s="135"/>
      <c r="G554" s="135"/>
      <c r="H554" s="135"/>
      <c r="I554" s="135"/>
      <c r="J554" s="135"/>
      <c r="K554" s="135"/>
      <c r="L554" s="135"/>
    </row>
    <row r="555" spans="1:12" x14ac:dyDescent="0.25">
      <c r="F555" s="135"/>
      <c r="G555" s="135"/>
      <c r="H555" s="135"/>
      <c r="I555" s="135"/>
      <c r="J555" s="135"/>
      <c r="K555" s="135"/>
      <c r="L555" s="135"/>
    </row>
    <row r="556" spans="1:12" ht="13.5" thickBot="1" x14ac:dyDescent="0.35">
      <c r="B556" s="16" t="s">
        <v>717</v>
      </c>
      <c r="F556" s="135"/>
      <c r="G556" s="135"/>
      <c r="H556" s="135"/>
      <c r="I556" s="135"/>
      <c r="J556" s="135"/>
      <c r="K556" s="135"/>
      <c r="L556" s="135"/>
    </row>
    <row r="557" spans="1:12" ht="13.5" thickBot="1" x14ac:dyDescent="0.35">
      <c r="B557" s="111" t="s">
        <v>485</v>
      </c>
      <c r="C557" s="171"/>
      <c r="D557" s="96" t="s">
        <v>777</v>
      </c>
      <c r="E557" s="85"/>
      <c r="F557" s="135"/>
      <c r="G557" s="135"/>
      <c r="H557" s="135"/>
      <c r="I557" s="135"/>
      <c r="J557" s="135"/>
      <c r="K557" s="135"/>
      <c r="L557" s="135"/>
    </row>
    <row r="558" spans="1:12" ht="13.5" thickBot="1" x14ac:dyDescent="0.35">
      <c r="B558" s="17" t="s">
        <v>490</v>
      </c>
      <c r="C558" s="172" t="s">
        <v>491</v>
      </c>
      <c r="D558" s="97" t="s">
        <v>483</v>
      </c>
      <c r="E558" s="98" t="s">
        <v>487</v>
      </c>
      <c r="F558" s="135"/>
      <c r="G558" s="135"/>
      <c r="H558" s="135"/>
      <c r="I558" s="135"/>
      <c r="J558" s="135"/>
      <c r="K558" s="135"/>
      <c r="L558" s="135"/>
    </row>
    <row r="559" spans="1:12" ht="13.5" thickBot="1" x14ac:dyDescent="0.35">
      <c r="A559" s="16">
        <v>1</v>
      </c>
      <c r="B559" s="31">
        <v>2</v>
      </c>
      <c r="C559" s="179">
        <v>9</v>
      </c>
      <c r="D559" s="112">
        <f>B559*C559</f>
        <v>18</v>
      </c>
      <c r="E559" s="118">
        <f>C559*B559^3/12</f>
        <v>6</v>
      </c>
      <c r="F559" s="135"/>
      <c r="G559" s="135"/>
      <c r="H559" s="135"/>
      <c r="I559" s="135"/>
      <c r="J559" s="135"/>
      <c r="K559" s="135"/>
      <c r="L559" s="135"/>
    </row>
    <row r="560" spans="1:12" ht="13.5" thickBot="1" x14ac:dyDescent="0.35">
      <c r="A560" s="16">
        <v>2</v>
      </c>
      <c r="B560" s="32">
        <v>7</v>
      </c>
      <c r="C560" s="179">
        <v>1.5</v>
      </c>
      <c r="D560" s="113">
        <f>B560*C560</f>
        <v>10.5</v>
      </c>
      <c r="E560" s="118">
        <f>C560*B560^3/12</f>
        <v>42.875</v>
      </c>
      <c r="F560" s="135"/>
      <c r="G560" s="135"/>
      <c r="H560" s="135"/>
      <c r="I560" s="135"/>
      <c r="J560" s="135"/>
      <c r="K560" s="135"/>
      <c r="L560" s="135"/>
    </row>
    <row r="561" spans="1:12" ht="13.5" thickBot="1" x14ac:dyDescent="0.35">
      <c r="A561" s="16">
        <v>3</v>
      </c>
      <c r="B561" s="34">
        <v>3</v>
      </c>
      <c r="C561" s="180">
        <v>6</v>
      </c>
      <c r="D561" s="114">
        <f>B561*C561</f>
        <v>18</v>
      </c>
      <c r="E561" s="118">
        <f>C561*B561^3/12</f>
        <v>13.5</v>
      </c>
      <c r="F561" s="135"/>
      <c r="G561" s="135"/>
      <c r="H561" s="135"/>
      <c r="I561" s="135"/>
      <c r="J561" s="135"/>
      <c r="K561" s="135"/>
      <c r="L561" s="135"/>
    </row>
    <row r="562" spans="1:12" ht="13.5" thickBot="1" x14ac:dyDescent="0.35">
      <c r="B562" s="3" t="s">
        <v>201</v>
      </c>
      <c r="C562" s="10" t="s">
        <v>266</v>
      </c>
      <c r="D562" s="84">
        <f>SUM(D559:D561)</f>
        <v>46.5</v>
      </c>
      <c r="E562" s="77">
        <f>SUM(E559:E561)</f>
        <v>62.375</v>
      </c>
      <c r="F562" s="135"/>
      <c r="G562" s="135"/>
      <c r="H562" s="135"/>
      <c r="I562" s="135"/>
      <c r="J562" s="135"/>
      <c r="K562" s="135"/>
      <c r="L562" s="135"/>
    </row>
    <row r="563" spans="1:12" x14ac:dyDescent="0.25">
      <c r="B563" s="3"/>
      <c r="F563" s="135"/>
      <c r="G563" s="135"/>
      <c r="H563" s="135"/>
      <c r="I563" s="135"/>
      <c r="J563" s="135"/>
      <c r="K563" s="135"/>
      <c r="L563" s="135"/>
    </row>
    <row r="564" spans="1:12" ht="13" x14ac:dyDescent="0.3">
      <c r="B564" s="2" t="s">
        <v>492</v>
      </c>
      <c r="C564" s="10" t="s">
        <v>707</v>
      </c>
      <c r="D564" s="3"/>
      <c r="E564" s="3"/>
      <c r="F564" s="135"/>
      <c r="G564" s="135"/>
      <c r="H564" s="135"/>
      <c r="I564" s="135"/>
      <c r="J564" s="135"/>
      <c r="K564" s="135"/>
      <c r="L564" s="135"/>
    </row>
    <row r="565" spans="1:12" ht="13" x14ac:dyDescent="0.3">
      <c r="B565" s="2" t="s">
        <v>489</v>
      </c>
      <c r="C565" s="178">
        <f>B559/2</f>
        <v>1</v>
      </c>
      <c r="D565" s="16" t="s">
        <v>209</v>
      </c>
      <c r="E565" s="4"/>
      <c r="F565" s="135"/>
      <c r="G565" s="135"/>
      <c r="H565" s="135"/>
      <c r="I565" s="135"/>
      <c r="J565" s="135"/>
      <c r="K565" s="135"/>
      <c r="L565" s="135"/>
    </row>
    <row r="566" spans="1:12" ht="13" x14ac:dyDescent="0.3">
      <c r="B566" s="2" t="s">
        <v>709</v>
      </c>
      <c r="C566" s="10" t="s">
        <v>708</v>
      </c>
      <c r="D566" s="4"/>
      <c r="E566" s="6"/>
      <c r="F566" s="135"/>
      <c r="G566" s="135"/>
      <c r="H566" s="135"/>
      <c r="I566" s="135"/>
      <c r="J566" s="135"/>
      <c r="K566" s="135"/>
      <c r="L566" s="135"/>
    </row>
    <row r="567" spans="1:12" ht="13" x14ac:dyDescent="0.3">
      <c r="B567" s="2" t="s">
        <v>489</v>
      </c>
      <c r="C567" s="91">
        <f>E562</f>
        <v>62.375</v>
      </c>
      <c r="D567" s="16" t="s">
        <v>203</v>
      </c>
      <c r="E567" s="6"/>
      <c r="F567" s="135"/>
      <c r="G567" s="135"/>
      <c r="H567" s="135"/>
      <c r="I567" s="135"/>
      <c r="J567" s="135"/>
      <c r="K567" s="135"/>
      <c r="L567" s="135"/>
    </row>
    <row r="568" spans="1:12" ht="13" x14ac:dyDescent="0.3">
      <c r="B568" s="2" t="s">
        <v>716</v>
      </c>
      <c r="C568" s="10" t="s">
        <v>707</v>
      </c>
      <c r="D568" s="16"/>
      <c r="E568" s="6"/>
      <c r="F568" s="135"/>
      <c r="G568" s="135"/>
      <c r="H568" s="135"/>
      <c r="I568" s="135"/>
      <c r="J568" s="135"/>
      <c r="K568" s="135"/>
      <c r="L568" s="135"/>
    </row>
    <row r="569" spans="1:12" ht="13" x14ac:dyDescent="0.3">
      <c r="B569" s="43" t="s">
        <v>101</v>
      </c>
      <c r="C569" s="178">
        <f>B559/2</f>
        <v>1</v>
      </c>
      <c r="D569" s="16"/>
      <c r="E569" s="4" t="s">
        <v>201</v>
      </c>
      <c r="F569" s="135"/>
      <c r="G569" s="135"/>
      <c r="H569" s="135"/>
      <c r="I569" s="135"/>
      <c r="J569" s="135"/>
      <c r="K569" s="135"/>
      <c r="L569" s="135"/>
    </row>
    <row r="570" spans="1:12" x14ac:dyDescent="0.25">
      <c r="F570" s="135"/>
      <c r="G570" s="135"/>
      <c r="H570" s="135"/>
      <c r="I570" s="135"/>
      <c r="J570" s="135"/>
      <c r="K570" s="135"/>
      <c r="L570" s="135"/>
    </row>
    <row r="571" spans="1:12" x14ac:dyDescent="0.25">
      <c r="A571" s="120"/>
      <c r="B571" s="120"/>
      <c r="C571" s="125"/>
      <c r="D571" s="120"/>
      <c r="E571" s="120"/>
      <c r="F571" s="135"/>
      <c r="G571" s="135"/>
      <c r="H571" s="135"/>
      <c r="I571" s="135"/>
      <c r="J571" s="135"/>
      <c r="K571" s="135"/>
      <c r="L571" s="135"/>
    </row>
    <row r="572" spans="1:12" x14ac:dyDescent="0.25">
      <c r="F572" s="135"/>
      <c r="G572" s="135"/>
      <c r="H572" s="135"/>
      <c r="I572" s="135"/>
      <c r="J572" s="135"/>
      <c r="K572" s="135"/>
      <c r="L572" s="135"/>
    </row>
    <row r="573" spans="1:12" x14ac:dyDescent="0.25">
      <c r="F573" s="135"/>
      <c r="G573" s="135"/>
      <c r="H573" s="135"/>
      <c r="I573" s="135"/>
      <c r="J573" s="135"/>
      <c r="K573" s="135"/>
      <c r="L573" s="135"/>
    </row>
    <row r="574" spans="1:12" x14ac:dyDescent="0.25">
      <c r="F574" s="135"/>
      <c r="G574" s="135"/>
      <c r="H574" s="135"/>
      <c r="I574" s="135"/>
      <c r="J574" s="135"/>
      <c r="K574" s="135"/>
      <c r="L574" s="135"/>
    </row>
    <row r="575" spans="1:12" x14ac:dyDescent="0.25">
      <c r="F575" s="135"/>
      <c r="G575" s="135"/>
      <c r="H575" s="135"/>
      <c r="I575" s="135"/>
      <c r="J575" s="135"/>
      <c r="K575" s="135"/>
      <c r="L575" s="135"/>
    </row>
    <row r="576" spans="1:12" x14ac:dyDescent="0.25">
      <c r="F576" s="135"/>
      <c r="G576" s="135"/>
      <c r="H576" s="135"/>
      <c r="I576" s="135"/>
      <c r="J576" s="135"/>
      <c r="K576" s="135"/>
      <c r="L576" s="135"/>
    </row>
    <row r="577" spans="1:6" x14ac:dyDescent="0.25">
      <c r="F577" s="135"/>
    </row>
    <row r="578" spans="1:6" x14ac:dyDescent="0.25">
      <c r="F578" s="135"/>
    </row>
    <row r="579" spans="1:6" x14ac:dyDescent="0.25">
      <c r="F579" s="135"/>
    </row>
    <row r="580" spans="1:6" x14ac:dyDescent="0.25">
      <c r="F580" s="135"/>
    </row>
    <row r="581" spans="1:6" x14ac:dyDescent="0.25">
      <c r="F581" s="135"/>
    </row>
    <row r="582" spans="1:6" x14ac:dyDescent="0.25">
      <c r="F582" s="135"/>
    </row>
    <row r="583" spans="1:6" ht="17.5" x14ac:dyDescent="0.45">
      <c r="A583" s="68" t="s">
        <v>162</v>
      </c>
      <c r="F583" s="135"/>
    </row>
    <row r="584" spans="1:6" ht="13.5" thickBot="1" x14ac:dyDescent="0.35">
      <c r="B584" s="29" t="s">
        <v>484</v>
      </c>
      <c r="F584" s="135"/>
    </row>
    <row r="585" spans="1:6" x14ac:dyDescent="0.25">
      <c r="A585" s="1" t="s">
        <v>368</v>
      </c>
      <c r="B585" s="194">
        <v>8000</v>
      </c>
      <c r="C585" s="8" t="s">
        <v>230</v>
      </c>
      <c r="F585" s="135"/>
    </row>
    <row r="586" spans="1:6" x14ac:dyDescent="0.25">
      <c r="A586" s="1" t="s">
        <v>564</v>
      </c>
      <c r="B586" s="32">
        <v>12</v>
      </c>
      <c r="C586" s="8" t="s">
        <v>209</v>
      </c>
      <c r="F586" s="135"/>
    </row>
    <row r="587" spans="1:6" ht="13" thickBot="1" x14ac:dyDescent="0.3">
      <c r="A587" s="1" t="s">
        <v>111</v>
      </c>
      <c r="B587" s="34">
        <v>3</v>
      </c>
      <c r="C587" s="8" t="s">
        <v>209</v>
      </c>
      <c r="F587" s="135"/>
    </row>
    <row r="588" spans="1:6" ht="13" x14ac:dyDescent="0.3">
      <c r="B588" s="29" t="s">
        <v>139</v>
      </c>
      <c r="F588" s="135"/>
    </row>
    <row r="589" spans="1:6" ht="13" x14ac:dyDescent="0.3">
      <c r="A589" s="2" t="s">
        <v>363</v>
      </c>
      <c r="B589" s="4" t="s">
        <v>364</v>
      </c>
      <c r="F589" s="135"/>
    </row>
    <row r="590" spans="1:6" ht="13" x14ac:dyDescent="0.3">
      <c r="A590" s="74" t="s">
        <v>101</v>
      </c>
      <c r="B590" s="4">
        <f>B586-B587</f>
        <v>9</v>
      </c>
      <c r="F590" s="135"/>
    </row>
    <row r="591" spans="1:6" ht="15" x14ac:dyDescent="0.4">
      <c r="A591" s="2" t="s">
        <v>359</v>
      </c>
      <c r="B591" s="4" t="s">
        <v>853</v>
      </c>
      <c r="C591" s="10"/>
      <c r="F591" s="135"/>
    </row>
    <row r="592" spans="1:6" ht="13" x14ac:dyDescent="0.3">
      <c r="A592" s="43" t="s">
        <v>101</v>
      </c>
      <c r="B592" s="195">
        <f>B585*(B586 -B587)</f>
        <v>72000</v>
      </c>
      <c r="C592" s="10" t="s">
        <v>854</v>
      </c>
      <c r="E592" t="s">
        <v>201</v>
      </c>
      <c r="F592" s="135"/>
    </row>
    <row r="593" spans="1:6" ht="15" x14ac:dyDescent="0.4">
      <c r="A593" s="2" t="s">
        <v>366</v>
      </c>
      <c r="B593" s="4" t="s">
        <v>362</v>
      </c>
      <c r="C593" s="10"/>
      <c r="F593" s="135"/>
    </row>
    <row r="594" spans="1:6" ht="13" x14ac:dyDescent="0.3">
      <c r="A594" s="43" t="s">
        <v>101</v>
      </c>
      <c r="B594" s="195">
        <f>B585 * B587 * B590^2 / B586^2</f>
        <v>13500</v>
      </c>
      <c r="C594" s="10" t="s">
        <v>854</v>
      </c>
      <c r="F594" s="135"/>
    </row>
    <row r="595" spans="1:6" ht="15" x14ac:dyDescent="0.4">
      <c r="A595" s="2" t="s">
        <v>367</v>
      </c>
      <c r="B595" s="4" t="s">
        <v>365</v>
      </c>
      <c r="C595" s="10"/>
      <c r="F595" s="135"/>
    </row>
    <row r="596" spans="1:6" ht="13" x14ac:dyDescent="0.3">
      <c r="A596" s="16"/>
      <c r="B596" s="195">
        <f>B585 * B587 * B590 / B586</f>
        <v>18000</v>
      </c>
      <c r="C596" s="10" t="s">
        <v>854</v>
      </c>
    </row>
    <row r="598" spans="1:6" x14ac:dyDescent="0.25">
      <c r="A598" s="120"/>
      <c r="B598" s="120"/>
      <c r="C598" s="125"/>
      <c r="D598" s="120"/>
      <c r="E598" s="120"/>
    </row>
    <row r="600" spans="1:6" ht="15.5" x14ac:dyDescent="0.35">
      <c r="A600" s="68" t="s">
        <v>563</v>
      </c>
    </row>
    <row r="602" spans="1:6" ht="13.5" thickBot="1" x14ac:dyDescent="0.35">
      <c r="A602" s="10" t="s">
        <v>357</v>
      </c>
      <c r="B602" s="29" t="s">
        <v>484</v>
      </c>
    </row>
    <row r="603" spans="1:6" ht="15.5" x14ac:dyDescent="0.4">
      <c r="A603" s="1" t="s">
        <v>360</v>
      </c>
      <c r="B603" s="31">
        <v>13200</v>
      </c>
      <c r="C603" s="8" t="s">
        <v>205</v>
      </c>
    </row>
    <row r="604" spans="1:6" x14ac:dyDescent="0.25">
      <c r="A604" s="1" t="s">
        <v>562</v>
      </c>
      <c r="B604" s="33">
        <v>1.75</v>
      </c>
      <c r="C604" s="8" t="s">
        <v>209</v>
      </c>
    </row>
    <row r="605" spans="1:6" x14ac:dyDescent="0.25">
      <c r="A605" s="1" t="s">
        <v>712</v>
      </c>
      <c r="B605" s="32">
        <v>4.4660000000000002</v>
      </c>
      <c r="C605" s="12" t="s">
        <v>203</v>
      </c>
    </row>
    <row r="606" spans="1:6" x14ac:dyDescent="0.25">
      <c r="A606" s="1" t="s">
        <v>672</v>
      </c>
      <c r="B606" s="32">
        <v>1.5</v>
      </c>
      <c r="C606" s="8" t="s">
        <v>406</v>
      </c>
    </row>
    <row r="607" spans="1:6" ht="13" thickBot="1" x14ac:dyDescent="0.3">
      <c r="A607" s="1" t="s">
        <v>788</v>
      </c>
      <c r="B607" s="34">
        <v>29000000</v>
      </c>
      <c r="C607" s="12" t="s">
        <v>223</v>
      </c>
    </row>
    <row r="608" spans="1:6" ht="13" x14ac:dyDescent="0.3">
      <c r="B608" s="29" t="s">
        <v>139</v>
      </c>
    </row>
    <row r="609" spans="1:5" ht="13" x14ac:dyDescent="0.3">
      <c r="A609" s="2" t="s">
        <v>787</v>
      </c>
      <c r="B609" s="4">
        <f>B586</f>
        <v>12</v>
      </c>
      <c r="C609" s="10" t="s">
        <v>209</v>
      </c>
    </row>
    <row r="610" spans="1:5" ht="13" x14ac:dyDescent="0.3">
      <c r="A610" s="2" t="s">
        <v>163</v>
      </c>
      <c r="B610" s="4">
        <f>B585</f>
        <v>8000</v>
      </c>
      <c r="C610" s="10" t="s">
        <v>230</v>
      </c>
    </row>
    <row r="611" spans="1:5" ht="13" x14ac:dyDescent="0.3">
      <c r="A611" s="2" t="s">
        <v>358</v>
      </c>
      <c r="B611" s="4" t="s">
        <v>561</v>
      </c>
      <c r="C611" s="10"/>
    </row>
    <row r="612" spans="1:5" ht="13" x14ac:dyDescent="0.3">
      <c r="A612" s="2" t="s">
        <v>489</v>
      </c>
      <c r="B612" s="5">
        <f>B606*B603*B604/B605</f>
        <v>7758.6206896551721</v>
      </c>
      <c r="C612" s="10" t="s">
        <v>223</v>
      </c>
    </row>
    <row r="613" spans="1:5" ht="13" x14ac:dyDescent="0.3">
      <c r="A613" s="2" t="s">
        <v>784</v>
      </c>
      <c r="B613" s="4" t="s">
        <v>164</v>
      </c>
    </row>
    <row r="614" spans="1:5" ht="13" x14ac:dyDescent="0.3">
      <c r="A614" s="16"/>
      <c r="B614" s="11">
        <f>$B$610*$B$609^3 / (3*$B$607*$B$605)</f>
        <v>3.5579165186775175E-2</v>
      </c>
      <c r="C614" s="10" t="s">
        <v>209</v>
      </c>
      <c r="D614" t="s">
        <v>201</v>
      </c>
    </row>
    <row r="615" spans="1:5" ht="13" x14ac:dyDescent="0.3">
      <c r="A615" s="2" t="s">
        <v>785</v>
      </c>
      <c r="B615" s="10" t="s">
        <v>165</v>
      </c>
    </row>
    <row r="616" spans="1:5" ht="13" x14ac:dyDescent="0.3">
      <c r="A616" s="16"/>
      <c r="B616" s="122">
        <f>B585 * B587^3 * B590^3 / (3*B607*B605*B586^3)</f>
        <v>2.3453062989329339E-4</v>
      </c>
      <c r="C616" s="10" t="s">
        <v>209</v>
      </c>
    </row>
    <row r="617" spans="1:5" ht="13" x14ac:dyDescent="0.3">
      <c r="A617" s="2" t="s">
        <v>786</v>
      </c>
      <c r="B617" s="10" t="s">
        <v>166</v>
      </c>
    </row>
    <row r="618" spans="1:5" ht="13" x14ac:dyDescent="0.3">
      <c r="B618" s="122">
        <f>B585*B587^2 * B590^2 / (3*B607*B605*B586)</f>
        <v>1.2508300260975647E-3</v>
      </c>
      <c r="C618" s="10" t="s">
        <v>209</v>
      </c>
    </row>
    <row r="620" spans="1:5" x14ac:dyDescent="0.25">
      <c r="A620" s="120"/>
      <c r="B620" s="120"/>
      <c r="C620" s="125"/>
      <c r="D620" s="120"/>
      <c r="E620" s="120"/>
    </row>
    <row r="622" spans="1:5" ht="15.5" x14ac:dyDescent="0.35">
      <c r="C622" s="71" t="s">
        <v>776</v>
      </c>
    </row>
  </sheetData>
  <sheetProtection sheet="1" objects="1" scenarios="1" formatCells="0" selectLockedCells="1"/>
  <protectedRanges>
    <protectedRange sqref="B388 B383:B385 B435:B436" name="Range17"/>
    <protectedRange sqref="B330:B331" name="Range14"/>
    <protectedRange sqref="B322" name="Range13"/>
    <protectedRange sqref="B311" name="Range12"/>
    <protectedRange sqref="B311" name="Range11"/>
    <protectedRange sqref="B185" name="Range7"/>
    <protectedRange sqref="B176" name="Range6"/>
    <protectedRange sqref="B48:B53" name="Range1"/>
    <protectedRange sqref="B141" name="Range2"/>
    <protectedRange sqref="B176" name="Range4"/>
    <protectedRange sqref="B185" name="Range5"/>
    <protectedRange sqref="B351:B352" name="Range15"/>
    <protectedRange sqref="B454:B455 G396:G397" name="Range15_1"/>
    <protectedRange sqref="B535:C537 G413:G415 G437:G439 B472:C474 B559:C561" name="Range16_1"/>
  </protectedRanges>
  <phoneticPr fontId="2" type="noConversion"/>
  <printOptions gridLines="1"/>
  <pageMargins left="0.75" right="0.75" top="1" bottom="1" header="0.5" footer="0.5"/>
  <pageSetup orientation="portrait" horizont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58"/>
  <sheetViews>
    <sheetView zoomScaleNormal="100" workbookViewId="0">
      <selection activeCell="F1" sqref="F1"/>
    </sheetView>
  </sheetViews>
  <sheetFormatPr defaultRowHeight="12.5" x14ac:dyDescent="0.25"/>
  <cols>
    <col min="1" max="1" width="38.81640625" style="1" customWidth="1"/>
    <col min="2" max="2" width="22.1796875" style="3" customWidth="1"/>
    <col min="3" max="3" width="9.1796875" style="8"/>
    <col min="5" max="5" width="11.453125" customWidth="1"/>
    <col min="6" max="6" width="48.26953125" customWidth="1"/>
    <col min="7" max="7" width="22.26953125" customWidth="1"/>
  </cols>
  <sheetData>
    <row r="1" spans="1:9" ht="18" x14ac:dyDescent="0.4">
      <c r="A1" s="355" t="s">
        <v>1170</v>
      </c>
      <c r="C1" s="10"/>
      <c r="D1" s="28"/>
      <c r="E1" s="4" t="s">
        <v>201</v>
      </c>
      <c r="F1" s="135"/>
      <c r="G1" s="135"/>
      <c r="H1" s="135"/>
      <c r="I1" s="135"/>
    </row>
    <row r="2" spans="1:9" x14ac:dyDescent="0.25">
      <c r="A2" s="66"/>
      <c r="F2" s="135"/>
      <c r="G2" s="135"/>
      <c r="H2" s="135"/>
      <c r="I2" s="135"/>
    </row>
    <row r="3" spans="1:9" x14ac:dyDescent="0.25">
      <c r="F3" s="135"/>
      <c r="G3" s="135"/>
      <c r="H3" s="135"/>
      <c r="I3" s="135"/>
    </row>
    <row r="4" spans="1:9" ht="15.5" x14ac:dyDescent="0.35">
      <c r="A4" s="188" t="s">
        <v>839</v>
      </c>
      <c r="F4" s="146"/>
      <c r="G4" s="135"/>
      <c r="H4" s="135"/>
      <c r="I4" s="135"/>
    </row>
    <row r="5" spans="1:9" ht="13" x14ac:dyDescent="0.3">
      <c r="F5" s="10"/>
      <c r="G5" s="135"/>
      <c r="H5" s="135"/>
      <c r="I5" s="135"/>
    </row>
    <row r="6" spans="1:9" ht="13" x14ac:dyDescent="0.3">
      <c r="A6" s="14"/>
      <c r="F6" s="146"/>
      <c r="G6" s="135"/>
      <c r="H6" s="135"/>
      <c r="I6" s="135"/>
    </row>
    <row r="7" spans="1:9" ht="13" x14ac:dyDescent="0.3">
      <c r="A7" s="14"/>
      <c r="F7" s="146"/>
      <c r="G7" s="135"/>
      <c r="H7" s="135"/>
      <c r="I7" s="135"/>
    </row>
    <row r="8" spans="1:9" ht="13" x14ac:dyDescent="0.3">
      <c r="A8" s="14"/>
      <c r="B8" s="3" t="s">
        <v>201</v>
      </c>
      <c r="F8" s="146"/>
      <c r="G8" s="135"/>
      <c r="H8" s="135"/>
      <c r="I8" s="135"/>
    </row>
    <row r="9" spans="1:9" ht="14.5" x14ac:dyDescent="0.35">
      <c r="A9" s="14"/>
      <c r="F9" s="147"/>
      <c r="G9" s="135"/>
      <c r="H9" s="135"/>
      <c r="I9" s="135"/>
    </row>
    <row r="10" spans="1:9" ht="13" x14ac:dyDescent="0.3">
      <c r="A10" s="14"/>
      <c r="F10" s="135"/>
      <c r="G10" s="135"/>
      <c r="H10" s="135"/>
      <c r="I10" s="135"/>
    </row>
    <row r="11" spans="1:9" x14ac:dyDescent="0.25">
      <c r="F11" s="135"/>
      <c r="G11" s="135"/>
      <c r="H11" s="135"/>
      <c r="I11" s="135"/>
    </row>
    <row r="12" spans="1:9" x14ac:dyDescent="0.25">
      <c r="F12" s="135"/>
      <c r="G12" s="135"/>
      <c r="H12" s="135"/>
      <c r="I12" s="135"/>
    </row>
    <row r="13" spans="1:9" x14ac:dyDescent="0.25">
      <c r="F13" s="135"/>
      <c r="G13" s="135"/>
      <c r="H13" s="135"/>
      <c r="I13" s="135"/>
    </row>
    <row r="14" spans="1:9" x14ac:dyDescent="0.25">
      <c r="F14" s="135"/>
      <c r="G14" s="135"/>
      <c r="H14" s="135"/>
      <c r="I14" s="135"/>
    </row>
    <row r="15" spans="1:9" x14ac:dyDescent="0.25">
      <c r="F15" s="135"/>
      <c r="G15" s="135"/>
      <c r="H15" s="135"/>
      <c r="I15" s="135"/>
    </row>
    <row r="16" spans="1:9" x14ac:dyDescent="0.25">
      <c r="F16" s="135"/>
      <c r="G16" s="135"/>
      <c r="H16" s="135"/>
      <c r="I16" s="135"/>
    </row>
    <row r="17" spans="1:9" x14ac:dyDescent="0.25">
      <c r="F17" s="135"/>
      <c r="G17" s="135"/>
      <c r="H17" s="135"/>
      <c r="I17" s="135"/>
    </row>
    <row r="18" spans="1:9" x14ac:dyDescent="0.25">
      <c r="F18" s="135"/>
      <c r="G18" s="135"/>
      <c r="H18" s="135"/>
      <c r="I18" s="135"/>
    </row>
    <row r="19" spans="1:9" x14ac:dyDescent="0.25">
      <c r="F19" s="135"/>
      <c r="G19" s="135"/>
      <c r="H19" s="135"/>
      <c r="I19" s="135"/>
    </row>
    <row r="20" spans="1:9" x14ac:dyDescent="0.25">
      <c r="F20" s="135"/>
      <c r="G20" s="135"/>
      <c r="H20" s="135"/>
      <c r="I20" s="135"/>
    </row>
    <row r="21" spans="1:9" x14ac:dyDescent="0.25">
      <c r="H21" s="135"/>
      <c r="I21" s="135"/>
    </row>
    <row r="22" spans="1:9" x14ac:dyDescent="0.25">
      <c r="F22" s="135"/>
      <c r="G22" s="145"/>
      <c r="H22" s="135"/>
      <c r="I22" s="135"/>
    </row>
    <row r="23" spans="1:9" x14ac:dyDescent="0.25">
      <c r="F23" s="135"/>
      <c r="G23" s="135"/>
      <c r="H23" s="135"/>
      <c r="I23" s="135"/>
    </row>
    <row r="24" spans="1:9" x14ac:dyDescent="0.25">
      <c r="A24" s="148" t="s">
        <v>810</v>
      </c>
      <c r="B24" s="145" t="s">
        <v>802</v>
      </c>
      <c r="F24" s="135"/>
      <c r="G24" s="135"/>
      <c r="H24" s="135"/>
      <c r="I24" s="135"/>
    </row>
    <row r="25" spans="1:9" x14ac:dyDescent="0.25">
      <c r="F25" s="135"/>
      <c r="G25" s="135"/>
      <c r="H25" s="135"/>
      <c r="I25" s="135"/>
    </row>
    <row r="26" spans="1:9" ht="13" x14ac:dyDescent="0.3">
      <c r="A26" s="2"/>
      <c r="F26" s="135"/>
      <c r="G26" s="135"/>
      <c r="H26" s="135"/>
      <c r="I26" s="135"/>
    </row>
    <row r="27" spans="1:9" x14ac:dyDescent="0.25">
      <c r="F27" s="135"/>
      <c r="G27" s="135"/>
      <c r="H27" s="135"/>
      <c r="I27" s="135"/>
    </row>
    <row r="28" spans="1:9" x14ac:dyDescent="0.25">
      <c r="A28" s="22"/>
      <c r="F28" s="135"/>
      <c r="G28" s="135"/>
      <c r="H28" s="135"/>
      <c r="I28" s="135"/>
    </row>
    <row r="29" spans="1:9" x14ac:dyDescent="0.25">
      <c r="F29" s="135"/>
      <c r="G29" s="135"/>
      <c r="H29" s="135"/>
      <c r="I29" s="135"/>
    </row>
    <row r="30" spans="1:9" x14ac:dyDescent="0.25">
      <c r="F30" s="135"/>
      <c r="G30" s="135"/>
      <c r="H30" s="135"/>
      <c r="I30" s="135"/>
    </row>
    <row r="31" spans="1:9" x14ac:dyDescent="0.25">
      <c r="F31" s="135"/>
      <c r="G31" s="135"/>
      <c r="H31" s="135"/>
      <c r="I31" s="135"/>
    </row>
    <row r="32" spans="1:9" x14ac:dyDescent="0.25">
      <c r="F32" s="135"/>
      <c r="G32" s="135"/>
      <c r="H32" s="135"/>
      <c r="I32" s="135"/>
    </row>
    <row r="33" spans="6:9" x14ac:dyDescent="0.25">
      <c r="F33" s="135"/>
      <c r="G33" s="135"/>
      <c r="H33" s="135"/>
      <c r="I33" s="135"/>
    </row>
    <row r="34" spans="6:9" x14ac:dyDescent="0.25">
      <c r="F34" s="135"/>
      <c r="G34" s="135"/>
      <c r="H34" s="135"/>
      <c r="I34" s="135"/>
    </row>
    <row r="35" spans="6:9" x14ac:dyDescent="0.25">
      <c r="F35" s="135"/>
      <c r="G35" s="135"/>
      <c r="H35" s="135"/>
      <c r="I35" s="135"/>
    </row>
    <row r="36" spans="6:9" x14ac:dyDescent="0.25">
      <c r="F36" s="135"/>
      <c r="G36" s="135"/>
      <c r="H36" s="135"/>
      <c r="I36" s="135"/>
    </row>
    <row r="37" spans="6:9" x14ac:dyDescent="0.25">
      <c r="F37" s="135"/>
      <c r="G37" s="135"/>
      <c r="H37" s="135"/>
      <c r="I37" s="135"/>
    </row>
    <row r="38" spans="6:9" x14ac:dyDescent="0.25">
      <c r="F38" s="135"/>
      <c r="G38" s="135"/>
      <c r="H38" s="135"/>
      <c r="I38" s="135"/>
    </row>
    <row r="39" spans="6:9" x14ac:dyDescent="0.25">
      <c r="F39" s="135"/>
      <c r="G39" s="135"/>
      <c r="H39" s="135"/>
      <c r="I39" s="135"/>
    </row>
    <row r="40" spans="6:9" x14ac:dyDescent="0.25">
      <c r="F40" s="135"/>
      <c r="G40" s="135"/>
      <c r="H40" s="135"/>
      <c r="I40" s="135"/>
    </row>
    <row r="41" spans="6:9" x14ac:dyDescent="0.25">
      <c r="F41" s="135"/>
      <c r="G41" s="135"/>
      <c r="H41" s="135"/>
      <c r="I41" s="135"/>
    </row>
    <row r="42" spans="6:9" x14ac:dyDescent="0.25">
      <c r="F42" s="135"/>
      <c r="G42" s="135"/>
      <c r="H42" s="135"/>
      <c r="I42" s="135"/>
    </row>
    <row r="43" spans="6:9" x14ac:dyDescent="0.25">
      <c r="F43" s="135"/>
      <c r="G43" s="135"/>
      <c r="H43" s="135"/>
      <c r="I43" s="135"/>
    </row>
    <row r="44" spans="6:9" x14ac:dyDescent="0.25">
      <c r="F44" s="135"/>
      <c r="G44" s="135"/>
      <c r="H44" s="135"/>
      <c r="I44" s="135"/>
    </row>
    <row r="45" spans="6:9" x14ac:dyDescent="0.25">
      <c r="F45" s="135"/>
      <c r="G45" s="135"/>
      <c r="H45" s="135"/>
      <c r="I45" s="135"/>
    </row>
    <row r="46" spans="6:9" x14ac:dyDescent="0.25">
      <c r="F46" s="135"/>
      <c r="G46" s="135"/>
      <c r="H46" s="135"/>
      <c r="I46" s="135"/>
    </row>
    <row r="47" spans="6:9" x14ac:dyDescent="0.25">
      <c r="F47" s="135"/>
      <c r="G47" s="135"/>
      <c r="H47" s="135"/>
      <c r="I47" s="135"/>
    </row>
    <row r="48" spans="6:9" x14ac:dyDescent="0.25">
      <c r="F48" s="135"/>
      <c r="G48" s="135"/>
      <c r="H48" s="135"/>
      <c r="I48" s="135"/>
    </row>
    <row r="49" spans="6:9" x14ac:dyDescent="0.25">
      <c r="F49" s="135"/>
      <c r="G49" s="135"/>
      <c r="H49" s="135"/>
      <c r="I49" s="135"/>
    </row>
    <row r="50" spans="6:9" x14ac:dyDescent="0.25">
      <c r="F50" s="135"/>
      <c r="G50" s="135"/>
      <c r="H50" s="135"/>
      <c r="I50" s="135"/>
    </row>
    <row r="51" spans="6:9" x14ac:dyDescent="0.25">
      <c r="F51" s="135"/>
      <c r="G51" s="135"/>
      <c r="H51" s="135"/>
      <c r="I51" s="135"/>
    </row>
    <row r="52" spans="6:9" x14ac:dyDescent="0.25">
      <c r="F52" s="135"/>
      <c r="G52" s="135"/>
      <c r="H52" s="135"/>
      <c r="I52" s="135"/>
    </row>
    <row r="53" spans="6:9" x14ac:dyDescent="0.25">
      <c r="F53" s="135"/>
      <c r="G53" s="135"/>
      <c r="H53" s="135"/>
      <c r="I53" s="135"/>
    </row>
    <row r="54" spans="6:9" x14ac:dyDescent="0.25">
      <c r="F54" s="135"/>
      <c r="G54" s="135"/>
      <c r="H54" s="135"/>
      <c r="I54" s="135"/>
    </row>
    <row r="55" spans="6:9" x14ac:dyDescent="0.25">
      <c r="F55" s="135"/>
      <c r="G55" s="135"/>
      <c r="H55" s="135"/>
      <c r="I55" s="135"/>
    </row>
    <row r="56" spans="6:9" x14ac:dyDescent="0.25">
      <c r="F56" s="135"/>
      <c r="G56" s="135"/>
      <c r="H56" s="135"/>
      <c r="I56" s="135"/>
    </row>
    <row r="57" spans="6:9" x14ac:dyDescent="0.25">
      <c r="F57" s="135"/>
      <c r="G57" s="135"/>
      <c r="H57" s="135"/>
      <c r="I57" s="135"/>
    </row>
    <row r="58" spans="6:9" x14ac:dyDescent="0.25">
      <c r="F58" s="135"/>
      <c r="G58" s="135"/>
      <c r="H58" s="135"/>
      <c r="I58" s="135"/>
    </row>
    <row r="59" spans="6:9" x14ac:dyDescent="0.25">
      <c r="F59" s="135"/>
      <c r="G59" s="135"/>
      <c r="H59" s="135"/>
      <c r="I59" s="135"/>
    </row>
    <row r="60" spans="6:9" x14ac:dyDescent="0.25">
      <c r="F60" s="135"/>
      <c r="G60" s="135"/>
      <c r="H60" s="135"/>
      <c r="I60" s="135"/>
    </row>
    <row r="61" spans="6:9" x14ac:dyDescent="0.25">
      <c r="F61" s="135"/>
      <c r="G61" s="135"/>
      <c r="H61" s="135"/>
      <c r="I61" s="135"/>
    </row>
    <row r="62" spans="6:9" x14ac:dyDescent="0.25">
      <c r="F62" s="135"/>
      <c r="G62" s="135"/>
      <c r="H62" s="135"/>
      <c r="I62" s="135"/>
    </row>
    <row r="63" spans="6:9" x14ac:dyDescent="0.25">
      <c r="F63" s="135"/>
      <c r="G63" s="135"/>
      <c r="H63" s="135"/>
      <c r="I63" s="135"/>
    </row>
    <row r="64" spans="6:9" x14ac:dyDescent="0.25">
      <c r="F64" s="135"/>
      <c r="G64" s="135"/>
      <c r="H64" s="135"/>
      <c r="I64" s="135"/>
    </row>
    <row r="65" spans="1:9" x14ac:dyDescent="0.25">
      <c r="F65" s="135"/>
      <c r="G65" s="135"/>
      <c r="H65" s="135"/>
      <c r="I65" s="135"/>
    </row>
    <row r="66" spans="1:9" x14ac:dyDescent="0.25">
      <c r="F66" s="135"/>
      <c r="G66" s="135"/>
      <c r="H66" s="135"/>
      <c r="I66" s="135"/>
    </row>
    <row r="67" spans="1:9" x14ac:dyDescent="0.25">
      <c r="F67" s="135"/>
      <c r="G67" s="135"/>
      <c r="H67" s="135"/>
      <c r="I67" s="135"/>
    </row>
    <row r="68" spans="1:9" x14ac:dyDescent="0.25">
      <c r="F68" s="135"/>
      <c r="G68" s="135"/>
      <c r="H68" s="135"/>
      <c r="I68" s="135"/>
    </row>
    <row r="69" spans="1:9" x14ac:dyDescent="0.25">
      <c r="F69" s="135"/>
      <c r="G69" s="135"/>
      <c r="H69" s="135"/>
      <c r="I69" s="135"/>
    </row>
    <row r="70" spans="1:9" x14ac:dyDescent="0.25">
      <c r="F70" s="135"/>
      <c r="G70" s="135"/>
      <c r="H70" s="135"/>
      <c r="I70" s="135"/>
    </row>
    <row r="71" spans="1:9" x14ac:dyDescent="0.25">
      <c r="F71" s="135"/>
      <c r="G71" s="135"/>
      <c r="H71" s="135"/>
      <c r="I71" s="135"/>
    </row>
    <row r="72" spans="1:9" x14ac:dyDescent="0.25">
      <c r="F72" s="135"/>
      <c r="G72" s="135"/>
      <c r="H72" s="135"/>
      <c r="I72" s="135"/>
    </row>
    <row r="73" spans="1:9" x14ac:dyDescent="0.25">
      <c r="F73" s="135"/>
      <c r="G73" s="135"/>
      <c r="H73" s="135"/>
      <c r="I73" s="135"/>
    </row>
    <row r="74" spans="1:9" x14ac:dyDescent="0.25">
      <c r="F74" s="135"/>
      <c r="G74" s="135"/>
      <c r="H74" s="135"/>
      <c r="I74" s="135"/>
    </row>
    <row r="75" spans="1:9" x14ac:dyDescent="0.25">
      <c r="F75" s="135"/>
      <c r="G75" s="135"/>
      <c r="H75" s="135"/>
      <c r="I75" s="135"/>
    </row>
    <row r="76" spans="1:9" x14ac:dyDescent="0.25">
      <c r="F76" s="135"/>
      <c r="G76" s="135"/>
      <c r="H76" s="135"/>
      <c r="I76" s="135"/>
    </row>
    <row r="77" spans="1:9" x14ac:dyDescent="0.25">
      <c r="F77" s="135"/>
      <c r="G77" s="135"/>
      <c r="H77" s="135"/>
      <c r="I77" s="135"/>
    </row>
    <row r="78" spans="1:9" x14ac:dyDescent="0.25">
      <c r="F78" s="135"/>
      <c r="G78" s="135"/>
      <c r="H78" s="135"/>
      <c r="I78" s="135"/>
    </row>
    <row r="79" spans="1:9" x14ac:dyDescent="0.25">
      <c r="A79" s="123"/>
      <c r="B79" s="124"/>
      <c r="C79" s="125"/>
      <c r="D79" s="120"/>
      <c r="E79" s="120"/>
      <c r="F79" s="135"/>
      <c r="G79" s="135"/>
      <c r="H79" s="135"/>
      <c r="I79" s="135"/>
    </row>
    <row r="80" spans="1:9" x14ac:dyDescent="0.25">
      <c r="F80" s="135"/>
      <c r="G80" s="135"/>
      <c r="H80" s="135"/>
      <c r="I80" s="135"/>
    </row>
    <row r="81" spans="1:9" ht="15.5" x14ac:dyDescent="0.35">
      <c r="A81" s="82" t="s">
        <v>811</v>
      </c>
      <c r="F81" s="135"/>
      <c r="G81" s="135"/>
      <c r="H81" s="135"/>
      <c r="I81" s="135"/>
    </row>
    <row r="82" spans="1:9" x14ac:dyDescent="0.25">
      <c r="F82" s="135"/>
      <c r="G82" s="135"/>
      <c r="H82" s="135"/>
      <c r="I82" s="135"/>
    </row>
    <row r="83" spans="1:9" x14ac:dyDescent="0.25">
      <c r="F83" s="135"/>
      <c r="G83" s="135"/>
      <c r="H83" s="135"/>
      <c r="I83" s="135"/>
    </row>
    <row r="84" spans="1:9" x14ac:dyDescent="0.25">
      <c r="F84" s="135"/>
      <c r="G84" s="135"/>
      <c r="H84" s="135"/>
      <c r="I84" s="135"/>
    </row>
    <row r="85" spans="1:9" x14ac:dyDescent="0.25">
      <c r="F85" s="135"/>
      <c r="G85" s="135"/>
      <c r="H85" s="135"/>
      <c r="I85" s="135"/>
    </row>
    <row r="86" spans="1:9" x14ac:dyDescent="0.25">
      <c r="F86" s="135"/>
      <c r="G86" s="135"/>
      <c r="H86" s="135"/>
      <c r="I86" s="135"/>
    </row>
    <row r="87" spans="1:9" x14ac:dyDescent="0.25">
      <c r="F87" s="135"/>
      <c r="G87" s="135"/>
      <c r="H87" s="135"/>
      <c r="I87" s="135"/>
    </row>
    <row r="88" spans="1:9" x14ac:dyDescent="0.25">
      <c r="F88" s="135"/>
      <c r="G88" s="135"/>
      <c r="H88" s="135"/>
      <c r="I88" s="135"/>
    </row>
    <row r="89" spans="1:9" x14ac:dyDescent="0.25">
      <c r="F89" s="135"/>
      <c r="G89" s="135"/>
      <c r="H89" s="135"/>
      <c r="I89" s="135"/>
    </row>
    <row r="90" spans="1:9" x14ac:dyDescent="0.25">
      <c r="F90" s="135"/>
      <c r="G90" s="135"/>
      <c r="H90" s="135"/>
      <c r="I90" s="135"/>
    </row>
    <row r="91" spans="1:9" x14ac:dyDescent="0.25">
      <c r="F91" s="135"/>
      <c r="G91" s="135"/>
      <c r="H91" s="135"/>
      <c r="I91" s="135"/>
    </row>
    <row r="92" spans="1:9" x14ac:dyDescent="0.25">
      <c r="F92" s="135"/>
      <c r="G92" s="135"/>
      <c r="H92" s="135"/>
      <c r="I92" s="135"/>
    </row>
    <row r="93" spans="1:9" x14ac:dyDescent="0.25">
      <c r="F93" s="135"/>
      <c r="G93" s="135"/>
      <c r="H93" s="135"/>
      <c r="I93" s="135"/>
    </row>
    <row r="94" spans="1:9" x14ac:dyDescent="0.25">
      <c r="F94" s="135"/>
      <c r="G94" s="135"/>
      <c r="H94" s="135"/>
      <c r="I94" s="135"/>
    </row>
    <row r="95" spans="1:9" x14ac:dyDescent="0.25">
      <c r="F95" s="135"/>
      <c r="G95" s="135"/>
      <c r="H95" s="135"/>
      <c r="I95" s="135"/>
    </row>
    <row r="96" spans="1:9" x14ac:dyDescent="0.25">
      <c r="F96" s="135"/>
      <c r="G96" s="135"/>
      <c r="H96" s="135"/>
      <c r="I96" s="135"/>
    </row>
    <row r="97" spans="1:9" x14ac:dyDescent="0.25">
      <c r="F97" s="135"/>
      <c r="G97" s="135"/>
      <c r="H97" s="135"/>
      <c r="I97" s="135"/>
    </row>
    <row r="98" spans="1:9" x14ac:dyDescent="0.25">
      <c r="F98" s="135"/>
      <c r="G98" s="135"/>
      <c r="H98" s="135"/>
      <c r="I98" s="135"/>
    </row>
    <row r="99" spans="1:9" x14ac:dyDescent="0.25">
      <c r="F99" s="135"/>
      <c r="G99" s="135"/>
      <c r="H99" s="135"/>
      <c r="I99" s="135"/>
    </row>
    <row r="100" spans="1:9" x14ac:dyDescent="0.25">
      <c r="F100" s="135"/>
      <c r="G100" s="135"/>
      <c r="H100" s="135"/>
      <c r="I100" s="135"/>
    </row>
    <row r="101" spans="1:9" x14ac:dyDescent="0.25">
      <c r="F101" s="135"/>
      <c r="G101" s="135"/>
      <c r="H101" s="135"/>
      <c r="I101" s="135"/>
    </row>
    <row r="102" spans="1:9" x14ac:dyDescent="0.25">
      <c r="F102" s="135"/>
      <c r="G102" s="135"/>
      <c r="H102" s="135"/>
      <c r="I102" s="135"/>
    </row>
    <row r="103" spans="1:9" x14ac:dyDescent="0.25">
      <c r="F103" s="135"/>
      <c r="G103" s="135"/>
      <c r="H103" s="135"/>
      <c r="I103" s="135"/>
    </row>
    <row r="104" spans="1:9" x14ac:dyDescent="0.25">
      <c r="F104" s="135"/>
      <c r="G104" s="135"/>
      <c r="H104" s="135"/>
      <c r="I104" s="135"/>
    </row>
    <row r="105" spans="1:9" x14ac:dyDescent="0.25">
      <c r="F105" s="135"/>
      <c r="G105" s="135"/>
      <c r="H105" s="135"/>
      <c r="I105" s="135"/>
    </row>
    <row r="106" spans="1:9" x14ac:dyDescent="0.25">
      <c r="F106" s="135"/>
      <c r="G106" s="135"/>
      <c r="H106" s="135"/>
      <c r="I106" s="135"/>
    </row>
    <row r="107" spans="1:9" x14ac:dyDescent="0.25">
      <c r="F107" s="135"/>
      <c r="G107" s="135"/>
      <c r="H107" s="135"/>
      <c r="I107" s="135"/>
    </row>
    <row r="108" spans="1:9" x14ac:dyDescent="0.25">
      <c r="F108" s="135"/>
      <c r="G108" s="135"/>
      <c r="H108" s="135"/>
      <c r="I108" s="135"/>
    </row>
    <row r="109" spans="1:9" x14ac:dyDescent="0.25">
      <c r="F109" s="135"/>
      <c r="G109" s="135"/>
      <c r="H109" s="135"/>
      <c r="I109" s="135"/>
    </row>
    <row r="110" spans="1:9" x14ac:dyDescent="0.25">
      <c r="F110" s="135"/>
      <c r="G110" s="135"/>
      <c r="H110" s="135"/>
      <c r="I110" s="135"/>
    </row>
    <row r="111" spans="1:9" x14ac:dyDescent="0.25">
      <c r="F111" s="135"/>
      <c r="G111" s="135"/>
      <c r="H111" s="135"/>
      <c r="I111" s="135"/>
    </row>
    <row r="112" spans="1:9" ht="13" x14ac:dyDescent="0.3">
      <c r="A112" s="10" t="s">
        <v>91</v>
      </c>
      <c r="F112" s="135"/>
      <c r="G112" s="135"/>
      <c r="H112" s="135"/>
      <c r="I112" s="135"/>
    </row>
    <row r="113" spans="1:9" ht="13.5" thickBot="1" x14ac:dyDescent="0.35">
      <c r="B113" s="29" t="s">
        <v>484</v>
      </c>
      <c r="F113" s="135"/>
      <c r="G113" s="135"/>
      <c r="H113" s="135"/>
      <c r="I113" s="135"/>
    </row>
    <row r="114" spans="1:9" x14ac:dyDescent="0.25">
      <c r="A114" s="1" t="s">
        <v>36</v>
      </c>
      <c r="B114" s="194">
        <v>70000</v>
      </c>
      <c r="C114" s="8" t="s">
        <v>275</v>
      </c>
      <c r="F114" s="135"/>
      <c r="G114" s="135"/>
      <c r="H114" s="135"/>
      <c r="I114" s="135"/>
    </row>
    <row r="115" spans="1:9" ht="13" thickBot="1" x14ac:dyDescent="0.3">
      <c r="A115" s="1" t="s">
        <v>37</v>
      </c>
      <c r="B115" s="191">
        <v>46000</v>
      </c>
      <c r="C115" s="8" t="s">
        <v>275</v>
      </c>
      <c r="F115" s="135"/>
      <c r="G115" s="135"/>
      <c r="H115" s="135"/>
      <c r="I115" s="135"/>
    </row>
    <row r="116" spans="1:9" ht="13" x14ac:dyDescent="0.3">
      <c r="A116" s="10" t="s">
        <v>90</v>
      </c>
      <c r="B116" s="29" t="s">
        <v>565</v>
      </c>
      <c r="F116" s="135"/>
      <c r="G116" s="135"/>
      <c r="H116" s="135"/>
      <c r="I116" s="135"/>
    </row>
    <row r="117" spans="1:9" x14ac:dyDescent="0.25">
      <c r="A117" s="1" t="s">
        <v>44</v>
      </c>
      <c r="B117" s="3" t="s">
        <v>42</v>
      </c>
      <c r="F117" s="135"/>
      <c r="G117" s="135"/>
      <c r="H117" s="135"/>
      <c r="I117" s="135"/>
    </row>
    <row r="118" spans="1:9" x14ac:dyDescent="0.25">
      <c r="B118" s="3">
        <f>0.18*B114</f>
        <v>12600</v>
      </c>
      <c r="C118" s="8" t="s">
        <v>275</v>
      </c>
      <c r="F118" s="135"/>
      <c r="G118" s="135"/>
      <c r="H118" s="135"/>
      <c r="I118" s="135"/>
    </row>
    <row r="119" spans="1:9" x14ac:dyDescent="0.25">
      <c r="A119" s="1" t="s">
        <v>45</v>
      </c>
      <c r="B119" s="3" t="s">
        <v>43</v>
      </c>
      <c r="F119" s="135"/>
      <c r="G119" s="135"/>
      <c r="H119" s="135"/>
      <c r="I119" s="135"/>
    </row>
    <row r="120" spans="1:9" x14ac:dyDescent="0.25">
      <c r="B120" s="3">
        <f>0.3*B115</f>
        <v>13800</v>
      </c>
      <c r="C120" s="8" t="s">
        <v>275</v>
      </c>
      <c r="F120" s="135"/>
      <c r="G120" s="135"/>
      <c r="H120" s="135"/>
      <c r="I120" s="135"/>
    </row>
    <row r="121" spans="1:9" x14ac:dyDescent="0.25">
      <c r="A121" s="1" t="s">
        <v>87</v>
      </c>
      <c r="B121" s="3" t="s">
        <v>88</v>
      </c>
      <c r="F121" s="138"/>
      <c r="G121" s="135"/>
      <c r="H121" s="135"/>
      <c r="I121" s="135"/>
    </row>
    <row r="122" spans="1:9" x14ac:dyDescent="0.25">
      <c r="B122" s="3">
        <f>0.75*B118</f>
        <v>9450</v>
      </c>
      <c r="C122" s="8" t="s">
        <v>275</v>
      </c>
      <c r="F122" s="135"/>
      <c r="G122" s="135"/>
      <c r="H122" s="135"/>
      <c r="I122" s="135"/>
    </row>
    <row r="123" spans="1:9" x14ac:dyDescent="0.25">
      <c r="F123" s="135"/>
      <c r="G123" s="135"/>
      <c r="H123" s="135"/>
      <c r="I123" s="135"/>
    </row>
    <row r="124" spans="1:9" x14ac:dyDescent="0.25">
      <c r="A124" s="129"/>
      <c r="B124" s="130"/>
      <c r="C124" s="131"/>
      <c r="D124" s="132"/>
      <c r="E124" s="132"/>
      <c r="F124" s="135"/>
      <c r="G124" s="135"/>
      <c r="H124" s="135"/>
      <c r="I124" s="135"/>
    </row>
    <row r="125" spans="1:9" x14ac:dyDescent="0.25">
      <c r="F125" s="135"/>
      <c r="G125" s="135"/>
      <c r="H125" s="135"/>
      <c r="I125" s="135"/>
    </row>
    <row r="126" spans="1:9" ht="15.5" x14ac:dyDescent="0.35">
      <c r="A126" s="68" t="s">
        <v>92</v>
      </c>
      <c r="F126" s="135"/>
      <c r="G126" s="135"/>
      <c r="H126" s="135"/>
      <c r="I126" s="135"/>
    </row>
    <row r="127" spans="1:9" ht="13.5" thickBot="1" x14ac:dyDescent="0.35">
      <c r="B127" s="29" t="s">
        <v>484</v>
      </c>
      <c r="F127" s="135"/>
      <c r="G127" s="135"/>
      <c r="H127" s="135"/>
      <c r="I127" s="135"/>
    </row>
    <row r="128" spans="1:9" x14ac:dyDescent="0.25">
      <c r="A128" s="1" t="s">
        <v>89</v>
      </c>
      <c r="B128" s="194">
        <v>9450</v>
      </c>
      <c r="C128" s="8" t="s">
        <v>275</v>
      </c>
      <c r="F128" s="135"/>
      <c r="G128" s="135"/>
      <c r="H128" s="135"/>
      <c r="I128" s="135"/>
    </row>
    <row r="129" spans="1:9" x14ac:dyDescent="0.25">
      <c r="A129" s="1" t="s">
        <v>29</v>
      </c>
      <c r="B129" s="32">
        <v>20</v>
      </c>
      <c r="C129" s="8" t="s">
        <v>218</v>
      </c>
      <c r="F129" s="135"/>
      <c r="G129" s="135"/>
      <c r="H129" s="135"/>
      <c r="I129" s="135"/>
    </row>
    <row r="130" spans="1:9" x14ac:dyDescent="0.25">
      <c r="A130" s="1" t="s">
        <v>216</v>
      </c>
      <c r="B130" s="32">
        <v>600</v>
      </c>
      <c r="C130" s="8" t="s">
        <v>217</v>
      </c>
      <c r="F130" s="135"/>
      <c r="G130" s="135"/>
      <c r="H130" s="135"/>
      <c r="I130" s="135"/>
    </row>
    <row r="131" spans="1:9" x14ac:dyDescent="0.25">
      <c r="A131" s="1" t="s">
        <v>56</v>
      </c>
      <c r="B131" s="32">
        <v>3</v>
      </c>
      <c r="F131" s="135"/>
      <c r="G131" s="135"/>
      <c r="H131" s="135"/>
      <c r="I131" s="135"/>
    </row>
    <row r="132" spans="1:9" x14ac:dyDescent="0.25">
      <c r="A132" s="1" t="s">
        <v>544</v>
      </c>
      <c r="B132" s="32">
        <v>60</v>
      </c>
      <c r="C132" s="8" t="s">
        <v>741</v>
      </c>
      <c r="F132" s="135"/>
      <c r="G132" s="135"/>
      <c r="H132" s="135"/>
      <c r="I132" s="135"/>
    </row>
    <row r="133" spans="1:9" x14ac:dyDescent="0.25">
      <c r="A133" s="1" t="s">
        <v>26</v>
      </c>
      <c r="B133" s="32">
        <v>10</v>
      </c>
      <c r="C133" s="8" t="s">
        <v>209</v>
      </c>
      <c r="F133" s="135"/>
      <c r="G133" s="135"/>
      <c r="H133" s="135"/>
      <c r="I133" s="135"/>
    </row>
    <row r="134" spans="1:9" x14ac:dyDescent="0.25">
      <c r="A134" s="1" t="s">
        <v>27</v>
      </c>
      <c r="B134" s="32">
        <v>30</v>
      </c>
      <c r="C134" s="8" t="s">
        <v>209</v>
      </c>
      <c r="F134" s="135"/>
      <c r="G134" s="135"/>
      <c r="H134" s="135"/>
      <c r="I134" s="135"/>
    </row>
    <row r="135" spans="1:9" x14ac:dyDescent="0.25">
      <c r="A135" s="1" t="s">
        <v>28</v>
      </c>
      <c r="B135" s="32">
        <v>10</v>
      </c>
      <c r="C135" s="8" t="s">
        <v>209</v>
      </c>
      <c r="F135" s="135"/>
      <c r="G135" s="135"/>
      <c r="H135" s="135"/>
      <c r="I135" s="135"/>
    </row>
    <row r="136" spans="1:9" x14ac:dyDescent="0.25">
      <c r="A136" s="1" t="s">
        <v>33</v>
      </c>
      <c r="B136" s="32">
        <v>8</v>
      </c>
      <c r="C136" s="8" t="s">
        <v>209</v>
      </c>
      <c r="F136" s="135"/>
      <c r="G136" s="135"/>
      <c r="H136" s="135"/>
      <c r="I136" s="135"/>
    </row>
    <row r="137" spans="1:9" x14ac:dyDescent="0.25">
      <c r="A137" s="1" t="s">
        <v>190</v>
      </c>
      <c r="B137" s="32">
        <v>18</v>
      </c>
      <c r="C137" s="8" t="s">
        <v>209</v>
      </c>
      <c r="F137" s="135"/>
      <c r="G137" s="135"/>
      <c r="H137" s="135"/>
      <c r="I137" s="135"/>
    </row>
    <row r="138" spans="1:9" x14ac:dyDescent="0.25">
      <c r="A138" s="1" t="s">
        <v>67</v>
      </c>
      <c r="B138" s="32">
        <v>200</v>
      </c>
      <c r="C138" s="8" t="s">
        <v>69</v>
      </c>
      <c r="F138" s="135"/>
      <c r="G138" s="135"/>
      <c r="H138" s="135"/>
      <c r="I138" s="135"/>
    </row>
    <row r="139" spans="1:9" x14ac:dyDescent="0.25">
      <c r="A139" s="1" t="s">
        <v>54</v>
      </c>
      <c r="B139" s="32">
        <v>20</v>
      </c>
      <c r="C139" s="8" t="s">
        <v>741</v>
      </c>
      <c r="F139" s="135"/>
      <c r="G139" s="135"/>
      <c r="H139" s="135"/>
      <c r="I139" s="135"/>
    </row>
    <row r="140" spans="1:9" x14ac:dyDescent="0.25">
      <c r="A140" s="1" t="s">
        <v>38</v>
      </c>
      <c r="B140" s="32">
        <v>1.5</v>
      </c>
      <c r="C140" s="8" t="s">
        <v>406</v>
      </c>
      <c r="E140" t="s">
        <v>201</v>
      </c>
      <c r="F140" s="135"/>
      <c r="G140" s="135"/>
      <c r="H140" s="135"/>
      <c r="I140" s="135"/>
    </row>
    <row r="141" spans="1:9" ht="13" thickBot="1" x14ac:dyDescent="0.3">
      <c r="A141" s="1" t="s">
        <v>114</v>
      </c>
      <c r="B141" s="34">
        <v>1</v>
      </c>
      <c r="C141" s="8" t="s">
        <v>406</v>
      </c>
      <c r="F141" s="135"/>
      <c r="G141" s="135"/>
      <c r="H141" s="135"/>
      <c r="I141" s="135"/>
    </row>
    <row r="142" spans="1:9" ht="13" x14ac:dyDescent="0.3">
      <c r="B142" s="29" t="s">
        <v>565</v>
      </c>
      <c r="C142" s="8" t="s">
        <v>201</v>
      </c>
      <c r="F142" s="135"/>
      <c r="G142" s="135"/>
      <c r="H142" s="135"/>
      <c r="I142" s="135"/>
    </row>
    <row r="143" spans="1:9" x14ac:dyDescent="0.25">
      <c r="A143" s="1" t="s">
        <v>30</v>
      </c>
      <c r="B143" s="3" t="s">
        <v>31</v>
      </c>
      <c r="F143" s="135"/>
      <c r="G143" s="135"/>
      <c r="H143" s="135"/>
      <c r="I143" s="135"/>
    </row>
    <row r="144" spans="1:9" x14ac:dyDescent="0.25">
      <c r="A144" s="74" t="s">
        <v>101</v>
      </c>
      <c r="B144" s="200">
        <f>B129*63000/B130</f>
        <v>2100</v>
      </c>
      <c r="C144" s="8" t="s">
        <v>205</v>
      </c>
      <c r="F144" s="135"/>
      <c r="G144" s="135"/>
      <c r="H144" s="135"/>
      <c r="I144" s="135"/>
    </row>
    <row r="145" spans="1:9" x14ac:dyDescent="0.25">
      <c r="A145" s="1" t="s">
        <v>35</v>
      </c>
      <c r="B145" s="3">
        <f>B131</f>
        <v>3</v>
      </c>
      <c r="F145" s="135"/>
      <c r="G145" s="135"/>
      <c r="H145" s="135"/>
      <c r="I145" s="135"/>
    </row>
    <row r="146" spans="1:9" x14ac:dyDescent="0.25">
      <c r="A146" s="1" t="s">
        <v>32</v>
      </c>
      <c r="B146" s="3" t="s">
        <v>34</v>
      </c>
      <c r="F146" s="135"/>
      <c r="G146" s="135"/>
      <c r="H146" s="135"/>
      <c r="I146" s="135"/>
    </row>
    <row r="147" spans="1:9" x14ac:dyDescent="0.25">
      <c r="A147" s="1" t="s">
        <v>760</v>
      </c>
      <c r="B147" s="47" t="s">
        <v>53</v>
      </c>
      <c r="F147" s="135"/>
      <c r="G147" s="135"/>
      <c r="H147" s="135"/>
      <c r="I147" s="135"/>
    </row>
    <row r="148" spans="1:9" x14ac:dyDescent="0.25">
      <c r="A148" s="74" t="s">
        <v>101</v>
      </c>
      <c r="B148" s="75">
        <f>-( B144/ (B137 / 2) ) / (1 - B145)</f>
        <v>116.66666666666667</v>
      </c>
      <c r="C148" s="8" t="s">
        <v>230</v>
      </c>
      <c r="F148" s="135"/>
      <c r="G148" s="135"/>
      <c r="H148" s="135"/>
      <c r="I148" s="135"/>
    </row>
    <row r="149" spans="1:9" x14ac:dyDescent="0.25">
      <c r="A149" s="1" t="s">
        <v>25</v>
      </c>
      <c r="B149" s="3" t="s">
        <v>52</v>
      </c>
      <c r="F149" s="135"/>
      <c r="G149" s="135"/>
      <c r="H149" s="135"/>
      <c r="I149" s="135"/>
    </row>
    <row r="150" spans="1:9" x14ac:dyDescent="0.25">
      <c r="A150" s="74" t="s">
        <v>101</v>
      </c>
      <c r="B150" s="75">
        <f>B145*B148</f>
        <v>350</v>
      </c>
      <c r="C150" s="8" t="s">
        <v>230</v>
      </c>
      <c r="F150" s="135"/>
      <c r="G150" s="135"/>
      <c r="H150" s="135"/>
      <c r="I150" s="135"/>
    </row>
    <row r="151" spans="1:9" ht="13" x14ac:dyDescent="0.3">
      <c r="A151" s="2" t="s">
        <v>48</v>
      </c>
      <c r="F151" s="135"/>
      <c r="G151" s="135"/>
      <c r="H151" s="135"/>
      <c r="I151" s="135"/>
    </row>
    <row r="152" spans="1:9" x14ac:dyDescent="0.25">
      <c r="A152" s="1" t="s">
        <v>50</v>
      </c>
      <c r="B152" s="3" t="s">
        <v>40</v>
      </c>
      <c r="E152" t="s">
        <v>201</v>
      </c>
      <c r="F152" s="135"/>
      <c r="G152" s="135"/>
      <c r="H152" s="135"/>
      <c r="I152" s="135"/>
    </row>
    <row r="153" spans="1:9" x14ac:dyDescent="0.25">
      <c r="A153" s="74" t="s">
        <v>101</v>
      </c>
      <c r="B153" s="75">
        <f>B167*TAN(B139/57.3)</f>
        <v>191.06908681197424</v>
      </c>
      <c r="C153" s="8" t="s">
        <v>230</v>
      </c>
      <c r="F153" s="135"/>
      <c r="G153" s="135"/>
      <c r="H153" s="135"/>
      <c r="I153" s="135"/>
    </row>
    <row r="154" spans="1:9" x14ac:dyDescent="0.25">
      <c r="A154" s="1" t="s">
        <v>47</v>
      </c>
      <c r="B154" s="3" t="s">
        <v>68</v>
      </c>
      <c r="F154" s="135"/>
      <c r="G154" s="135"/>
      <c r="H154" s="135"/>
      <c r="I154" s="135"/>
    </row>
    <row r="155" spans="1:9" x14ac:dyDescent="0.25">
      <c r="A155" s="74" t="s">
        <v>101</v>
      </c>
      <c r="B155" s="75">
        <f>((B148 + B150) * SIN( B132/57.3 ))-B138</f>
        <v>204.12718968257832</v>
      </c>
      <c r="C155" s="8" t="s">
        <v>230</v>
      </c>
      <c r="F155" s="135"/>
      <c r="G155" s="135"/>
      <c r="H155" s="135"/>
      <c r="I155" s="135"/>
    </row>
    <row r="156" spans="1:9" ht="13" x14ac:dyDescent="0.3">
      <c r="A156" s="1" t="s">
        <v>55</v>
      </c>
      <c r="B156" s="8" t="s">
        <v>64</v>
      </c>
      <c r="E156" s="4"/>
      <c r="F156" s="135"/>
      <c r="G156" s="135"/>
      <c r="H156" s="135"/>
      <c r="I156" s="135"/>
    </row>
    <row r="157" spans="1:9" ht="13" x14ac:dyDescent="0.3">
      <c r="B157" s="75">
        <f>((B155*(B134+B135))-(B153*B133))/B134</f>
        <v>208.47989063944635</v>
      </c>
      <c r="C157" s="8" t="s">
        <v>230</v>
      </c>
      <c r="E157" s="4"/>
      <c r="F157" s="135"/>
      <c r="G157" s="135"/>
      <c r="H157" s="135"/>
      <c r="I157" s="135"/>
    </row>
    <row r="158" spans="1:9" ht="13" x14ac:dyDescent="0.3">
      <c r="A158" s="1" t="s">
        <v>46</v>
      </c>
      <c r="B158" s="3" t="s">
        <v>57</v>
      </c>
      <c r="E158" s="4"/>
      <c r="F158" s="135"/>
      <c r="G158" s="135"/>
      <c r="H158" s="135"/>
      <c r="I158" s="135"/>
    </row>
    <row r="159" spans="1:9" x14ac:dyDescent="0.25">
      <c r="B159" s="75">
        <f>B153 + B157 - B155</f>
        <v>195.42178776884225</v>
      </c>
      <c r="C159" s="8" t="s">
        <v>230</v>
      </c>
      <c r="F159" s="135"/>
      <c r="G159" s="135"/>
      <c r="H159" s="135"/>
      <c r="I159" s="135"/>
    </row>
    <row r="160" spans="1:9" ht="13" x14ac:dyDescent="0.3">
      <c r="A160" s="2" t="s">
        <v>58</v>
      </c>
      <c r="F160" s="135"/>
      <c r="G160" s="135"/>
      <c r="H160" s="135"/>
      <c r="I160" s="135"/>
    </row>
    <row r="161" spans="1:9" x14ac:dyDescent="0.25">
      <c r="A161" s="1" t="s">
        <v>59</v>
      </c>
      <c r="B161" s="3" t="s">
        <v>60</v>
      </c>
      <c r="F161" s="135"/>
      <c r="G161" s="135"/>
      <c r="H161" s="135"/>
      <c r="I161" s="135"/>
    </row>
    <row r="162" spans="1:9" x14ac:dyDescent="0.25">
      <c r="B162" s="200">
        <f>B159*$B$133</f>
        <v>1954.2178776884225</v>
      </c>
      <c r="C162" s="8" t="s">
        <v>61</v>
      </c>
      <c r="F162" s="135"/>
      <c r="G162" s="135"/>
      <c r="H162" s="135"/>
      <c r="I162" s="135"/>
    </row>
    <row r="163" spans="1:9" x14ac:dyDescent="0.25">
      <c r="A163" s="1" t="s">
        <v>62</v>
      </c>
      <c r="B163" s="3" t="s">
        <v>63</v>
      </c>
      <c r="F163" s="135"/>
      <c r="G163" s="135"/>
      <c r="H163" s="135"/>
      <c r="I163" s="135"/>
    </row>
    <row r="164" spans="1:9" x14ac:dyDescent="0.25">
      <c r="B164" s="200">
        <f>B155*$B$135</f>
        <v>2041.2718968257832</v>
      </c>
      <c r="C164" s="8" t="s">
        <v>61</v>
      </c>
      <c r="F164" s="135"/>
      <c r="G164" s="135"/>
      <c r="H164" s="135"/>
      <c r="I164" s="135"/>
    </row>
    <row r="165" spans="1:9" ht="13" x14ac:dyDescent="0.3">
      <c r="A165" s="2" t="s">
        <v>51</v>
      </c>
      <c r="F165" s="135"/>
      <c r="G165" s="135"/>
      <c r="H165" s="135"/>
      <c r="I165" s="135"/>
    </row>
    <row r="166" spans="1:9" x14ac:dyDescent="0.25">
      <c r="A166" s="1" t="s">
        <v>49</v>
      </c>
      <c r="B166" s="3" t="s">
        <v>39</v>
      </c>
      <c r="F166" s="135"/>
      <c r="G166" s="135"/>
      <c r="H166" s="135"/>
      <c r="I166" s="135"/>
    </row>
    <row r="167" spans="1:9" x14ac:dyDescent="0.25">
      <c r="B167" s="200">
        <f>B144/(B136/2)</f>
        <v>525</v>
      </c>
      <c r="C167" s="8" t="s">
        <v>230</v>
      </c>
      <c r="F167" s="135"/>
      <c r="G167" s="135"/>
      <c r="H167" s="135"/>
      <c r="I167" s="135"/>
    </row>
    <row r="168" spans="1:9" x14ac:dyDescent="0.25">
      <c r="A168" s="1" t="s">
        <v>65</v>
      </c>
      <c r="B168" s="3" t="s">
        <v>66</v>
      </c>
      <c r="F168" s="135"/>
      <c r="G168" s="135"/>
      <c r="H168" s="135"/>
      <c r="I168" s="135"/>
    </row>
    <row r="169" spans="1:9" x14ac:dyDescent="0.25">
      <c r="B169" s="200">
        <f>(B150 + B148) * COS( B132/57.3 )</f>
        <v>233.36450530669643</v>
      </c>
      <c r="C169" s="8" t="s">
        <v>230</v>
      </c>
      <c r="F169" s="135"/>
      <c r="G169" s="135"/>
      <c r="H169" s="135"/>
      <c r="I169" s="135"/>
    </row>
    <row r="170" spans="1:9" x14ac:dyDescent="0.25">
      <c r="A170" s="1" t="s">
        <v>70</v>
      </c>
      <c r="B170" t="s">
        <v>71</v>
      </c>
      <c r="F170" s="135"/>
      <c r="G170" s="135"/>
      <c r="H170" s="135"/>
      <c r="I170" s="135"/>
    </row>
    <row r="171" spans="1:9" x14ac:dyDescent="0.25">
      <c r="B171" s="200">
        <f>((B169*(B134+B135))+(B167*B133))/B134</f>
        <v>486.15267374226192</v>
      </c>
      <c r="F171" s="135"/>
      <c r="G171" s="135"/>
      <c r="H171" s="135"/>
      <c r="I171" s="135"/>
    </row>
    <row r="172" spans="1:9" x14ac:dyDescent="0.25">
      <c r="A172" s="1" t="s">
        <v>72</v>
      </c>
      <c r="B172" s="3" t="s">
        <v>73</v>
      </c>
      <c r="F172" s="135"/>
      <c r="G172" s="135"/>
      <c r="H172" s="135"/>
      <c r="I172" s="135"/>
    </row>
    <row r="173" spans="1:9" x14ac:dyDescent="0.25">
      <c r="B173" s="200">
        <f>B167 - B171 + B169</f>
        <v>272.21183156443453</v>
      </c>
      <c r="F173" s="135"/>
      <c r="G173" s="135"/>
      <c r="H173" s="135"/>
      <c r="I173" s="135"/>
    </row>
    <row r="174" spans="1:9" ht="13" x14ac:dyDescent="0.3">
      <c r="A174" s="2" t="s">
        <v>78</v>
      </c>
      <c r="F174" s="135"/>
      <c r="G174" s="135"/>
      <c r="H174" s="135"/>
      <c r="I174" s="135"/>
    </row>
    <row r="175" spans="1:9" x14ac:dyDescent="0.25">
      <c r="A175" s="1" t="s">
        <v>74</v>
      </c>
      <c r="B175" s="3" t="s">
        <v>76</v>
      </c>
      <c r="F175" s="135"/>
      <c r="G175" s="135"/>
      <c r="H175" s="135"/>
      <c r="I175" s="135"/>
    </row>
    <row r="176" spans="1:9" x14ac:dyDescent="0.25">
      <c r="B176" s="200">
        <f>B173*$B$133</f>
        <v>2722.1183156443453</v>
      </c>
      <c r="C176" s="8" t="s">
        <v>61</v>
      </c>
      <c r="F176" s="135"/>
      <c r="G176" s="135"/>
      <c r="H176" s="135"/>
      <c r="I176" s="135"/>
    </row>
    <row r="177" spans="1:9" x14ac:dyDescent="0.25">
      <c r="A177" s="1" t="s">
        <v>75</v>
      </c>
      <c r="B177" s="3" t="s">
        <v>77</v>
      </c>
      <c r="F177" s="135"/>
      <c r="G177" s="135"/>
      <c r="H177" s="135"/>
      <c r="I177" s="135"/>
    </row>
    <row r="178" spans="1:9" x14ac:dyDescent="0.25">
      <c r="B178" s="200">
        <f>B169*$B$135</f>
        <v>2333.6450530669645</v>
      </c>
      <c r="C178" s="8" t="s">
        <v>61</v>
      </c>
      <c r="F178" s="135"/>
      <c r="G178" s="135"/>
      <c r="H178" s="135"/>
      <c r="I178" s="135"/>
    </row>
    <row r="179" spans="1:9" ht="13" x14ac:dyDescent="0.3">
      <c r="A179" s="2" t="s">
        <v>79</v>
      </c>
      <c r="F179" s="135"/>
      <c r="G179" s="135"/>
      <c r="H179" s="135"/>
      <c r="I179" s="135"/>
    </row>
    <row r="180" spans="1:9" x14ac:dyDescent="0.25">
      <c r="A180" s="1" t="s">
        <v>80</v>
      </c>
      <c r="B180" s="3" t="s">
        <v>81</v>
      </c>
      <c r="F180" s="135"/>
      <c r="G180" s="135"/>
      <c r="H180" s="135"/>
      <c r="I180" s="135"/>
    </row>
    <row r="181" spans="1:9" x14ac:dyDescent="0.25">
      <c r="B181" s="75">
        <f>(B162^2 + B176^2)^0.5</f>
        <v>3350.9544368498132</v>
      </c>
      <c r="C181" s="8" t="s">
        <v>61</v>
      </c>
      <c r="F181" s="135"/>
      <c r="G181" s="135"/>
      <c r="H181" s="135"/>
      <c r="I181" s="135"/>
    </row>
    <row r="182" spans="1:9" x14ac:dyDescent="0.25">
      <c r="A182" s="1" t="s">
        <v>82</v>
      </c>
      <c r="B182" s="3" t="s">
        <v>83</v>
      </c>
      <c r="F182" s="135"/>
      <c r="G182" s="135"/>
      <c r="H182" s="135"/>
      <c r="I182" s="135"/>
    </row>
    <row r="183" spans="1:9" x14ac:dyDescent="0.25">
      <c r="B183" s="75">
        <f>(B164^2 + B178^2)^0.5</f>
        <v>3100.4338713274706</v>
      </c>
      <c r="C183" s="8" t="s">
        <v>61</v>
      </c>
      <c r="F183" s="135"/>
      <c r="G183" s="135"/>
      <c r="H183" s="135"/>
      <c r="I183" s="135"/>
    </row>
    <row r="184" spans="1:9" ht="13.5" thickBot="1" x14ac:dyDescent="0.35">
      <c r="B184" s="29" t="s">
        <v>484</v>
      </c>
      <c r="F184" s="135"/>
      <c r="G184" s="135"/>
      <c r="H184" s="135"/>
      <c r="I184" s="135"/>
    </row>
    <row r="185" spans="1:9" ht="13.5" thickBot="1" x14ac:dyDescent="0.35">
      <c r="A185" s="2" t="s">
        <v>86</v>
      </c>
      <c r="B185" s="201">
        <v>3351</v>
      </c>
      <c r="C185" s="8" t="s">
        <v>61</v>
      </c>
      <c r="F185" s="135"/>
      <c r="G185" s="135"/>
      <c r="H185" s="135"/>
      <c r="I185" s="135"/>
    </row>
    <row r="186" spans="1:9" ht="15.5" x14ac:dyDescent="0.35">
      <c r="A186" s="68" t="s">
        <v>93</v>
      </c>
      <c r="B186" s="29" t="s">
        <v>565</v>
      </c>
      <c r="F186" s="135"/>
      <c r="G186" s="135"/>
      <c r="H186" s="135"/>
      <c r="I186" s="135"/>
    </row>
    <row r="187" spans="1:9" x14ac:dyDescent="0.25">
      <c r="A187" s="1" t="s">
        <v>84</v>
      </c>
      <c r="B187" s="8" t="s">
        <v>85</v>
      </c>
      <c r="F187" s="135"/>
      <c r="G187" s="135"/>
      <c r="H187" s="135"/>
      <c r="I187" s="135"/>
    </row>
    <row r="188" spans="1:9" x14ac:dyDescent="0.25">
      <c r="A188" s="74" t="s">
        <v>101</v>
      </c>
      <c r="B188" s="200">
        <f>(16 / (3.1416*B128) ) * ( (B140*B185)^2 + ( B141*B144)^2 )^0.5</f>
        <v>2.935876538389341</v>
      </c>
      <c r="C188" s="8" t="s">
        <v>417</v>
      </c>
      <c r="F188" s="135"/>
      <c r="G188" s="135"/>
      <c r="H188" s="135"/>
      <c r="I188" s="135"/>
    </row>
    <row r="189" spans="1:9" ht="15.5" x14ac:dyDescent="0.35">
      <c r="A189" s="71" t="s">
        <v>625</v>
      </c>
      <c r="B189" s="76">
        <f>B188^0.333</f>
        <v>1.4313857308666915</v>
      </c>
      <c r="C189" s="68" t="s">
        <v>417</v>
      </c>
      <c r="F189" s="135"/>
      <c r="G189" s="135"/>
      <c r="H189" s="135"/>
      <c r="I189" s="135"/>
    </row>
    <row r="190" spans="1:9" x14ac:dyDescent="0.25">
      <c r="F190" s="135"/>
      <c r="G190" s="135"/>
      <c r="H190" s="135"/>
      <c r="I190" s="135"/>
    </row>
    <row r="191" spans="1:9" x14ac:dyDescent="0.25">
      <c r="A191" s="123"/>
      <c r="B191" s="124"/>
      <c r="C191" s="125"/>
      <c r="D191" s="120"/>
      <c r="E191" s="120"/>
      <c r="F191" s="135"/>
      <c r="G191" s="135"/>
      <c r="H191" s="135"/>
      <c r="I191" s="135"/>
    </row>
    <row r="192" spans="1:9" x14ac:dyDescent="0.25">
      <c r="F192" s="135"/>
      <c r="G192" s="135"/>
      <c r="H192" s="135"/>
      <c r="I192" s="135"/>
    </row>
    <row r="193" spans="1:9" ht="15.5" x14ac:dyDescent="0.35">
      <c r="A193" s="68" t="s">
        <v>812</v>
      </c>
      <c r="F193" s="135"/>
      <c r="G193" s="135"/>
      <c r="H193" s="135"/>
      <c r="I193" s="135"/>
    </row>
    <row r="194" spans="1:9" ht="13" x14ac:dyDescent="0.3">
      <c r="A194" s="2"/>
      <c r="B194" s="5"/>
      <c r="C194" s="10"/>
      <c r="F194" s="135"/>
      <c r="G194" s="135"/>
      <c r="H194" s="135"/>
      <c r="I194" s="135"/>
    </row>
    <row r="195" spans="1:9" x14ac:dyDescent="0.25">
      <c r="F195" s="135"/>
      <c r="G195" s="135"/>
      <c r="H195" s="135"/>
      <c r="I195" s="135"/>
    </row>
    <row r="196" spans="1:9" x14ac:dyDescent="0.25">
      <c r="F196" s="135"/>
      <c r="G196" s="135"/>
      <c r="H196" s="135"/>
      <c r="I196" s="135"/>
    </row>
    <row r="197" spans="1:9" x14ac:dyDescent="0.25">
      <c r="F197" s="135"/>
      <c r="G197" s="135"/>
      <c r="H197" s="135"/>
      <c r="I197" s="135"/>
    </row>
    <row r="198" spans="1:9" x14ac:dyDescent="0.25">
      <c r="F198" s="135"/>
      <c r="G198" s="135"/>
      <c r="H198" s="135"/>
      <c r="I198" s="135"/>
    </row>
    <row r="199" spans="1:9" x14ac:dyDescent="0.25">
      <c r="F199" s="135"/>
      <c r="G199" s="135"/>
      <c r="H199" s="135"/>
      <c r="I199" s="135"/>
    </row>
    <row r="200" spans="1:9" x14ac:dyDescent="0.25">
      <c r="F200" s="135"/>
      <c r="G200" s="135"/>
      <c r="H200" s="135"/>
      <c r="I200" s="135"/>
    </row>
    <row r="201" spans="1:9" x14ac:dyDescent="0.25">
      <c r="F201" s="135"/>
      <c r="G201" s="135"/>
      <c r="H201" s="135"/>
      <c r="I201" s="135"/>
    </row>
    <row r="202" spans="1:9" x14ac:dyDescent="0.25">
      <c r="F202" s="135"/>
      <c r="G202" s="135"/>
      <c r="H202" s="135"/>
      <c r="I202" s="135"/>
    </row>
    <row r="203" spans="1:9" x14ac:dyDescent="0.25">
      <c r="F203" s="135"/>
      <c r="G203" s="135"/>
      <c r="H203" s="135"/>
      <c r="I203" s="135"/>
    </row>
    <row r="204" spans="1:9" x14ac:dyDescent="0.25">
      <c r="F204" s="135"/>
      <c r="G204" s="135"/>
      <c r="H204" s="135"/>
      <c r="I204" s="135"/>
    </row>
    <row r="205" spans="1:9" x14ac:dyDescent="0.25">
      <c r="F205" s="135"/>
      <c r="G205" s="135"/>
      <c r="H205" s="135"/>
      <c r="I205" s="135"/>
    </row>
    <row r="206" spans="1:9" x14ac:dyDescent="0.25">
      <c r="F206" s="135"/>
      <c r="G206" s="135"/>
      <c r="H206" s="135"/>
      <c r="I206" s="135"/>
    </row>
    <row r="207" spans="1:9" x14ac:dyDescent="0.25">
      <c r="F207" s="135"/>
      <c r="G207" s="135"/>
      <c r="H207" s="135"/>
      <c r="I207" s="135"/>
    </row>
    <row r="208" spans="1:9" x14ac:dyDescent="0.25">
      <c r="F208" s="135"/>
      <c r="G208" s="135"/>
      <c r="H208" s="135"/>
      <c r="I208" s="135"/>
    </row>
    <row r="209" spans="1:9" x14ac:dyDescent="0.25">
      <c r="F209" s="135"/>
      <c r="G209" s="135"/>
      <c r="H209" s="135"/>
      <c r="I209" s="135"/>
    </row>
    <row r="210" spans="1:9" x14ac:dyDescent="0.25">
      <c r="F210" s="135"/>
      <c r="G210" s="135"/>
      <c r="H210" s="135"/>
      <c r="I210" s="135"/>
    </row>
    <row r="211" spans="1:9" x14ac:dyDescent="0.25">
      <c r="F211" s="135"/>
      <c r="G211" s="135"/>
      <c r="H211" s="135"/>
      <c r="I211" s="135"/>
    </row>
    <row r="212" spans="1:9" ht="13.5" thickBot="1" x14ac:dyDescent="0.35">
      <c r="A212" s="10" t="s">
        <v>91</v>
      </c>
      <c r="B212" s="29" t="s">
        <v>484</v>
      </c>
      <c r="F212" s="135"/>
      <c r="G212" s="135"/>
      <c r="H212" s="135"/>
      <c r="I212" s="135"/>
    </row>
    <row r="213" spans="1:9" x14ac:dyDescent="0.25">
      <c r="A213" s="1" t="s">
        <v>36</v>
      </c>
      <c r="B213" s="194">
        <v>70000</v>
      </c>
      <c r="C213" s="8" t="s">
        <v>275</v>
      </c>
      <c r="F213" s="135"/>
      <c r="G213" s="135"/>
      <c r="H213" s="135"/>
      <c r="I213" s="135"/>
    </row>
    <row r="214" spans="1:9" ht="13" thickBot="1" x14ac:dyDescent="0.3">
      <c r="A214" s="1" t="s">
        <v>37</v>
      </c>
      <c r="B214" s="191">
        <v>46000</v>
      </c>
      <c r="C214" s="8" t="s">
        <v>275</v>
      </c>
      <c r="F214" s="135"/>
      <c r="G214" s="135"/>
      <c r="H214" s="135"/>
      <c r="I214" s="135"/>
    </row>
    <row r="215" spans="1:9" ht="13" x14ac:dyDescent="0.3">
      <c r="A215" s="10" t="s">
        <v>90</v>
      </c>
      <c r="B215" s="29" t="s">
        <v>565</v>
      </c>
      <c r="F215" s="135"/>
      <c r="G215" s="135"/>
      <c r="H215" s="135"/>
      <c r="I215" s="135"/>
    </row>
    <row r="216" spans="1:9" x14ac:dyDescent="0.25">
      <c r="A216" s="1" t="s">
        <v>44</v>
      </c>
      <c r="B216" s="3" t="s">
        <v>42</v>
      </c>
      <c r="F216" s="135"/>
      <c r="G216" s="135"/>
      <c r="H216" s="135"/>
      <c r="I216" s="135"/>
    </row>
    <row r="217" spans="1:9" x14ac:dyDescent="0.25">
      <c r="B217" s="3">
        <f>0.18*B213</f>
        <v>12600</v>
      </c>
      <c r="C217" s="8" t="s">
        <v>275</v>
      </c>
      <c r="F217" s="135"/>
      <c r="G217" s="135"/>
      <c r="H217" s="135"/>
      <c r="I217" s="135"/>
    </row>
    <row r="218" spans="1:9" x14ac:dyDescent="0.25">
      <c r="A218" s="1" t="s">
        <v>45</v>
      </c>
      <c r="B218" s="3" t="s">
        <v>43</v>
      </c>
      <c r="F218" s="135"/>
      <c r="G218" s="135"/>
      <c r="H218" s="135"/>
      <c r="I218" s="135"/>
    </row>
    <row r="219" spans="1:9" x14ac:dyDescent="0.25">
      <c r="B219" s="3">
        <f>0.3*B214</f>
        <v>13800</v>
      </c>
      <c r="C219" s="8" t="s">
        <v>275</v>
      </c>
      <c r="F219" s="135"/>
      <c r="G219" s="135"/>
      <c r="H219" s="135"/>
      <c r="I219" s="135"/>
    </row>
    <row r="220" spans="1:9" x14ac:dyDescent="0.25">
      <c r="A220" s="1" t="s">
        <v>87</v>
      </c>
      <c r="B220" s="3" t="s">
        <v>88</v>
      </c>
      <c r="F220" s="135"/>
      <c r="G220" s="135"/>
      <c r="H220" s="135"/>
      <c r="I220" s="135"/>
    </row>
    <row r="221" spans="1:9" x14ac:dyDescent="0.25">
      <c r="B221" s="3">
        <f>0.75*B217</f>
        <v>9450</v>
      </c>
      <c r="C221" s="8" t="s">
        <v>275</v>
      </c>
      <c r="F221" s="135"/>
      <c r="G221" s="135"/>
      <c r="H221" s="135"/>
      <c r="I221" s="135"/>
    </row>
    <row r="222" spans="1:9" x14ac:dyDescent="0.25">
      <c r="F222" s="135"/>
      <c r="G222" s="135"/>
      <c r="H222" s="135"/>
      <c r="I222" s="135"/>
    </row>
    <row r="223" spans="1:9" ht="13.5" thickBot="1" x14ac:dyDescent="0.35">
      <c r="A223" s="10" t="s">
        <v>92</v>
      </c>
      <c r="B223" s="29" t="s">
        <v>484</v>
      </c>
      <c r="F223" s="135"/>
      <c r="G223" s="135"/>
      <c r="H223" s="135"/>
      <c r="I223" s="135"/>
    </row>
    <row r="224" spans="1:9" x14ac:dyDescent="0.25">
      <c r="A224" s="1" t="s">
        <v>89</v>
      </c>
      <c r="B224" s="194">
        <v>9450</v>
      </c>
      <c r="C224" s="8" t="s">
        <v>275</v>
      </c>
      <c r="F224" s="135"/>
      <c r="G224" s="135"/>
      <c r="H224" s="135"/>
      <c r="I224" s="135"/>
    </row>
    <row r="225" spans="1:9" x14ac:dyDescent="0.25">
      <c r="A225" s="1" t="s">
        <v>29</v>
      </c>
      <c r="B225" s="32">
        <v>20</v>
      </c>
      <c r="C225" s="8" t="s">
        <v>218</v>
      </c>
      <c r="F225" s="135"/>
      <c r="G225" s="135"/>
      <c r="H225" s="135"/>
      <c r="I225" s="135"/>
    </row>
    <row r="226" spans="1:9" x14ac:dyDescent="0.25">
      <c r="A226" s="1" t="s">
        <v>216</v>
      </c>
      <c r="B226" s="32">
        <v>600</v>
      </c>
      <c r="C226" s="8" t="s">
        <v>217</v>
      </c>
      <c r="F226" s="135"/>
      <c r="G226" s="135"/>
      <c r="H226" s="135"/>
      <c r="I226" s="135"/>
    </row>
    <row r="227" spans="1:9" x14ac:dyDescent="0.25">
      <c r="A227" s="1" t="s">
        <v>56</v>
      </c>
      <c r="B227" s="32">
        <v>3</v>
      </c>
      <c r="F227" s="135"/>
      <c r="G227" s="135"/>
      <c r="H227" s="135"/>
      <c r="I227" s="135"/>
    </row>
    <row r="228" spans="1:9" x14ac:dyDescent="0.25">
      <c r="A228" s="1" t="s">
        <v>544</v>
      </c>
      <c r="B228" s="32">
        <v>60</v>
      </c>
      <c r="C228" s="8" t="s">
        <v>741</v>
      </c>
      <c r="F228" s="135"/>
      <c r="G228" s="135"/>
      <c r="H228" s="135"/>
      <c r="I228" s="135"/>
    </row>
    <row r="229" spans="1:9" x14ac:dyDescent="0.25">
      <c r="A229" s="1" t="s">
        <v>26</v>
      </c>
      <c r="B229" s="32">
        <v>10</v>
      </c>
      <c r="C229" s="8" t="s">
        <v>209</v>
      </c>
      <c r="F229" s="135"/>
      <c r="G229" s="135"/>
      <c r="H229" s="135"/>
      <c r="I229" s="135"/>
    </row>
    <row r="230" spans="1:9" x14ac:dyDescent="0.25">
      <c r="A230" s="1" t="s">
        <v>27</v>
      </c>
      <c r="B230" s="32">
        <v>30</v>
      </c>
      <c r="C230" s="8" t="s">
        <v>209</v>
      </c>
      <c r="F230" s="135"/>
      <c r="G230" s="135"/>
      <c r="H230" s="135"/>
      <c r="I230" s="135"/>
    </row>
    <row r="231" spans="1:9" x14ac:dyDescent="0.25">
      <c r="A231" s="1" t="s">
        <v>28</v>
      </c>
      <c r="B231" s="32">
        <v>10</v>
      </c>
      <c r="C231" s="8" t="s">
        <v>209</v>
      </c>
      <c r="F231" s="135"/>
      <c r="G231" s="135"/>
      <c r="H231" s="135"/>
      <c r="I231" s="135"/>
    </row>
    <row r="232" spans="1:9" x14ac:dyDescent="0.25">
      <c r="A232" s="1" t="s">
        <v>33</v>
      </c>
      <c r="B232" s="32">
        <v>8</v>
      </c>
      <c r="C232" s="8" t="s">
        <v>209</v>
      </c>
      <c r="F232" s="135"/>
      <c r="G232" s="135"/>
      <c r="H232" s="135"/>
      <c r="I232" s="135"/>
    </row>
    <row r="233" spans="1:9" x14ac:dyDescent="0.25">
      <c r="A233" s="1" t="s">
        <v>190</v>
      </c>
      <c r="B233" s="32">
        <v>18</v>
      </c>
      <c r="C233" s="8" t="s">
        <v>209</v>
      </c>
      <c r="F233" s="135"/>
      <c r="G233" s="135"/>
      <c r="H233" s="135"/>
      <c r="I233" s="135"/>
    </row>
    <row r="234" spans="1:9" x14ac:dyDescent="0.25">
      <c r="A234" s="1" t="s">
        <v>67</v>
      </c>
      <c r="B234" s="32">
        <v>200</v>
      </c>
      <c r="C234" s="8" t="s">
        <v>69</v>
      </c>
      <c r="F234" s="135"/>
      <c r="G234" s="135"/>
      <c r="H234" s="135"/>
      <c r="I234" s="135"/>
    </row>
    <row r="235" spans="1:9" x14ac:dyDescent="0.25">
      <c r="A235" s="1" t="s">
        <v>54</v>
      </c>
      <c r="B235" s="32">
        <v>20</v>
      </c>
      <c r="C235" s="8" t="s">
        <v>741</v>
      </c>
      <c r="F235" s="135"/>
      <c r="G235" s="135"/>
      <c r="H235" s="135"/>
      <c r="I235" s="135"/>
    </row>
    <row r="236" spans="1:9" x14ac:dyDescent="0.25">
      <c r="A236" s="1" t="s">
        <v>38</v>
      </c>
      <c r="B236" s="32">
        <v>1.5</v>
      </c>
      <c r="C236" s="8" t="s">
        <v>406</v>
      </c>
      <c r="E236" t="s">
        <v>201</v>
      </c>
      <c r="F236" s="135"/>
      <c r="G236" s="135"/>
      <c r="H236" s="135"/>
      <c r="I236" s="135"/>
    </row>
    <row r="237" spans="1:9" x14ac:dyDescent="0.25">
      <c r="A237" s="1" t="s">
        <v>114</v>
      </c>
      <c r="B237" s="32">
        <v>1</v>
      </c>
      <c r="C237" s="8" t="s">
        <v>406</v>
      </c>
      <c r="F237" s="135"/>
      <c r="G237" s="135"/>
      <c r="H237" s="135"/>
      <c r="I237" s="135"/>
    </row>
    <row r="238" spans="1:9" x14ac:dyDescent="0.25">
      <c r="A238" s="1" t="s">
        <v>94</v>
      </c>
      <c r="B238" s="33">
        <v>1</v>
      </c>
      <c r="C238" s="8" t="s">
        <v>209</v>
      </c>
      <c r="F238" s="135"/>
      <c r="G238" s="135"/>
      <c r="H238" s="135"/>
      <c r="I238" s="135"/>
    </row>
    <row r="239" spans="1:9" x14ac:dyDescent="0.25">
      <c r="A239" s="1" t="s">
        <v>96</v>
      </c>
      <c r="B239" s="33">
        <v>3</v>
      </c>
      <c r="C239" s="8" t="s">
        <v>209</v>
      </c>
      <c r="F239" s="135"/>
      <c r="G239" s="135"/>
      <c r="H239" s="135"/>
      <c r="I239" s="135"/>
    </row>
    <row r="240" spans="1:9" ht="13" thickBot="1" x14ac:dyDescent="0.3">
      <c r="A240" s="1" t="s">
        <v>95</v>
      </c>
      <c r="B240" s="37">
        <v>2</v>
      </c>
      <c r="C240" s="8" t="s">
        <v>209</v>
      </c>
      <c r="F240" s="135"/>
      <c r="G240" s="135"/>
      <c r="H240" s="135"/>
      <c r="I240" s="135"/>
    </row>
    <row r="241" spans="1:9" ht="13" x14ac:dyDescent="0.3">
      <c r="B241" s="29" t="s">
        <v>565</v>
      </c>
      <c r="C241" s="8" t="s">
        <v>201</v>
      </c>
      <c r="F241" s="135"/>
      <c r="G241" s="135"/>
      <c r="H241" s="135"/>
      <c r="I241" s="135"/>
    </row>
    <row r="242" spans="1:9" x14ac:dyDescent="0.25">
      <c r="A242" s="1" t="s">
        <v>30</v>
      </c>
      <c r="B242" s="3" t="s">
        <v>31</v>
      </c>
      <c r="F242" s="135"/>
      <c r="G242" s="135"/>
      <c r="H242" s="135"/>
      <c r="I242" s="135"/>
    </row>
    <row r="243" spans="1:9" x14ac:dyDescent="0.25">
      <c r="A243" s="74" t="s">
        <v>101</v>
      </c>
      <c r="B243" s="200">
        <f>B225*63000/B226</f>
        <v>2100</v>
      </c>
      <c r="C243" s="8" t="s">
        <v>205</v>
      </c>
      <c r="F243" s="135"/>
      <c r="G243" s="135"/>
      <c r="H243" s="135"/>
      <c r="I243" s="135"/>
    </row>
    <row r="244" spans="1:9" x14ac:dyDescent="0.25">
      <c r="A244" s="1" t="s">
        <v>35</v>
      </c>
      <c r="B244" s="3">
        <f>B227</f>
        <v>3</v>
      </c>
      <c r="F244" s="135"/>
      <c r="G244" s="135"/>
      <c r="H244" s="135"/>
      <c r="I244" s="135"/>
    </row>
    <row r="245" spans="1:9" x14ac:dyDescent="0.25">
      <c r="A245" s="1" t="s">
        <v>32</v>
      </c>
      <c r="B245" s="3" t="s">
        <v>34</v>
      </c>
      <c r="F245" s="135"/>
      <c r="G245" s="135"/>
      <c r="H245" s="135"/>
      <c r="I245" s="135"/>
    </row>
    <row r="246" spans="1:9" x14ac:dyDescent="0.25">
      <c r="A246" s="1" t="s">
        <v>760</v>
      </c>
      <c r="B246" s="47" t="s">
        <v>53</v>
      </c>
      <c r="F246" s="135"/>
      <c r="G246" s="135"/>
      <c r="H246" s="135"/>
      <c r="I246" s="135"/>
    </row>
    <row r="247" spans="1:9" x14ac:dyDescent="0.25">
      <c r="A247" s="74" t="s">
        <v>101</v>
      </c>
      <c r="B247" s="200">
        <f>-( B243/ (B233 / 2) ) / (1 - B244)</f>
        <v>116.66666666666667</v>
      </c>
      <c r="C247" s="8" t="s">
        <v>230</v>
      </c>
      <c r="F247" s="135"/>
      <c r="G247" s="135"/>
      <c r="H247" s="135"/>
      <c r="I247" s="135"/>
    </row>
    <row r="248" spans="1:9" x14ac:dyDescent="0.25">
      <c r="A248" s="1" t="s">
        <v>25</v>
      </c>
      <c r="B248" s="3" t="s">
        <v>52</v>
      </c>
      <c r="F248" s="135"/>
      <c r="G248" s="135"/>
      <c r="H248" s="135"/>
      <c r="I248" s="135"/>
    </row>
    <row r="249" spans="1:9" x14ac:dyDescent="0.25">
      <c r="A249" s="74" t="s">
        <v>101</v>
      </c>
      <c r="B249" s="200">
        <f>B244*B247</f>
        <v>350</v>
      </c>
      <c r="C249" s="8" t="s">
        <v>230</v>
      </c>
      <c r="F249" s="135"/>
      <c r="G249" s="135"/>
      <c r="H249" s="135"/>
      <c r="I249" s="135"/>
    </row>
    <row r="250" spans="1:9" ht="13" x14ac:dyDescent="0.3">
      <c r="A250" s="2" t="s">
        <v>48</v>
      </c>
      <c r="F250" s="135"/>
      <c r="G250" s="135"/>
      <c r="H250" s="135"/>
      <c r="I250" s="135"/>
    </row>
    <row r="251" spans="1:9" x14ac:dyDescent="0.25">
      <c r="A251" s="1" t="s">
        <v>49</v>
      </c>
      <c r="B251" s="3" t="s">
        <v>39</v>
      </c>
      <c r="E251" t="s">
        <v>201</v>
      </c>
      <c r="F251" s="135"/>
      <c r="G251" s="135"/>
      <c r="H251" s="135"/>
      <c r="I251" s="135"/>
    </row>
    <row r="252" spans="1:9" x14ac:dyDescent="0.25">
      <c r="B252" s="200">
        <f>B243/(B232/2)</f>
        <v>525</v>
      </c>
      <c r="C252" s="8" t="s">
        <v>230</v>
      </c>
      <c r="F252" s="135"/>
      <c r="G252" s="135"/>
      <c r="H252" s="135"/>
      <c r="I252" s="135"/>
    </row>
    <row r="253" spans="1:9" x14ac:dyDescent="0.25">
      <c r="A253" s="1" t="s">
        <v>50</v>
      </c>
      <c r="B253" s="3" t="s">
        <v>40</v>
      </c>
      <c r="F253" s="135"/>
      <c r="G253" s="135"/>
      <c r="H253" s="135"/>
      <c r="I253" s="135"/>
    </row>
    <row r="254" spans="1:9" x14ac:dyDescent="0.25">
      <c r="A254" s="74" t="s">
        <v>101</v>
      </c>
      <c r="B254" s="200">
        <f>B252*TAN(B228/57.3)</f>
        <v>909.16471767853477</v>
      </c>
      <c r="C254" s="8" t="s">
        <v>230</v>
      </c>
      <c r="F254" s="135"/>
      <c r="G254" s="135"/>
      <c r="H254" s="135"/>
      <c r="I254" s="135"/>
    </row>
    <row r="255" spans="1:9" ht="13" x14ac:dyDescent="0.3">
      <c r="A255" s="1" t="s">
        <v>47</v>
      </c>
      <c r="B255" s="3" t="s">
        <v>68</v>
      </c>
      <c r="E255" s="4"/>
      <c r="F255" s="135"/>
      <c r="G255" s="135"/>
      <c r="H255" s="135"/>
      <c r="I255" s="135"/>
    </row>
    <row r="256" spans="1:9" ht="13" x14ac:dyDescent="0.3">
      <c r="A256" s="74" t="s">
        <v>101</v>
      </c>
      <c r="B256" s="200">
        <f>((B247 + B249) * SIN( B228/57.3 ))-B234</f>
        <v>204.12718968257832</v>
      </c>
      <c r="C256" s="8" t="s">
        <v>230</v>
      </c>
      <c r="E256" s="4"/>
      <c r="F256" s="135"/>
      <c r="G256" s="135"/>
      <c r="H256" s="135"/>
      <c r="I256" s="135"/>
    </row>
    <row r="257" spans="1:9" ht="13" x14ac:dyDescent="0.3">
      <c r="A257" s="1" t="s">
        <v>55</v>
      </c>
      <c r="B257" s="8" t="s">
        <v>64</v>
      </c>
      <c r="E257" s="4"/>
      <c r="F257" s="135"/>
      <c r="G257" s="135"/>
      <c r="H257" s="135"/>
      <c r="I257" s="135"/>
    </row>
    <row r="258" spans="1:9" x14ac:dyDescent="0.25">
      <c r="B258" s="200">
        <f>((B256*(B230+B231))-(B254*B229))/B230</f>
        <v>-30.885319649407151</v>
      </c>
      <c r="C258" s="8" t="s">
        <v>230</v>
      </c>
      <c r="F258" s="135"/>
      <c r="G258" s="135"/>
      <c r="H258" s="135"/>
      <c r="I258" s="135"/>
    </row>
    <row r="259" spans="1:9" x14ac:dyDescent="0.25">
      <c r="A259" s="1" t="s">
        <v>46</v>
      </c>
      <c r="B259" s="3" t="s">
        <v>57</v>
      </c>
      <c r="F259" s="135"/>
      <c r="G259" s="135"/>
      <c r="H259" s="135"/>
      <c r="I259" s="135"/>
    </row>
    <row r="260" spans="1:9" x14ac:dyDescent="0.25">
      <c r="B260" s="200">
        <f>B254 + B258 - B256</f>
        <v>674.15220834654929</v>
      </c>
      <c r="C260" s="8" t="s">
        <v>230</v>
      </c>
      <c r="F260" s="135"/>
      <c r="G260" s="135"/>
      <c r="H260" s="135"/>
      <c r="I260" s="135"/>
    </row>
    <row r="261" spans="1:9" ht="13" x14ac:dyDescent="0.3">
      <c r="A261" s="2" t="s">
        <v>58</v>
      </c>
      <c r="F261" s="135"/>
      <c r="G261" s="135"/>
      <c r="H261" s="135"/>
      <c r="I261" s="135"/>
    </row>
    <row r="262" spans="1:9" x14ac:dyDescent="0.25">
      <c r="A262" s="1" t="s">
        <v>59</v>
      </c>
      <c r="B262" s="3" t="s">
        <v>60</v>
      </c>
      <c r="F262" s="135"/>
      <c r="G262" s="135"/>
      <c r="H262" s="135"/>
      <c r="I262" s="135"/>
    </row>
    <row r="263" spans="1:9" x14ac:dyDescent="0.25">
      <c r="B263" s="200">
        <f>B260*$B$133</f>
        <v>6741.5220834654929</v>
      </c>
      <c r="C263" s="8" t="s">
        <v>61</v>
      </c>
      <c r="F263" s="135"/>
      <c r="G263" s="135"/>
      <c r="H263" s="135"/>
      <c r="I263" s="135"/>
    </row>
    <row r="264" spans="1:9" x14ac:dyDescent="0.25">
      <c r="A264" s="1" t="s">
        <v>62</v>
      </c>
      <c r="B264" s="3" t="s">
        <v>63</v>
      </c>
      <c r="F264" s="135"/>
      <c r="G264" s="135"/>
      <c r="H264" s="135"/>
      <c r="I264" s="135"/>
    </row>
    <row r="265" spans="1:9" x14ac:dyDescent="0.25">
      <c r="B265" s="200">
        <f>B256*$B$135</f>
        <v>2041.2718968257832</v>
      </c>
      <c r="C265" s="8" t="s">
        <v>61</v>
      </c>
      <c r="F265" s="135"/>
      <c r="G265" s="135"/>
      <c r="H265" s="135"/>
      <c r="I265" s="135"/>
    </row>
    <row r="266" spans="1:9" ht="13.5" thickBot="1" x14ac:dyDescent="0.35">
      <c r="B266" s="29" t="s">
        <v>484</v>
      </c>
      <c r="F266" s="135"/>
      <c r="G266" s="135"/>
      <c r="H266" s="135"/>
      <c r="I266" s="135"/>
    </row>
    <row r="267" spans="1:9" ht="13.5" thickBot="1" x14ac:dyDescent="0.35">
      <c r="A267" s="2" t="s">
        <v>86</v>
      </c>
      <c r="B267" s="201">
        <v>6742</v>
      </c>
      <c r="C267" s="8" t="s">
        <v>61</v>
      </c>
      <c r="F267" s="135"/>
      <c r="G267" s="135"/>
      <c r="H267" s="135"/>
      <c r="I267" s="135"/>
    </row>
    <row r="268" spans="1:9" x14ac:dyDescent="0.25">
      <c r="F268" s="135"/>
      <c r="G268" s="135"/>
      <c r="H268" s="135"/>
      <c r="I268" s="135"/>
    </row>
    <row r="269" spans="1:9" ht="15.5" x14ac:dyDescent="0.35">
      <c r="A269" s="68" t="s">
        <v>93</v>
      </c>
      <c r="B269" s="29" t="s">
        <v>565</v>
      </c>
      <c r="F269" s="135"/>
      <c r="G269" s="135"/>
      <c r="H269" s="135"/>
      <c r="I269" s="135"/>
    </row>
    <row r="270" spans="1:9" x14ac:dyDescent="0.25">
      <c r="A270" s="1" t="s">
        <v>84</v>
      </c>
      <c r="B270" s="8" t="s">
        <v>85</v>
      </c>
      <c r="F270" s="135"/>
      <c r="G270" s="135"/>
      <c r="H270" s="135"/>
      <c r="I270" s="135"/>
    </row>
    <row r="271" spans="1:9" x14ac:dyDescent="0.25">
      <c r="A271" s="74" t="s">
        <v>101</v>
      </c>
      <c r="B271" s="7">
        <f>(16 / (3.1416*B224) ) * ( (B236*B267)^2 + ( B237*B243)^2 )^0.5</f>
        <v>5.5665283548188169</v>
      </c>
      <c r="C271" s="8" t="s">
        <v>417</v>
      </c>
      <c r="F271" s="135"/>
      <c r="G271" s="135"/>
      <c r="H271" s="135"/>
      <c r="I271" s="135"/>
    </row>
    <row r="272" spans="1:9" ht="15.5" x14ac:dyDescent="0.35">
      <c r="A272" s="71" t="s">
        <v>625</v>
      </c>
      <c r="B272" s="76">
        <f>B271^0.333</f>
        <v>1.771248982330921</v>
      </c>
      <c r="C272" s="68" t="s">
        <v>417</v>
      </c>
      <c r="F272" s="135"/>
      <c r="G272" s="135"/>
      <c r="H272" s="135"/>
      <c r="I272" s="135"/>
    </row>
    <row r="273" spans="1:9" x14ac:dyDescent="0.25">
      <c r="F273" s="135"/>
      <c r="G273" s="135"/>
      <c r="H273" s="135"/>
      <c r="I273" s="135"/>
    </row>
    <row r="274" spans="1:9" x14ac:dyDescent="0.25">
      <c r="A274" s="123"/>
      <c r="B274" s="124"/>
      <c r="C274" s="125"/>
      <c r="D274" s="120"/>
      <c r="E274" s="120"/>
      <c r="F274" s="135"/>
      <c r="G274" s="135"/>
      <c r="H274" s="135"/>
      <c r="I274" s="135"/>
    </row>
    <row r="275" spans="1:9" x14ac:dyDescent="0.25">
      <c r="F275" s="135"/>
      <c r="G275" s="135"/>
      <c r="H275" s="135"/>
      <c r="I275" s="135"/>
    </row>
    <row r="276" spans="1:9" ht="15.5" x14ac:dyDescent="0.35">
      <c r="A276" s="68" t="s">
        <v>186</v>
      </c>
      <c r="F276" s="135"/>
      <c r="G276" s="135"/>
      <c r="H276" s="135"/>
      <c r="I276" s="135"/>
    </row>
    <row r="277" spans="1:9" x14ac:dyDescent="0.25">
      <c r="F277" s="135"/>
      <c r="G277" s="135"/>
      <c r="H277" s="135"/>
      <c r="I277" s="135"/>
    </row>
    <row r="278" spans="1:9" x14ac:dyDescent="0.25">
      <c r="F278" s="135"/>
      <c r="G278" s="135"/>
      <c r="H278" s="135"/>
      <c r="I278" s="135"/>
    </row>
    <row r="279" spans="1:9" x14ac:dyDescent="0.25">
      <c r="F279" s="135"/>
      <c r="G279" s="135"/>
      <c r="H279" s="135"/>
      <c r="I279" s="135"/>
    </row>
    <row r="280" spans="1:9" x14ac:dyDescent="0.25">
      <c r="F280" s="135"/>
      <c r="G280" s="135"/>
      <c r="H280" s="135"/>
      <c r="I280" s="135"/>
    </row>
    <row r="281" spans="1:9" x14ac:dyDescent="0.25">
      <c r="F281" s="135"/>
      <c r="G281" s="135"/>
      <c r="H281" s="135"/>
      <c r="I281" s="135"/>
    </row>
    <row r="282" spans="1:9" x14ac:dyDescent="0.25">
      <c r="F282" s="135"/>
      <c r="G282" s="135"/>
      <c r="H282" s="135"/>
      <c r="I282" s="135"/>
    </row>
    <row r="283" spans="1:9" x14ac:dyDescent="0.25">
      <c r="F283" s="135"/>
      <c r="G283" s="135"/>
      <c r="H283" s="135"/>
      <c r="I283" s="135"/>
    </row>
    <row r="284" spans="1:9" x14ac:dyDescent="0.25">
      <c r="F284" s="135"/>
      <c r="G284" s="135"/>
      <c r="H284" s="135"/>
      <c r="I284" s="135"/>
    </row>
    <row r="285" spans="1:9" x14ac:dyDescent="0.25">
      <c r="F285" s="135"/>
      <c r="G285" s="135"/>
      <c r="H285" s="135"/>
      <c r="I285" s="135"/>
    </row>
    <row r="286" spans="1:9" x14ac:dyDescent="0.25">
      <c r="F286" s="135"/>
      <c r="G286" s="135"/>
      <c r="H286" s="135"/>
      <c r="I286" s="135"/>
    </row>
    <row r="287" spans="1:9" ht="15.5" x14ac:dyDescent="0.35">
      <c r="A287" s="68" t="s">
        <v>813</v>
      </c>
      <c r="F287" s="135"/>
      <c r="G287" s="135"/>
      <c r="H287" s="135"/>
      <c r="I287" s="135"/>
    </row>
    <row r="288" spans="1:9" ht="13.5" thickBot="1" x14ac:dyDescent="0.35">
      <c r="B288" s="29" t="s">
        <v>486</v>
      </c>
      <c r="F288" s="135"/>
      <c r="G288" s="135"/>
      <c r="H288" s="135"/>
      <c r="I288" s="135"/>
    </row>
    <row r="289" spans="1:9" x14ac:dyDescent="0.25">
      <c r="A289" s="1" t="s">
        <v>215</v>
      </c>
      <c r="B289" s="59">
        <v>7.5</v>
      </c>
      <c r="C289" s="8" t="s">
        <v>218</v>
      </c>
      <c r="F289" s="135"/>
      <c r="G289" s="135"/>
      <c r="H289" s="135"/>
      <c r="I289" s="135"/>
    </row>
    <row r="290" spans="1:9" x14ac:dyDescent="0.25">
      <c r="A290" s="1" t="s">
        <v>216</v>
      </c>
      <c r="B290" s="190">
        <v>1750</v>
      </c>
      <c r="C290" s="8" t="s">
        <v>217</v>
      </c>
      <c r="F290" s="135"/>
      <c r="G290" s="135"/>
      <c r="H290" s="135"/>
      <c r="I290" s="135"/>
    </row>
    <row r="291" spans="1:9" x14ac:dyDescent="0.25">
      <c r="A291" s="1" t="s">
        <v>667</v>
      </c>
      <c r="B291" s="32">
        <v>3</v>
      </c>
      <c r="F291" s="135"/>
      <c r="G291" s="135"/>
      <c r="H291" s="135"/>
      <c r="I291" s="135"/>
    </row>
    <row r="292" spans="1:9" x14ac:dyDescent="0.25">
      <c r="A292" s="1" t="s">
        <v>268</v>
      </c>
      <c r="B292" s="33">
        <v>1</v>
      </c>
      <c r="C292" s="8" t="s">
        <v>204</v>
      </c>
      <c r="E292" s="64"/>
      <c r="F292" s="135"/>
      <c r="G292" s="135"/>
      <c r="H292" s="135"/>
      <c r="I292" s="135"/>
    </row>
    <row r="293" spans="1:9" x14ac:dyDescent="0.25">
      <c r="A293" s="1" t="s">
        <v>207</v>
      </c>
      <c r="B293" s="32">
        <v>5</v>
      </c>
      <c r="C293" s="8" t="s">
        <v>209</v>
      </c>
      <c r="E293" s="63"/>
      <c r="F293" s="135"/>
      <c r="G293" s="135"/>
      <c r="H293" s="135"/>
      <c r="I293" s="135"/>
    </row>
    <row r="294" spans="1:9" ht="13" thickBot="1" x14ac:dyDescent="0.3">
      <c r="A294" s="1" t="s">
        <v>113</v>
      </c>
      <c r="B294" s="191">
        <v>11500000</v>
      </c>
      <c r="C294" s="8" t="s">
        <v>210</v>
      </c>
      <c r="E294" s="63"/>
      <c r="F294" s="135"/>
      <c r="G294" s="135"/>
      <c r="H294" s="135"/>
      <c r="I294" s="135"/>
    </row>
    <row r="295" spans="1:9" ht="13" x14ac:dyDescent="0.3">
      <c r="B295" s="29" t="s">
        <v>139</v>
      </c>
      <c r="E295" s="126"/>
      <c r="F295" s="135"/>
      <c r="G295" s="135"/>
      <c r="H295" s="135"/>
      <c r="I295" s="135"/>
    </row>
    <row r="296" spans="1:9" ht="13" x14ac:dyDescent="0.3">
      <c r="A296" s="2" t="s">
        <v>187</v>
      </c>
      <c r="B296" s="10" t="s">
        <v>41</v>
      </c>
      <c r="E296" s="63"/>
      <c r="F296" s="135"/>
      <c r="G296" s="135"/>
      <c r="H296" s="135"/>
      <c r="I296" s="135"/>
    </row>
    <row r="297" spans="1:9" ht="13" x14ac:dyDescent="0.3">
      <c r="A297" s="2" t="s">
        <v>489</v>
      </c>
      <c r="B297" s="5">
        <f>(B291*12*33000*B289)/(2*3.142*B290)</f>
        <v>810.22096935527873</v>
      </c>
      <c r="C297" s="10" t="s">
        <v>205</v>
      </c>
      <c r="E297" s="63"/>
      <c r="F297" s="135"/>
      <c r="G297" s="135"/>
      <c r="H297" s="135"/>
      <c r="I297" s="135"/>
    </row>
    <row r="298" spans="1:9" x14ac:dyDescent="0.25">
      <c r="F298" s="135"/>
      <c r="G298" s="135"/>
      <c r="H298" s="135"/>
      <c r="I298" s="135"/>
    </row>
    <row r="299" spans="1:9" x14ac:dyDescent="0.25">
      <c r="A299" s="123"/>
      <c r="B299" s="124"/>
      <c r="C299" s="125"/>
      <c r="D299" s="120"/>
      <c r="E299" s="120"/>
      <c r="F299" s="135"/>
      <c r="G299" s="135"/>
      <c r="H299" s="135"/>
      <c r="I299" s="135"/>
    </row>
    <row r="300" spans="1:9" x14ac:dyDescent="0.25">
      <c r="F300" s="135"/>
      <c r="G300" s="135"/>
      <c r="H300" s="135"/>
      <c r="I300" s="135"/>
    </row>
    <row r="301" spans="1:9" ht="15.5" x14ac:dyDescent="0.35">
      <c r="A301" s="68" t="s">
        <v>185</v>
      </c>
      <c r="F301" s="135"/>
      <c r="G301" s="135"/>
      <c r="H301" s="135"/>
      <c r="I301" s="135"/>
    </row>
    <row r="302" spans="1:9" ht="13.5" thickBot="1" x14ac:dyDescent="0.35">
      <c r="B302" s="29" t="s">
        <v>486</v>
      </c>
      <c r="F302" s="135"/>
      <c r="G302" s="135"/>
      <c r="H302" s="135"/>
      <c r="I302" s="135"/>
    </row>
    <row r="303" spans="1:9" x14ac:dyDescent="0.25">
      <c r="A303" s="22" t="s">
        <v>167</v>
      </c>
      <c r="B303" s="202">
        <v>440</v>
      </c>
      <c r="C303" s="12" t="s">
        <v>205</v>
      </c>
      <c r="F303" s="135"/>
      <c r="G303" s="135"/>
      <c r="H303" s="135"/>
      <c r="I303" s="135"/>
    </row>
    <row r="304" spans="1:9" ht="13" x14ac:dyDescent="0.3">
      <c r="A304" s="1" t="s">
        <v>268</v>
      </c>
      <c r="B304" s="33">
        <v>1</v>
      </c>
      <c r="C304" s="8" t="s">
        <v>204</v>
      </c>
      <c r="D304" s="16" t="s">
        <v>780</v>
      </c>
      <c r="F304" s="135"/>
      <c r="G304" s="135"/>
      <c r="H304" s="135"/>
      <c r="I304" s="135"/>
    </row>
    <row r="305" spans="1:9" x14ac:dyDescent="0.25">
      <c r="A305" s="1" t="s">
        <v>207</v>
      </c>
      <c r="B305" s="32">
        <v>10</v>
      </c>
      <c r="C305" s="8" t="s">
        <v>209</v>
      </c>
      <c r="F305" s="135"/>
      <c r="G305" s="135"/>
      <c r="H305" s="135"/>
      <c r="I305" s="135"/>
    </row>
    <row r="306" spans="1:9" x14ac:dyDescent="0.25">
      <c r="A306" s="1" t="s">
        <v>567</v>
      </c>
      <c r="B306" s="190">
        <v>29000000</v>
      </c>
      <c r="C306" s="8" t="s">
        <v>210</v>
      </c>
      <c r="F306" s="135"/>
      <c r="G306" s="135"/>
      <c r="H306" s="135"/>
      <c r="I306" s="135"/>
    </row>
    <row r="307" spans="1:9" ht="13" thickBot="1" x14ac:dyDescent="0.3">
      <c r="A307" s="1" t="s">
        <v>113</v>
      </c>
      <c r="B307" s="191">
        <v>11500000</v>
      </c>
      <c r="C307" s="8" t="s">
        <v>210</v>
      </c>
      <c r="F307" s="135"/>
      <c r="G307" s="135"/>
      <c r="H307" s="135"/>
      <c r="I307" s="135"/>
    </row>
    <row r="308" spans="1:9" ht="13" x14ac:dyDescent="0.3">
      <c r="B308" s="29" t="s">
        <v>139</v>
      </c>
      <c r="F308" s="135"/>
      <c r="G308" s="135"/>
      <c r="H308" s="135"/>
      <c r="I308" s="135"/>
    </row>
    <row r="309" spans="1:9" ht="13" x14ac:dyDescent="0.3">
      <c r="A309" s="2" t="s">
        <v>566</v>
      </c>
      <c r="B309" s="4" t="s">
        <v>299</v>
      </c>
      <c r="C309" s="10"/>
      <c r="F309" s="135"/>
      <c r="G309" s="135"/>
      <c r="H309" s="135"/>
      <c r="I309" s="135"/>
    </row>
    <row r="310" spans="1:9" ht="13" x14ac:dyDescent="0.3">
      <c r="A310" s="2" t="s">
        <v>489</v>
      </c>
      <c r="B310" s="9">
        <f>(3.142*B304^4)/32</f>
        <v>9.8187499999999997E-2</v>
      </c>
      <c r="C310" s="10" t="s">
        <v>203</v>
      </c>
      <c r="F310" s="135"/>
      <c r="G310" s="135"/>
      <c r="H310" s="135"/>
      <c r="I310" s="135"/>
    </row>
    <row r="311" spans="1:9" ht="15.5" thickBot="1" x14ac:dyDescent="0.45">
      <c r="A311" s="2" t="s">
        <v>184</v>
      </c>
      <c r="B311" s="4" t="s">
        <v>617</v>
      </c>
      <c r="C311" s="10" t="s">
        <v>201</v>
      </c>
      <c r="F311" s="135"/>
      <c r="G311" s="135"/>
      <c r="H311" s="135"/>
      <c r="I311" s="135"/>
    </row>
    <row r="312" spans="1:9" ht="13.5" thickBot="1" x14ac:dyDescent="0.35">
      <c r="A312" s="2" t="s">
        <v>489</v>
      </c>
      <c r="B312" s="203">
        <f>B303*B304/(2*B310)</f>
        <v>2240.6110757479314</v>
      </c>
      <c r="C312" s="10" t="s">
        <v>275</v>
      </c>
      <c r="D312" s="16" t="s">
        <v>780</v>
      </c>
      <c r="F312" s="135"/>
      <c r="G312" s="135"/>
      <c r="H312" s="135"/>
      <c r="I312" s="135"/>
    </row>
    <row r="313" spans="1:9" ht="13" x14ac:dyDescent="0.3">
      <c r="A313" s="2" t="s">
        <v>120</v>
      </c>
      <c r="B313" s="4" t="s">
        <v>252</v>
      </c>
      <c r="C313" s="10" t="s">
        <v>201</v>
      </c>
      <c r="F313" s="135"/>
      <c r="G313" s="135"/>
      <c r="H313" s="135"/>
      <c r="I313" s="135"/>
    </row>
    <row r="314" spans="1:9" ht="13" x14ac:dyDescent="0.3">
      <c r="A314" s="2" t="s">
        <v>489</v>
      </c>
      <c r="B314" s="11">
        <f>(B303*B305)/(B310*B307)</f>
        <v>3.8967149143442283E-3</v>
      </c>
      <c r="C314" s="10" t="s">
        <v>211</v>
      </c>
      <c r="F314" s="135"/>
      <c r="G314" s="135"/>
      <c r="H314" s="135"/>
      <c r="I314" s="135"/>
    </row>
    <row r="315" spans="1:9" ht="13" x14ac:dyDescent="0.3">
      <c r="A315" s="2" t="s">
        <v>489</v>
      </c>
      <c r="B315" s="6">
        <f>B314*57.2975</f>
        <v>0.22327202280463843</v>
      </c>
      <c r="C315" s="10" t="s">
        <v>214</v>
      </c>
      <c r="F315" s="135"/>
      <c r="G315" s="135"/>
      <c r="H315" s="135"/>
      <c r="I315" s="135"/>
    </row>
    <row r="316" spans="1:9" x14ac:dyDescent="0.25">
      <c r="F316" s="135"/>
      <c r="G316" s="135"/>
      <c r="H316" s="135"/>
      <c r="I316" s="135"/>
    </row>
    <row r="317" spans="1:9" x14ac:dyDescent="0.25">
      <c r="A317" s="123"/>
      <c r="B317" s="124"/>
      <c r="C317" s="125"/>
      <c r="D317" s="120"/>
      <c r="E317" s="120"/>
      <c r="F317" s="135"/>
      <c r="G317" s="135"/>
      <c r="H317" s="135"/>
      <c r="I317" s="135"/>
    </row>
    <row r="318" spans="1:9" x14ac:dyDescent="0.25">
      <c r="F318" s="135"/>
      <c r="G318" s="135"/>
      <c r="H318" s="135"/>
      <c r="I318" s="135"/>
    </row>
    <row r="319" spans="1:9" ht="15.5" x14ac:dyDescent="0.35">
      <c r="A319" s="68" t="s">
        <v>814</v>
      </c>
      <c r="F319" s="135"/>
      <c r="G319" s="135"/>
      <c r="H319" s="135"/>
      <c r="I319" s="135"/>
    </row>
    <row r="320" spans="1:9" ht="15.5" x14ac:dyDescent="0.35">
      <c r="A320" s="68" t="s">
        <v>815</v>
      </c>
      <c r="F320" s="135"/>
      <c r="G320" s="135"/>
      <c r="H320" s="135"/>
      <c r="I320" s="135"/>
    </row>
    <row r="321" spans="1:9" ht="13.5" thickBot="1" x14ac:dyDescent="0.35">
      <c r="B321" s="29" t="s">
        <v>486</v>
      </c>
      <c r="F321" s="135"/>
      <c r="G321" s="135"/>
      <c r="H321" s="135"/>
      <c r="I321" s="135"/>
    </row>
    <row r="322" spans="1:9" x14ac:dyDescent="0.25">
      <c r="A322" s="22" t="s">
        <v>701</v>
      </c>
      <c r="B322" s="202">
        <v>360</v>
      </c>
      <c r="C322" s="8" t="s">
        <v>205</v>
      </c>
      <c r="F322" s="135"/>
      <c r="G322" s="135"/>
      <c r="H322" s="135"/>
      <c r="I322" s="135"/>
    </row>
    <row r="323" spans="1:9" ht="13" thickBot="1" x14ac:dyDescent="0.3">
      <c r="A323" s="1" t="s">
        <v>221</v>
      </c>
      <c r="B323" s="37">
        <v>2</v>
      </c>
      <c r="C323" s="8" t="s">
        <v>209</v>
      </c>
      <c r="F323" s="135"/>
      <c r="G323" s="135"/>
      <c r="H323" s="135"/>
      <c r="I323" s="135"/>
    </row>
    <row r="324" spans="1:9" ht="13" x14ac:dyDescent="0.3">
      <c r="B324" s="29" t="s">
        <v>139</v>
      </c>
      <c r="F324" s="135"/>
      <c r="G324" s="135"/>
      <c r="H324" s="135"/>
      <c r="I324" s="135"/>
    </row>
    <row r="325" spans="1:9" ht="13" x14ac:dyDescent="0.3">
      <c r="A325" s="2" t="s">
        <v>220</v>
      </c>
      <c r="B325" s="4" t="s">
        <v>299</v>
      </c>
      <c r="F325" s="135"/>
      <c r="G325" s="135"/>
      <c r="H325" s="135"/>
      <c r="I325" s="135"/>
    </row>
    <row r="326" spans="1:9" ht="13" x14ac:dyDescent="0.3">
      <c r="A326" s="43" t="s">
        <v>101</v>
      </c>
      <c r="B326" s="9">
        <f>(3.142*B323^4)/32</f>
        <v>1.571</v>
      </c>
      <c r="C326" s="10" t="s">
        <v>203</v>
      </c>
      <c r="E326" s="4" t="s">
        <v>201</v>
      </c>
      <c r="F326" s="135"/>
      <c r="G326" s="135"/>
      <c r="H326" s="135"/>
      <c r="I326" s="135"/>
    </row>
    <row r="327" spans="1:9" ht="13.5" thickBot="1" x14ac:dyDescent="0.35">
      <c r="A327" s="2" t="s">
        <v>677</v>
      </c>
      <c r="B327" s="4" t="s">
        <v>692</v>
      </c>
      <c r="F327" s="135"/>
      <c r="G327" s="135"/>
      <c r="H327" s="135"/>
      <c r="I327" s="135"/>
    </row>
    <row r="328" spans="1:9" ht="13.5" thickBot="1" x14ac:dyDescent="0.35">
      <c r="A328" s="43" t="s">
        <v>101</v>
      </c>
      <c r="B328" s="203">
        <f>B322*(B323/2)/B326</f>
        <v>229.15340547422025</v>
      </c>
      <c r="C328" s="10" t="s">
        <v>223</v>
      </c>
      <c r="F328" s="135"/>
      <c r="G328" s="135"/>
      <c r="H328" s="135"/>
      <c r="I328" s="135"/>
    </row>
    <row r="329" spans="1:9" x14ac:dyDescent="0.25">
      <c r="F329" s="135"/>
      <c r="G329" s="135"/>
      <c r="H329" s="135"/>
      <c r="I329" s="135"/>
    </row>
    <row r="330" spans="1:9" x14ac:dyDescent="0.25">
      <c r="A330" s="123"/>
      <c r="B330" s="124"/>
      <c r="C330" s="125"/>
      <c r="D330" s="120"/>
      <c r="E330" s="120"/>
      <c r="F330" s="135"/>
      <c r="G330" s="135"/>
      <c r="H330" s="135"/>
      <c r="I330" s="135"/>
    </row>
    <row r="331" spans="1:9" x14ac:dyDescent="0.25">
      <c r="F331" s="135"/>
      <c r="G331" s="135"/>
      <c r="H331" s="135"/>
      <c r="I331" s="135"/>
    </row>
    <row r="332" spans="1:9" ht="16" thickBot="1" x14ac:dyDescent="0.4">
      <c r="A332" s="68" t="s">
        <v>816</v>
      </c>
      <c r="B332" s="29" t="s">
        <v>486</v>
      </c>
      <c r="F332" s="135"/>
      <c r="G332" s="135"/>
      <c r="H332" s="135"/>
      <c r="I332" s="135"/>
    </row>
    <row r="333" spans="1:9" x14ac:dyDescent="0.25">
      <c r="A333" s="22" t="s">
        <v>701</v>
      </c>
      <c r="B333" s="202">
        <v>1000</v>
      </c>
      <c r="C333" s="8" t="s">
        <v>205</v>
      </c>
      <c r="F333" s="135"/>
      <c r="G333" s="135"/>
      <c r="H333" s="135"/>
      <c r="I333" s="135"/>
    </row>
    <row r="334" spans="1:9" x14ac:dyDescent="0.25">
      <c r="A334" s="22" t="s">
        <v>817</v>
      </c>
      <c r="B334" s="33">
        <v>2.25</v>
      </c>
      <c r="C334" s="8" t="s">
        <v>209</v>
      </c>
      <c r="F334" s="135"/>
      <c r="G334" s="135"/>
      <c r="H334" s="135"/>
      <c r="I334" s="135"/>
    </row>
    <row r="335" spans="1:9" ht="13" thickBot="1" x14ac:dyDescent="0.3">
      <c r="A335" s="22" t="s">
        <v>818</v>
      </c>
      <c r="B335" s="37">
        <v>1.125</v>
      </c>
      <c r="C335" s="8" t="s">
        <v>209</v>
      </c>
      <c r="F335" s="135"/>
      <c r="G335" s="135"/>
      <c r="H335" s="135"/>
      <c r="I335" s="135"/>
    </row>
    <row r="336" spans="1:9" ht="13" x14ac:dyDescent="0.3">
      <c r="B336" s="29" t="s">
        <v>139</v>
      </c>
      <c r="F336" s="135"/>
      <c r="G336" s="135"/>
      <c r="H336" s="135"/>
      <c r="I336" s="135"/>
    </row>
    <row r="337" spans="1:9" ht="13" x14ac:dyDescent="0.3">
      <c r="A337" s="2" t="s">
        <v>220</v>
      </c>
      <c r="B337" s="4" t="s">
        <v>303</v>
      </c>
      <c r="F337" s="135"/>
      <c r="G337" s="135"/>
      <c r="H337" s="135"/>
      <c r="I337" s="135"/>
    </row>
    <row r="338" spans="1:9" ht="13" x14ac:dyDescent="0.3">
      <c r="A338" s="43" t="s">
        <v>222</v>
      </c>
      <c r="B338" s="9">
        <f>(3.142*(B334^4-B335^4))/32</f>
        <v>2.3591608428955078</v>
      </c>
      <c r="C338" s="10" t="s">
        <v>203</v>
      </c>
      <c r="F338" s="135"/>
      <c r="G338" s="135"/>
      <c r="H338" s="135"/>
      <c r="I338" s="135"/>
    </row>
    <row r="339" spans="1:9" ht="13.5" thickBot="1" x14ac:dyDescent="0.35">
      <c r="A339" s="2" t="s">
        <v>677</v>
      </c>
      <c r="B339" s="4" t="s">
        <v>691</v>
      </c>
      <c r="F339" s="135"/>
      <c r="G339" s="135"/>
      <c r="H339" s="135"/>
      <c r="I339" s="135"/>
    </row>
    <row r="340" spans="1:9" ht="13.5" thickBot="1" x14ac:dyDescent="0.35">
      <c r="A340" s="43" t="s">
        <v>489</v>
      </c>
      <c r="B340" s="203">
        <f>B333*(B334/2)/B338</f>
        <v>476.86447636153338</v>
      </c>
      <c r="C340" s="10" t="s">
        <v>223</v>
      </c>
      <c r="F340" s="135"/>
      <c r="G340" s="135"/>
      <c r="H340" s="135"/>
      <c r="I340" s="135"/>
    </row>
    <row r="341" spans="1:9" x14ac:dyDescent="0.25">
      <c r="F341" s="135"/>
      <c r="G341" s="135"/>
      <c r="H341" s="135"/>
      <c r="I341" s="135"/>
    </row>
    <row r="342" spans="1:9" x14ac:dyDescent="0.25">
      <c r="A342" s="123"/>
      <c r="B342" s="124"/>
      <c r="C342" s="125"/>
      <c r="D342" s="120"/>
      <c r="E342" s="120"/>
      <c r="F342" s="135"/>
      <c r="G342" s="135"/>
      <c r="H342" s="135"/>
      <c r="I342" s="135"/>
    </row>
    <row r="343" spans="1:9" x14ac:dyDescent="0.25">
      <c r="F343" s="135"/>
      <c r="G343" s="135"/>
      <c r="H343" s="135"/>
      <c r="I343" s="135"/>
    </row>
    <row r="344" spans="1:9" ht="15.5" x14ac:dyDescent="0.35">
      <c r="A344" s="68" t="s">
        <v>819</v>
      </c>
      <c r="F344" s="135"/>
      <c r="G344" s="135"/>
      <c r="H344" s="135"/>
      <c r="I344" s="135"/>
    </row>
    <row r="345" spans="1:9" ht="13.5" thickBot="1" x14ac:dyDescent="0.35">
      <c r="B345" s="29" t="s">
        <v>486</v>
      </c>
      <c r="F345" s="135"/>
      <c r="G345" s="135"/>
      <c r="H345" s="135"/>
      <c r="I345" s="135"/>
    </row>
    <row r="346" spans="1:9" x14ac:dyDescent="0.25">
      <c r="A346" s="22" t="s">
        <v>701</v>
      </c>
      <c r="B346" s="202">
        <v>1000</v>
      </c>
      <c r="C346" s="8" t="s">
        <v>205</v>
      </c>
      <c r="F346" s="135"/>
      <c r="G346" s="135"/>
      <c r="H346" s="135"/>
      <c r="I346" s="135"/>
    </row>
    <row r="347" spans="1:9" ht="13" thickBot="1" x14ac:dyDescent="0.3">
      <c r="A347" s="1" t="s">
        <v>122</v>
      </c>
      <c r="B347" s="37">
        <v>1.75</v>
      </c>
      <c r="C347" s="8" t="s">
        <v>209</v>
      </c>
      <c r="F347" s="135"/>
      <c r="G347" s="135"/>
      <c r="H347" s="135"/>
      <c r="I347" s="135"/>
    </row>
    <row r="348" spans="1:9" ht="13" x14ac:dyDescent="0.3">
      <c r="B348" s="29" t="s">
        <v>139</v>
      </c>
      <c r="F348" s="135"/>
      <c r="G348" s="135"/>
      <c r="H348" s="135"/>
      <c r="I348" s="135"/>
    </row>
    <row r="349" spans="1:9" ht="13" x14ac:dyDescent="0.3">
      <c r="A349" s="2" t="s">
        <v>220</v>
      </c>
      <c r="B349" s="4" t="s">
        <v>123</v>
      </c>
      <c r="F349" s="135"/>
      <c r="G349" s="135"/>
      <c r="H349" s="135"/>
      <c r="I349" s="135"/>
    </row>
    <row r="350" spans="1:9" ht="13" x14ac:dyDescent="0.3">
      <c r="A350" s="43" t="s">
        <v>489</v>
      </c>
      <c r="B350" s="9">
        <f>B347^4/6</f>
        <v>1.5631510416666667</v>
      </c>
      <c r="C350" s="10" t="s">
        <v>203</v>
      </c>
      <c r="F350" s="135"/>
      <c r="G350" s="135"/>
      <c r="H350" s="135"/>
      <c r="I350" s="135"/>
    </row>
    <row r="351" spans="1:9" ht="13.5" thickBot="1" x14ac:dyDescent="0.35">
      <c r="A351" s="2" t="s">
        <v>677</v>
      </c>
      <c r="B351" s="4" t="s">
        <v>690</v>
      </c>
      <c r="F351" s="135"/>
      <c r="G351" s="135"/>
      <c r="H351" s="135"/>
      <c r="I351" s="135"/>
    </row>
    <row r="352" spans="1:9" ht="13.5" thickBot="1" x14ac:dyDescent="0.35">
      <c r="A352" s="43" t="s">
        <v>489</v>
      </c>
      <c r="B352" s="203">
        <f>B346*(B347/2)/B350</f>
        <v>559.76676384839652</v>
      </c>
      <c r="C352" s="10" t="s">
        <v>223</v>
      </c>
      <c r="F352" s="135"/>
      <c r="G352" s="135"/>
      <c r="H352" s="135"/>
      <c r="I352" s="135"/>
    </row>
    <row r="353" spans="1:9" x14ac:dyDescent="0.25">
      <c r="F353" s="135"/>
      <c r="G353" s="135"/>
      <c r="H353" s="135"/>
      <c r="I353" s="135"/>
    </row>
    <row r="354" spans="1:9" x14ac:dyDescent="0.25">
      <c r="A354" s="123"/>
      <c r="B354" s="124"/>
      <c r="C354" s="125"/>
      <c r="D354" s="120"/>
      <c r="E354" s="120"/>
      <c r="F354" s="135"/>
      <c r="G354" s="135"/>
      <c r="H354" s="135"/>
      <c r="I354" s="135"/>
    </row>
    <row r="355" spans="1:9" x14ac:dyDescent="0.25">
      <c r="F355" s="135"/>
      <c r="G355" s="135"/>
      <c r="H355" s="135"/>
      <c r="I355" s="135"/>
    </row>
    <row r="356" spans="1:9" ht="15.5" x14ac:dyDescent="0.35">
      <c r="A356" s="68" t="s">
        <v>820</v>
      </c>
      <c r="F356" s="135"/>
      <c r="G356" s="135"/>
      <c r="H356" s="135"/>
      <c r="I356" s="135"/>
    </row>
    <row r="357" spans="1:9" x14ac:dyDescent="0.25">
      <c r="F357" s="135"/>
      <c r="G357" s="135"/>
      <c r="H357" s="135"/>
      <c r="I357" s="135"/>
    </row>
    <row r="358" spans="1:9" ht="13.5" thickBot="1" x14ac:dyDescent="0.35">
      <c r="B358" s="29" t="s">
        <v>486</v>
      </c>
      <c r="F358" s="135"/>
      <c r="G358" s="135"/>
      <c r="H358" s="135"/>
      <c r="I358" s="135"/>
    </row>
    <row r="359" spans="1:9" x14ac:dyDescent="0.25">
      <c r="A359" s="22" t="s">
        <v>701</v>
      </c>
      <c r="B359" s="202">
        <v>1000</v>
      </c>
      <c r="C359" s="8" t="s">
        <v>205</v>
      </c>
      <c r="F359" s="135"/>
      <c r="G359" s="135"/>
      <c r="H359" s="135"/>
      <c r="I359" s="135"/>
    </row>
    <row r="360" spans="1:9" x14ac:dyDescent="0.25">
      <c r="A360" s="1" t="s">
        <v>225</v>
      </c>
      <c r="B360" s="33">
        <v>1.25</v>
      </c>
      <c r="C360" s="8" t="s">
        <v>209</v>
      </c>
      <c r="F360" s="135"/>
      <c r="G360" s="135"/>
      <c r="H360" s="135"/>
      <c r="I360" s="135"/>
    </row>
    <row r="361" spans="1:9" ht="13" thickBot="1" x14ac:dyDescent="0.3">
      <c r="A361" s="1" t="s">
        <v>226</v>
      </c>
      <c r="B361" s="37">
        <v>3.5</v>
      </c>
      <c r="C361" s="8" t="s">
        <v>209</v>
      </c>
      <c r="F361" s="135"/>
      <c r="G361" s="135"/>
      <c r="H361" s="135"/>
      <c r="I361" s="135"/>
    </row>
    <row r="362" spans="1:9" ht="13" x14ac:dyDescent="0.3">
      <c r="B362" s="29" t="s">
        <v>139</v>
      </c>
      <c r="F362" s="135"/>
      <c r="G362" s="135"/>
      <c r="H362" s="135"/>
      <c r="I362" s="135"/>
    </row>
    <row r="363" spans="1:9" ht="13" x14ac:dyDescent="0.3">
      <c r="A363" s="2" t="s">
        <v>220</v>
      </c>
      <c r="B363" s="4" t="s">
        <v>168</v>
      </c>
      <c r="F363" s="135"/>
      <c r="G363" s="135"/>
      <c r="H363" s="135"/>
      <c r="I363" s="135"/>
    </row>
    <row r="364" spans="1:9" ht="13" x14ac:dyDescent="0.3">
      <c r="A364" s="43" t="s">
        <v>489</v>
      </c>
      <c r="B364" s="9">
        <f>B360*B361*(B360^2+B361^2)/12</f>
        <v>5.035807291666667</v>
      </c>
      <c r="C364" s="10" t="s">
        <v>203</v>
      </c>
      <c r="F364" s="135"/>
      <c r="G364" s="135"/>
      <c r="H364" s="135"/>
      <c r="I364" s="135"/>
    </row>
    <row r="365" spans="1:9" ht="13.5" thickBot="1" x14ac:dyDescent="0.35">
      <c r="A365" s="2" t="s">
        <v>677</v>
      </c>
      <c r="B365" s="4" t="s">
        <v>690</v>
      </c>
      <c r="F365" s="135"/>
      <c r="G365" s="135"/>
      <c r="H365" s="135"/>
      <c r="I365" s="135"/>
    </row>
    <row r="366" spans="1:9" ht="13.5" thickBot="1" x14ac:dyDescent="0.35">
      <c r="A366" s="43" t="s">
        <v>101</v>
      </c>
      <c r="B366" s="203">
        <f>B359*(B360/2)/B364</f>
        <v>124.11118293471235</v>
      </c>
      <c r="C366" s="10" t="s">
        <v>223</v>
      </c>
      <c r="F366" s="135"/>
      <c r="G366" s="135"/>
      <c r="H366" s="135"/>
      <c r="I366" s="135"/>
    </row>
    <row r="367" spans="1:9" x14ac:dyDescent="0.25">
      <c r="F367" s="135"/>
      <c r="G367" s="135"/>
      <c r="H367" s="135"/>
      <c r="I367" s="135"/>
    </row>
    <row r="368" spans="1:9" x14ac:dyDescent="0.25">
      <c r="A368" s="123"/>
      <c r="B368" s="124"/>
      <c r="C368" s="125"/>
      <c r="D368" s="120"/>
      <c r="E368" s="120"/>
      <c r="F368" s="135"/>
      <c r="G368" s="135"/>
      <c r="H368" s="135"/>
      <c r="I368" s="135"/>
    </row>
    <row r="369" spans="1:9" x14ac:dyDescent="0.25">
      <c r="F369" s="135"/>
      <c r="G369" s="135"/>
      <c r="H369" s="135"/>
      <c r="I369" s="135"/>
    </row>
    <row r="370" spans="1:9" ht="15.5" x14ac:dyDescent="0.35">
      <c r="A370" s="68" t="s">
        <v>668</v>
      </c>
      <c r="F370" s="135"/>
      <c r="G370" s="135"/>
      <c r="H370" s="135"/>
      <c r="I370" s="135"/>
    </row>
    <row r="371" spans="1:9" x14ac:dyDescent="0.25">
      <c r="F371" s="135"/>
      <c r="G371" s="135"/>
      <c r="H371" s="135"/>
      <c r="I371" s="135"/>
    </row>
    <row r="372" spans="1:9" x14ac:dyDescent="0.25">
      <c r="F372" s="135"/>
      <c r="G372" s="135"/>
      <c r="H372" s="135"/>
      <c r="I372" s="135"/>
    </row>
    <row r="373" spans="1:9" x14ac:dyDescent="0.25">
      <c r="F373" s="135"/>
      <c r="G373" s="135"/>
      <c r="H373" s="135"/>
      <c r="I373" s="135"/>
    </row>
    <row r="374" spans="1:9" x14ac:dyDescent="0.25">
      <c r="F374" s="135"/>
      <c r="G374" s="135"/>
      <c r="H374" s="135"/>
      <c r="I374" s="135"/>
    </row>
    <row r="375" spans="1:9" x14ac:dyDescent="0.25">
      <c r="F375" s="135"/>
      <c r="G375" s="135"/>
      <c r="H375" s="135"/>
      <c r="I375" s="135"/>
    </row>
    <row r="376" spans="1:9" x14ac:dyDescent="0.25">
      <c r="F376" s="135"/>
      <c r="G376" s="135"/>
      <c r="H376" s="135"/>
      <c r="I376" s="135"/>
    </row>
    <row r="377" spans="1:9" x14ac:dyDescent="0.25">
      <c r="F377" s="135"/>
      <c r="G377" s="135"/>
      <c r="H377" s="135"/>
      <c r="I377" s="135"/>
    </row>
    <row r="378" spans="1:9" x14ac:dyDescent="0.25">
      <c r="F378" s="135"/>
      <c r="G378" s="135"/>
      <c r="H378" s="135"/>
      <c r="I378" s="135"/>
    </row>
    <row r="379" spans="1:9" x14ac:dyDescent="0.25">
      <c r="F379" s="135"/>
      <c r="G379" s="135"/>
      <c r="H379" s="135"/>
      <c r="I379" s="135"/>
    </row>
    <row r="380" spans="1:9" x14ac:dyDescent="0.25">
      <c r="F380" s="135"/>
      <c r="G380" s="135"/>
      <c r="H380" s="135"/>
      <c r="I380" s="135"/>
    </row>
    <row r="381" spans="1:9" ht="13.5" thickBot="1" x14ac:dyDescent="0.35">
      <c r="B381" s="29" t="s">
        <v>486</v>
      </c>
      <c r="F381" s="135"/>
      <c r="G381" s="135"/>
      <c r="H381" s="135"/>
      <c r="I381" s="135"/>
    </row>
    <row r="382" spans="1:9" x14ac:dyDescent="0.25">
      <c r="A382" s="1" t="s">
        <v>256</v>
      </c>
      <c r="B382" s="194">
        <v>740</v>
      </c>
      <c r="C382" s="8" t="s">
        <v>230</v>
      </c>
      <c r="F382" s="135"/>
      <c r="G382" s="135"/>
      <c r="H382" s="135"/>
      <c r="I382" s="135"/>
    </row>
    <row r="383" spans="1:9" x14ac:dyDescent="0.25">
      <c r="A383" s="1" t="s">
        <v>620</v>
      </c>
      <c r="B383" s="32">
        <v>5</v>
      </c>
      <c r="C383" s="8" t="s">
        <v>209</v>
      </c>
      <c r="F383" s="135"/>
      <c r="G383" s="135"/>
      <c r="H383" s="135"/>
      <c r="I383" s="135"/>
    </row>
    <row r="384" spans="1:9" ht="13" x14ac:dyDescent="0.3">
      <c r="A384" s="22" t="s">
        <v>149</v>
      </c>
      <c r="B384" s="32">
        <v>3</v>
      </c>
      <c r="E384" s="4" t="s">
        <v>201</v>
      </c>
      <c r="F384" s="135"/>
      <c r="G384" s="135"/>
      <c r="H384" s="135"/>
      <c r="I384" s="135"/>
    </row>
    <row r="385" spans="1:9" ht="13" thickBot="1" x14ac:dyDescent="0.3">
      <c r="A385" s="1" t="s">
        <v>268</v>
      </c>
      <c r="B385" s="37">
        <v>1</v>
      </c>
      <c r="C385" s="8" t="s">
        <v>209</v>
      </c>
      <c r="F385" s="135"/>
      <c r="G385" s="135"/>
      <c r="H385" s="135"/>
      <c r="I385" s="135"/>
    </row>
    <row r="386" spans="1:9" ht="13" x14ac:dyDescent="0.3">
      <c r="A386" s="78" t="s">
        <v>201</v>
      </c>
      <c r="B386" s="29" t="s">
        <v>139</v>
      </c>
      <c r="F386" s="135"/>
      <c r="G386" s="135"/>
      <c r="H386" s="135"/>
      <c r="I386" s="135"/>
    </row>
    <row r="387" spans="1:9" ht="13" x14ac:dyDescent="0.3">
      <c r="A387" s="2" t="s">
        <v>260</v>
      </c>
      <c r="B387" s="4" t="s">
        <v>262</v>
      </c>
      <c r="C387" s="10" t="s">
        <v>257</v>
      </c>
      <c r="F387" s="135"/>
      <c r="G387" s="135"/>
      <c r="H387" s="135"/>
      <c r="I387" s="135"/>
    </row>
    <row r="388" spans="1:9" ht="13" x14ac:dyDescent="0.3">
      <c r="A388" s="2" t="s">
        <v>259</v>
      </c>
      <c r="B388" s="4" t="s">
        <v>261</v>
      </c>
      <c r="C388" s="10"/>
      <c r="F388" s="135"/>
      <c r="G388" s="135"/>
      <c r="H388" s="135"/>
      <c r="I388" s="135"/>
    </row>
    <row r="389" spans="1:9" ht="13" x14ac:dyDescent="0.3">
      <c r="A389" s="43" t="s">
        <v>489</v>
      </c>
      <c r="B389" s="4">
        <f>B384*B382*B383</f>
        <v>11100</v>
      </c>
      <c r="C389" s="10" t="s">
        <v>257</v>
      </c>
      <c r="F389" s="135"/>
      <c r="G389" s="135"/>
      <c r="H389" s="135"/>
      <c r="I389" s="135"/>
    </row>
    <row r="390" spans="1:9" ht="13" x14ac:dyDescent="0.3">
      <c r="A390" s="2" t="s">
        <v>246</v>
      </c>
      <c r="B390" s="4" t="s">
        <v>619</v>
      </c>
      <c r="F390" s="135"/>
      <c r="G390" s="135"/>
      <c r="H390" s="135"/>
      <c r="I390" s="135"/>
    </row>
    <row r="391" spans="1:9" ht="13" x14ac:dyDescent="0.3">
      <c r="A391" s="43" t="s">
        <v>101</v>
      </c>
      <c r="B391" s="9">
        <f>(3.142*B385^4)/64</f>
        <v>4.9093749999999999E-2</v>
      </c>
      <c r="C391" s="10" t="s">
        <v>203</v>
      </c>
      <c r="E391" s="135" t="s">
        <v>201</v>
      </c>
      <c r="G391" s="135"/>
      <c r="H391" s="135"/>
      <c r="I391" s="135"/>
    </row>
    <row r="392" spans="1:9" ht="13.5" thickBot="1" x14ac:dyDescent="0.35">
      <c r="A392" s="2" t="s">
        <v>621</v>
      </c>
      <c r="B392" s="4" t="s">
        <v>618</v>
      </c>
      <c r="F392" s="135"/>
      <c r="G392" s="135"/>
      <c r="H392" s="135"/>
      <c r="I392" s="135"/>
    </row>
    <row r="393" spans="1:9" ht="13.5" thickBot="1" x14ac:dyDescent="0.35">
      <c r="A393" s="43" t="s">
        <v>489</v>
      </c>
      <c r="B393" s="203">
        <f>B389*B385/(2*B391)</f>
        <v>113049.01336728199</v>
      </c>
      <c r="C393" s="10" t="s">
        <v>202</v>
      </c>
      <c r="D393" s="16" t="s">
        <v>780</v>
      </c>
      <c r="F393" s="135"/>
      <c r="G393" s="135"/>
      <c r="H393" s="135"/>
      <c r="I393" s="135"/>
    </row>
    <row r="394" spans="1:9" x14ac:dyDescent="0.25">
      <c r="F394" s="135"/>
      <c r="G394" s="135"/>
      <c r="H394" s="135"/>
      <c r="I394" s="135"/>
    </row>
    <row r="395" spans="1:9" x14ac:dyDescent="0.25">
      <c r="A395" s="123"/>
      <c r="B395" s="124"/>
      <c r="C395" s="125"/>
      <c r="D395" s="120"/>
      <c r="E395" s="120"/>
      <c r="F395" s="135"/>
      <c r="G395" s="135"/>
      <c r="H395" s="135"/>
      <c r="I395" s="135"/>
    </row>
    <row r="396" spans="1:9" x14ac:dyDescent="0.25">
      <c r="F396" s="135"/>
      <c r="G396" s="135"/>
      <c r="H396" s="135"/>
      <c r="I396" s="135"/>
    </row>
    <row r="397" spans="1:9" ht="16" thickBot="1" x14ac:dyDescent="0.4">
      <c r="A397" s="68" t="s">
        <v>121</v>
      </c>
      <c r="B397" s="29" t="s">
        <v>484</v>
      </c>
      <c r="F397" s="135"/>
      <c r="G397" s="135"/>
      <c r="H397" s="135"/>
      <c r="I397" s="135"/>
    </row>
    <row r="398" spans="1:9" x14ac:dyDescent="0.25">
      <c r="A398" s="1" t="s">
        <v>622</v>
      </c>
      <c r="B398" s="194">
        <v>740</v>
      </c>
      <c r="C398" s="8" t="s">
        <v>230</v>
      </c>
      <c r="F398" s="135"/>
      <c r="G398" s="135"/>
      <c r="H398" s="135"/>
      <c r="I398" s="135"/>
    </row>
    <row r="399" spans="1:9" x14ac:dyDescent="0.25">
      <c r="A399" s="1" t="s">
        <v>268</v>
      </c>
      <c r="B399" s="33">
        <v>1</v>
      </c>
      <c r="C399" s="8" t="s">
        <v>209</v>
      </c>
      <c r="F399" s="135"/>
      <c r="G399" s="135"/>
      <c r="H399" s="135"/>
      <c r="I399" s="135"/>
    </row>
    <row r="400" spans="1:9" x14ac:dyDescent="0.25">
      <c r="A400" s="1" t="s">
        <v>207</v>
      </c>
      <c r="B400" s="32">
        <v>10</v>
      </c>
      <c r="C400" s="8" t="s">
        <v>209</v>
      </c>
      <c r="F400" s="135"/>
      <c r="G400" s="135"/>
      <c r="H400" s="135"/>
      <c r="I400" s="135"/>
    </row>
    <row r="401" spans="1:9" x14ac:dyDescent="0.25">
      <c r="A401" s="1" t="s">
        <v>249</v>
      </c>
      <c r="B401" s="32">
        <v>5</v>
      </c>
      <c r="C401" s="8" t="s">
        <v>209</v>
      </c>
      <c r="F401" s="135"/>
      <c r="G401" s="135"/>
      <c r="H401" s="135"/>
      <c r="I401" s="135"/>
    </row>
    <row r="402" spans="1:9" x14ac:dyDescent="0.25">
      <c r="A402" s="1" t="s">
        <v>255</v>
      </c>
      <c r="B402" s="32">
        <v>3</v>
      </c>
      <c r="F402" s="135"/>
      <c r="G402" s="135"/>
      <c r="H402" s="135"/>
      <c r="I402" s="135"/>
    </row>
    <row r="403" spans="1:9" ht="13" thickBot="1" x14ac:dyDescent="0.3">
      <c r="A403" s="1" t="s">
        <v>229</v>
      </c>
      <c r="B403" s="191">
        <v>29000000</v>
      </c>
      <c r="C403" s="8" t="s">
        <v>210</v>
      </c>
      <c r="F403" s="135"/>
      <c r="G403" s="135"/>
      <c r="H403" s="135"/>
      <c r="I403" s="135"/>
    </row>
    <row r="404" spans="1:9" ht="13" x14ac:dyDescent="0.3">
      <c r="B404" s="29" t="s">
        <v>139</v>
      </c>
      <c r="F404" s="135"/>
      <c r="G404" s="135"/>
      <c r="H404" s="135"/>
      <c r="I404" s="135"/>
    </row>
    <row r="405" spans="1:9" ht="13" x14ac:dyDescent="0.3">
      <c r="A405" s="2" t="s">
        <v>246</v>
      </c>
      <c r="B405" s="4" t="s">
        <v>619</v>
      </c>
      <c r="F405" s="135"/>
      <c r="G405" s="135"/>
      <c r="H405" s="135"/>
      <c r="I405" s="135"/>
    </row>
    <row r="406" spans="1:9" ht="13" x14ac:dyDescent="0.3">
      <c r="A406" s="74" t="s">
        <v>101</v>
      </c>
      <c r="B406" s="9">
        <f>3.1416*B399^4 / 64</f>
        <v>4.9087499999999999E-2</v>
      </c>
      <c r="C406" s="10" t="s">
        <v>203</v>
      </c>
      <c r="F406" s="135"/>
      <c r="G406" s="135"/>
      <c r="H406" s="135"/>
      <c r="I406" s="135"/>
    </row>
    <row r="407" spans="1:9" ht="13" x14ac:dyDescent="0.3">
      <c r="A407" s="2" t="s">
        <v>258</v>
      </c>
      <c r="B407" s="4">
        <f>B401</f>
        <v>5</v>
      </c>
      <c r="C407" s="10" t="s">
        <v>209</v>
      </c>
      <c r="F407" s="135"/>
      <c r="G407" s="135"/>
      <c r="H407" s="135"/>
      <c r="I407" s="135"/>
    </row>
    <row r="408" spans="1:9" ht="13" x14ac:dyDescent="0.3">
      <c r="A408" s="2" t="s">
        <v>783</v>
      </c>
      <c r="B408" s="4" t="s">
        <v>624</v>
      </c>
      <c r="F408" s="135"/>
      <c r="G408" s="135"/>
      <c r="H408" s="135"/>
      <c r="I408" s="135"/>
    </row>
    <row r="409" spans="1:9" ht="13" x14ac:dyDescent="0.3">
      <c r="A409" s="43" t="s">
        <v>101</v>
      </c>
      <c r="B409" s="4">
        <f>B402*B398*B407</f>
        <v>11100</v>
      </c>
      <c r="C409" s="10" t="s">
        <v>205</v>
      </c>
      <c r="F409" s="135"/>
      <c r="G409" s="135"/>
      <c r="H409" s="135"/>
      <c r="I409" s="135"/>
    </row>
    <row r="410" spans="1:9" ht="13.5" thickBot="1" x14ac:dyDescent="0.35">
      <c r="A410" s="2" t="s">
        <v>781</v>
      </c>
      <c r="B410" s="4" t="s">
        <v>782</v>
      </c>
      <c r="C410" s="10"/>
      <c r="F410" s="135"/>
      <c r="G410" s="135"/>
      <c r="H410" s="135"/>
      <c r="I410" s="135"/>
    </row>
    <row r="411" spans="1:9" ht="13.5" thickBot="1" x14ac:dyDescent="0.35">
      <c r="B411" s="203">
        <f>B409*(B399/2) / B406</f>
        <v>113063.40718105424</v>
      </c>
      <c r="C411" s="10" t="s">
        <v>275</v>
      </c>
      <c r="D411" s="16" t="s">
        <v>780</v>
      </c>
      <c r="F411" s="135"/>
      <c r="G411" s="135"/>
      <c r="H411" s="135"/>
      <c r="I411" s="135"/>
    </row>
    <row r="412" spans="1:9" ht="13" x14ac:dyDescent="0.3">
      <c r="A412" s="2" t="s">
        <v>302</v>
      </c>
      <c r="B412" s="13" t="s">
        <v>623</v>
      </c>
      <c r="D412" t="s">
        <v>254</v>
      </c>
      <c r="F412" s="135"/>
      <c r="G412" s="135"/>
      <c r="H412" s="135"/>
      <c r="I412" s="135"/>
    </row>
    <row r="413" spans="1:9" ht="13" x14ac:dyDescent="0.3">
      <c r="A413" s="43" t="s">
        <v>101</v>
      </c>
      <c r="B413" s="11">
        <f>(-B398*B401^2/(6*B403*B406))*((3*B400)-B401)</f>
        <v>-5.41491413702367E-2</v>
      </c>
      <c r="C413" s="10" t="s">
        <v>209</v>
      </c>
      <c r="F413" s="135"/>
      <c r="G413" s="135"/>
      <c r="H413" s="135"/>
      <c r="I413" s="135"/>
    </row>
    <row r="414" spans="1:9" ht="13" x14ac:dyDescent="0.3">
      <c r="A414" s="2" t="s">
        <v>301</v>
      </c>
      <c r="B414" s="13" t="s">
        <v>231</v>
      </c>
      <c r="C414" s="8" t="s">
        <v>201</v>
      </c>
      <c r="F414" s="135"/>
      <c r="G414" s="135"/>
      <c r="H414" s="135"/>
      <c r="I414" s="135"/>
    </row>
    <row r="415" spans="1:9" ht="13" x14ac:dyDescent="0.3">
      <c r="A415" s="43" t="s">
        <v>337</v>
      </c>
      <c r="B415" s="11">
        <f>(-B398*B400^3)/(3*B403*B406)</f>
        <v>-0.17327725238475747</v>
      </c>
      <c r="C415" s="10" t="s">
        <v>209</v>
      </c>
      <c r="F415" s="135"/>
      <c r="G415" s="135"/>
      <c r="H415" s="135"/>
      <c r="I415" s="135"/>
    </row>
    <row r="416" spans="1:9" x14ac:dyDescent="0.25">
      <c r="F416" s="135"/>
      <c r="G416" s="135"/>
      <c r="H416" s="135"/>
      <c r="I416" s="135"/>
    </row>
    <row r="417" spans="1:9" x14ac:dyDescent="0.25">
      <c r="A417" s="123"/>
      <c r="B417" s="124"/>
      <c r="C417" s="125"/>
      <c r="D417" s="120"/>
      <c r="E417" s="120"/>
      <c r="F417" s="135"/>
      <c r="G417" s="135"/>
      <c r="H417" s="135"/>
      <c r="I417" s="135"/>
    </row>
    <row r="418" spans="1:9" x14ac:dyDescent="0.25">
      <c r="F418" s="135"/>
      <c r="G418" s="135"/>
      <c r="H418" s="135"/>
      <c r="I418" s="135"/>
    </row>
    <row r="419" spans="1:9" ht="13.5" thickBot="1" x14ac:dyDescent="0.35">
      <c r="A419" s="2" t="s">
        <v>821</v>
      </c>
      <c r="B419" s="29" t="s">
        <v>486</v>
      </c>
      <c r="F419" s="135"/>
      <c r="G419" s="135"/>
      <c r="H419" s="135"/>
      <c r="I419" s="135"/>
    </row>
    <row r="420" spans="1:9" ht="13" thickBot="1" x14ac:dyDescent="0.3">
      <c r="A420" s="1" t="s">
        <v>221</v>
      </c>
      <c r="B420" s="35">
        <v>1</v>
      </c>
      <c r="C420" s="8" t="s">
        <v>209</v>
      </c>
      <c r="F420" s="135"/>
      <c r="G420" s="135"/>
      <c r="H420" s="135"/>
      <c r="I420" s="135"/>
    </row>
    <row r="421" spans="1:9" ht="13" x14ac:dyDescent="0.3">
      <c r="B421" s="29" t="s">
        <v>502</v>
      </c>
      <c r="F421" s="135"/>
      <c r="G421" s="135"/>
      <c r="H421" s="135"/>
      <c r="I421" s="135"/>
    </row>
    <row r="422" spans="1:9" ht="13" x14ac:dyDescent="0.3">
      <c r="A422" s="1" t="s">
        <v>669</v>
      </c>
      <c r="B422" s="4" t="s">
        <v>619</v>
      </c>
      <c r="F422" s="135"/>
      <c r="G422" s="135"/>
      <c r="H422" s="135"/>
      <c r="I422" s="135"/>
    </row>
    <row r="423" spans="1:9" ht="13" x14ac:dyDescent="0.3">
      <c r="A423" s="2" t="s">
        <v>670</v>
      </c>
      <c r="B423" s="9">
        <f>(3.142*B420^4)/64</f>
        <v>4.9093749999999999E-2</v>
      </c>
      <c r="C423" s="10" t="s">
        <v>203</v>
      </c>
      <c r="F423" s="135"/>
      <c r="G423" s="135"/>
      <c r="H423" s="135"/>
      <c r="I423" s="135"/>
    </row>
    <row r="424" spans="1:9" x14ac:dyDescent="0.25">
      <c r="F424" s="135"/>
      <c r="G424" s="135"/>
      <c r="H424" s="135"/>
      <c r="I424" s="135"/>
    </row>
    <row r="425" spans="1:9" ht="13.5" thickBot="1" x14ac:dyDescent="0.35">
      <c r="A425" s="2" t="s">
        <v>822</v>
      </c>
      <c r="B425" s="29" t="s">
        <v>486</v>
      </c>
      <c r="F425" s="135"/>
      <c r="G425" s="135"/>
      <c r="H425" s="135"/>
      <c r="I425" s="135"/>
    </row>
    <row r="426" spans="1:9" x14ac:dyDescent="0.25">
      <c r="A426" s="22" t="s">
        <v>823</v>
      </c>
      <c r="B426" s="36">
        <v>1.75</v>
      </c>
      <c r="C426" s="8" t="s">
        <v>209</v>
      </c>
      <c r="F426" s="135"/>
      <c r="G426" s="135"/>
      <c r="H426" s="135"/>
      <c r="I426" s="135"/>
    </row>
    <row r="427" spans="1:9" ht="13" thickBot="1" x14ac:dyDescent="0.3">
      <c r="A427" s="1" t="s">
        <v>224</v>
      </c>
      <c r="B427" s="34">
        <v>1.5</v>
      </c>
      <c r="C427" s="8" t="s">
        <v>209</v>
      </c>
      <c r="F427" s="135"/>
      <c r="G427" s="135"/>
      <c r="H427" s="135"/>
      <c r="I427" s="135"/>
    </row>
    <row r="428" spans="1:9" ht="13" x14ac:dyDescent="0.3">
      <c r="B428" s="29" t="s">
        <v>139</v>
      </c>
      <c r="F428" s="135"/>
      <c r="G428" s="135"/>
      <c r="H428" s="135"/>
      <c r="I428" s="135"/>
    </row>
    <row r="429" spans="1:9" ht="13" x14ac:dyDescent="0.3">
      <c r="A429" s="1" t="s">
        <v>671</v>
      </c>
      <c r="B429" s="4" t="s">
        <v>696</v>
      </c>
      <c r="F429" s="135"/>
      <c r="G429" s="135"/>
      <c r="H429" s="135"/>
      <c r="I429" s="135"/>
    </row>
    <row r="430" spans="1:9" ht="13" x14ac:dyDescent="0.3">
      <c r="A430" s="2" t="s">
        <v>670</v>
      </c>
      <c r="B430" s="9">
        <f>(3.142*(B426^4-B427^4))/64</f>
        <v>0.21190856933593749</v>
      </c>
      <c r="C430" s="10" t="s">
        <v>203</v>
      </c>
      <c r="E430" s="4" t="s">
        <v>201</v>
      </c>
      <c r="F430" s="135"/>
      <c r="G430" s="135"/>
      <c r="H430" s="135"/>
      <c r="I430" s="135"/>
    </row>
    <row r="431" spans="1:9" x14ac:dyDescent="0.25">
      <c r="F431" s="135"/>
      <c r="G431" s="135"/>
      <c r="H431" s="135"/>
      <c r="I431" s="135"/>
    </row>
    <row r="432" spans="1:9" x14ac:dyDescent="0.25">
      <c r="F432" s="135"/>
      <c r="G432" s="135"/>
      <c r="H432" s="135"/>
      <c r="I432" s="135"/>
    </row>
    <row r="433" spans="1:9" ht="13.5" thickBot="1" x14ac:dyDescent="0.35">
      <c r="A433" s="2" t="s">
        <v>824</v>
      </c>
      <c r="B433" s="29" t="s">
        <v>486</v>
      </c>
      <c r="F433" s="135"/>
      <c r="G433" s="135"/>
      <c r="H433" s="135"/>
      <c r="I433" s="135"/>
    </row>
    <row r="434" spans="1:9" ht="13" thickBot="1" x14ac:dyDescent="0.3">
      <c r="A434" s="1" t="s">
        <v>122</v>
      </c>
      <c r="B434" s="35">
        <v>1.75</v>
      </c>
      <c r="F434" s="135"/>
      <c r="G434" s="135"/>
      <c r="H434" s="135"/>
      <c r="I434" s="135"/>
    </row>
    <row r="435" spans="1:9" ht="13" x14ac:dyDescent="0.3">
      <c r="B435" s="29" t="s">
        <v>139</v>
      </c>
      <c r="F435" s="135"/>
      <c r="G435" s="135"/>
      <c r="H435" s="135"/>
      <c r="I435" s="135"/>
    </row>
    <row r="436" spans="1:9" ht="13" x14ac:dyDescent="0.3">
      <c r="A436" s="2" t="s">
        <v>669</v>
      </c>
      <c r="B436" s="4" t="s">
        <v>124</v>
      </c>
      <c r="C436" s="8" t="s">
        <v>201</v>
      </c>
      <c r="F436" s="135"/>
      <c r="G436" s="135"/>
      <c r="H436" s="135"/>
      <c r="I436" s="135"/>
    </row>
    <row r="437" spans="1:9" ht="13" x14ac:dyDescent="0.3">
      <c r="A437" s="2" t="s">
        <v>670</v>
      </c>
      <c r="B437" s="9">
        <f>B434^4/12</f>
        <v>0.78157552083333337</v>
      </c>
      <c r="C437" s="10" t="s">
        <v>203</v>
      </c>
      <c r="F437" s="135"/>
      <c r="G437" s="135"/>
      <c r="H437" s="135"/>
      <c r="I437" s="135"/>
    </row>
    <row r="438" spans="1:9" x14ac:dyDescent="0.25">
      <c r="F438" s="135"/>
      <c r="G438" s="135"/>
      <c r="H438" s="135"/>
      <c r="I438" s="135"/>
    </row>
    <row r="439" spans="1:9" ht="13" x14ac:dyDescent="0.3">
      <c r="E439" s="4" t="s">
        <v>201</v>
      </c>
      <c r="F439" s="135"/>
      <c r="G439" s="135"/>
      <c r="H439" s="135"/>
      <c r="I439" s="135"/>
    </row>
    <row r="440" spans="1:9" x14ac:dyDescent="0.25">
      <c r="F440" s="135"/>
      <c r="G440" s="135"/>
      <c r="H440" s="135"/>
      <c r="I440" s="135"/>
    </row>
    <row r="441" spans="1:9" x14ac:dyDescent="0.25">
      <c r="F441" s="135"/>
      <c r="G441" s="135"/>
      <c r="H441" s="135"/>
      <c r="I441" s="135"/>
    </row>
    <row r="442" spans="1:9" x14ac:dyDescent="0.25">
      <c r="A442" s="123"/>
      <c r="B442" s="124"/>
      <c r="C442" s="125"/>
      <c r="D442" s="120"/>
      <c r="E442" s="120"/>
      <c r="F442" s="135"/>
      <c r="G442" s="135"/>
      <c r="H442" s="135"/>
      <c r="I442" s="135"/>
    </row>
    <row r="443" spans="1:9" x14ac:dyDescent="0.25">
      <c r="F443" s="135"/>
      <c r="G443" s="135"/>
      <c r="H443" s="135"/>
      <c r="I443" s="135"/>
    </row>
    <row r="444" spans="1:9" ht="15.5" x14ac:dyDescent="0.35">
      <c r="A444" s="68" t="s">
        <v>825</v>
      </c>
      <c r="F444" s="135"/>
      <c r="G444" s="135"/>
      <c r="H444" s="135"/>
      <c r="I444" s="135"/>
    </row>
    <row r="445" spans="1:9" x14ac:dyDescent="0.25">
      <c r="A445" s="8" t="s">
        <v>244</v>
      </c>
      <c r="F445" s="135"/>
      <c r="G445" s="135"/>
      <c r="H445" s="135"/>
      <c r="I445" s="135"/>
    </row>
    <row r="446" spans="1:9" ht="13.5" thickBot="1" x14ac:dyDescent="0.35">
      <c r="B446" s="29" t="s">
        <v>486</v>
      </c>
      <c r="F446" s="135"/>
      <c r="G446" s="135"/>
      <c r="H446" s="135"/>
      <c r="I446" s="135"/>
    </row>
    <row r="447" spans="1:9" x14ac:dyDescent="0.25">
      <c r="A447" s="1" t="s">
        <v>247</v>
      </c>
      <c r="B447" s="194">
        <v>1000</v>
      </c>
      <c r="C447" s="8" t="s">
        <v>205</v>
      </c>
      <c r="F447" s="135"/>
      <c r="G447" s="135"/>
      <c r="H447" s="135"/>
      <c r="I447" s="135"/>
    </row>
    <row r="448" spans="1:9" x14ac:dyDescent="0.25">
      <c r="A448" s="1" t="s">
        <v>263</v>
      </c>
      <c r="B448" s="33">
        <v>1</v>
      </c>
      <c r="C448" s="8" t="s">
        <v>209</v>
      </c>
      <c r="F448" s="135"/>
      <c r="G448" s="135"/>
      <c r="H448" s="135"/>
      <c r="I448" s="135"/>
    </row>
    <row r="449" spans="1:9" x14ac:dyDescent="0.25">
      <c r="A449" s="1" t="s">
        <v>669</v>
      </c>
      <c r="B449" s="32">
        <v>2.5</v>
      </c>
      <c r="C449" s="12" t="s">
        <v>203</v>
      </c>
      <c r="F449" s="135"/>
      <c r="G449" s="135"/>
      <c r="H449" s="135"/>
      <c r="I449" s="135"/>
    </row>
    <row r="450" spans="1:9" ht="13" thickBot="1" x14ac:dyDescent="0.3">
      <c r="A450" s="1" t="s">
        <v>672</v>
      </c>
      <c r="B450" s="34">
        <v>3</v>
      </c>
      <c r="C450" s="8" t="s">
        <v>406</v>
      </c>
      <c r="F450" s="135"/>
      <c r="G450" s="135"/>
      <c r="H450" s="135"/>
      <c r="I450" s="135"/>
    </row>
    <row r="451" spans="1:9" ht="13" x14ac:dyDescent="0.3">
      <c r="B451" s="29" t="s">
        <v>139</v>
      </c>
      <c r="F451" s="135"/>
      <c r="G451" s="135"/>
      <c r="H451" s="135"/>
      <c r="I451" s="135"/>
    </row>
    <row r="452" spans="1:9" ht="13" x14ac:dyDescent="0.3">
      <c r="A452" s="2" t="s">
        <v>248</v>
      </c>
      <c r="B452" s="4" t="s">
        <v>673</v>
      </c>
      <c r="F452" s="135"/>
      <c r="G452" s="135"/>
      <c r="H452" s="135"/>
      <c r="I452" s="135"/>
    </row>
    <row r="453" spans="1:9" ht="13" x14ac:dyDescent="0.3">
      <c r="A453" s="2" t="s">
        <v>206</v>
      </c>
      <c r="B453" s="195">
        <f>B450*B447*B448/B449</f>
        <v>1200</v>
      </c>
      <c r="C453" s="10" t="s">
        <v>223</v>
      </c>
      <c r="F453" s="135"/>
      <c r="G453" s="135"/>
      <c r="H453" s="135"/>
      <c r="I453" s="135"/>
    </row>
    <row r="454" spans="1:9" x14ac:dyDescent="0.25">
      <c r="F454" s="135"/>
      <c r="G454" s="135"/>
      <c r="H454" s="135"/>
      <c r="I454" s="135"/>
    </row>
    <row r="455" spans="1:9" x14ac:dyDescent="0.25">
      <c r="A455" s="123"/>
      <c r="B455" s="124"/>
      <c r="C455" s="125"/>
      <c r="D455" s="120"/>
      <c r="E455" s="120"/>
      <c r="F455" s="135"/>
      <c r="G455" s="135"/>
      <c r="H455" s="135"/>
      <c r="I455" s="135"/>
    </row>
    <row r="456" spans="1:9" x14ac:dyDescent="0.25">
      <c r="F456" s="135"/>
      <c r="G456" s="135"/>
      <c r="H456" s="135"/>
      <c r="I456" s="135"/>
    </row>
    <row r="457" spans="1:9" x14ac:dyDescent="0.25">
      <c r="F457" s="135"/>
      <c r="G457" s="135"/>
      <c r="H457" s="135"/>
      <c r="I457" s="135"/>
    </row>
    <row r="458" spans="1:9" x14ac:dyDescent="0.25">
      <c r="F458" s="135"/>
      <c r="G458" s="135"/>
      <c r="H458" s="135"/>
      <c r="I458" s="135"/>
    </row>
    <row r="459" spans="1:9" ht="15.5" x14ac:dyDescent="0.35">
      <c r="A459" s="68" t="s">
        <v>826</v>
      </c>
      <c r="F459" s="135"/>
      <c r="G459" s="135"/>
      <c r="H459" s="135"/>
      <c r="I459" s="135"/>
    </row>
    <row r="460" spans="1:9" x14ac:dyDescent="0.25">
      <c r="F460" s="135"/>
      <c r="G460" s="135"/>
      <c r="H460" s="135"/>
      <c r="I460" s="135"/>
    </row>
    <row r="461" spans="1:9" x14ac:dyDescent="0.25">
      <c r="F461" s="135"/>
      <c r="G461" s="135"/>
      <c r="H461" s="135"/>
      <c r="I461" s="135"/>
    </row>
    <row r="462" spans="1:9" x14ac:dyDescent="0.25">
      <c r="F462" s="135"/>
      <c r="G462" s="135"/>
      <c r="H462" s="135"/>
      <c r="I462" s="135"/>
    </row>
    <row r="463" spans="1:9" x14ac:dyDescent="0.25">
      <c r="F463" s="135"/>
      <c r="G463" s="135"/>
      <c r="H463" s="135"/>
      <c r="I463" s="135"/>
    </row>
    <row r="464" spans="1:9" x14ac:dyDescent="0.25">
      <c r="F464" s="135"/>
      <c r="G464" s="135"/>
      <c r="H464" s="135"/>
      <c r="I464" s="135"/>
    </row>
    <row r="465" spans="1:9" x14ac:dyDescent="0.25">
      <c r="F465" s="135"/>
      <c r="G465" s="135"/>
      <c r="H465" s="135"/>
      <c r="I465" s="135"/>
    </row>
    <row r="466" spans="1:9" x14ac:dyDescent="0.25">
      <c r="F466" s="135"/>
      <c r="G466" s="135"/>
      <c r="H466" s="135"/>
      <c r="I466" s="135"/>
    </row>
    <row r="467" spans="1:9" x14ac:dyDescent="0.25">
      <c r="F467" s="135"/>
      <c r="G467" s="135"/>
      <c r="H467" s="135"/>
      <c r="I467" s="135"/>
    </row>
    <row r="468" spans="1:9" x14ac:dyDescent="0.25">
      <c r="F468" s="135"/>
      <c r="G468" s="135"/>
      <c r="H468" s="135"/>
      <c r="I468" s="135"/>
    </row>
    <row r="469" spans="1:9" x14ac:dyDescent="0.25">
      <c r="F469" s="135"/>
      <c r="G469" s="135"/>
      <c r="H469" s="135"/>
      <c r="I469" s="135"/>
    </row>
    <row r="470" spans="1:9" x14ac:dyDescent="0.25">
      <c r="F470" s="135"/>
      <c r="G470" s="135"/>
      <c r="H470" s="135"/>
      <c r="I470" s="135"/>
    </row>
    <row r="471" spans="1:9" x14ac:dyDescent="0.25">
      <c r="A471"/>
      <c r="B471"/>
      <c r="F471" s="135"/>
      <c r="G471" s="135"/>
      <c r="H471" s="135"/>
      <c r="I471" s="135"/>
    </row>
    <row r="472" spans="1:9" x14ac:dyDescent="0.25">
      <c r="F472" s="135"/>
      <c r="G472" s="135"/>
      <c r="H472" s="135"/>
      <c r="I472" s="135"/>
    </row>
    <row r="473" spans="1:9" x14ac:dyDescent="0.25">
      <c r="F473" s="135"/>
      <c r="G473" s="135"/>
      <c r="H473" s="135"/>
      <c r="I473" s="135"/>
    </row>
    <row r="474" spans="1:9" x14ac:dyDescent="0.25">
      <c r="F474" s="135"/>
      <c r="G474" s="135"/>
      <c r="H474" s="135"/>
      <c r="I474" s="135"/>
    </row>
    <row r="475" spans="1:9" x14ac:dyDescent="0.25">
      <c r="F475" s="135"/>
      <c r="G475" s="135"/>
      <c r="H475" s="135"/>
      <c r="I475" s="135"/>
    </row>
    <row r="476" spans="1:9" x14ac:dyDescent="0.25">
      <c r="F476" s="135"/>
      <c r="G476" s="135"/>
      <c r="H476" s="135"/>
      <c r="I476" s="135"/>
    </row>
    <row r="477" spans="1:9" x14ac:dyDescent="0.25">
      <c r="F477" s="135"/>
      <c r="G477" s="135"/>
      <c r="H477" s="135"/>
      <c r="I477" s="135"/>
    </row>
    <row r="478" spans="1:9" x14ac:dyDescent="0.25">
      <c r="F478" s="135"/>
      <c r="G478" s="135"/>
      <c r="H478" s="135"/>
      <c r="I478" s="135"/>
    </row>
    <row r="479" spans="1:9" x14ac:dyDescent="0.25">
      <c r="F479" s="135"/>
      <c r="G479" s="135"/>
      <c r="H479" s="135"/>
      <c r="I479" s="135"/>
    </row>
    <row r="480" spans="1:9" x14ac:dyDescent="0.25">
      <c r="F480" s="135"/>
      <c r="G480" s="135"/>
      <c r="H480" s="135"/>
      <c r="I480" s="135"/>
    </row>
    <row r="481" spans="6:9" x14ac:dyDescent="0.25">
      <c r="F481" s="135"/>
      <c r="G481" s="135"/>
      <c r="H481" s="135"/>
      <c r="I481" s="135"/>
    </row>
    <row r="482" spans="6:9" x14ac:dyDescent="0.25">
      <c r="F482" s="135"/>
      <c r="G482" s="135"/>
      <c r="H482" s="135"/>
      <c r="I482" s="135"/>
    </row>
    <row r="483" spans="6:9" x14ac:dyDescent="0.25">
      <c r="F483" s="135"/>
      <c r="G483" s="135"/>
      <c r="H483" s="135"/>
      <c r="I483" s="135"/>
    </row>
    <row r="484" spans="6:9" x14ac:dyDescent="0.25">
      <c r="F484" s="135"/>
      <c r="G484" s="135"/>
      <c r="H484" s="135"/>
      <c r="I484" s="135"/>
    </row>
    <row r="485" spans="6:9" x14ac:dyDescent="0.25">
      <c r="F485" s="135"/>
      <c r="G485" s="135"/>
      <c r="H485" s="135"/>
      <c r="I485" s="135"/>
    </row>
    <row r="486" spans="6:9" x14ac:dyDescent="0.25">
      <c r="F486" s="135"/>
      <c r="G486" s="135"/>
      <c r="H486" s="135"/>
      <c r="I486" s="135"/>
    </row>
    <row r="487" spans="6:9" x14ac:dyDescent="0.25">
      <c r="F487" s="135"/>
      <c r="G487" s="135"/>
      <c r="H487" s="135"/>
      <c r="I487" s="135"/>
    </row>
    <row r="488" spans="6:9" x14ac:dyDescent="0.25">
      <c r="F488" s="135"/>
      <c r="G488" s="135"/>
      <c r="H488" s="135"/>
      <c r="I488" s="135"/>
    </row>
    <row r="489" spans="6:9" x14ac:dyDescent="0.25">
      <c r="F489" s="135"/>
      <c r="G489" s="135"/>
      <c r="H489" s="135"/>
      <c r="I489" s="135"/>
    </row>
    <row r="490" spans="6:9" x14ac:dyDescent="0.25">
      <c r="F490" s="135"/>
      <c r="G490" s="135"/>
      <c r="H490" s="135"/>
      <c r="I490" s="135"/>
    </row>
    <row r="491" spans="6:9" x14ac:dyDescent="0.25">
      <c r="F491" s="135"/>
      <c r="G491" s="135"/>
      <c r="H491" s="135"/>
      <c r="I491" s="135"/>
    </row>
    <row r="492" spans="6:9" x14ac:dyDescent="0.25">
      <c r="F492" s="136"/>
      <c r="G492" s="63"/>
      <c r="H492" s="139"/>
      <c r="I492" s="135"/>
    </row>
    <row r="493" spans="6:9" x14ac:dyDescent="0.25">
      <c r="F493" s="135"/>
      <c r="G493" s="135"/>
      <c r="H493" s="135"/>
      <c r="I493" s="135"/>
    </row>
    <row r="494" spans="6:9" x14ac:dyDescent="0.25">
      <c r="F494" s="135"/>
      <c r="G494" s="135"/>
      <c r="H494" s="135"/>
      <c r="I494" s="135"/>
    </row>
    <row r="495" spans="6:9" x14ac:dyDescent="0.25">
      <c r="F495" s="135"/>
      <c r="G495" s="135"/>
      <c r="H495" s="135"/>
      <c r="I495" s="135"/>
    </row>
    <row r="496" spans="6:9" x14ac:dyDescent="0.25">
      <c r="F496" s="135"/>
      <c r="G496" s="135"/>
      <c r="H496" s="135"/>
      <c r="I496" s="135"/>
    </row>
    <row r="497" spans="6:9" x14ac:dyDescent="0.25">
      <c r="F497" s="135"/>
      <c r="G497" s="135"/>
      <c r="H497" s="135"/>
      <c r="I497" s="135"/>
    </row>
    <row r="498" spans="6:9" x14ac:dyDescent="0.25">
      <c r="F498" s="135"/>
      <c r="G498" s="135"/>
      <c r="H498" s="135"/>
      <c r="I498" s="135"/>
    </row>
    <row r="499" spans="6:9" x14ac:dyDescent="0.25">
      <c r="F499" s="135"/>
      <c r="G499" s="135"/>
      <c r="H499" s="135"/>
      <c r="I499" s="135"/>
    </row>
    <row r="500" spans="6:9" x14ac:dyDescent="0.25">
      <c r="F500" s="135"/>
      <c r="G500" s="135"/>
      <c r="H500" s="135"/>
      <c r="I500" s="135"/>
    </row>
    <row r="501" spans="6:9" x14ac:dyDescent="0.25">
      <c r="F501" s="135"/>
      <c r="G501" s="135"/>
      <c r="H501" s="135"/>
      <c r="I501" s="135"/>
    </row>
    <row r="502" spans="6:9" x14ac:dyDescent="0.25">
      <c r="F502" s="135"/>
      <c r="G502" s="135"/>
      <c r="H502" s="135"/>
      <c r="I502" s="135"/>
    </row>
    <row r="503" spans="6:9" x14ac:dyDescent="0.25">
      <c r="F503" s="135"/>
      <c r="G503" s="135"/>
      <c r="H503" s="135"/>
      <c r="I503" s="135"/>
    </row>
    <row r="504" spans="6:9" x14ac:dyDescent="0.25">
      <c r="F504" s="135"/>
      <c r="G504" s="135"/>
      <c r="H504" s="135"/>
      <c r="I504" s="135"/>
    </row>
    <row r="505" spans="6:9" x14ac:dyDescent="0.25">
      <c r="F505" s="135"/>
      <c r="G505" s="135"/>
      <c r="H505" s="135"/>
      <c r="I505" s="135"/>
    </row>
    <row r="506" spans="6:9" x14ac:dyDescent="0.25">
      <c r="F506" s="135"/>
      <c r="G506" s="135"/>
      <c r="H506" s="135"/>
      <c r="I506" s="135"/>
    </row>
    <row r="507" spans="6:9" x14ac:dyDescent="0.25">
      <c r="F507" s="135"/>
      <c r="G507" s="135"/>
      <c r="H507" s="135"/>
      <c r="I507" s="135"/>
    </row>
    <row r="508" spans="6:9" x14ac:dyDescent="0.25">
      <c r="F508" s="135"/>
      <c r="G508" s="135"/>
      <c r="H508" s="135"/>
      <c r="I508" s="135"/>
    </row>
    <row r="509" spans="6:9" x14ac:dyDescent="0.25">
      <c r="F509" s="135"/>
      <c r="G509" s="135"/>
      <c r="H509" s="135"/>
      <c r="I509" s="135"/>
    </row>
    <row r="510" spans="6:9" x14ac:dyDescent="0.25">
      <c r="F510" s="135"/>
      <c r="G510" s="135"/>
      <c r="H510" s="135"/>
      <c r="I510" s="135"/>
    </row>
    <row r="511" spans="6:9" x14ac:dyDescent="0.25">
      <c r="F511" s="135"/>
      <c r="G511" s="135"/>
      <c r="H511" s="135"/>
      <c r="I511" s="135"/>
    </row>
    <row r="512" spans="6:9" x14ac:dyDescent="0.25">
      <c r="F512" s="135"/>
      <c r="G512" s="135"/>
      <c r="H512" s="135"/>
      <c r="I512" s="135"/>
    </row>
    <row r="513" spans="6:9" x14ac:dyDescent="0.25">
      <c r="F513" s="135"/>
      <c r="G513" s="135"/>
      <c r="H513" s="135"/>
      <c r="I513" s="135"/>
    </row>
    <row r="514" spans="6:9" x14ac:dyDescent="0.25">
      <c r="F514" s="135"/>
      <c r="G514" s="135"/>
      <c r="H514" s="135"/>
      <c r="I514" s="135"/>
    </row>
    <row r="515" spans="6:9" x14ac:dyDescent="0.25">
      <c r="F515" s="135"/>
      <c r="G515" s="135"/>
      <c r="H515" s="135"/>
      <c r="I515" s="135"/>
    </row>
    <row r="516" spans="6:9" x14ac:dyDescent="0.25">
      <c r="F516" s="135"/>
      <c r="G516" s="135"/>
      <c r="H516" s="135"/>
      <c r="I516" s="135"/>
    </row>
    <row r="517" spans="6:9" x14ac:dyDescent="0.25">
      <c r="F517" s="135"/>
      <c r="G517" s="135"/>
      <c r="H517" s="135"/>
      <c r="I517" s="135"/>
    </row>
    <row r="518" spans="6:9" x14ac:dyDescent="0.25">
      <c r="F518" s="135"/>
      <c r="G518" s="135"/>
      <c r="H518" s="135"/>
      <c r="I518" s="135"/>
    </row>
    <row r="519" spans="6:9" x14ac:dyDescent="0.25">
      <c r="F519" s="135"/>
      <c r="G519" s="135"/>
      <c r="H519" s="135"/>
      <c r="I519" s="135"/>
    </row>
    <row r="520" spans="6:9" x14ac:dyDescent="0.25">
      <c r="F520" s="135"/>
      <c r="G520" s="135"/>
      <c r="H520" s="135"/>
      <c r="I520" s="135"/>
    </row>
    <row r="521" spans="6:9" x14ac:dyDescent="0.25">
      <c r="F521" s="135"/>
      <c r="G521" s="135"/>
      <c r="H521" s="135"/>
      <c r="I521" s="135"/>
    </row>
    <row r="522" spans="6:9" x14ac:dyDescent="0.25">
      <c r="F522" s="135"/>
      <c r="G522" s="135"/>
      <c r="H522" s="135"/>
      <c r="I522" s="135"/>
    </row>
    <row r="523" spans="6:9" x14ac:dyDescent="0.25">
      <c r="F523" s="135"/>
      <c r="G523" s="135"/>
      <c r="H523" s="135"/>
      <c r="I523" s="135"/>
    </row>
    <row r="524" spans="6:9" x14ac:dyDescent="0.25">
      <c r="F524" s="135"/>
      <c r="G524" s="135"/>
      <c r="H524" s="135"/>
      <c r="I524" s="135"/>
    </row>
    <row r="525" spans="6:9" x14ac:dyDescent="0.25">
      <c r="F525" s="135"/>
      <c r="G525" s="135"/>
      <c r="H525" s="135"/>
      <c r="I525" s="135"/>
    </row>
    <row r="526" spans="6:9" x14ac:dyDescent="0.25">
      <c r="F526" s="135"/>
      <c r="G526" s="135"/>
      <c r="H526" s="135"/>
      <c r="I526" s="135"/>
    </row>
    <row r="527" spans="6:9" x14ac:dyDescent="0.25">
      <c r="F527" s="135"/>
      <c r="G527" s="135"/>
      <c r="H527" s="135"/>
      <c r="I527" s="135"/>
    </row>
    <row r="528" spans="6:9" x14ac:dyDescent="0.25">
      <c r="F528" s="135"/>
      <c r="G528" s="135"/>
      <c r="H528" s="135"/>
      <c r="I528" s="135"/>
    </row>
    <row r="529" spans="6:9" x14ac:dyDescent="0.25">
      <c r="F529" s="135"/>
      <c r="G529" s="135"/>
      <c r="H529" s="135"/>
      <c r="I529" s="135"/>
    </row>
    <row r="530" spans="6:9" x14ac:dyDescent="0.25">
      <c r="F530" s="135"/>
      <c r="G530" s="135"/>
      <c r="H530" s="135"/>
      <c r="I530" s="135"/>
    </row>
    <row r="531" spans="6:9" x14ac:dyDescent="0.25">
      <c r="F531" s="135"/>
      <c r="G531" s="135"/>
      <c r="H531" s="135"/>
      <c r="I531" s="135"/>
    </row>
    <row r="532" spans="6:9" x14ac:dyDescent="0.25">
      <c r="F532" s="135"/>
      <c r="G532" s="135"/>
      <c r="H532" s="135"/>
      <c r="I532" s="135"/>
    </row>
    <row r="533" spans="6:9" x14ac:dyDescent="0.25">
      <c r="F533" s="135"/>
      <c r="G533" s="135"/>
      <c r="H533" s="135"/>
      <c r="I533" s="135"/>
    </row>
    <row r="534" spans="6:9" x14ac:dyDescent="0.25">
      <c r="F534" s="135"/>
      <c r="G534" s="135"/>
      <c r="H534" s="135"/>
      <c r="I534" s="135"/>
    </row>
    <row r="535" spans="6:9" x14ac:dyDescent="0.25">
      <c r="F535" s="135"/>
      <c r="G535" s="135"/>
      <c r="H535" s="135"/>
      <c r="I535" s="135"/>
    </row>
    <row r="536" spans="6:9" x14ac:dyDescent="0.25">
      <c r="F536" s="135"/>
      <c r="G536" s="135"/>
      <c r="H536" s="135"/>
      <c r="I536" s="135"/>
    </row>
    <row r="537" spans="6:9" x14ac:dyDescent="0.25">
      <c r="F537" s="135"/>
      <c r="G537" s="135"/>
      <c r="H537" s="135"/>
      <c r="I537" s="135"/>
    </row>
    <row r="538" spans="6:9" x14ac:dyDescent="0.25">
      <c r="F538" s="135"/>
      <c r="G538" s="135"/>
      <c r="H538" s="135"/>
      <c r="I538" s="135"/>
    </row>
    <row r="539" spans="6:9" x14ac:dyDescent="0.25">
      <c r="F539" s="135"/>
      <c r="G539" s="135"/>
      <c r="H539" s="135"/>
      <c r="I539" s="135"/>
    </row>
    <row r="540" spans="6:9" x14ac:dyDescent="0.25">
      <c r="F540" s="135"/>
      <c r="G540" s="135"/>
      <c r="H540" s="135"/>
      <c r="I540" s="135"/>
    </row>
    <row r="541" spans="6:9" x14ac:dyDescent="0.25">
      <c r="F541" s="135"/>
      <c r="G541" s="135"/>
      <c r="H541" s="135"/>
      <c r="I541" s="135"/>
    </row>
    <row r="542" spans="6:9" x14ac:dyDescent="0.25">
      <c r="F542" s="135"/>
      <c r="G542" s="135"/>
      <c r="H542" s="135"/>
      <c r="I542" s="135"/>
    </row>
    <row r="543" spans="6:9" x14ac:dyDescent="0.25">
      <c r="F543" s="135"/>
      <c r="G543" s="135"/>
      <c r="H543" s="135"/>
      <c r="I543" s="135"/>
    </row>
    <row r="544" spans="6:9" x14ac:dyDescent="0.25">
      <c r="F544" s="135"/>
      <c r="G544" s="135"/>
      <c r="H544" s="135"/>
      <c r="I544" s="135"/>
    </row>
    <row r="545" spans="1:9" x14ac:dyDescent="0.25">
      <c r="F545" s="135"/>
      <c r="G545" s="135"/>
      <c r="H545" s="135"/>
      <c r="I545" s="135"/>
    </row>
    <row r="546" spans="1:9" x14ac:dyDescent="0.25">
      <c r="F546" s="135"/>
      <c r="G546" s="135"/>
      <c r="H546" s="135"/>
      <c r="I546" s="135"/>
    </row>
    <row r="547" spans="1:9" x14ac:dyDescent="0.25">
      <c r="F547" s="135"/>
      <c r="G547" s="135"/>
      <c r="H547" s="135"/>
      <c r="I547" s="135"/>
    </row>
    <row r="548" spans="1:9" x14ac:dyDescent="0.25">
      <c r="F548" s="135"/>
      <c r="G548" s="135"/>
      <c r="H548" s="135"/>
      <c r="I548" s="135"/>
    </row>
    <row r="549" spans="1:9" x14ac:dyDescent="0.25">
      <c r="A549" s="123"/>
      <c r="B549" s="124"/>
      <c r="C549" s="125"/>
      <c r="D549" s="120"/>
      <c r="E549" s="120"/>
      <c r="F549" s="135"/>
      <c r="G549" s="135"/>
      <c r="H549" s="135"/>
      <c r="I549" s="135"/>
    </row>
    <row r="550" spans="1:9" x14ac:dyDescent="0.25">
      <c r="F550" s="135"/>
      <c r="G550" s="135"/>
      <c r="H550" s="135"/>
      <c r="I550" s="135"/>
    </row>
    <row r="551" spans="1:9" ht="15.5" x14ac:dyDescent="0.35">
      <c r="A551" s="71" t="s">
        <v>776</v>
      </c>
      <c r="F551" s="135"/>
      <c r="G551" s="135"/>
      <c r="H551" s="135"/>
      <c r="I551" s="135"/>
    </row>
    <row r="552" spans="1:9" x14ac:dyDescent="0.25">
      <c r="F552" s="135"/>
      <c r="G552" s="135"/>
      <c r="H552" s="135"/>
      <c r="I552" s="135"/>
    </row>
    <row r="553" spans="1:9" x14ac:dyDescent="0.25">
      <c r="F553" s="135"/>
      <c r="G553" s="135"/>
      <c r="H553" s="135"/>
      <c r="I553" s="135"/>
    </row>
    <row r="554" spans="1:9" x14ac:dyDescent="0.25">
      <c r="F554" s="135"/>
      <c r="G554" s="135"/>
      <c r="H554" s="135"/>
      <c r="I554" s="135"/>
    </row>
    <row r="555" spans="1:9" x14ac:dyDescent="0.25">
      <c r="F555" s="135"/>
      <c r="G555" s="135"/>
      <c r="H555" s="135"/>
      <c r="I555" s="135"/>
    </row>
    <row r="556" spans="1:9" x14ac:dyDescent="0.25">
      <c r="F556" s="135"/>
      <c r="G556" s="135"/>
      <c r="H556" s="135"/>
      <c r="I556" s="135"/>
    </row>
    <row r="557" spans="1:9" x14ac:dyDescent="0.25">
      <c r="F557" s="135"/>
      <c r="G557" s="135"/>
      <c r="H557" s="135"/>
      <c r="I557" s="135"/>
    </row>
    <row r="558" spans="1:9" x14ac:dyDescent="0.25">
      <c r="F558" s="135"/>
      <c r="G558" s="135"/>
      <c r="H558" s="135"/>
      <c r="I558" s="135"/>
    </row>
  </sheetData>
  <sheetProtection sheet="1" objects="1" scenarios="1" formatCells="0" selectLockedCells="1"/>
  <protectedRanges>
    <protectedRange sqref="B426:B427" name="Range14"/>
    <protectedRange sqref="B420" name="Range13"/>
    <protectedRange sqref="B398:B403" name="Range12"/>
    <protectedRange sqref="B398:B403" name="Range11"/>
    <protectedRange sqref="B382:B385" name="Range10"/>
    <protectedRange sqref="B367" name="Range9"/>
    <protectedRange sqref="B360:B361" name="Range8"/>
    <protectedRange sqref="B347" name="Range7"/>
    <protectedRange sqref="B334:B335" name="Range6"/>
    <protectedRange sqref="B289:B294 B303:B307 E292:E297" name="Range1"/>
    <protectedRange sqref="B323" name="Range3"/>
    <protectedRange sqref="B334:B335" name="Range4"/>
    <protectedRange sqref="B347" name="Range5"/>
    <protectedRange sqref="B447:B450" name="Range17_1"/>
  </protectedRanges>
  <phoneticPr fontId="2" type="noConversion"/>
  <hyperlinks>
    <hyperlink ref="B24" r:id="rId1" xr:uid="{00000000-0004-0000-0300-000000000000}"/>
  </hyperlinks>
  <printOptions gridLines="1"/>
  <pageMargins left="0.75" right="0.75" top="1" bottom="1" header="0.5" footer="0.5"/>
  <pageSetup orientation="portrait" horizontalDpi="4294967295"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32"/>
  <sheetViews>
    <sheetView zoomScaleNormal="100" workbookViewId="0">
      <selection activeCell="E2" sqref="E2"/>
    </sheetView>
  </sheetViews>
  <sheetFormatPr defaultRowHeight="12.5" x14ac:dyDescent="0.25"/>
  <cols>
    <col min="1" max="1" width="42.453125" customWidth="1"/>
    <col min="2" max="2" width="22.54296875" customWidth="1"/>
    <col min="3" max="3" width="9.26953125" style="8" customWidth="1"/>
    <col min="4" max="4" width="9.81640625" customWidth="1"/>
    <col min="5" max="5" width="15.26953125" customWidth="1"/>
  </cols>
  <sheetData>
    <row r="1" spans="1:13" ht="18" x14ac:dyDescent="0.4">
      <c r="A1" s="355" t="s">
        <v>1170</v>
      </c>
      <c r="C1" s="10"/>
      <c r="D1" s="28"/>
      <c r="E1" s="135"/>
      <c r="F1" s="135"/>
      <c r="G1" s="135"/>
      <c r="H1" s="135"/>
      <c r="I1" s="135"/>
      <c r="J1" s="135"/>
      <c r="K1" s="135"/>
      <c r="L1" s="135"/>
      <c r="M1" s="135"/>
    </row>
    <row r="2" spans="1:13" x14ac:dyDescent="0.25">
      <c r="A2" s="66"/>
      <c r="E2" s="135"/>
      <c r="F2" s="135"/>
      <c r="G2" s="135"/>
      <c r="H2" s="135"/>
      <c r="I2" s="135"/>
      <c r="J2" s="135"/>
      <c r="K2" s="135"/>
      <c r="L2" s="135"/>
      <c r="M2" s="135"/>
    </row>
    <row r="3" spans="1:13" ht="13" x14ac:dyDescent="0.3">
      <c r="E3" s="137"/>
      <c r="F3" s="135"/>
      <c r="G3" s="135"/>
      <c r="H3" s="135"/>
      <c r="I3" s="135"/>
      <c r="J3" s="135"/>
      <c r="K3" s="135"/>
      <c r="L3" s="135"/>
      <c r="M3" s="135"/>
    </row>
    <row r="4" spans="1:13" ht="15.5" x14ac:dyDescent="0.35">
      <c r="A4" s="68" t="s">
        <v>838</v>
      </c>
      <c r="E4" s="139"/>
      <c r="F4" s="121"/>
      <c r="G4" s="65"/>
      <c r="H4" s="65"/>
      <c r="I4" s="65"/>
      <c r="J4" s="65"/>
      <c r="K4" s="65"/>
      <c r="L4" s="135"/>
      <c r="M4" s="135"/>
    </row>
    <row r="5" spans="1:13" ht="13" x14ac:dyDescent="0.3">
      <c r="A5" s="8"/>
      <c r="E5" s="139"/>
      <c r="F5" s="135"/>
      <c r="G5" s="121"/>
      <c r="H5" s="121"/>
      <c r="I5" s="121"/>
      <c r="J5" s="121"/>
      <c r="K5" s="121"/>
      <c r="L5" s="135"/>
      <c r="M5" s="135"/>
    </row>
    <row r="6" spans="1:13" ht="13" x14ac:dyDescent="0.3">
      <c r="E6" s="139"/>
      <c r="F6" s="140"/>
      <c r="G6" s="65"/>
      <c r="H6" s="65"/>
      <c r="I6" s="65"/>
      <c r="J6" s="65"/>
      <c r="K6" s="65"/>
      <c r="L6" s="135"/>
      <c r="M6" s="135"/>
    </row>
    <row r="7" spans="1:13" ht="13" x14ac:dyDescent="0.3">
      <c r="E7" s="139"/>
      <c r="F7" s="140"/>
      <c r="G7" s="65"/>
      <c r="H7" s="65"/>
      <c r="I7" s="65"/>
      <c r="J7" s="65"/>
      <c r="K7" s="65"/>
      <c r="L7" s="135"/>
      <c r="M7" s="135"/>
    </row>
    <row r="8" spans="1:13" ht="13" x14ac:dyDescent="0.3">
      <c r="A8" s="14"/>
      <c r="E8" s="139"/>
      <c r="F8" s="140"/>
      <c r="G8" s="65"/>
      <c r="H8" s="65"/>
      <c r="I8" s="65"/>
      <c r="J8" s="65"/>
      <c r="K8" s="65"/>
      <c r="L8" s="135"/>
      <c r="M8" s="135"/>
    </row>
    <row r="9" spans="1:13" ht="13" x14ac:dyDescent="0.3">
      <c r="A9" s="14"/>
      <c r="E9" s="139"/>
      <c r="F9" s="140"/>
      <c r="G9" s="65"/>
      <c r="H9" s="65"/>
      <c r="I9" s="65"/>
      <c r="J9" s="65"/>
      <c r="K9" s="65"/>
      <c r="L9" s="135"/>
      <c r="M9" s="135"/>
    </row>
    <row r="10" spans="1:13" ht="13" x14ac:dyDescent="0.3">
      <c r="A10" s="14"/>
      <c r="E10" s="135"/>
      <c r="F10" s="140"/>
      <c r="G10" s="65"/>
      <c r="H10" s="65"/>
      <c r="I10" s="65"/>
      <c r="J10" s="65"/>
      <c r="K10" s="65"/>
      <c r="L10" s="135"/>
      <c r="M10" s="135"/>
    </row>
    <row r="11" spans="1:13" x14ac:dyDescent="0.25">
      <c r="A11" s="128"/>
      <c r="E11" s="135"/>
      <c r="F11" s="141"/>
      <c r="G11" s="63"/>
      <c r="H11" s="63"/>
      <c r="I11" s="63"/>
      <c r="J11" s="63"/>
      <c r="K11" s="63"/>
      <c r="L11" s="135"/>
      <c r="M11" s="135"/>
    </row>
    <row r="12" spans="1:13" x14ac:dyDescent="0.25">
      <c r="A12" s="128"/>
      <c r="E12" s="135"/>
      <c r="F12" s="135"/>
      <c r="G12" s="135"/>
      <c r="H12" s="135"/>
      <c r="I12" s="135"/>
      <c r="J12" s="135"/>
      <c r="K12" s="135"/>
      <c r="L12" s="135"/>
      <c r="M12" s="135"/>
    </row>
    <row r="13" spans="1:13" x14ac:dyDescent="0.25">
      <c r="E13" s="135"/>
      <c r="F13" s="135"/>
      <c r="G13" s="135"/>
      <c r="H13" s="135"/>
      <c r="I13" s="135"/>
      <c r="J13" s="135"/>
      <c r="K13" s="135"/>
      <c r="L13" s="135"/>
      <c r="M13" s="135"/>
    </row>
    <row r="14" spans="1:13" x14ac:dyDescent="0.25">
      <c r="E14" s="135"/>
      <c r="F14" s="135"/>
      <c r="G14" s="135"/>
      <c r="H14" s="135"/>
      <c r="I14" s="135"/>
      <c r="J14" s="135"/>
      <c r="K14" s="135"/>
      <c r="L14" s="135"/>
      <c r="M14" s="135"/>
    </row>
    <row r="15" spans="1:13" x14ac:dyDescent="0.25">
      <c r="E15" s="135"/>
      <c r="F15" s="135"/>
      <c r="G15" s="135"/>
      <c r="H15" s="135"/>
      <c r="I15" s="135"/>
      <c r="J15" s="135"/>
      <c r="K15" s="135"/>
      <c r="L15" s="135"/>
      <c r="M15" s="135"/>
    </row>
    <row r="16" spans="1:13" x14ac:dyDescent="0.25">
      <c r="E16" s="135"/>
      <c r="F16" s="135"/>
      <c r="G16" s="135"/>
      <c r="H16" s="135"/>
      <c r="I16" s="135"/>
      <c r="J16" s="135"/>
      <c r="K16" s="135"/>
      <c r="L16" s="135"/>
      <c r="M16" s="135"/>
    </row>
    <row r="17" spans="1:13" x14ac:dyDescent="0.25">
      <c r="E17" s="135"/>
      <c r="F17" s="135"/>
      <c r="G17" s="135"/>
      <c r="H17" s="135"/>
      <c r="I17" s="135"/>
      <c r="J17" s="135"/>
      <c r="K17" s="135"/>
      <c r="L17" s="135"/>
      <c r="M17" s="135"/>
    </row>
    <row r="18" spans="1:13" ht="13" x14ac:dyDescent="0.3">
      <c r="A18" s="10"/>
      <c r="B18" s="3"/>
      <c r="E18" s="135"/>
      <c r="F18" s="135"/>
      <c r="G18" s="135"/>
      <c r="H18" s="135"/>
      <c r="I18" s="135"/>
      <c r="J18" s="135"/>
      <c r="K18" s="135"/>
      <c r="L18" s="135"/>
      <c r="M18" s="135"/>
    </row>
    <row r="19" spans="1:13" x14ac:dyDescent="0.25">
      <c r="A19" s="8"/>
      <c r="B19" s="3"/>
      <c r="E19" s="135"/>
      <c r="F19" s="135"/>
      <c r="G19" s="135"/>
      <c r="H19" s="135"/>
      <c r="I19" s="135"/>
      <c r="J19" s="135"/>
      <c r="K19" s="135"/>
      <c r="L19" s="135"/>
      <c r="M19" s="135"/>
    </row>
    <row r="20" spans="1:13" x14ac:dyDescent="0.25">
      <c r="A20" s="8"/>
      <c r="B20" s="3"/>
      <c r="E20" s="135"/>
      <c r="F20" s="135"/>
      <c r="G20" s="135"/>
      <c r="H20" s="135"/>
      <c r="I20" s="135"/>
      <c r="J20" s="135"/>
      <c r="K20" s="135"/>
      <c r="L20" s="135"/>
      <c r="M20" s="135"/>
    </row>
    <row r="21" spans="1:13" x14ac:dyDescent="0.25">
      <c r="A21" s="8"/>
      <c r="B21" s="3"/>
      <c r="E21" s="135"/>
      <c r="F21" s="135"/>
      <c r="G21" s="135"/>
      <c r="H21" s="135"/>
      <c r="I21" s="135"/>
      <c r="J21" s="135"/>
      <c r="K21" s="135"/>
      <c r="L21" s="135"/>
      <c r="M21" s="135"/>
    </row>
    <row r="22" spans="1:13" x14ac:dyDescent="0.25">
      <c r="A22" s="1"/>
      <c r="B22" s="3"/>
      <c r="E22" s="135"/>
      <c r="F22" s="135"/>
      <c r="G22" s="135"/>
      <c r="H22" s="135"/>
      <c r="I22" s="135"/>
      <c r="J22" s="135"/>
      <c r="K22" s="135"/>
      <c r="L22" s="135"/>
      <c r="M22" s="135"/>
    </row>
    <row r="23" spans="1:13" x14ac:dyDescent="0.25">
      <c r="E23" s="135"/>
      <c r="F23" s="135"/>
      <c r="G23" s="135"/>
      <c r="H23" s="135"/>
      <c r="I23" s="135"/>
      <c r="J23" s="135"/>
      <c r="K23" s="135"/>
      <c r="L23" s="135"/>
      <c r="M23" s="135"/>
    </row>
    <row r="24" spans="1:13" x14ac:dyDescent="0.25">
      <c r="E24" s="135"/>
      <c r="F24" s="135"/>
      <c r="G24" s="135"/>
      <c r="H24" s="135"/>
      <c r="I24" s="135"/>
      <c r="J24" s="135"/>
      <c r="K24" s="135"/>
      <c r="L24" s="135"/>
      <c r="M24" s="135"/>
    </row>
    <row r="25" spans="1:13" x14ac:dyDescent="0.25">
      <c r="E25" s="135"/>
      <c r="F25" s="135"/>
      <c r="G25" s="135"/>
      <c r="H25" s="135"/>
      <c r="I25" s="135"/>
      <c r="J25" s="135"/>
      <c r="K25" s="135"/>
      <c r="L25" s="135"/>
      <c r="M25" s="135"/>
    </row>
    <row r="26" spans="1:13" x14ac:dyDescent="0.25">
      <c r="E26" s="135"/>
      <c r="F26" s="135"/>
      <c r="G26" s="135"/>
      <c r="H26" s="135"/>
      <c r="I26" s="135"/>
      <c r="J26" s="135"/>
      <c r="K26" s="135"/>
      <c r="L26" s="135"/>
      <c r="M26" s="135"/>
    </row>
    <row r="27" spans="1:13" x14ac:dyDescent="0.25">
      <c r="E27" s="135"/>
      <c r="F27" s="135"/>
      <c r="G27" s="135"/>
      <c r="H27" s="135"/>
      <c r="I27" s="135"/>
      <c r="J27" s="135"/>
      <c r="K27" s="135"/>
      <c r="L27" s="135"/>
      <c r="M27" s="135"/>
    </row>
    <row r="28" spans="1:13" x14ac:dyDescent="0.25">
      <c r="E28" s="135"/>
      <c r="F28" s="135"/>
      <c r="G28" s="135"/>
      <c r="H28" s="135"/>
      <c r="I28" s="135"/>
      <c r="J28" s="135"/>
      <c r="K28" s="135"/>
      <c r="L28" s="135"/>
      <c r="M28" s="135"/>
    </row>
    <row r="29" spans="1:13" x14ac:dyDescent="0.25">
      <c r="E29" s="135"/>
      <c r="F29" s="135"/>
      <c r="G29" s="135"/>
      <c r="H29" s="135"/>
      <c r="I29" s="135"/>
      <c r="J29" s="135"/>
      <c r="K29" s="135"/>
      <c r="L29" s="135"/>
      <c r="M29" s="135"/>
    </row>
    <row r="30" spans="1:13" x14ac:dyDescent="0.25">
      <c r="E30" s="135"/>
      <c r="F30" s="135"/>
      <c r="G30" s="135"/>
      <c r="H30" s="135"/>
      <c r="I30" s="135"/>
      <c r="J30" s="135"/>
      <c r="K30" s="135"/>
      <c r="L30" s="135"/>
      <c r="M30" s="135"/>
    </row>
    <row r="31" spans="1:13" x14ac:dyDescent="0.25">
      <c r="E31" s="135"/>
      <c r="F31" s="135"/>
      <c r="G31" s="135"/>
      <c r="H31" s="135"/>
      <c r="I31" s="135"/>
      <c r="J31" s="135"/>
      <c r="K31" s="135"/>
      <c r="L31" s="135"/>
      <c r="M31" s="135"/>
    </row>
    <row r="32" spans="1:13" x14ac:dyDescent="0.25">
      <c r="E32" s="135"/>
      <c r="F32" s="135"/>
      <c r="G32" s="135"/>
      <c r="H32" s="135"/>
      <c r="I32" s="135"/>
      <c r="J32" s="135"/>
      <c r="K32" s="135"/>
      <c r="L32" s="135"/>
      <c r="M32" s="135"/>
    </row>
    <row r="33" spans="3:13" x14ac:dyDescent="0.25">
      <c r="E33" s="135"/>
      <c r="F33" s="135"/>
      <c r="G33" s="135"/>
      <c r="H33" s="135"/>
      <c r="I33" s="135"/>
      <c r="J33" s="135"/>
      <c r="K33" s="135"/>
      <c r="L33" s="135"/>
      <c r="M33" s="135"/>
    </row>
    <row r="34" spans="3:13" ht="13" thickBot="1" x14ac:dyDescent="0.3">
      <c r="E34" s="135"/>
      <c r="F34" s="135"/>
      <c r="G34" s="135"/>
      <c r="H34" s="135"/>
      <c r="I34" s="135"/>
      <c r="J34" s="135"/>
      <c r="K34" s="135"/>
      <c r="L34" s="135"/>
      <c r="M34" s="135"/>
    </row>
    <row r="35" spans="3:13" ht="13.5" thickBot="1" x14ac:dyDescent="0.35">
      <c r="C35" s="27" t="s">
        <v>518</v>
      </c>
      <c r="D35" s="84" t="s">
        <v>519</v>
      </c>
      <c r="F35" s="204" t="s">
        <v>511</v>
      </c>
      <c r="G35" s="216">
        <v>0.4</v>
      </c>
      <c r="H35" s="205">
        <v>0.6</v>
      </c>
      <c r="I35" s="216">
        <v>0.8</v>
      </c>
      <c r="J35" s="206">
        <v>1</v>
      </c>
    </row>
    <row r="36" spans="3:13" ht="13.5" thickBot="1" x14ac:dyDescent="0.35">
      <c r="C36" s="166" t="s">
        <v>512</v>
      </c>
      <c r="D36" s="60">
        <v>0.2</v>
      </c>
      <c r="F36" s="213"/>
      <c r="G36" s="217" t="s">
        <v>512</v>
      </c>
      <c r="H36" s="214" t="s">
        <v>265</v>
      </c>
      <c r="I36" s="217" t="s">
        <v>513</v>
      </c>
      <c r="J36" s="215" t="s">
        <v>514</v>
      </c>
    </row>
    <row r="37" spans="3:13" ht="13" x14ac:dyDescent="0.3">
      <c r="C37" s="166" t="s">
        <v>265</v>
      </c>
      <c r="D37" s="60">
        <v>0.3</v>
      </c>
      <c r="F37" s="207">
        <v>0.2</v>
      </c>
      <c r="G37" s="218">
        <v>2.0099999999999998</v>
      </c>
      <c r="H37" s="208">
        <v>1.91</v>
      </c>
      <c r="I37" s="218">
        <v>1.77</v>
      </c>
      <c r="J37" s="209">
        <v>1.62</v>
      </c>
    </row>
    <row r="38" spans="3:13" ht="13" x14ac:dyDescent="0.3">
      <c r="C38" s="166" t="s">
        <v>513</v>
      </c>
      <c r="D38" s="60">
        <v>0.4</v>
      </c>
      <c r="F38" s="207">
        <v>0.4</v>
      </c>
      <c r="G38" s="218">
        <v>1.59</v>
      </c>
      <c r="H38" s="208">
        <v>1.5</v>
      </c>
      <c r="I38" s="218">
        <v>1.4</v>
      </c>
      <c r="J38" s="209">
        <v>1.3</v>
      </c>
    </row>
    <row r="39" spans="3:13" ht="13.5" thickBot="1" x14ac:dyDescent="0.35">
      <c r="C39" s="167" t="s">
        <v>514</v>
      </c>
      <c r="D39" s="62">
        <v>0.5</v>
      </c>
      <c r="F39" s="207">
        <v>0.6</v>
      </c>
      <c r="G39" s="218">
        <v>1.41</v>
      </c>
      <c r="H39" s="208">
        <v>1.32</v>
      </c>
      <c r="I39" s="218">
        <v>1.25</v>
      </c>
      <c r="J39" s="209">
        <v>1.18</v>
      </c>
    </row>
    <row r="40" spans="3:13" ht="13" x14ac:dyDescent="0.3">
      <c r="F40" s="207">
        <v>0.8</v>
      </c>
      <c r="G40" s="218">
        <v>1.37</v>
      </c>
      <c r="H40" s="208">
        <v>1.28</v>
      </c>
      <c r="I40" s="218">
        <v>1.19</v>
      </c>
      <c r="J40" s="209">
        <v>1.1000000000000001</v>
      </c>
    </row>
    <row r="41" spans="3:13" ht="13.5" thickBot="1" x14ac:dyDescent="0.35">
      <c r="F41" s="210">
        <v>1</v>
      </c>
      <c r="G41" s="219">
        <v>1.35</v>
      </c>
      <c r="H41" s="211">
        <v>1.25</v>
      </c>
      <c r="I41" s="219">
        <v>1.17</v>
      </c>
      <c r="J41" s="212">
        <v>1.07</v>
      </c>
    </row>
    <row r="42" spans="3:13" x14ac:dyDescent="0.25">
      <c r="E42" s="135"/>
      <c r="F42" s="135"/>
      <c r="G42" s="135"/>
      <c r="H42" s="135"/>
      <c r="I42" s="135"/>
      <c r="J42" s="135"/>
      <c r="K42" s="135"/>
      <c r="L42" s="135"/>
      <c r="M42" s="135"/>
    </row>
    <row r="43" spans="3:13" x14ac:dyDescent="0.25">
      <c r="E43" s="135"/>
      <c r="F43" s="135"/>
      <c r="G43" s="135"/>
      <c r="H43" s="135"/>
      <c r="I43" s="135"/>
      <c r="J43" s="135"/>
      <c r="K43" s="135"/>
      <c r="L43" s="135"/>
      <c r="M43" s="135"/>
    </row>
    <row r="44" spans="3:13" x14ac:dyDescent="0.25">
      <c r="E44" s="135"/>
      <c r="F44" s="135"/>
      <c r="G44" s="135"/>
      <c r="H44" s="135"/>
      <c r="I44" s="135"/>
      <c r="J44" s="135"/>
      <c r="K44" s="135"/>
      <c r="L44" s="135"/>
      <c r="M44" s="135"/>
    </row>
    <row r="45" spans="3:13" x14ac:dyDescent="0.25">
      <c r="E45" s="135"/>
      <c r="F45" s="135"/>
      <c r="G45" s="135"/>
      <c r="H45" s="135"/>
      <c r="I45" s="135"/>
      <c r="J45" s="135"/>
      <c r="K45" s="135"/>
      <c r="L45" s="135"/>
      <c r="M45" s="135"/>
    </row>
    <row r="46" spans="3:13" x14ac:dyDescent="0.25">
      <c r="E46" s="135"/>
      <c r="F46" s="135"/>
      <c r="G46" s="135"/>
      <c r="H46" s="135"/>
      <c r="I46" s="135"/>
      <c r="J46" s="135"/>
      <c r="K46" s="135"/>
      <c r="L46" s="135"/>
      <c r="M46" s="135"/>
    </row>
    <row r="47" spans="3:13" x14ac:dyDescent="0.25">
      <c r="E47" s="135"/>
      <c r="F47" s="135"/>
      <c r="G47" s="135"/>
      <c r="H47" s="135"/>
      <c r="I47" s="135"/>
      <c r="J47" s="135"/>
      <c r="K47" s="135"/>
      <c r="L47" s="135"/>
      <c r="M47" s="135"/>
    </row>
    <row r="48" spans="3:13" x14ac:dyDescent="0.25">
      <c r="E48" s="135"/>
      <c r="F48" s="135"/>
      <c r="G48" s="135"/>
      <c r="H48" s="135"/>
      <c r="I48" s="135"/>
      <c r="J48" s="135"/>
      <c r="K48" s="135"/>
      <c r="L48" s="135"/>
      <c r="M48" s="135"/>
    </row>
    <row r="49" spans="1:13" ht="13" x14ac:dyDescent="0.3">
      <c r="B49" s="4"/>
      <c r="C49" s="10"/>
      <c r="D49" s="4"/>
      <c r="E49" s="121"/>
      <c r="F49" s="135"/>
      <c r="G49" s="135"/>
      <c r="H49" s="135"/>
      <c r="I49" s="135"/>
      <c r="J49" s="135"/>
      <c r="K49" s="135"/>
      <c r="L49" s="135"/>
      <c r="M49" s="135"/>
    </row>
    <row r="50" spans="1:13" ht="13" x14ac:dyDescent="0.3">
      <c r="B50" s="4"/>
      <c r="C50" s="10"/>
      <c r="D50" s="4"/>
      <c r="E50" s="121"/>
      <c r="F50" s="135"/>
      <c r="G50" s="135"/>
      <c r="H50" s="135"/>
      <c r="I50" s="135"/>
      <c r="J50" s="135"/>
      <c r="K50" s="135"/>
      <c r="L50" s="135"/>
      <c r="M50" s="135"/>
    </row>
    <row r="51" spans="1:13" x14ac:dyDescent="0.25">
      <c r="E51" s="135"/>
      <c r="F51" s="135"/>
      <c r="G51" s="135"/>
      <c r="H51" s="135"/>
      <c r="I51" s="135"/>
      <c r="J51" s="135"/>
      <c r="K51" s="135"/>
      <c r="L51" s="135"/>
      <c r="M51" s="135"/>
    </row>
    <row r="52" spans="1:13" x14ac:dyDescent="0.25">
      <c r="A52" s="120"/>
      <c r="B52" s="120"/>
      <c r="C52" s="125"/>
      <c r="D52" s="120"/>
      <c r="E52" s="135"/>
      <c r="F52" s="135"/>
      <c r="G52" s="135"/>
      <c r="H52" s="135"/>
      <c r="I52" s="135"/>
      <c r="J52" s="135"/>
      <c r="K52" s="135"/>
      <c r="L52" s="135"/>
      <c r="M52" s="135"/>
    </row>
    <row r="53" spans="1:13" ht="15.5" x14ac:dyDescent="0.35">
      <c r="A53" s="82" t="s">
        <v>233</v>
      </c>
      <c r="E53" s="135"/>
      <c r="F53" s="135"/>
      <c r="G53" s="135"/>
      <c r="H53" s="135"/>
      <c r="I53" s="135"/>
      <c r="J53" s="135"/>
      <c r="K53" s="135"/>
      <c r="L53" s="135"/>
      <c r="M53" s="135"/>
    </row>
    <row r="54" spans="1:13" ht="13" x14ac:dyDescent="0.3">
      <c r="A54" s="2" t="s">
        <v>129</v>
      </c>
      <c r="B54" s="10" t="s">
        <v>629</v>
      </c>
      <c r="E54" s="121" t="s">
        <v>201</v>
      </c>
      <c r="F54" s="135"/>
      <c r="G54" s="135"/>
      <c r="H54" s="135"/>
      <c r="I54" s="135"/>
      <c r="J54" s="135"/>
      <c r="K54" s="135"/>
      <c r="L54" s="135"/>
      <c r="M54" s="135"/>
    </row>
    <row r="55" spans="1:13" ht="13.5" thickBot="1" x14ac:dyDescent="0.35">
      <c r="B55" s="29" t="s">
        <v>486</v>
      </c>
      <c r="E55" s="135"/>
      <c r="F55" s="135"/>
      <c r="G55" s="142" t="s">
        <v>201</v>
      </c>
      <c r="H55" s="135"/>
      <c r="I55" s="135"/>
      <c r="J55" s="135"/>
      <c r="K55" s="135"/>
      <c r="L55" s="135"/>
      <c r="M55" s="135"/>
    </row>
    <row r="56" spans="1:13" x14ac:dyDescent="0.25">
      <c r="A56" s="1" t="s">
        <v>630</v>
      </c>
      <c r="B56" s="194">
        <v>85000</v>
      </c>
      <c r="C56" s="8" t="s">
        <v>275</v>
      </c>
      <c r="E56" s="135"/>
      <c r="F56" s="135"/>
      <c r="G56" s="135"/>
      <c r="H56" s="135"/>
      <c r="I56" s="135"/>
      <c r="J56" s="135"/>
      <c r="K56" s="135"/>
      <c r="L56" s="135"/>
      <c r="M56" s="135"/>
    </row>
    <row r="57" spans="1:13" ht="13" thickBot="1" x14ac:dyDescent="0.3">
      <c r="A57" s="1" t="s">
        <v>130</v>
      </c>
      <c r="B57" s="191">
        <v>45000</v>
      </c>
      <c r="C57" s="8" t="s">
        <v>275</v>
      </c>
      <c r="E57" s="135"/>
      <c r="F57" s="135"/>
      <c r="G57" s="135"/>
      <c r="H57" s="135"/>
      <c r="I57" s="135"/>
      <c r="J57" s="135"/>
      <c r="K57" s="135"/>
      <c r="L57" s="135"/>
      <c r="M57" s="135"/>
    </row>
    <row r="58" spans="1:13" ht="13" x14ac:dyDescent="0.3">
      <c r="B58" s="29" t="s">
        <v>139</v>
      </c>
      <c r="E58" s="135"/>
      <c r="F58" s="135"/>
      <c r="G58" s="135"/>
      <c r="H58" s="135"/>
      <c r="I58" s="135"/>
      <c r="J58" s="135"/>
      <c r="K58" s="135"/>
      <c r="L58" s="135"/>
      <c r="M58" s="135"/>
    </row>
    <row r="59" spans="1:13" ht="13" x14ac:dyDescent="0.3">
      <c r="A59" s="2" t="s">
        <v>126</v>
      </c>
      <c r="B59" s="4">
        <v>0.18</v>
      </c>
      <c r="C59" s="10" t="s">
        <v>406</v>
      </c>
      <c r="E59" s="135"/>
      <c r="F59" s="135"/>
      <c r="G59" s="135"/>
      <c r="H59" s="135"/>
      <c r="I59" s="135"/>
      <c r="J59" s="135"/>
      <c r="K59" s="63"/>
      <c r="L59" s="135"/>
      <c r="M59" s="135"/>
    </row>
    <row r="60" spans="1:13" ht="13" x14ac:dyDescent="0.3">
      <c r="A60" s="2" t="s">
        <v>516</v>
      </c>
      <c r="B60" s="4" t="s">
        <v>626</v>
      </c>
      <c r="C60" s="10" t="s">
        <v>406</v>
      </c>
      <c r="E60" s="135"/>
      <c r="F60" s="135"/>
      <c r="G60" s="135"/>
      <c r="H60" s="135"/>
      <c r="I60" s="135"/>
      <c r="J60" s="135"/>
      <c r="K60" s="135"/>
      <c r="L60" s="135"/>
      <c r="M60" s="135"/>
    </row>
    <row r="61" spans="1:13" ht="13" x14ac:dyDescent="0.3">
      <c r="A61" s="43" t="s">
        <v>489</v>
      </c>
      <c r="B61" s="195">
        <f>B59*B56</f>
        <v>15300</v>
      </c>
      <c r="C61" s="10" t="s">
        <v>275</v>
      </c>
      <c r="E61" s="135"/>
      <c r="F61" s="135"/>
      <c r="G61" s="135"/>
      <c r="H61" s="135"/>
      <c r="I61" s="135"/>
      <c r="J61" s="135"/>
      <c r="K61" s="135"/>
      <c r="L61" s="135"/>
      <c r="M61" s="135"/>
    </row>
    <row r="62" spans="1:13" ht="13" x14ac:dyDescent="0.3">
      <c r="A62" s="2" t="s">
        <v>628</v>
      </c>
      <c r="B62" s="4">
        <v>0.3</v>
      </c>
      <c r="C62" s="10" t="s">
        <v>406</v>
      </c>
      <c r="E62" s="135"/>
      <c r="F62" s="135"/>
      <c r="G62" s="135"/>
      <c r="H62" s="135"/>
      <c r="I62" s="135"/>
      <c r="J62" s="135"/>
      <c r="K62" s="135"/>
      <c r="L62" s="135"/>
      <c r="M62" s="135"/>
    </row>
    <row r="63" spans="1:13" ht="13" x14ac:dyDescent="0.3">
      <c r="A63" s="2" t="s">
        <v>517</v>
      </c>
      <c r="B63" s="4" t="s">
        <v>627</v>
      </c>
      <c r="C63" s="10" t="s">
        <v>406</v>
      </c>
      <c r="E63" s="135"/>
      <c r="F63" s="135"/>
      <c r="G63" s="135"/>
      <c r="H63" s="135"/>
      <c r="I63" s="135"/>
      <c r="J63" s="135"/>
      <c r="K63" s="135"/>
      <c r="L63" s="135"/>
      <c r="M63" s="135"/>
    </row>
    <row r="64" spans="1:13" ht="13" x14ac:dyDescent="0.3">
      <c r="A64" s="43" t="s">
        <v>101</v>
      </c>
      <c r="B64" s="195">
        <f>B62*B57</f>
        <v>13500</v>
      </c>
      <c r="C64" s="10" t="s">
        <v>275</v>
      </c>
      <c r="E64" s="135"/>
      <c r="F64" s="135"/>
      <c r="G64" s="135"/>
      <c r="H64" s="135"/>
      <c r="I64" s="135"/>
      <c r="J64" s="135"/>
      <c r="K64" s="135"/>
      <c r="L64" s="135"/>
      <c r="M64" s="135"/>
    </row>
    <row r="65" spans="1:13" ht="13" x14ac:dyDescent="0.3">
      <c r="A65" s="10" t="s">
        <v>522</v>
      </c>
      <c r="B65" s="3"/>
      <c r="E65" s="135"/>
      <c r="F65" s="135"/>
      <c r="G65" s="135"/>
      <c r="H65" s="135"/>
      <c r="I65" s="135"/>
      <c r="J65" s="135"/>
      <c r="K65" s="135"/>
      <c r="L65" s="135"/>
      <c r="M65" s="135"/>
    </row>
    <row r="66" spans="1:13" x14ac:dyDescent="0.25">
      <c r="E66" s="135"/>
      <c r="F66" s="135"/>
      <c r="G66" s="135"/>
      <c r="H66" s="135"/>
      <c r="I66" s="135"/>
      <c r="J66" s="135"/>
      <c r="K66" s="135"/>
      <c r="L66" s="135"/>
      <c r="M66" s="135"/>
    </row>
    <row r="67" spans="1:13" x14ac:dyDescent="0.25">
      <c r="A67" s="120"/>
      <c r="B67" s="120"/>
      <c r="C67" s="125"/>
      <c r="D67" s="120"/>
      <c r="E67" s="135"/>
      <c r="F67" s="135"/>
      <c r="G67" s="135"/>
      <c r="H67" s="135"/>
      <c r="I67" s="135"/>
      <c r="J67" s="135"/>
      <c r="K67" s="135"/>
      <c r="L67" s="135"/>
      <c r="M67" s="135"/>
    </row>
    <row r="68" spans="1:13" x14ac:dyDescent="0.25">
      <c r="E68" s="135"/>
      <c r="F68" s="135"/>
      <c r="G68" s="135"/>
      <c r="H68" s="135"/>
      <c r="I68" s="135"/>
      <c r="J68" s="135"/>
      <c r="K68" s="135"/>
      <c r="L68" s="135"/>
      <c r="M68" s="135"/>
    </row>
    <row r="69" spans="1:13" ht="16" thickBot="1" x14ac:dyDescent="0.4">
      <c r="A69" s="68" t="s">
        <v>131</v>
      </c>
      <c r="B69" s="29" t="s">
        <v>486</v>
      </c>
      <c r="E69" s="135"/>
      <c r="F69" s="135"/>
      <c r="G69" s="135"/>
      <c r="H69" s="135"/>
      <c r="I69" s="135"/>
      <c r="J69" s="135"/>
      <c r="K69" s="135"/>
      <c r="L69" s="135"/>
      <c r="M69" s="135"/>
    </row>
    <row r="70" spans="1:13" x14ac:dyDescent="0.25">
      <c r="A70" s="1" t="s">
        <v>268</v>
      </c>
      <c r="B70" s="36">
        <v>2</v>
      </c>
      <c r="C70" s="8" t="s">
        <v>209</v>
      </c>
      <c r="D70" t="s">
        <v>201</v>
      </c>
      <c r="E70" s="135"/>
      <c r="F70" s="135"/>
      <c r="G70" s="135"/>
      <c r="H70" s="135"/>
      <c r="I70" s="135"/>
      <c r="J70" s="135"/>
      <c r="K70" s="135"/>
      <c r="L70" s="135"/>
      <c r="M70" s="135"/>
    </row>
    <row r="71" spans="1:13" x14ac:dyDescent="0.25">
      <c r="A71" s="1" t="s">
        <v>523</v>
      </c>
      <c r="B71" s="32">
        <v>0.375</v>
      </c>
      <c r="C71" s="8" t="s">
        <v>209</v>
      </c>
      <c r="E71" s="135"/>
      <c r="F71" s="135"/>
      <c r="G71" s="135"/>
      <c r="H71" s="135"/>
      <c r="I71" s="135"/>
      <c r="J71" s="135"/>
      <c r="K71" s="135"/>
      <c r="L71" s="135"/>
      <c r="M71" s="135"/>
    </row>
    <row r="72" spans="1:13" ht="13" thickBot="1" x14ac:dyDescent="0.3">
      <c r="A72" s="1" t="s">
        <v>520</v>
      </c>
      <c r="B72" s="34">
        <v>0.25</v>
      </c>
      <c r="C72" s="8" t="s">
        <v>209</v>
      </c>
      <c r="E72" s="135"/>
      <c r="F72" s="135"/>
      <c r="G72" s="135"/>
      <c r="H72" s="135"/>
      <c r="I72" s="135"/>
      <c r="J72" s="135"/>
      <c r="K72" s="135"/>
      <c r="L72" s="135"/>
      <c r="M72" s="135"/>
    </row>
    <row r="73" spans="1:13" ht="13" x14ac:dyDescent="0.3">
      <c r="B73" s="29" t="s">
        <v>139</v>
      </c>
      <c r="E73" s="135"/>
      <c r="F73" s="135"/>
      <c r="G73" s="135"/>
      <c r="H73" s="135"/>
      <c r="I73" s="135"/>
      <c r="J73" s="135"/>
      <c r="K73" s="135"/>
      <c r="L73" s="135"/>
      <c r="M73" s="135"/>
    </row>
    <row r="74" spans="1:13" x14ac:dyDescent="0.25">
      <c r="A74" s="1" t="s">
        <v>521</v>
      </c>
      <c r="B74" s="7">
        <f>B71/2</f>
        <v>0.1875</v>
      </c>
      <c r="E74" s="135"/>
      <c r="F74" s="135"/>
      <c r="G74" s="135"/>
      <c r="H74" s="135"/>
      <c r="I74" s="135"/>
      <c r="J74" s="135"/>
      <c r="K74" s="135"/>
      <c r="L74" s="135"/>
      <c r="M74" s="135"/>
    </row>
    <row r="75" spans="1:13" ht="13" x14ac:dyDescent="0.3">
      <c r="A75" s="1" t="s">
        <v>525</v>
      </c>
      <c r="B75" s="6">
        <f>B74/B72</f>
        <v>0.75</v>
      </c>
      <c r="E75" s="135"/>
      <c r="F75" s="135"/>
      <c r="G75" s="135"/>
      <c r="H75" s="135"/>
      <c r="I75" s="135"/>
      <c r="J75" s="135"/>
      <c r="K75" s="135"/>
      <c r="L75" s="135"/>
      <c r="M75" s="135"/>
    </row>
    <row r="76" spans="1:13" ht="13" x14ac:dyDescent="0.3">
      <c r="A76" s="1" t="s">
        <v>526</v>
      </c>
      <c r="B76" s="6">
        <f>B72/(B70/2)</f>
        <v>0.25</v>
      </c>
      <c r="E76" s="135"/>
      <c r="F76" s="135"/>
      <c r="G76" s="135"/>
      <c r="H76" s="135"/>
      <c r="I76" s="135"/>
      <c r="J76" s="135"/>
      <c r="K76" s="135"/>
      <c r="L76" s="135"/>
      <c r="M76" s="135"/>
    </row>
    <row r="77" spans="1:13" ht="13.5" thickBot="1" x14ac:dyDescent="0.35">
      <c r="B77" s="29" t="s">
        <v>486</v>
      </c>
      <c r="E77" s="135"/>
      <c r="F77" s="135"/>
      <c r="G77" s="135"/>
      <c r="H77" s="135"/>
      <c r="I77" s="135"/>
      <c r="J77" s="135"/>
      <c r="K77" s="135"/>
      <c r="L77" s="135"/>
      <c r="M77" s="135"/>
    </row>
    <row r="78" spans="1:13" x14ac:dyDescent="0.25">
      <c r="A78" s="1" t="s">
        <v>215</v>
      </c>
      <c r="B78" s="31">
        <v>60</v>
      </c>
      <c r="C78" s="8" t="s">
        <v>218</v>
      </c>
      <c r="E78" s="135"/>
      <c r="F78" s="135"/>
      <c r="G78" s="135"/>
      <c r="H78" s="135"/>
      <c r="I78" s="135"/>
      <c r="J78" s="135"/>
      <c r="K78" s="135"/>
      <c r="L78" s="135"/>
      <c r="M78" s="135"/>
    </row>
    <row r="79" spans="1:13" x14ac:dyDescent="0.25">
      <c r="A79" s="1" t="s">
        <v>216</v>
      </c>
      <c r="B79" s="32">
        <v>300</v>
      </c>
      <c r="C79" s="8" t="s">
        <v>217</v>
      </c>
      <c r="E79" s="135"/>
      <c r="F79" s="135"/>
      <c r="G79" s="135"/>
      <c r="H79" s="135"/>
      <c r="I79" s="135"/>
      <c r="J79" s="135"/>
      <c r="K79" s="135"/>
      <c r="L79" s="135"/>
      <c r="M79" s="135"/>
    </row>
    <row r="80" spans="1:13" x14ac:dyDescent="0.25">
      <c r="A80" s="1" t="s">
        <v>515</v>
      </c>
      <c r="B80" s="190">
        <v>13500</v>
      </c>
      <c r="C80" s="8" t="s">
        <v>275</v>
      </c>
      <c r="E80" s="135"/>
      <c r="F80" s="135"/>
      <c r="G80" s="135"/>
      <c r="H80" s="135"/>
      <c r="I80" s="135"/>
      <c r="J80" s="135"/>
      <c r="K80" s="135"/>
      <c r="L80" s="135"/>
      <c r="M80" s="135"/>
    </row>
    <row r="81" spans="1:13" x14ac:dyDescent="0.25">
      <c r="A81" s="1" t="s">
        <v>250</v>
      </c>
      <c r="B81" s="57">
        <v>3</v>
      </c>
      <c r="C81" s="8" t="s">
        <v>406</v>
      </c>
      <c r="E81" s="135"/>
      <c r="F81" s="135"/>
      <c r="G81" s="135"/>
      <c r="H81" s="135"/>
      <c r="I81" s="135"/>
      <c r="J81" s="135"/>
      <c r="K81" s="135"/>
      <c r="L81" s="135"/>
      <c r="M81" s="135"/>
    </row>
    <row r="82" spans="1:13" ht="13" thickBot="1" x14ac:dyDescent="0.3">
      <c r="A82" s="1" t="s">
        <v>524</v>
      </c>
      <c r="B82" s="39">
        <v>1.38</v>
      </c>
      <c r="C82" s="8" t="s">
        <v>201</v>
      </c>
      <c r="E82" s="135"/>
      <c r="F82" s="135"/>
      <c r="G82" s="135"/>
      <c r="H82" s="135"/>
      <c r="I82" s="135"/>
      <c r="J82" s="135"/>
      <c r="K82" s="135"/>
      <c r="L82" s="135"/>
      <c r="M82" s="135"/>
    </row>
    <row r="83" spans="1:13" ht="13" x14ac:dyDescent="0.3">
      <c r="B83" s="29" t="s">
        <v>139</v>
      </c>
      <c r="E83" s="135"/>
      <c r="F83" s="141"/>
      <c r="G83" s="63"/>
      <c r="H83" s="63"/>
      <c r="I83" s="63"/>
      <c r="J83" s="63"/>
      <c r="K83" s="63"/>
      <c r="L83" s="135"/>
      <c r="M83" s="135"/>
    </row>
    <row r="84" spans="1:13" ht="13" x14ac:dyDescent="0.3">
      <c r="A84" s="2" t="s">
        <v>212</v>
      </c>
      <c r="B84" s="4" t="s">
        <v>304</v>
      </c>
      <c r="E84" s="135"/>
      <c r="F84" s="141"/>
      <c r="G84" s="63"/>
      <c r="H84" s="63"/>
      <c r="I84" s="63"/>
      <c r="J84" s="63"/>
      <c r="K84" s="63"/>
      <c r="L84" s="135"/>
      <c r="M84" s="135"/>
    </row>
    <row r="85" spans="1:13" ht="13" x14ac:dyDescent="0.3">
      <c r="A85" s="43" t="s">
        <v>489</v>
      </c>
      <c r="B85" s="195">
        <f>(12*33000*B78)/(2*3.142*B79)</f>
        <v>12603.437301082113</v>
      </c>
      <c r="C85" s="10" t="s">
        <v>205</v>
      </c>
      <c r="E85" s="135"/>
      <c r="F85" s="135"/>
      <c r="G85" s="135"/>
      <c r="H85" s="135"/>
      <c r="I85" s="135"/>
      <c r="J85" s="135"/>
      <c r="K85" s="135"/>
      <c r="L85" s="135"/>
      <c r="M85" s="135"/>
    </row>
    <row r="86" spans="1:13" ht="13" x14ac:dyDescent="0.3">
      <c r="A86" s="2" t="s">
        <v>220</v>
      </c>
      <c r="B86" s="4" t="s">
        <v>299</v>
      </c>
      <c r="C86" s="10"/>
      <c r="E86" s="135"/>
      <c r="F86" s="135"/>
      <c r="G86" s="135"/>
      <c r="H86" s="135"/>
      <c r="I86" s="135"/>
      <c r="J86" s="135"/>
      <c r="K86" s="135"/>
      <c r="L86" s="135"/>
      <c r="M86" s="135"/>
    </row>
    <row r="87" spans="1:13" ht="13" x14ac:dyDescent="0.3">
      <c r="A87" s="43" t="s">
        <v>489</v>
      </c>
      <c r="B87" s="11">
        <f>(3.142*B70^4)/32</f>
        <v>1.571</v>
      </c>
      <c r="C87" s="10" t="s">
        <v>203</v>
      </c>
      <c r="E87" s="135"/>
      <c r="F87" s="135"/>
      <c r="G87" s="135"/>
      <c r="H87" s="135"/>
      <c r="I87" s="135"/>
      <c r="J87" s="135"/>
      <c r="K87" s="135"/>
      <c r="L87" s="135"/>
      <c r="M87" s="135"/>
    </row>
    <row r="88" spans="1:13" ht="13" x14ac:dyDescent="0.3">
      <c r="A88" s="2" t="s">
        <v>125</v>
      </c>
      <c r="B88" s="4" t="s">
        <v>527</v>
      </c>
      <c r="E88" s="135"/>
      <c r="F88" s="135"/>
      <c r="G88" s="135"/>
      <c r="H88" s="135"/>
      <c r="I88" s="135"/>
      <c r="J88" s="135"/>
      <c r="K88" s="135"/>
      <c r="L88" s="135"/>
      <c r="M88" s="135"/>
    </row>
    <row r="89" spans="1:13" ht="13" x14ac:dyDescent="0.3">
      <c r="A89" s="43" t="s">
        <v>489</v>
      </c>
      <c r="B89" s="195">
        <f>(B80*B87)/(B81*B82*B70/2)</f>
        <v>5122.826086956522</v>
      </c>
      <c r="C89" s="10" t="s">
        <v>205</v>
      </c>
      <c r="E89" s="135"/>
      <c r="F89" s="135"/>
      <c r="G89" s="135"/>
      <c r="H89" s="135"/>
      <c r="I89" s="135"/>
      <c r="J89" s="135"/>
      <c r="K89" s="135"/>
      <c r="L89" s="135"/>
      <c r="M89" s="135"/>
    </row>
    <row r="90" spans="1:13" x14ac:dyDescent="0.25">
      <c r="E90" s="135"/>
      <c r="F90" s="135"/>
      <c r="G90" s="135"/>
      <c r="H90" s="135"/>
      <c r="I90" s="135"/>
      <c r="J90" s="135"/>
      <c r="K90" s="135"/>
      <c r="L90" s="135"/>
      <c r="M90" s="135"/>
    </row>
    <row r="91" spans="1:13" x14ac:dyDescent="0.25">
      <c r="E91" s="135"/>
      <c r="F91" s="135"/>
      <c r="G91" s="135"/>
      <c r="H91" s="135"/>
      <c r="I91" s="135"/>
      <c r="J91" s="135"/>
      <c r="K91" s="135"/>
      <c r="L91" s="135"/>
      <c r="M91" s="135"/>
    </row>
    <row r="92" spans="1:13" x14ac:dyDescent="0.25">
      <c r="E92" s="135"/>
      <c r="F92" s="135"/>
      <c r="G92" s="135"/>
      <c r="H92" s="135"/>
      <c r="I92" s="135"/>
      <c r="J92" s="135"/>
      <c r="K92" s="135"/>
      <c r="L92" s="135"/>
      <c r="M92" s="135"/>
    </row>
    <row r="93" spans="1:13" ht="13" x14ac:dyDescent="0.3">
      <c r="D93" s="4" t="s">
        <v>201</v>
      </c>
      <c r="E93" s="135"/>
      <c r="F93" s="135"/>
      <c r="G93" s="135"/>
      <c r="H93" s="135"/>
      <c r="I93" s="135"/>
      <c r="J93" s="135"/>
      <c r="K93" s="135"/>
      <c r="L93" s="135"/>
      <c r="M93" s="135"/>
    </row>
    <row r="94" spans="1:13" x14ac:dyDescent="0.25">
      <c r="E94" s="135"/>
      <c r="F94" s="135"/>
      <c r="G94" s="135"/>
      <c r="H94" s="135"/>
      <c r="I94" s="135"/>
      <c r="J94" s="135"/>
      <c r="K94" s="135"/>
      <c r="L94" s="135"/>
      <c r="M94" s="135"/>
    </row>
    <row r="95" spans="1:13" x14ac:dyDescent="0.25">
      <c r="E95" s="135"/>
      <c r="F95" s="135"/>
      <c r="G95" s="135"/>
      <c r="H95" s="135"/>
      <c r="I95" s="135"/>
      <c r="J95" s="135"/>
      <c r="K95" s="135"/>
      <c r="L95" s="135"/>
      <c r="M95" s="135"/>
    </row>
    <row r="96" spans="1:13" x14ac:dyDescent="0.25">
      <c r="E96" s="135"/>
      <c r="F96" s="135"/>
      <c r="G96" s="135"/>
      <c r="H96" s="135"/>
      <c r="I96" s="135"/>
      <c r="J96" s="135"/>
      <c r="K96" s="135"/>
      <c r="L96" s="135"/>
      <c r="M96" s="135"/>
    </row>
    <row r="97" spans="1:13" x14ac:dyDescent="0.25">
      <c r="E97" s="135"/>
      <c r="F97" s="135"/>
      <c r="G97" s="135"/>
      <c r="H97" s="135"/>
      <c r="I97" s="135"/>
      <c r="J97" s="135"/>
      <c r="K97" s="135"/>
      <c r="L97" s="135"/>
      <c r="M97" s="135"/>
    </row>
    <row r="98" spans="1:13" x14ac:dyDescent="0.25">
      <c r="E98" s="135"/>
      <c r="F98" s="135"/>
      <c r="G98" s="135"/>
      <c r="H98" s="135"/>
      <c r="I98" s="135"/>
      <c r="J98" s="135"/>
      <c r="K98" s="135"/>
      <c r="L98" s="135"/>
      <c r="M98" s="135"/>
    </row>
    <row r="99" spans="1:13" x14ac:dyDescent="0.25">
      <c r="E99" s="135"/>
      <c r="F99" s="135"/>
      <c r="G99" s="135"/>
      <c r="H99" s="135"/>
      <c r="I99" s="135"/>
      <c r="J99" s="135"/>
      <c r="K99" s="135"/>
      <c r="L99" s="135"/>
      <c r="M99" s="135"/>
    </row>
    <row r="100" spans="1:13" x14ac:dyDescent="0.25">
      <c r="E100" s="135"/>
      <c r="F100" s="135"/>
      <c r="G100" s="135"/>
      <c r="H100" s="135"/>
      <c r="I100" s="135"/>
      <c r="J100" s="135"/>
      <c r="K100" s="135"/>
      <c r="L100" s="135"/>
      <c r="M100" s="135"/>
    </row>
    <row r="101" spans="1:13" x14ac:dyDescent="0.25">
      <c r="E101" s="135"/>
      <c r="F101" s="135"/>
      <c r="G101" s="135"/>
      <c r="H101" s="135"/>
      <c r="I101" s="135"/>
      <c r="J101" s="135"/>
      <c r="K101" s="135"/>
      <c r="L101" s="135"/>
      <c r="M101" s="135"/>
    </row>
    <row r="102" spans="1:13" x14ac:dyDescent="0.25">
      <c r="E102" s="135"/>
      <c r="F102" s="135"/>
      <c r="G102" s="135"/>
      <c r="H102" s="135"/>
      <c r="I102" s="135"/>
      <c r="J102" s="135"/>
      <c r="K102" s="135"/>
      <c r="L102" s="135"/>
      <c r="M102" s="135"/>
    </row>
    <row r="103" spans="1:13" x14ac:dyDescent="0.25">
      <c r="A103" s="1"/>
      <c r="B103" s="3"/>
      <c r="E103" s="135"/>
      <c r="F103" s="135"/>
      <c r="G103" s="135"/>
      <c r="H103" s="135"/>
      <c r="I103" s="135"/>
      <c r="J103" s="135"/>
      <c r="K103" s="135"/>
      <c r="L103" s="135"/>
      <c r="M103" s="135"/>
    </row>
    <row r="104" spans="1:13" x14ac:dyDescent="0.25">
      <c r="E104" s="135"/>
      <c r="F104" s="135"/>
      <c r="G104" s="135"/>
      <c r="H104" s="135"/>
      <c r="I104" s="135"/>
      <c r="J104" s="135"/>
      <c r="K104" s="135"/>
      <c r="L104" s="135"/>
      <c r="M104" s="135"/>
    </row>
    <row r="105" spans="1:13" x14ac:dyDescent="0.25">
      <c r="E105" s="135"/>
      <c r="F105" s="135"/>
      <c r="G105" s="135"/>
      <c r="H105" s="135"/>
      <c r="I105" s="135"/>
      <c r="J105" s="135"/>
      <c r="K105" s="135"/>
      <c r="L105" s="135"/>
      <c r="M105" s="135"/>
    </row>
    <row r="106" spans="1:13" x14ac:dyDescent="0.25">
      <c r="E106" s="135"/>
      <c r="F106" s="135"/>
      <c r="G106" s="135"/>
      <c r="H106" s="135"/>
      <c r="I106" s="135"/>
      <c r="J106" s="135"/>
      <c r="K106" s="135"/>
      <c r="L106" s="135"/>
      <c r="M106" s="135"/>
    </row>
    <row r="107" spans="1:13" x14ac:dyDescent="0.25">
      <c r="E107" s="135"/>
      <c r="F107" s="135"/>
      <c r="G107" s="135"/>
      <c r="H107" s="135"/>
      <c r="I107" s="135"/>
      <c r="J107" s="135"/>
      <c r="K107" s="135"/>
      <c r="L107" s="135"/>
      <c r="M107" s="135"/>
    </row>
    <row r="108" spans="1:13" x14ac:dyDescent="0.25">
      <c r="E108" s="135"/>
      <c r="F108" s="135"/>
      <c r="G108" s="135"/>
      <c r="H108" s="135"/>
      <c r="I108" s="135"/>
      <c r="J108" s="135"/>
      <c r="K108" s="135"/>
      <c r="L108" s="135"/>
      <c r="M108" s="135"/>
    </row>
    <row r="109" spans="1:13" x14ac:dyDescent="0.25">
      <c r="E109" s="135"/>
      <c r="F109" s="135"/>
      <c r="G109" s="135"/>
      <c r="H109" s="135"/>
      <c r="I109" s="135"/>
      <c r="J109" s="135"/>
      <c r="K109" s="135"/>
      <c r="L109" s="135"/>
      <c r="M109" s="135"/>
    </row>
    <row r="110" spans="1:13" x14ac:dyDescent="0.25">
      <c r="E110" s="135"/>
      <c r="F110" s="135"/>
      <c r="G110" s="135"/>
      <c r="H110" s="135"/>
      <c r="I110" s="135"/>
      <c r="J110" s="135"/>
      <c r="K110" s="135"/>
      <c r="L110" s="135"/>
      <c r="M110" s="135"/>
    </row>
    <row r="111" spans="1:13" x14ac:dyDescent="0.25">
      <c r="E111" s="135"/>
      <c r="F111" s="135"/>
      <c r="G111" s="135"/>
      <c r="H111" s="135"/>
      <c r="I111" s="135"/>
      <c r="J111" s="135"/>
      <c r="K111" s="135"/>
      <c r="L111" s="135"/>
      <c r="M111" s="135"/>
    </row>
    <row r="112" spans="1:13" x14ac:dyDescent="0.25">
      <c r="E112" s="135"/>
      <c r="F112" s="135"/>
      <c r="G112" s="135"/>
      <c r="H112" s="135"/>
      <c r="I112" s="135"/>
      <c r="J112" s="135"/>
      <c r="K112" s="135"/>
      <c r="L112" s="135"/>
      <c r="M112" s="135"/>
    </row>
    <row r="113" spans="1:13" x14ac:dyDescent="0.25">
      <c r="E113" s="135"/>
      <c r="F113" s="135"/>
      <c r="G113" s="135"/>
      <c r="H113" s="135"/>
      <c r="I113" s="135"/>
      <c r="J113" s="135"/>
      <c r="K113" s="135"/>
      <c r="L113" s="135"/>
      <c r="M113" s="135"/>
    </row>
    <row r="114" spans="1:13" x14ac:dyDescent="0.25">
      <c r="E114" s="135"/>
      <c r="F114" s="135"/>
      <c r="G114" s="135"/>
      <c r="H114" s="135"/>
      <c r="I114" s="135"/>
      <c r="J114" s="135"/>
      <c r="K114" s="135"/>
      <c r="L114" s="135"/>
      <c r="M114" s="135"/>
    </row>
    <row r="115" spans="1:13" x14ac:dyDescent="0.25">
      <c r="E115" s="135"/>
      <c r="F115" s="135"/>
      <c r="G115" s="135"/>
      <c r="H115" s="135"/>
      <c r="I115" s="135"/>
      <c r="J115" s="135"/>
      <c r="K115" s="135"/>
      <c r="L115" s="135"/>
      <c r="M115" s="135"/>
    </row>
    <row r="116" spans="1:13" x14ac:dyDescent="0.25">
      <c r="E116" s="135"/>
      <c r="F116" s="135"/>
      <c r="G116" s="135"/>
      <c r="H116" s="135"/>
      <c r="I116" s="135"/>
      <c r="J116" s="135"/>
      <c r="K116" s="135"/>
      <c r="L116" s="135"/>
      <c r="M116" s="135"/>
    </row>
    <row r="117" spans="1:13" x14ac:dyDescent="0.25">
      <c r="E117" s="135"/>
      <c r="F117" s="135"/>
      <c r="G117" s="135"/>
      <c r="H117" s="135"/>
      <c r="I117" s="135"/>
      <c r="J117" s="135"/>
      <c r="K117" s="135"/>
      <c r="L117" s="135"/>
      <c r="M117" s="135"/>
    </row>
    <row r="118" spans="1:13" x14ac:dyDescent="0.25">
      <c r="E118" s="135"/>
      <c r="F118" s="135"/>
      <c r="G118" s="135"/>
      <c r="H118" s="135"/>
      <c r="I118" s="135"/>
      <c r="J118" s="135"/>
      <c r="K118" s="135"/>
      <c r="L118" s="135"/>
      <c r="M118" s="135"/>
    </row>
    <row r="119" spans="1:13" x14ac:dyDescent="0.25">
      <c r="A119" s="120"/>
      <c r="B119" s="120"/>
      <c r="C119" s="125"/>
      <c r="D119" s="120"/>
      <c r="E119" s="135"/>
      <c r="F119" s="135"/>
      <c r="G119" s="135"/>
      <c r="H119" s="135"/>
      <c r="I119" s="135"/>
      <c r="J119" s="135"/>
      <c r="K119" s="135"/>
      <c r="L119" s="135"/>
      <c r="M119" s="135"/>
    </row>
    <row r="120" spans="1:13" x14ac:dyDescent="0.25">
      <c r="E120" s="135"/>
      <c r="F120" s="135"/>
      <c r="G120" s="135"/>
      <c r="H120" s="135"/>
      <c r="I120" s="135"/>
      <c r="J120" s="135"/>
      <c r="K120" s="135"/>
      <c r="L120" s="135"/>
      <c r="M120" s="135"/>
    </row>
    <row r="121" spans="1:13" ht="16" thickBot="1" x14ac:dyDescent="0.4">
      <c r="A121" s="68" t="s">
        <v>132</v>
      </c>
      <c r="B121" s="29" t="s">
        <v>486</v>
      </c>
      <c r="E121" s="135"/>
      <c r="F121" s="135"/>
      <c r="G121" s="135"/>
      <c r="H121" s="135"/>
      <c r="I121" s="135"/>
      <c r="J121" s="135"/>
      <c r="K121" s="135"/>
      <c r="L121" s="135"/>
      <c r="M121" s="135"/>
    </row>
    <row r="122" spans="1:13" x14ac:dyDescent="0.25">
      <c r="A122" s="1" t="s">
        <v>731</v>
      </c>
      <c r="B122" s="54">
        <v>0.375</v>
      </c>
      <c r="C122" s="8" t="s">
        <v>209</v>
      </c>
      <c r="E122" s="135"/>
      <c r="F122" s="135"/>
      <c r="G122" s="135"/>
      <c r="H122" s="135"/>
      <c r="I122" s="135"/>
      <c r="J122" s="135"/>
      <c r="K122" s="135"/>
      <c r="L122" s="135"/>
      <c r="M122" s="135"/>
    </row>
    <row r="123" spans="1:13" x14ac:dyDescent="0.25">
      <c r="A123" s="1" t="s">
        <v>635</v>
      </c>
      <c r="B123" s="55">
        <v>3</v>
      </c>
      <c r="C123" s="8" t="s">
        <v>209</v>
      </c>
      <c r="E123" s="135"/>
      <c r="F123" s="135"/>
      <c r="G123" s="135"/>
      <c r="H123" s="135"/>
      <c r="I123" s="135"/>
      <c r="J123" s="135"/>
      <c r="K123" s="135"/>
      <c r="L123" s="135"/>
      <c r="M123" s="135"/>
    </row>
    <row r="124" spans="1:13" x14ac:dyDescent="0.25">
      <c r="A124" s="1" t="s">
        <v>297</v>
      </c>
      <c r="B124" s="127">
        <v>2</v>
      </c>
      <c r="C124" s="8" t="s">
        <v>209</v>
      </c>
      <c r="E124" s="135"/>
      <c r="F124" s="135"/>
      <c r="G124" s="135"/>
      <c r="H124" s="135"/>
      <c r="I124" s="135"/>
      <c r="J124" s="135"/>
      <c r="K124" s="135"/>
      <c r="L124" s="135"/>
      <c r="M124" s="135"/>
    </row>
    <row r="125" spans="1:13" x14ac:dyDescent="0.25">
      <c r="A125" s="1" t="s">
        <v>515</v>
      </c>
      <c r="B125" s="220">
        <v>85000</v>
      </c>
      <c r="C125" s="8" t="s">
        <v>275</v>
      </c>
      <c r="E125" s="135"/>
      <c r="F125" s="135"/>
      <c r="G125" s="135"/>
      <c r="H125" s="135"/>
      <c r="I125" s="135"/>
      <c r="J125" s="135"/>
      <c r="K125" s="135"/>
      <c r="L125" s="135"/>
      <c r="M125" s="135"/>
    </row>
    <row r="126" spans="1:13" ht="13" thickBot="1" x14ac:dyDescent="0.3">
      <c r="A126" s="1" t="s">
        <v>771</v>
      </c>
      <c r="B126" s="197">
        <v>150000</v>
      </c>
      <c r="C126" s="8" t="s">
        <v>275</v>
      </c>
      <c r="E126" s="135"/>
      <c r="F126" s="135"/>
      <c r="G126" s="135"/>
      <c r="H126" s="135"/>
      <c r="I126" s="135"/>
      <c r="J126" s="135"/>
      <c r="K126" s="135"/>
      <c r="L126" s="135"/>
      <c r="M126" s="135"/>
    </row>
    <row r="127" spans="1:13" ht="13" x14ac:dyDescent="0.3">
      <c r="B127" s="29" t="s">
        <v>139</v>
      </c>
      <c r="E127" s="135"/>
      <c r="F127" s="135"/>
      <c r="G127" s="135"/>
      <c r="H127" s="135"/>
      <c r="I127" s="135"/>
      <c r="J127" s="135"/>
      <c r="K127" s="135"/>
      <c r="L127" s="135"/>
      <c r="M127" s="135"/>
    </row>
    <row r="128" spans="1:13" ht="13" x14ac:dyDescent="0.3">
      <c r="A128" s="2" t="s">
        <v>632</v>
      </c>
      <c r="B128" s="4" t="s">
        <v>732</v>
      </c>
      <c r="E128" s="135"/>
      <c r="F128" s="135"/>
      <c r="G128" s="135"/>
      <c r="H128" s="135"/>
      <c r="I128" s="135"/>
      <c r="J128" s="135"/>
      <c r="K128" s="135"/>
      <c r="L128" s="135"/>
      <c r="M128" s="135"/>
    </row>
    <row r="129" spans="1:13" ht="13" x14ac:dyDescent="0.3">
      <c r="A129" s="43" t="s">
        <v>101</v>
      </c>
      <c r="B129" s="4">
        <f>B122*B123</f>
        <v>1.125</v>
      </c>
      <c r="C129" s="10" t="s">
        <v>583</v>
      </c>
      <c r="E129" s="135" t="s">
        <v>201</v>
      </c>
      <c r="F129" s="135"/>
      <c r="G129" s="135"/>
      <c r="H129" s="135"/>
      <c r="I129" s="135"/>
      <c r="J129" s="135"/>
      <c r="K129" s="135"/>
      <c r="L129" s="135"/>
      <c r="M129" s="135"/>
    </row>
    <row r="130" spans="1:13" ht="13" x14ac:dyDescent="0.3">
      <c r="A130" s="2" t="s">
        <v>631</v>
      </c>
      <c r="B130" s="4">
        <v>0.75</v>
      </c>
      <c r="C130" s="10" t="s">
        <v>201</v>
      </c>
      <c r="E130" s="135"/>
      <c r="F130" s="135"/>
      <c r="G130" s="135"/>
      <c r="H130" s="135"/>
      <c r="I130" s="135"/>
      <c r="J130" s="135"/>
      <c r="K130" s="135"/>
      <c r="L130" s="135"/>
      <c r="M130" s="135"/>
    </row>
    <row r="131" spans="1:13" ht="13" x14ac:dyDescent="0.3">
      <c r="A131" s="2" t="s">
        <v>300</v>
      </c>
      <c r="B131" s="4" t="s">
        <v>633</v>
      </c>
      <c r="E131" s="135"/>
      <c r="F131" s="135"/>
      <c r="G131" s="135"/>
      <c r="H131" s="135"/>
      <c r="I131" s="135"/>
      <c r="J131" s="135"/>
      <c r="K131" s="135"/>
      <c r="L131" s="135"/>
      <c r="M131" s="135"/>
    </row>
    <row r="132" spans="1:13" ht="13" x14ac:dyDescent="0.3">
      <c r="A132" s="43" t="s">
        <v>489</v>
      </c>
      <c r="B132" s="195">
        <f>B130*B125*B122*B123</f>
        <v>71718.75</v>
      </c>
      <c r="C132" s="10" t="s">
        <v>275</v>
      </c>
      <c r="E132" s="135"/>
      <c r="F132" s="135"/>
      <c r="G132" s="135"/>
      <c r="H132" s="135"/>
      <c r="I132" s="135"/>
      <c r="J132" s="135"/>
      <c r="K132" s="135"/>
      <c r="L132" s="135"/>
      <c r="M132" s="135"/>
    </row>
    <row r="133" spans="1:13" ht="13" x14ac:dyDescent="0.3">
      <c r="A133" s="2" t="s">
        <v>770</v>
      </c>
      <c r="B133" s="4" t="s">
        <v>634</v>
      </c>
      <c r="E133" s="135"/>
      <c r="F133" s="135"/>
      <c r="G133" s="135"/>
      <c r="H133" s="135"/>
      <c r="I133" s="135"/>
      <c r="J133" s="135"/>
      <c r="K133" s="135"/>
      <c r="L133" s="135"/>
      <c r="M133" s="135"/>
    </row>
    <row r="134" spans="1:13" ht="13" x14ac:dyDescent="0.3">
      <c r="A134" s="43" t="s">
        <v>101</v>
      </c>
      <c r="B134" s="195">
        <f>B132*B124/2</f>
        <v>71718.75</v>
      </c>
      <c r="C134" s="10" t="s">
        <v>205</v>
      </c>
      <c r="E134" s="135"/>
      <c r="F134" s="135"/>
      <c r="G134" s="135"/>
      <c r="H134" s="135"/>
      <c r="I134" s="135"/>
      <c r="J134" s="135"/>
      <c r="K134" s="135"/>
      <c r="L134" s="135"/>
      <c r="M134" s="135"/>
    </row>
    <row r="135" spans="1:13" ht="13" x14ac:dyDescent="0.3">
      <c r="A135" s="2" t="s">
        <v>528</v>
      </c>
      <c r="B135" s="4" t="s">
        <v>772</v>
      </c>
      <c r="E135" s="135"/>
      <c r="F135" s="135"/>
      <c r="G135" s="135"/>
      <c r="H135" s="135"/>
      <c r="I135" s="135"/>
      <c r="J135" s="135"/>
      <c r="K135" s="135"/>
      <c r="L135" s="135"/>
      <c r="M135" s="135"/>
    </row>
    <row r="136" spans="1:13" ht="13" x14ac:dyDescent="0.3">
      <c r="A136" s="43" t="s">
        <v>101</v>
      </c>
      <c r="B136" s="195">
        <f>B126*B123*(B124/2 - B122/4)*(B122/2)</f>
        <v>76464.84375</v>
      </c>
      <c r="C136" s="10" t="s">
        <v>205</v>
      </c>
      <c r="E136" s="135"/>
      <c r="F136" s="135"/>
      <c r="G136" s="135"/>
      <c r="H136" s="135"/>
      <c r="I136" s="135"/>
      <c r="J136" s="135"/>
      <c r="K136" s="135"/>
      <c r="L136" s="135"/>
      <c r="M136" s="135"/>
    </row>
    <row r="137" spans="1:13" x14ac:dyDescent="0.25">
      <c r="E137" s="135"/>
      <c r="F137" s="135"/>
      <c r="G137" s="135"/>
      <c r="H137" s="135"/>
      <c r="I137" s="135"/>
      <c r="J137" s="135"/>
      <c r="K137" s="135"/>
      <c r="L137" s="135"/>
      <c r="M137" s="135"/>
    </row>
    <row r="138" spans="1:13" x14ac:dyDescent="0.25">
      <c r="A138" s="120"/>
      <c r="B138" s="120"/>
      <c r="C138" s="125"/>
      <c r="D138" s="120"/>
      <c r="E138" s="135"/>
      <c r="F138" s="135"/>
      <c r="G138" s="135"/>
      <c r="H138" s="135"/>
      <c r="I138" s="135"/>
      <c r="J138" s="135"/>
      <c r="K138" s="135"/>
      <c r="L138" s="135"/>
      <c r="M138" s="135"/>
    </row>
    <row r="139" spans="1:13" x14ac:dyDescent="0.25">
      <c r="E139" s="135"/>
      <c r="F139" s="135"/>
      <c r="G139" s="135"/>
      <c r="H139" s="135"/>
      <c r="I139" s="135"/>
      <c r="J139" s="135"/>
      <c r="K139" s="135"/>
      <c r="L139" s="135"/>
      <c r="M139" s="135"/>
    </row>
    <row r="140" spans="1:13" ht="16" thickBot="1" x14ac:dyDescent="0.4">
      <c r="A140" s="68" t="s">
        <v>733</v>
      </c>
      <c r="B140" s="29" t="s">
        <v>486</v>
      </c>
      <c r="E140" s="135"/>
      <c r="F140" s="135"/>
      <c r="G140" s="135"/>
      <c r="H140" s="135"/>
      <c r="I140" s="135"/>
      <c r="J140" s="135"/>
      <c r="K140" s="135"/>
      <c r="L140" s="135"/>
      <c r="M140" s="135"/>
    </row>
    <row r="141" spans="1:13" x14ac:dyDescent="0.25">
      <c r="A141" s="1" t="s">
        <v>277</v>
      </c>
      <c r="B141" s="56">
        <v>10</v>
      </c>
      <c r="C141" s="8" t="s">
        <v>209</v>
      </c>
      <c r="E141" s="135"/>
      <c r="F141" s="135"/>
      <c r="G141" s="135"/>
      <c r="H141" s="135"/>
      <c r="I141" s="135"/>
      <c r="J141" s="135"/>
      <c r="K141" s="135"/>
      <c r="L141" s="135"/>
      <c r="M141" s="135"/>
    </row>
    <row r="142" spans="1:13" x14ac:dyDescent="0.25">
      <c r="A142" s="1" t="s">
        <v>278</v>
      </c>
      <c r="B142" s="57">
        <v>9</v>
      </c>
      <c r="C142" s="8" t="s">
        <v>209</v>
      </c>
      <c r="E142" s="135"/>
      <c r="F142" s="135"/>
      <c r="G142" s="135"/>
      <c r="H142" s="135"/>
      <c r="I142" s="135"/>
      <c r="J142" s="135"/>
      <c r="K142" s="135"/>
      <c r="L142" s="135"/>
      <c r="M142" s="135"/>
    </row>
    <row r="143" spans="1:13" x14ac:dyDescent="0.25">
      <c r="A143" s="1" t="s">
        <v>276</v>
      </c>
      <c r="B143" s="32">
        <v>500</v>
      </c>
      <c r="C143" s="8" t="s">
        <v>230</v>
      </c>
      <c r="E143" s="135"/>
      <c r="F143" s="135"/>
      <c r="G143" s="135"/>
      <c r="H143" s="135"/>
      <c r="I143" s="135"/>
      <c r="J143" s="135"/>
      <c r="K143" s="135"/>
      <c r="L143" s="135"/>
      <c r="M143" s="135"/>
    </row>
    <row r="144" spans="1:13" x14ac:dyDescent="0.25">
      <c r="A144" s="1" t="s">
        <v>282</v>
      </c>
      <c r="B144" s="32">
        <v>6</v>
      </c>
      <c r="C144" s="8" t="s">
        <v>406</v>
      </c>
      <c r="E144" s="135"/>
      <c r="F144" s="135"/>
      <c r="G144" s="135"/>
      <c r="H144" s="135"/>
      <c r="I144" s="135"/>
      <c r="J144" s="135"/>
      <c r="K144" s="135"/>
      <c r="L144" s="135"/>
      <c r="M144" s="135"/>
    </row>
    <row r="145" spans="1:13" x14ac:dyDescent="0.25">
      <c r="A145" s="1" t="s">
        <v>279</v>
      </c>
      <c r="B145" s="32">
        <v>0.2</v>
      </c>
      <c r="C145" s="8" t="s">
        <v>406</v>
      </c>
      <c r="D145" s="3"/>
      <c r="E145" s="135"/>
      <c r="F145" s="135"/>
      <c r="G145" s="135"/>
      <c r="H145" s="135"/>
      <c r="I145" s="135"/>
      <c r="J145" s="135"/>
      <c r="K145" s="135"/>
      <c r="L145" s="135"/>
      <c r="M145" s="135"/>
    </row>
    <row r="146" spans="1:13" ht="13" thickBot="1" x14ac:dyDescent="0.3">
      <c r="A146" s="1" t="s">
        <v>287</v>
      </c>
      <c r="B146" s="34">
        <v>1</v>
      </c>
      <c r="C146" s="8" t="s">
        <v>406</v>
      </c>
      <c r="D146" s="3"/>
      <c r="E146" s="135"/>
      <c r="F146" s="135"/>
      <c r="G146" s="135"/>
      <c r="H146" s="135"/>
      <c r="I146" s="135"/>
      <c r="J146" s="135"/>
      <c r="K146" s="135"/>
      <c r="L146" s="135"/>
      <c r="M146" s="135"/>
    </row>
    <row r="147" spans="1:13" ht="13" x14ac:dyDescent="0.3">
      <c r="B147" s="29" t="s">
        <v>139</v>
      </c>
      <c r="E147" s="135"/>
      <c r="F147" s="135"/>
      <c r="G147" s="135"/>
      <c r="H147" s="135"/>
      <c r="I147" s="135"/>
      <c r="J147" s="135"/>
      <c r="K147" s="135"/>
      <c r="L147" s="135"/>
      <c r="M147" s="135"/>
    </row>
    <row r="148" spans="1:13" ht="13" x14ac:dyDescent="0.3">
      <c r="A148" s="2" t="s">
        <v>288</v>
      </c>
      <c r="B148" s="10" t="s">
        <v>280</v>
      </c>
      <c r="C148" s="10"/>
      <c r="E148" s="135"/>
      <c r="F148" s="135"/>
      <c r="G148" s="135"/>
      <c r="H148" s="135"/>
      <c r="I148" s="135"/>
      <c r="J148" s="135"/>
      <c r="K148" s="135"/>
      <c r="L148" s="135"/>
      <c r="M148" s="135"/>
    </row>
    <row r="149" spans="1:13" ht="13" x14ac:dyDescent="0.3">
      <c r="A149" s="2" t="s">
        <v>298</v>
      </c>
      <c r="B149" s="6">
        <f>(2/3)*((B141/2)^3-(B142/2)^3)/((B141/2)^2-(B142/2)^2)</f>
        <v>4.7543859649122808</v>
      </c>
      <c r="C149" s="10" t="s">
        <v>209</v>
      </c>
      <c r="E149" s="135"/>
      <c r="F149" s="135"/>
      <c r="G149" s="135"/>
      <c r="H149" s="135"/>
      <c r="I149" s="135"/>
      <c r="J149" s="135"/>
      <c r="K149" s="135"/>
      <c r="L149" s="135"/>
      <c r="M149" s="135"/>
    </row>
    <row r="150" spans="1:13" ht="13" x14ac:dyDescent="0.3">
      <c r="A150" s="2" t="s">
        <v>281</v>
      </c>
      <c r="B150" s="4" t="s">
        <v>283</v>
      </c>
      <c r="C150" s="10"/>
      <c r="E150" s="135"/>
      <c r="F150" s="135"/>
      <c r="G150" s="135"/>
      <c r="H150" s="135"/>
      <c r="I150" s="135"/>
      <c r="J150" s="135"/>
      <c r="K150" s="135"/>
      <c r="L150" s="135"/>
      <c r="M150" s="135"/>
    </row>
    <row r="151" spans="1:13" ht="13" x14ac:dyDescent="0.3">
      <c r="A151" s="2" t="s">
        <v>284</v>
      </c>
      <c r="B151" s="195">
        <f>B143*B144</f>
        <v>3000</v>
      </c>
      <c r="C151" s="10" t="s">
        <v>230</v>
      </c>
      <c r="E151" s="135"/>
      <c r="F151" s="135"/>
      <c r="G151" s="135"/>
      <c r="H151" s="135"/>
      <c r="I151" s="135"/>
      <c r="J151" s="135"/>
      <c r="K151" s="135"/>
      <c r="L151" s="135"/>
      <c r="M151" s="135"/>
    </row>
    <row r="152" spans="1:13" ht="13" x14ac:dyDescent="0.3">
      <c r="A152" s="2" t="s">
        <v>285</v>
      </c>
      <c r="B152" s="4" t="s">
        <v>286</v>
      </c>
      <c r="E152" s="135"/>
      <c r="F152" s="135"/>
      <c r="G152" s="135"/>
      <c r="H152" s="135"/>
      <c r="I152" s="135"/>
      <c r="J152" s="135"/>
      <c r="K152" s="135"/>
      <c r="L152" s="135"/>
      <c r="M152" s="135"/>
    </row>
    <row r="153" spans="1:13" ht="13" x14ac:dyDescent="0.3">
      <c r="A153" s="2" t="s">
        <v>289</v>
      </c>
      <c r="B153" s="195">
        <f>B151*B145*B149*B146</f>
        <v>2852.6315789473683</v>
      </c>
      <c r="C153" s="10" t="s">
        <v>205</v>
      </c>
      <c r="E153" s="135"/>
      <c r="F153" s="135"/>
      <c r="G153" s="135"/>
      <c r="H153" s="135"/>
      <c r="I153" s="135"/>
      <c r="J153" s="135"/>
      <c r="K153" s="135"/>
      <c r="L153" s="135"/>
      <c r="M153" s="135"/>
    </row>
    <row r="154" spans="1:13" x14ac:dyDescent="0.25">
      <c r="E154" s="135"/>
      <c r="F154" s="135"/>
      <c r="G154" s="135"/>
      <c r="H154" s="135"/>
      <c r="I154" s="135"/>
      <c r="J154" s="135"/>
      <c r="K154" s="135"/>
      <c r="L154" s="135"/>
      <c r="M154" s="135"/>
    </row>
    <row r="155" spans="1:13" x14ac:dyDescent="0.25">
      <c r="A155" s="120"/>
      <c r="B155" s="120"/>
      <c r="C155" s="125"/>
      <c r="D155" s="120"/>
      <c r="E155" s="135"/>
      <c r="F155" s="135"/>
      <c r="G155" s="135"/>
      <c r="H155" s="135"/>
      <c r="I155" s="135"/>
      <c r="J155" s="135"/>
      <c r="K155" s="135"/>
      <c r="L155" s="135"/>
      <c r="M155" s="135"/>
    </row>
    <row r="156" spans="1:13" x14ac:dyDescent="0.25">
      <c r="E156" s="135"/>
      <c r="F156" s="135"/>
      <c r="G156" s="135"/>
      <c r="H156" s="135"/>
      <c r="I156" s="135"/>
      <c r="J156" s="135"/>
      <c r="K156" s="135"/>
      <c r="L156" s="135"/>
      <c r="M156" s="135"/>
    </row>
    <row r="157" spans="1:13" ht="15.5" x14ac:dyDescent="0.35">
      <c r="A157" s="68" t="s">
        <v>734</v>
      </c>
      <c r="B157" s="3"/>
      <c r="E157" s="135"/>
      <c r="F157" s="135"/>
      <c r="G157" s="135"/>
      <c r="H157" s="135"/>
      <c r="I157" s="135"/>
      <c r="J157" s="135"/>
      <c r="K157" s="135"/>
      <c r="L157" s="135"/>
      <c r="M157" s="135"/>
    </row>
    <row r="158" spans="1:13" x14ac:dyDescent="0.25">
      <c r="A158" s="8" t="s">
        <v>290</v>
      </c>
      <c r="B158" s="3"/>
      <c r="E158" s="135"/>
      <c r="F158" s="135"/>
      <c r="G158" s="135"/>
      <c r="H158" s="135"/>
      <c r="I158" s="135"/>
      <c r="J158" s="135"/>
      <c r="K158" s="135"/>
      <c r="L158" s="135"/>
      <c r="M158" s="135"/>
    </row>
    <row r="159" spans="1:13" ht="13.5" thickBot="1" x14ac:dyDescent="0.35">
      <c r="A159" s="1"/>
      <c r="B159" s="29" t="s">
        <v>486</v>
      </c>
      <c r="E159" s="135"/>
      <c r="F159" s="135"/>
      <c r="G159" s="135"/>
      <c r="H159" s="135"/>
      <c r="I159" s="135"/>
      <c r="J159" s="135"/>
      <c r="K159" s="135"/>
      <c r="L159" s="135"/>
      <c r="M159" s="135"/>
    </row>
    <row r="160" spans="1:13" x14ac:dyDescent="0.25">
      <c r="A160" s="1" t="s">
        <v>250</v>
      </c>
      <c r="B160" s="31">
        <v>3</v>
      </c>
      <c r="C160" s="8" t="s">
        <v>406</v>
      </c>
      <c r="E160" s="135"/>
      <c r="F160" s="135"/>
      <c r="G160" s="135"/>
      <c r="H160" s="135"/>
      <c r="I160" s="135"/>
      <c r="J160" s="135"/>
      <c r="K160" s="135"/>
      <c r="L160" s="135"/>
      <c r="M160" s="135"/>
    </row>
    <row r="161" spans="1:13" x14ac:dyDescent="0.25">
      <c r="A161" s="1" t="s">
        <v>292</v>
      </c>
      <c r="B161" s="190">
        <v>6000</v>
      </c>
      <c r="C161" s="8" t="s">
        <v>275</v>
      </c>
      <c r="E161" s="135"/>
      <c r="F161" s="135"/>
      <c r="G161" s="135"/>
      <c r="H161" s="135"/>
      <c r="I161" s="135"/>
      <c r="J161" s="135"/>
      <c r="K161" s="135"/>
      <c r="L161" s="135"/>
      <c r="M161" s="135"/>
    </row>
    <row r="162" spans="1:13" x14ac:dyDescent="0.25">
      <c r="A162" s="1" t="s">
        <v>282</v>
      </c>
      <c r="B162" s="32">
        <v>4</v>
      </c>
      <c r="C162" s="8" t="s">
        <v>406</v>
      </c>
      <c r="E162" s="135"/>
      <c r="F162" s="135"/>
      <c r="G162" s="135"/>
      <c r="H162" s="135"/>
      <c r="I162" s="135"/>
      <c r="J162" s="135"/>
      <c r="K162" s="135"/>
      <c r="L162" s="135"/>
      <c r="M162" s="135"/>
    </row>
    <row r="163" spans="1:13" x14ac:dyDescent="0.25">
      <c r="A163" s="1" t="s">
        <v>293</v>
      </c>
      <c r="B163" s="32">
        <v>6.5</v>
      </c>
      <c r="C163" s="8" t="s">
        <v>209</v>
      </c>
      <c r="E163" s="135"/>
      <c r="F163" s="135"/>
      <c r="G163" s="135"/>
      <c r="H163" s="135"/>
      <c r="I163" s="135"/>
      <c r="J163" s="135"/>
      <c r="K163" s="135"/>
      <c r="L163" s="135"/>
      <c r="M163" s="135"/>
    </row>
    <row r="164" spans="1:13" ht="13.5" thickBot="1" x14ac:dyDescent="0.35">
      <c r="A164" s="1" t="s">
        <v>637</v>
      </c>
      <c r="B164" s="37">
        <v>0.5</v>
      </c>
      <c r="C164" s="8" t="s">
        <v>209</v>
      </c>
      <c r="D164" s="4" t="s">
        <v>201</v>
      </c>
      <c r="E164" s="135"/>
      <c r="F164" s="135"/>
      <c r="G164" s="135"/>
      <c r="H164" s="135"/>
      <c r="I164" s="135"/>
      <c r="J164" s="135"/>
      <c r="K164" s="135"/>
      <c r="L164" s="135"/>
      <c r="M164" s="135"/>
    </row>
    <row r="165" spans="1:13" ht="13" x14ac:dyDescent="0.3">
      <c r="B165" s="29" t="s">
        <v>139</v>
      </c>
      <c r="E165" s="135"/>
      <c r="F165" s="135"/>
      <c r="G165" s="135"/>
      <c r="H165" s="135"/>
      <c r="I165" s="135"/>
      <c r="J165" s="135"/>
      <c r="K165" s="135"/>
      <c r="L165" s="135"/>
      <c r="M165" s="135"/>
    </row>
    <row r="166" spans="1:13" ht="13" x14ac:dyDescent="0.3">
      <c r="A166" s="2" t="s">
        <v>636</v>
      </c>
      <c r="B166" s="4" t="s">
        <v>638</v>
      </c>
      <c r="C166" s="10"/>
      <c r="E166" s="135"/>
      <c r="F166" s="135"/>
      <c r="G166" s="135"/>
      <c r="H166" s="135"/>
      <c r="I166" s="135"/>
      <c r="J166" s="135"/>
      <c r="K166" s="135"/>
      <c r="L166" s="135"/>
      <c r="M166" s="135"/>
    </row>
    <row r="167" spans="1:13" ht="13" x14ac:dyDescent="0.3">
      <c r="A167" s="2" t="s">
        <v>544</v>
      </c>
      <c r="B167" s="9">
        <f>3.142*B164^2/4</f>
        <v>0.19637499999999999</v>
      </c>
      <c r="C167" s="10" t="s">
        <v>209</v>
      </c>
      <c r="E167" s="135"/>
      <c r="F167" s="135"/>
      <c r="G167" s="135"/>
      <c r="H167" s="135"/>
      <c r="I167" s="135"/>
      <c r="J167" s="135"/>
      <c r="K167" s="135"/>
      <c r="L167" s="135"/>
      <c r="M167" s="135"/>
    </row>
    <row r="168" spans="1:13" ht="13" x14ac:dyDescent="0.3">
      <c r="A168" s="2" t="s">
        <v>134</v>
      </c>
      <c r="B168" s="4">
        <v>1.33</v>
      </c>
      <c r="C168" s="8" t="s">
        <v>406</v>
      </c>
      <c r="E168" s="135"/>
      <c r="F168" s="135"/>
      <c r="G168" s="135"/>
      <c r="H168" s="135"/>
      <c r="I168" s="135"/>
      <c r="J168" s="135"/>
      <c r="K168" s="135"/>
      <c r="L168" s="135"/>
      <c r="M168" s="135"/>
    </row>
    <row r="169" spans="1:13" ht="13" x14ac:dyDescent="0.3">
      <c r="A169" s="2" t="s">
        <v>291</v>
      </c>
      <c r="B169" s="4" t="s">
        <v>135</v>
      </c>
      <c r="E169" s="135"/>
      <c r="F169" s="135"/>
      <c r="G169" s="135"/>
      <c r="H169" s="135"/>
      <c r="I169" s="135"/>
      <c r="J169" s="135"/>
      <c r="K169" s="135"/>
      <c r="L169" s="135"/>
      <c r="M169" s="135"/>
    </row>
    <row r="170" spans="1:13" ht="13" x14ac:dyDescent="0.3">
      <c r="A170" s="2" t="s">
        <v>294</v>
      </c>
      <c r="B170" s="195">
        <f>(B161*B167)/(B160*B168)</f>
        <v>295.30075187969925</v>
      </c>
      <c r="C170" s="10" t="s">
        <v>230</v>
      </c>
      <c r="E170" s="135"/>
      <c r="F170" s="135"/>
      <c r="G170" s="135"/>
      <c r="H170" s="135"/>
      <c r="I170" s="135"/>
      <c r="J170" s="135"/>
      <c r="K170" s="135"/>
      <c r="L170" s="135"/>
      <c r="M170" s="135"/>
    </row>
    <row r="171" spans="1:13" x14ac:dyDescent="0.25">
      <c r="A171" s="1"/>
      <c r="B171" s="3"/>
      <c r="E171" s="135"/>
      <c r="F171" s="135"/>
      <c r="G171" s="135"/>
      <c r="H171" s="135"/>
      <c r="I171" s="135"/>
      <c r="J171" s="135"/>
      <c r="K171" s="135"/>
      <c r="L171" s="135"/>
      <c r="M171" s="135"/>
    </row>
    <row r="172" spans="1:13" ht="13" x14ac:dyDescent="0.3">
      <c r="A172" s="2" t="s">
        <v>136</v>
      </c>
      <c r="B172" s="4" t="s">
        <v>295</v>
      </c>
      <c r="E172" s="135"/>
      <c r="F172" s="135"/>
      <c r="G172" s="135"/>
      <c r="H172" s="135"/>
      <c r="I172" s="135"/>
      <c r="J172" s="135"/>
      <c r="K172" s="135"/>
      <c r="L172" s="135"/>
      <c r="M172" s="135"/>
    </row>
    <row r="173" spans="1:13" ht="13" x14ac:dyDescent="0.3">
      <c r="A173" s="2" t="s">
        <v>296</v>
      </c>
      <c r="B173" s="195">
        <f>(B170*(B163/2))*(B162/2)</f>
        <v>1919.4548872180451</v>
      </c>
      <c r="C173" s="10" t="s">
        <v>205</v>
      </c>
      <c r="E173" s="135"/>
      <c r="F173" s="135"/>
      <c r="G173" s="135"/>
      <c r="H173" s="135"/>
      <c r="I173" s="135"/>
      <c r="J173" s="135"/>
      <c r="K173" s="135"/>
      <c r="L173" s="135"/>
      <c r="M173" s="135"/>
    </row>
    <row r="174" spans="1:13" x14ac:dyDescent="0.25">
      <c r="E174" s="135"/>
      <c r="F174" s="135"/>
      <c r="G174" s="135"/>
      <c r="H174" s="135"/>
      <c r="I174" s="135"/>
      <c r="J174" s="135"/>
      <c r="K174" s="135"/>
      <c r="L174" s="135"/>
      <c r="M174" s="135"/>
    </row>
    <row r="175" spans="1:13" x14ac:dyDescent="0.25">
      <c r="A175" s="120"/>
      <c r="B175" s="120"/>
      <c r="C175" s="125"/>
      <c r="D175" s="120"/>
      <c r="E175" s="135"/>
      <c r="F175" s="135"/>
      <c r="G175" s="135"/>
      <c r="H175" s="135"/>
      <c r="I175" s="135"/>
      <c r="J175" s="135"/>
      <c r="K175" s="135"/>
      <c r="L175" s="135"/>
      <c r="M175" s="135"/>
    </row>
    <row r="176" spans="1:13" x14ac:dyDescent="0.25">
      <c r="E176" s="135"/>
      <c r="F176" s="135"/>
      <c r="G176" s="135"/>
      <c r="H176" s="135"/>
      <c r="I176" s="135"/>
      <c r="J176" s="135"/>
      <c r="K176" s="135"/>
      <c r="L176" s="135"/>
      <c r="M176" s="135"/>
    </row>
    <row r="177" spans="1:13" x14ac:dyDescent="0.25">
      <c r="E177" s="135"/>
      <c r="F177" s="135"/>
      <c r="G177" s="135"/>
      <c r="H177" s="135"/>
      <c r="I177" s="135"/>
      <c r="J177" s="135"/>
      <c r="K177" s="135"/>
      <c r="L177" s="135"/>
      <c r="M177" s="135"/>
    </row>
    <row r="178" spans="1:13" x14ac:dyDescent="0.25">
      <c r="A178" s="3"/>
      <c r="E178" s="135"/>
      <c r="F178" s="135"/>
      <c r="G178" s="135"/>
      <c r="H178" s="135"/>
      <c r="I178" s="135"/>
      <c r="J178" s="135"/>
      <c r="K178" s="135"/>
      <c r="L178" s="135"/>
      <c r="M178" s="135"/>
    </row>
    <row r="179" spans="1:13" x14ac:dyDescent="0.25">
      <c r="A179" s="3"/>
      <c r="E179" s="135"/>
      <c r="F179" s="135"/>
      <c r="G179" s="135"/>
      <c r="H179" s="135"/>
      <c r="I179" s="135"/>
      <c r="J179" s="135"/>
      <c r="K179" s="135"/>
      <c r="L179" s="135"/>
      <c r="M179" s="135"/>
    </row>
    <row r="180" spans="1:13" x14ac:dyDescent="0.25">
      <c r="A180" s="3"/>
      <c r="E180" s="135"/>
      <c r="F180" s="135"/>
      <c r="G180" s="135"/>
      <c r="H180" s="135"/>
      <c r="I180" s="135"/>
      <c r="J180" s="135"/>
      <c r="K180" s="135"/>
      <c r="L180" s="135"/>
      <c r="M180" s="135"/>
    </row>
    <row r="181" spans="1:13" x14ac:dyDescent="0.25">
      <c r="A181" s="3"/>
      <c r="E181" s="135"/>
      <c r="F181" s="135"/>
      <c r="G181" s="135"/>
      <c r="H181" s="135"/>
      <c r="I181" s="135"/>
      <c r="J181" s="135"/>
      <c r="K181" s="135"/>
      <c r="L181" s="135"/>
      <c r="M181" s="135"/>
    </row>
    <row r="182" spans="1:13" x14ac:dyDescent="0.25">
      <c r="A182" s="3"/>
      <c r="E182" s="135"/>
      <c r="F182" s="135"/>
      <c r="G182" s="135"/>
      <c r="H182" s="135"/>
      <c r="I182" s="135"/>
      <c r="J182" s="135"/>
      <c r="K182" s="135"/>
      <c r="L182" s="135"/>
      <c r="M182" s="135"/>
    </row>
    <row r="183" spans="1:13" x14ac:dyDescent="0.25">
      <c r="A183" s="3"/>
      <c r="E183" s="135"/>
      <c r="F183" s="135"/>
      <c r="G183" s="135"/>
      <c r="H183" s="135"/>
      <c r="I183" s="135"/>
      <c r="J183" s="135"/>
      <c r="K183" s="135"/>
      <c r="L183" s="135"/>
      <c r="M183" s="135"/>
    </row>
    <row r="184" spans="1:13" x14ac:dyDescent="0.25">
      <c r="A184" s="3"/>
      <c r="E184" s="135"/>
      <c r="F184" s="135"/>
      <c r="G184" s="135"/>
      <c r="H184" s="135"/>
      <c r="I184" s="135"/>
      <c r="J184" s="135"/>
      <c r="K184" s="135"/>
      <c r="L184" s="135"/>
      <c r="M184" s="135"/>
    </row>
    <row r="185" spans="1:13" ht="13" x14ac:dyDescent="0.3">
      <c r="A185" s="4"/>
      <c r="E185" s="135"/>
      <c r="F185" s="135"/>
      <c r="G185" s="135"/>
      <c r="H185" s="135"/>
      <c r="I185" s="135"/>
      <c r="J185" s="135"/>
      <c r="K185" s="135"/>
      <c r="L185" s="135"/>
      <c r="M185" s="135"/>
    </row>
    <row r="186" spans="1:13" ht="13" x14ac:dyDescent="0.3">
      <c r="A186" s="5"/>
      <c r="D186" t="s">
        <v>694</v>
      </c>
      <c r="E186" s="135"/>
      <c r="F186" s="135"/>
      <c r="G186" s="135"/>
      <c r="H186" s="135"/>
      <c r="I186" s="135"/>
      <c r="J186" s="135"/>
      <c r="K186" s="135"/>
      <c r="L186" s="135"/>
      <c r="M186" s="135"/>
    </row>
    <row r="187" spans="1:13" x14ac:dyDescent="0.25">
      <c r="B187" s="8"/>
      <c r="E187" s="135"/>
      <c r="F187" s="135"/>
      <c r="G187" s="135"/>
      <c r="H187" s="135"/>
      <c r="I187" s="135"/>
      <c r="J187" s="135"/>
      <c r="K187" s="135"/>
      <c r="L187" s="135"/>
      <c r="M187" s="135"/>
    </row>
    <row r="188" spans="1:13" x14ac:dyDescent="0.25">
      <c r="B188" t="s">
        <v>234</v>
      </c>
      <c r="E188" s="135"/>
      <c r="F188" s="135"/>
      <c r="G188" s="135"/>
      <c r="H188" s="135"/>
      <c r="I188" s="135"/>
      <c r="J188" s="135"/>
      <c r="K188" s="135"/>
      <c r="L188" s="135"/>
      <c r="M188" s="135"/>
    </row>
    <row r="189" spans="1:13" x14ac:dyDescent="0.25">
      <c r="E189" s="135"/>
      <c r="F189" s="135"/>
      <c r="G189" s="135"/>
      <c r="H189" s="135"/>
      <c r="I189" s="135"/>
      <c r="J189" s="135"/>
      <c r="K189" s="135"/>
      <c r="L189" s="135"/>
      <c r="M189" s="135"/>
    </row>
    <row r="190" spans="1:13" x14ac:dyDescent="0.25">
      <c r="E190" s="135"/>
      <c r="F190" s="135"/>
      <c r="G190" s="135"/>
      <c r="H190" s="135"/>
      <c r="I190" s="135"/>
      <c r="J190" s="135"/>
      <c r="K190" s="135"/>
      <c r="L190" s="135"/>
      <c r="M190" s="135"/>
    </row>
    <row r="191" spans="1:13" x14ac:dyDescent="0.25">
      <c r="E191" s="135"/>
      <c r="F191" s="135"/>
      <c r="G191" s="135"/>
      <c r="H191" s="135"/>
      <c r="I191" s="135"/>
      <c r="J191" s="135"/>
      <c r="K191" s="135"/>
      <c r="L191" s="135"/>
      <c r="M191" s="135"/>
    </row>
    <row r="192" spans="1:13" x14ac:dyDescent="0.25">
      <c r="E192" s="135"/>
      <c r="F192" s="135"/>
      <c r="G192" s="135"/>
      <c r="H192" s="135"/>
      <c r="I192" s="135"/>
      <c r="J192" s="135"/>
      <c r="K192" s="135"/>
      <c r="L192" s="135"/>
      <c r="M192" s="135"/>
    </row>
    <row r="193" spans="1:13" ht="13.5" thickBot="1" x14ac:dyDescent="0.35">
      <c r="A193" s="3"/>
      <c r="B193" s="29" t="s">
        <v>486</v>
      </c>
      <c r="E193" s="135"/>
      <c r="F193" s="135"/>
      <c r="G193" s="135"/>
      <c r="H193" s="135"/>
      <c r="I193" s="135"/>
      <c r="J193" s="135"/>
      <c r="K193" s="135"/>
      <c r="L193" s="135"/>
      <c r="M193" s="135"/>
    </row>
    <row r="194" spans="1:13" x14ac:dyDescent="0.25">
      <c r="A194" s="1" t="s">
        <v>660</v>
      </c>
      <c r="B194" s="36">
        <v>14</v>
      </c>
      <c r="C194" s="8" t="s">
        <v>209</v>
      </c>
      <c r="E194" s="135"/>
      <c r="F194" s="135"/>
      <c r="G194" s="135"/>
      <c r="H194" s="135"/>
      <c r="I194" s="135"/>
      <c r="J194" s="135"/>
      <c r="K194" s="135"/>
      <c r="L194" s="135"/>
      <c r="M194" s="135"/>
    </row>
    <row r="195" spans="1:13" x14ac:dyDescent="0.25">
      <c r="A195" s="1" t="s">
        <v>649</v>
      </c>
      <c r="B195" s="33">
        <v>4</v>
      </c>
      <c r="C195" s="8" t="s">
        <v>209</v>
      </c>
      <c r="E195" s="135"/>
      <c r="F195" s="135"/>
      <c r="G195" s="135"/>
      <c r="H195" s="135"/>
      <c r="I195" s="135"/>
      <c r="J195" s="135"/>
      <c r="K195" s="135"/>
      <c r="L195" s="135"/>
      <c r="M195" s="135"/>
    </row>
    <row r="196" spans="1:13" x14ac:dyDescent="0.25">
      <c r="A196" s="1" t="s">
        <v>650</v>
      </c>
      <c r="B196" s="33">
        <v>0</v>
      </c>
      <c r="C196" s="8" t="s">
        <v>209</v>
      </c>
      <c r="E196" s="135"/>
      <c r="F196" s="135"/>
      <c r="G196" s="135"/>
      <c r="H196" s="135"/>
      <c r="I196" s="135"/>
      <c r="J196" s="135"/>
      <c r="K196" s="135"/>
      <c r="L196" s="135"/>
      <c r="M196" s="135"/>
    </row>
    <row r="197" spans="1:13" x14ac:dyDescent="0.25">
      <c r="A197" s="1" t="s">
        <v>639</v>
      </c>
      <c r="B197" s="32">
        <v>8</v>
      </c>
      <c r="C197" s="8" t="s">
        <v>209</v>
      </c>
      <c r="E197" s="135"/>
      <c r="F197" s="135"/>
      <c r="G197" s="135"/>
      <c r="H197" s="135"/>
      <c r="I197" s="135"/>
      <c r="J197" s="135"/>
      <c r="K197" s="135"/>
      <c r="L197" s="135"/>
      <c r="M197" s="135"/>
    </row>
    <row r="198" spans="1:13" x14ac:dyDescent="0.25">
      <c r="A198" s="1" t="s">
        <v>640</v>
      </c>
      <c r="B198" s="190">
        <v>5000</v>
      </c>
      <c r="C198" s="8" t="s">
        <v>275</v>
      </c>
      <c r="E198" s="135"/>
      <c r="F198" s="135"/>
      <c r="G198" s="135"/>
      <c r="H198" s="135"/>
      <c r="I198" s="135"/>
      <c r="J198" s="135"/>
      <c r="K198" s="135"/>
      <c r="L198" s="135"/>
      <c r="M198" s="135"/>
    </row>
    <row r="199" spans="1:13" x14ac:dyDescent="0.25">
      <c r="A199" s="1" t="s">
        <v>651</v>
      </c>
      <c r="B199" s="38">
        <v>15000000</v>
      </c>
      <c r="C199" s="8" t="s">
        <v>275</v>
      </c>
      <c r="E199" s="135"/>
      <c r="F199" s="135"/>
      <c r="G199" s="135"/>
      <c r="H199" s="135"/>
      <c r="I199" s="135"/>
      <c r="J199" s="135"/>
      <c r="K199" s="135"/>
      <c r="L199" s="135"/>
      <c r="M199" s="135"/>
    </row>
    <row r="200" spans="1:13" x14ac:dyDescent="0.25">
      <c r="A200" s="1" t="s">
        <v>652</v>
      </c>
      <c r="B200" s="38">
        <v>30000000</v>
      </c>
      <c r="C200" s="8" t="s">
        <v>275</v>
      </c>
      <c r="E200" s="135"/>
      <c r="F200" s="135"/>
      <c r="G200" s="135"/>
      <c r="H200" s="135"/>
      <c r="I200" s="135"/>
      <c r="J200" s="135"/>
      <c r="K200" s="135"/>
      <c r="L200" s="135"/>
      <c r="M200" s="135"/>
    </row>
    <row r="201" spans="1:13" x14ac:dyDescent="0.25">
      <c r="A201" s="1" t="s">
        <v>641</v>
      </c>
      <c r="B201" s="32">
        <v>0.12</v>
      </c>
      <c r="C201" s="8" t="s">
        <v>406</v>
      </c>
      <c r="E201" s="135"/>
      <c r="F201" s="135"/>
      <c r="G201" s="135"/>
      <c r="H201" s="135"/>
      <c r="I201" s="135"/>
      <c r="J201" s="135"/>
      <c r="K201" s="135"/>
      <c r="L201" s="135"/>
      <c r="M201" s="135"/>
    </row>
    <row r="202" spans="1:13" x14ac:dyDescent="0.25">
      <c r="A202" s="1" t="s">
        <v>653</v>
      </c>
      <c r="B202" s="32">
        <v>0.3</v>
      </c>
      <c r="C202" s="8" t="s">
        <v>406</v>
      </c>
      <c r="E202" s="135"/>
      <c r="F202" s="135"/>
      <c r="G202" s="135"/>
      <c r="H202" s="135"/>
      <c r="I202" s="135"/>
      <c r="J202" s="135"/>
      <c r="K202" s="135"/>
      <c r="L202" s="135"/>
      <c r="M202" s="135"/>
    </row>
    <row r="203" spans="1:13" ht="13" thickBot="1" x14ac:dyDescent="0.3">
      <c r="A203" s="1" t="s">
        <v>654</v>
      </c>
      <c r="B203" s="34">
        <v>0.3</v>
      </c>
      <c r="C203" s="8" t="s">
        <v>406</v>
      </c>
      <c r="E203" s="135"/>
      <c r="F203" s="135"/>
      <c r="G203" s="135"/>
      <c r="H203" s="135"/>
      <c r="I203" s="135"/>
      <c r="J203" s="135"/>
      <c r="K203" s="135"/>
      <c r="L203" s="135"/>
      <c r="M203" s="135"/>
    </row>
    <row r="204" spans="1:13" ht="13" x14ac:dyDescent="0.3">
      <c r="A204" s="10" t="s">
        <v>235</v>
      </c>
      <c r="B204" s="29" t="s">
        <v>139</v>
      </c>
      <c r="E204" s="135"/>
      <c r="F204" s="135"/>
      <c r="G204" s="135"/>
      <c r="H204" s="135"/>
      <c r="I204" s="135"/>
      <c r="J204" s="135"/>
      <c r="K204" s="135"/>
      <c r="L204" s="135"/>
      <c r="M204" s="135"/>
    </row>
    <row r="205" spans="1:13" ht="13" x14ac:dyDescent="0.3">
      <c r="A205" s="2" t="s">
        <v>642</v>
      </c>
      <c r="B205" s="10" t="s">
        <v>665</v>
      </c>
      <c r="C205" s="10"/>
      <c r="E205" s="135"/>
      <c r="F205" s="135"/>
      <c r="G205" s="135"/>
      <c r="H205" s="135"/>
      <c r="I205" s="135"/>
      <c r="J205" s="135"/>
      <c r="K205" s="135"/>
      <c r="L205" s="135"/>
      <c r="M205" s="135"/>
    </row>
    <row r="206" spans="1:13" ht="13" x14ac:dyDescent="0.3">
      <c r="A206" s="2" t="s">
        <v>546</v>
      </c>
      <c r="B206" s="195">
        <f>B198*((B194^2-B195^2)/(B194^2+B195^2))</f>
        <v>4245.2830188679245</v>
      </c>
      <c r="C206" s="10"/>
      <c r="E206" s="135"/>
      <c r="F206" s="135"/>
      <c r="G206" s="135"/>
      <c r="H206" s="135"/>
      <c r="I206" s="135"/>
      <c r="J206" s="135"/>
      <c r="K206" s="135"/>
      <c r="L206" s="135"/>
      <c r="M206" s="135"/>
    </row>
    <row r="207" spans="1:13" ht="13" x14ac:dyDescent="0.3">
      <c r="A207" s="2" t="s">
        <v>644</v>
      </c>
      <c r="B207" s="10" t="s">
        <v>657</v>
      </c>
      <c r="C207" s="10"/>
      <c r="E207" s="135"/>
      <c r="F207" s="135"/>
      <c r="G207" s="135"/>
      <c r="H207" s="135"/>
      <c r="I207" s="135"/>
      <c r="J207" s="135"/>
      <c r="K207" s="135"/>
      <c r="L207" s="135"/>
      <c r="M207" s="135"/>
    </row>
    <row r="208" spans="1:13" ht="13" x14ac:dyDescent="0.3">
      <c r="A208" s="2" t="s">
        <v>644</v>
      </c>
      <c r="B208" s="221">
        <f>(B195^2+B196^2)/(B200*(B195^2-B196^2))</f>
        <v>3.3333333333333334E-8</v>
      </c>
      <c r="C208" s="10"/>
      <c r="E208" s="135"/>
      <c r="F208" s="135"/>
      <c r="G208" s="135"/>
      <c r="H208" s="135"/>
      <c r="I208" s="135"/>
      <c r="J208" s="135"/>
      <c r="K208" s="135"/>
      <c r="L208" s="135"/>
      <c r="M208" s="135"/>
    </row>
    <row r="209" spans="1:13" ht="13" x14ac:dyDescent="0.3">
      <c r="A209" s="2" t="s">
        <v>645</v>
      </c>
      <c r="B209" s="10" t="s">
        <v>658</v>
      </c>
      <c r="C209" s="10"/>
      <c r="E209" s="135"/>
      <c r="F209" s="135"/>
      <c r="G209" s="135"/>
      <c r="H209" s="135"/>
      <c r="I209" s="135"/>
      <c r="J209" s="135"/>
      <c r="K209" s="135"/>
      <c r="L209" s="135"/>
      <c r="M209" s="135"/>
    </row>
    <row r="210" spans="1:13" ht="13" x14ac:dyDescent="0.3">
      <c r="A210" s="2" t="s">
        <v>645</v>
      </c>
      <c r="B210" s="221">
        <f>(B194^2+B195^2)/(B199*(B194^2-B195^2))</f>
        <v>7.8518518518518513E-8</v>
      </c>
      <c r="C210" s="10"/>
      <c r="E210" s="135"/>
      <c r="F210" s="135"/>
      <c r="G210" s="135"/>
      <c r="H210" s="135"/>
      <c r="I210" s="135"/>
      <c r="J210" s="135"/>
      <c r="K210" s="135"/>
      <c r="L210" s="135"/>
      <c r="M210" s="135"/>
    </row>
    <row r="211" spans="1:13" ht="13" x14ac:dyDescent="0.3">
      <c r="A211" s="2" t="s">
        <v>646</v>
      </c>
      <c r="B211" s="4" t="s">
        <v>655</v>
      </c>
      <c r="C211" s="10"/>
      <c r="E211" s="135"/>
      <c r="F211" s="135"/>
      <c r="G211" s="135"/>
      <c r="H211" s="135"/>
      <c r="I211" s="135"/>
      <c r="J211" s="135"/>
      <c r="K211" s="135"/>
      <c r="L211" s="135"/>
      <c r="M211" s="135"/>
    </row>
    <row r="212" spans="1:13" ht="13" x14ac:dyDescent="0.3">
      <c r="A212" s="2" t="s">
        <v>646</v>
      </c>
      <c r="B212" s="221">
        <f>B203/B200</f>
        <v>1E-8</v>
      </c>
      <c r="C212" s="10"/>
      <c r="E212" s="135"/>
      <c r="F212" s="135"/>
      <c r="G212" s="135"/>
      <c r="H212" s="135"/>
      <c r="I212" s="135"/>
      <c r="J212" s="135"/>
      <c r="K212" s="135"/>
      <c r="L212" s="135"/>
      <c r="M212" s="135"/>
    </row>
    <row r="213" spans="1:13" ht="13" x14ac:dyDescent="0.3">
      <c r="A213" s="2" t="s">
        <v>647</v>
      </c>
      <c r="B213" s="4" t="s">
        <v>656</v>
      </c>
      <c r="C213" s="10"/>
      <c r="E213" s="135"/>
      <c r="F213" s="135"/>
      <c r="G213" s="135"/>
      <c r="H213" s="135"/>
      <c r="I213" s="135"/>
      <c r="J213" s="135"/>
      <c r="K213" s="135"/>
      <c r="L213" s="135"/>
      <c r="M213" s="135"/>
    </row>
    <row r="214" spans="1:13" ht="13" x14ac:dyDescent="0.3">
      <c r="A214" s="2" t="s">
        <v>647</v>
      </c>
      <c r="B214" s="221">
        <f>B202/B199</f>
        <v>2E-8</v>
      </c>
      <c r="C214" s="10"/>
      <c r="E214" s="135"/>
      <c r="F214" s="135"/>
      <c r="G214" s="135"/>
      <c r="H214" s="135"/>
      <c r="I214" s="135"/>
      <c r="J214" s="135"/>
      <c r="K214" s="135"/>
      <c r="L214" s="135"/>
      <c r="M214" s="135"/>
    </row>
    <row r="215" spans="1:13" ht="13" x14ac:dyDescent="0.3">
      <c r="A215" s="2" t="s">
        <v>133</v>
      </c>
      <c r="B215" s="10" t="s">
        <v>643</v>
      </c>
      <c r="C215" s="10"/>
      <c r="E215" s="135"/>
      <c r="F215" s="135"/>
      <c r="G215" s="135"/>
      <c r="H215" s="135"/>
      <c r="I215" s="135"/>
      <c r="J215" s="135"/>
      <c r="K215" s="135"/>
      <c r="L215" s="135"/>
      <c r="M215" s="135"/>
    </row>
    <row r="216" spans="1:13" ht="13" x14ac:dyDescent="0.3">
      <c r="A216" s="2" t="s">
        <v>648</v>
      </c>
      <c r="B216" s="25">
        <f>B206*B195*(B208+B210-B212+B214)</f>
        <v>2.069182389937107E-3</v>
      </c>
      <c r="C216" s="10" t="s">
        <v>209</v>
      </c>
      <c r="E216" s="135"/>
      <c r="F216" s="135"/>
      <c r="G216" s="135"/>
      <c r="H216" s="135"/>
      <c r="I216" s="135"/>
      <c r="J216" s="135"/>
      <c r="K216" s="135"/>
      <c r="L216" s="135"/>
      <c r="M216" s="135"/>
    </row>
    <row r="217" spans="1:13" ht="13" x14ac:dyDescent="0.3">
      <c r="A217" s="4"/>
      <c r="B217" s="16"/>
      <c r="C217" s="10"/>
      <c r="D217" s="4" t="s">
        <v>201</v>
      </c>
      <c r="E217" s="135"/>
      <c r="F217" s="135"/>
      <c r="G217" s="135"/>
      <c r="H217" s="135"/>
      <c r="I217" s="135"/>
      <c r="J217" s="135"/>
      <c r="K217" s="135"/>
      <c r="L217" s="135"/>
      <c r="M217" s="135"/>
    </row>
    <row r="218" spans="1:13" ht="13" x14ac:dyDescent="0.3">
      <c r="A218" s="2" t="s">
        <v>659</v>
      </c>
      <c r="B218" s="10" t="s">
        <v>663</v>
      </c>
      <c r="C218" s="10"/>
      <c r="E218" s="135"/>
      <c r="F218" s="135"/>
      <c r="G218" s="135"/>
      <c r="H218" s="135"/>
      <c r="I218" s="135"/>
      <c r="J218" s="135"/>
      <c r="K218" s="135"/>
      <c r="L218" s="135"/>
      <c r="M218" s="135"/>
    </row>
    <row r="219" spans="1:13" ht="13" x14ac:dyDescent="0.3">
      <c r="A219" s="2" t="s">
        <v>284</v>
      </c>
      <c r="B219" s="195">
        <f>B201*3.142*B195*B197*B206</f>
        <v>51220.528301886792</v>
      </c>
      <c r="C219" s="10" t="s">
        <v>230</v>
      </c>
      <c r="E219" s="135"/>
      <c r="F219" s="135"/>
      <c r="G219" s="135"/>
      <c r="H219" s="135"/>
      <c r="I219" s="135"/>
      <c r="J219" s="135"/>
      <c r="K219" s="135"/>
      <c r="L219" s="135"/>
      <c r="M219" s="135"/>
    </row>
    <row r="220" spans="1:13" ht="13" x14ac:dyDescent="0.3">
      <c r="A220" s="2"/>
      <c r="B220" s="10"/>
      <c r="C220" s="10"/>
      <c r="E220" s="135"/>
      <c r="F220" s="135"/>
      <c r="G220" s="135"/>
      <c r="H220" s="135"/>
      <c r="I220" s="135"/>
      <c r="J220" s="135"/>
      <c r="K220" s="135"/>
      <c r="L220" s="135"/>
      <c r="M220" s="135"/>
    </row>
    <row r="221" spans="1:13" ht="13" x14ac:dyDescent="0.3">
      <c r="A221" s="2" t="s">
        <v>661</v>
      </c>
      <c r="B221" s="10" t="s">
        <v>664</v>
      </c>
      <c r="C221" s="10"/>
      <c r="E221" s="135"/>
      <c r="F221" s="135"/>
      <c r="G221" s="135"/>
      <c r="H221" s="135"/>
      <c r="I221" s="135"/>
      <c r="J221" s="135"/>
      <c r="K221" s="135"/>
      <c r="L221" s="135"/>
      <c r="M221" s="135"/>
    </row>
    <row r="222" spans="1:13" ht="13" x14ac:dyDescent="0.3">
      <c r="A222" s="2" t="s">
        <v>662</v>
      </c>
      <c r="B222" s="195">
        <f>B201*B206*3.142*B195^2*B197/2</f>
        <v>102441.05660377358</v>
      </c>
      <c r="C222" s="10" t="s">
        <v>205</v>
      </c>
      <c r="E222" s="135"/>
      <c r="F222" s="135"/>
      <c r="G222" s="135"/>
      <c r="H222" s="135"/>
      <c r="I222" s="135"/>
      <c r="J222" s="135"/>
      <c r="K222" s="135"/>
      <c r="L222" s="135"/>
      <c r="M222" s="135"/>
    </row>
    <row r="223" spans="1:13" x14ac:dyDescent="0.25">
      <c r="E223" s="135"/>
      <c r="F223" s="135"/>
      <c r="G223" s="135"/>
      <c r="H223" s="135"/>
      <c r="I223" s="135"/>
      <c r="J223" s="135"/>
      <c r="K223" s="135"/>
      <c r="L223" s="135"/>
      <c r="M223" s="135"/>
    </row>
    <row r="224" spans="1:13" x14ac:dyDescent="0.25">
      <c r="A224" s="120"/>
      <c r="B224" s="120"/>
      <c r="C224" s="125"/>
      <c r="D224" s="120"/>
      <c r="E224" s="135"/>
      <c r="F224" s="135"/>
      <c r="G224" s="135"/>
      <c r="H224" s="135"/>
      <c r="I224" s="135"/>
      <c r="J224" s="135"/>
      <c r="K224" s="135"/>
      <c r="L224" s="135"/>
      <c r="M224" s="135"/>
    </row>
    <row r="225" spans="1:13" x14ac:dyDescent="0.25">
      <c r="E225" s="135"/>
      <c r="F225" s="135"/>
      <c r="G225" s="135"/>
      <c r="H225" s="135"/>
      <c r="I225" s="135"/>
      <c r="J225" s="135"/>
      <c r="K225" s="135"/>
      <c r="L225" s="135"/>
      <c r="M225" s="135"/>
    </row>
    <row r="226" spans="1:13" ht="15.5" x14ac:dyDescent="0.35">
      <c r="A226" s="71" t="s">
        <v>697</v>
      </c>
      <c r="E226" s="135"/>
      <c r="F226" s="135"/>
      <c r="G226" s="135"/>
      <c r="H226" s="135"/>
      <c r="I226" s="135"/>
      <c r="J226" s="135"/>
      <c r="K226" s="135"/>
      <c r="L226" s="135"/>
      <c r="M226" s="135"/>
    </row>
    <row r="227" spans="1:13" x14ac:dyDescent="0.25">
      <c r="E227" s="135"/>
      <c r="F227" s="135"/>
      <c r="G227" s="135"/>
      <c r="H227" s="135"/>
      <c r="I227" s="135"/>
      <c r="J227" s="135"/>
      <c r="K227" s="135"/>
      <c r="L227" s="135"/>
      <c r="M227" s="135"/>
    </row>
    <row r="228" spans="1:13" x14ac:dyDescent="0.25">
      <c r="E228" s="135"/>
      <c r="F228" s="135"/>
      <c r="G228" s="135"/>
      <c r="H228" s="135"/>
      <c r="I228" s="135"/>
      <c r="J228" s="135"/>
      <c r="K228" s="135"/>
      <c r="L228" s="135"/>
      <c r="M228" s="135"/>
    </row>
    <row r="229" spans="1:13" x14ac:dyDescent="0.25">
      <c r="E229" s="135"/>
      <c r="F229" s="135"/>
      <c r="G229" s="135"/>
      <c r="H229" s="135"/>
      <c r="I229" s="135"/>
      <c r="J229" s="135"/>
      <c r="K229" s="135"/>
      <c r="L229" s="135"/>
      <c r="M229" s="135"/>
    </row>
    <row r="230" spans="1:13" x14ac:dyDescent="0.25">
      <c r="E230" s="135"/>
      <c r="F230" s="135"/>
      <c r="G230" s="135"/>
      <c r="H230" s="135"/>
      <c r="I230" s="135"/>
      <c r="J230" s="135"/>
      <c r="K230" s="135"/>
      <c r="L230" s="135"/>
      <c r="M230" s="135"/>
    </row>
    <row r="231" spans="1:13" x14ac:dyDescent="0.25">
      <c r="E231" s="135"/>
      <c r="F231" s="135"/>
      <c r="G231" s="135"/>
      <c r="H231" s="135"/>
      <c r="I231" s="135"/>
      <c r="J231" s="135"/>
      <c r="K231" s="135"/>
      <c r="L231" s="135"/>
      <c r="M231" s="135"/>
    </row>
    <row r="232" spans="1:13" x14ac:dyDescent="0.25">
      <c r="E232" s="135"/>
      <c r="F232" s="135"/>
      <c r="G232" s="135"/>
      <c r="H232" s="135"/>
      <c r="I232" s="135"/>
      <c r="J232" s="135"/>
      <c r="K232" s="135"/>
      <c r="L232" s="135"/>
      <c r="M232" s="135"/>
    </row>
  </sheetData>
  <sheetProtection sheet="1" objects="1" scenarios="1" formatCells="0" selectLockedCells="1"/>
  <phoneticPr fontId="2" type="noConversion"/>
  <printOptions gridLines="1"/>
  <pageMargins left="0.75" right="0.75" top="1" bottom="1" header="0.5" footer="0.5"/>
  <pageSetup orientation="portrait" horizont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6"/>
  <sheetViews>
    <sheetView workbookViewId="0">
      <selection activeCell="F1" sqref="F1"/>
    </sheetView>
  </sheetViews>
  <sheetFormatPr defaultRowHeight="12.5" x14ac:dyDescent="0.25"/>
  <cols>
    <col min="1" max="1" width="42.453125" customWidth="1"/>
    <col min="2" max="2" width="20.453125" customWidth="1"/>
    <col min="3" max="3" width="10.7265625" style="8" customWidth="1"/>
    <col min="4" max="4" width="7.54296875" customWidth="1"/>
  </cols>
  <sheetData>
    <row r="1" spans="1:14" ht="18" x14ac:dyDescent="0.4">
      <c r="A1" s="355" t="s">
        <v>1170</v>
      </c>
      <c r="C1" s="10"/>
      <c r="D1" s="28"/>
      <c r="E1" s="4" t="s">
        <v>201</v>
      </c>
      <c r="F1" s="135"/>
      <c r="G1" s="135"/>
      <c r="H1" s="135"/>
      <c r="I1" s="135"/>
      <c r="J1" s="135"/>
      <c r="K1" s="135"/>
      <c r="L1" s="135"/>
      <c r="M1" s="135"/>
      <c r="N1" s="135"/>
    </row>
    <row r="2" spans="1:14" x14ac:dyDescent="0.25">
      <c r="A2" s="66"/>
      <c r="F2" s="135"/>
      <c r="G2" s="135"/>
      <c r="H2" s="135"/>
      <c r="I2" s="135"/>
      <c r="J2" s="135"/>
      <c r="K2" s="135"/>
      <c r="L2" s="135"/>
      <c r="M2" s="135"/>
      <c r="N2" s="135"/>
    </row>
    <row r="3" spans="1:14" x14ac:dyDescent="0.25">
      <c r="F3" s="135"/>
      <c r="G3" s="135"/>
      <c r="H3" s="135"/>
      <c r="I3" s="135"/>
      <c r="J3" s="135"/>
      <c r="K3" s="135"/>
      <c r="L3" s="135"/>
      <c r="M3" s="135"/>
      <c r="N3" s="135"/>
    </row>
    <row r="4" spans="1:14" ht="15.5" x14ac:dyDescent="0.35">
      <c r="A4" s="82" t="s">
        <v>837</v>
      </c>
      <c r="F4" s="135"/>
      <c r="G4" s="135"/>
      <c r="H4" s="135"/>
      <c r="I4" s="135"/>
      <c r="J4" s="135"/>
      <c r="K4" s="135"/>
      <c r="L4" s="135"/>
      <c r="M4" s="135"/>
      <c r="N4" s="135"/>
    </row>
    <row r="5" spans="1:14" ht="13" x14ac:dyDescent="0.3">
      <c r="B5" s="3"/>
      <c r="E5" s="4" t="s">
        <v>201</v>
      </c>
      <c r="F5" s="135"/>
      <c r="G5" s="135"/>
      <c r="H5" s="135"/>
      <c r="I5" s="135"/>
      <c r="J5" s="135"/>
      <c r="K5" s="135"/>
      <c r="L5" s="135"/>
      <c r="M5" s="135"/>
      <c r="N5" s="135"/>
    </row>
    <row r="6" spans="1:14" ht="13" x14ac:dyDescent="0.3">
      <c r="A6" s="10"/>
      <c r="B6" s="3"/>
      <c r="F6" s="135"/>
      <c r="G6" s="135"/>
      <c r="H6" s="135"/>
      <c r="I6" s="135"/>
      <c r="J6" s="135"/>
      <c r="K6" s="135"/>
      <c r="L6" s="135"/>
      <c r="M6" s="135"/>
      <c r="N6" s="135"/>
    </row>
    <row r="7" spans="1:14" x14ac:dyDescent="0.25">
      <c r="A7" s="8"/>
      <c r="B7" s="3"/>
      <c r="F7" s="135"/>
      <c r="G7" s="135"/>
      <c r="H7" s="135"/>
      <c r="I7" s="135"/>
      <c r="J7" s="135"/>
      <c r="K7" s="135"/>
      <c r="L7" s="135"/>
      <c r="M7" s="135"/>
      <c r="N7" s="135"/>
    </row>
    <row r="8" spans="1:14" x14ac:dyDescent="0.25">
      <c r="B8" s="3"/>
      <c r="F8" s="135"/>
      <c r="G8" s="135"/>
      <c r="H8" s="135"/>
      <c r="I8" s="135"/>
      <c r="J8" s="135"/>
      <c r="K8" s="135"/>
      <c r="L8" s="135"/>
      <c r="M8" s="135"/>
      <c r="N8" s="135"/>
    </row>
    <row r="9" spans="1:14" x14ac:dyDescent="0.25">
      <c r="A9" s="8"/>
      <c r="B9" s="3"/>
      <c r="F9" s="135"/>
      <c r="G9" s="135"/>
      <c r="H9" s="135"/>
      <c r="I9" s="135"/>
      <c r="J9" s="135"/>
      <c r="K9" s="135"/>
      <c r="L9" s="135"/>
      <c r="M9" s="135"/>
      <c r="N9" s="135"/>
    </row>
    <row r="10" spans="1:14" x14ac:dyDescent="0.25">
      <c r="B10" s="3"/>
      <c r="F10" s="135"/>
      <c r="G10" s="135"/>
      <c r="H10" s="135"/>
      <c r="I10" s="135"/>
      <c r="J10" s="135"/>
      <c r="K10" s="135"/>
      <c r="L10" s="135"/>
      <c r="M10" s="135"/>
      <c r="N10" s="135"/>
    </row>
    <row r="11" spans="1:14" x14ac:dyDescent="0.25">
      <c r="A11" s="8"/>
      <c r="B11" s="3"/>
      <c r="F11" s="135"/>
      <c r="G11" s="135"/>
      <c r="H11" s="135"/>
      <c r="I11" s="135"/>
      <c r="J11" s="135"/>
      <c r="K11" s="135"/>
      <c r="L11" s="135"/>
      <c r="M11" s="135"/>
      <c r="N11" s="135"/>
    </row>
    <row r="12" spans="1:14" x14ac:dyDescent="0.25">
      <c r="B12" s="3"/>
      <c r="F12" s="135"/>
      <c r="G12" s="135"/>
      <c r="H12" s="135"/>
      <c r="I12" s="135"/>
      <c r="J12" s="135"/>
      <c r="K12" s="135"/>
      <c r="L12" s="135"/>
      <c r="M12" s="135"/>
      <c r="N12" s="135"/>
    </row>
    <row r="13" spans="1:14" x14ac:dyDescent="0.25">
      <c r="A13" s="8"/>
      <c r="B13" s="3"/>
      <c r="F13" s="135"/>
      <c r="G13" s="135"/>
      <c r="H13" s="135"/>
      <c r="I13" s="135"/>
      <c r="J13" s="135"/>
      <c r="K13" s="135"/>
      <c r="L13" s="135"/>
      <c r="M13" s="135"/>
      <c r="N13" s="135"/>
    </row>
    <row r="14" spans="1:14" x14ac:dyDescent="0.25">
      <c r="A14" s="1"/>
      <c r="B14" s="3"/>
      <c r="F14" s="135"/>
      <c r="G14" s="135"/>
      <c r="H14" s="135"/>
      <c r="I14" s="135"/>
      <c r="J14" s="135"/>
      <c r="K14" s="135"/>
      <c r="L14" s="135"/>
      <c r="M14" s="135"/>
      <c r="N14" s="135"/>
    </row>
    <row r="15" spans="1:14" x14ac:dyDescent="0.25">
      <c r="A15" s="1"/>
      <c r="B15" s="3"/>
      <c r="F15" s="135"/>
      <c r="G15" s="135"/>
      <c r="H15" s="135"/>
      <c r="I15" s="135"/>
      <c r="J15" s="135"/>
      <c r="K15" s="135"/>
      <c r="L15" s="135"/>
      <c r="M15" s="135"/>
      <c r="N15" s="135"/>
    </row>
    <row r="16" spans="1:14" x14ac:dyDescent="0.25">
      <c r="A16" s="1"/>
      <c r="B16" s="3"/>
      <c r="F16" s="135"/>
      <c r="G16" s="135"/>
      <c r="H16" s="135"/>
      <c r="I16" s="135"/>
      <c r="J16" s="135"/>
      <c r="K16" s="135"/>
      <c r="L16" s="135"/>
      <c r="M16" s="135"/>
      <c r="N16" s="135"/>
    </row>
    <row r="17" spans="1:14" x14ac:dyDescent="0.25">
      <c r="A17" s="1"/>
      <c r="B17" s="3"/>
      <c r="F17" s="135"/>
      <c r="G17" s="135"/>
      <c r="H17" s="135"/>
      <c r="I17" s="135"/>
      <c r="J17" s="135"/>
      <c r="K17" s="135"/>
      <c r="L17" s="135"/>
      <c r="M17" s="135"/>
      <c r="N17" s="135"/>
    </row>
    <row r="18" spans="1:14" x14ac:dyDescent="0.25">
      <c r="A18" s="1"/>
      <c r="B18" s="3"/>
      <c r="F18" s="135"/>
      <c r="G18" s="135"/>
      <c r="H18" s="135"/>
      <c r="I18" s="135"/>
      <c r="J18" s="135"/>
      <c r="K18" s="135"/>
      <c r="L18" s="135"/>
      <c r="M18" s="135"/>
      <c r="N18" s="135"/>
    </row>
    <row r="19" spans="1:14" x14ac:dyDescent="0.25">
      <c r="A19" s="1"/>
      <c r="B19" s="3"/>
      <c r="F19" s="135"/>
      <c r="G19" s="135"/>
      <c r="H19" s="135"/>
      <c r="I19" s="135"/>
      <c r="J19" s="135"/>
      <c r="K19" s="135"/>
      <c r="L19" s="135"/>
      <c r="M19" s="135"/>
      <c r="N19" s="135"/>
    </row>
    <row r="20" spans="1:14" x14ac:dyDescent="0.25">
      <c r="A20" s="1"/>
      <c r="B20" s="3"/>
      <c r="F20" s="135"/>
      <c r="G20" s="135"/>
      <c r="H20" s="135"/>
      <c r="I20" s="135"/>
      <c r="J20" s="135"/>
      <c r="K20" s="135"/>
      <c r="L20" s="135"/>
      <c r="M20" s="135"/>
      <c r="N20" s="135"/>
    </row>
    <row r="21" spans="1:14" x14ac:dyDescent="0.25">
      <c r="A21" s="1"/>
      <c r="B21" s="3"/>
      <c r="F21" s="135"/>
      <c r="G21" s="135"/>
      <c r="H21" s="135"/>
      <c r="I21" s="135"/>
      <c r="J21" s="135"/>
      <c r="K21" s="135"/>
      <c r="L21" s="135"/>
      <c r="M21" s="135"/>
      <c r="N21" s="135"/>
    </row>
    <row r="22" spans="1:14" x14ac:dyDescent="0.25">
      <c r="A22" s="1"/>
      <c r="B22" s="3"/>
      <c r="F22" s="135"/>
      <c r="G22" s="135"/>
      <c r="H22" s="135"/>
      <c r="I22" s="135"/>
      <c r="J22" s="135"/>
      <c r="K22" s="135"/>
      <c r="L22" s="135"/>
      <c r="M22" s="135"/>
      <c r="N22" s="135"/>
    </row>
    <row r="23" spans="1:14" x14ac:dyDescent="0.25">
      <c r="A23" s="1"/>
      <c r="B23" s="3"/>
      <c r="F23" s="135"/>
      <c r="G23" s="135"/>
      <c r="H23" s="135"/>
      <c r="I23" s="135"/>
      <c r="J23" s="135"/>
      <c r="K23" s="135"/>
      <c r="L23" s="135"/>
      <c r="M23" s="135"/>
      <c r="N23" s="135"/>
    </row>
    <row r="24" spans="1:14" x14ac:dyDescent="0.25">
      <c r="A24" s="1"/>
      <c r="B24" s="3"/>
      <c r="F24" s="135"/>
      <c r="G24" s="135"/>
      <c r="H24" s="135"/>
      <c r="I24" s="135"/>
      <c r="J24" s="135"/>
      <c r="K24" s="135"/>
      <c r="L24" s="135"/>
      <c r="M24" s="135"/>
      <c r="N24" s="135"/>
    </row>
    <row r="25" spans="1:14" x14ac:dyDescent="0.25">
      <c r="A25" s="1"/>
      <c r="B25" s="3"/>
      <c r="F25" s="135"/>
      <c r="G25" s="135"/>
      <c r="H25" s="135"/>
      <c r="I25" s="135"/>
      <c r="J25" s="135"/>
      <c r="K25" s="135"/>
      <c r="L25" s="135"/>
      <c r="M25" s="135"/>
      <c r="N25" s="135"/>
    </row>
    <row r="26" spans="1:14" x14ac:dyDescent="0.25">
      <c r="A26" s="1"/>
      <c r="B26" s="3"/>
      <c r="F26" s="135"/>
      <c r="G26" s="135"/>
      <c r="H26" s="135"/>
      <c r="I26" s="135"/>
      <c r="J26" s="135"/>
      <c r="K26" s="135"/>
      <c r="L26" s="135"/>
      <c r="M26" s="135"/>
      <c r="N26" s="135"/>
    </row>
    <row r="27" spans="1:14" x14ac:dyDescent="0.25">
      <c r="A27" s="8"/>
      <c r="B27" s="3"/>
      <c r="F27" s="135"/>
      <c r="G27" s="135"/>
      <c r="H27" s="135"/>
      <c r="I27" s="135"/>
      <c r="J27" s="135"/>
      <c r="K27" s="135"/>
      <c r="L27" s="135"/>
      <c r="M27" s="135"/>
      <c r="N27" s="135"/>
    </row>
    <row r="28" spans="1:14" x14ac:dyDescent="0.25">
      <c r="B28" s="3"/>
      <c r="F28" s="135"/>
      <c r="G28" s="135"/>
      <c r="H28" s="135"/>
      <c r="I28" s="135"/>
      <c r="J28" s="135"/>
      <c r="K28" s="135"/>
      <c r="L28" s="135"/>
      <c r="M28" s="135"/>
      <c r="N28" s="135"/>
    </row>
    <row r="29" spans="1:14" x14ac:dyDescent="0.25">
      <c r="B29" s="3"/>
      <c r="F29" s="135"/>
      <c r="G29" s="135"/>
      <c r="H29" s="135"/>
      <c r="I29" s="135"/>
      <c r="J29" s="135"/>
      <c r="K29" s="135"/>
      <c r="L29" s="135"/>
      <c r="M29" s="135"/>
      <c r="N29" s="135"/>
    </row>
    <row r="30" spans="1:14" ht="13" x14ac:dyDescent="0.3">
      <c r="A30" s="10" t="s">
        <v>310</v>
      </c>
      <c r="B30" s="3"/>
      <c r="F30" s="135"/>
      <c r="G30" s="135"/>
      <c r="H30" s="135"/>
      <c r="I30" s="135"/>
      <c r="J30" s="135"/>
      <c r="K30" s="135"/>
      <c r="L30" s="135"/>
      <c r="M30" s="135"/>
      <c r="N30" s="135"/>
    </row>
    <row r="31" spans="1:14" ht="13" x14ac:dyDescent="0.3">
      <c r="A31" s="10" t="s">
        <v>311</v>
      </c>
      <c r="B31" s="3"/>
      <c r="F31" s="135"/>
      <c r="G31" s="135"/>
      <c r="H31" s="135"/>
      <c r="I31" s="135"/>
      <c r="J31" s="135"/>
      <c r="K31" s="135"/>
      <c r="L31" s="135"/>
      <c r="M31" s="135"/>
      <c r="N31" s="135"/>
    </row>
    <row r="32" spans="1:14" x14ac:dyDescent="0.25">
      <c r="A32" s="8" t="s">
        <v>137</v>
      </c>
      <c r="B32" s="3"/>
      <c r="F32" s="135"/>
      <c r="G32" s="135"/>
      <c r="H32" s="135"/>
      <c r="I32" s="135"/>
      <c r="J32" s="135"/>
      <c r="K32" s="135"/>
      <c r="L32" s="135"/>
      <c r="M32" s="135"/>
      <c r="N32" s="135"/>
    </row>
    <row r="33" spans="1:14" x14ac:dyDescent="0.25">
      <c r="A33" s="8"/>
      <c r="B33" s="3"/>
      <c r="F33" s="135"/>
      <c r="G33" s="135"/>
      <c r="H33" s="135"/>
      <c r="I33" s="135"/>
      <c r="J33" s="135"/>
      <c r="K33" s="135"/>
      <c r="L33" s="135"/>
      <c r="M33" s="135"/>
      <c r="N33" s="135"/>
    </row>
    <row r="34" spans="1:14" x14ac:dyDescent="0.25">
      <c r="A34" s="1"/>
      <c r="B34" s="3"/>
      <c r="F34" s="135"/>
      <c r="G34" s="135"/>
      <c r="H34" s="135"/>
      <c r="I34" s="135"/>
      <c r="J34" s="135"/>
      <c r="K34" s="135"/>
      <c r="L34" s="135"/>
      <c r="M34" s="135"/>
      <c r="N34" s="135"/>
    </row>
    <row r="35" spans="1:14" x14ac:dyDescent="0.25">
      <c r="A35" s="1"/>
      <c r="B35" s="3"/>
      <c r="F35" s="135"/>
      <c r="G35" s="135"/>
      <c r="H35" s="135"/>
      <c r="I35" s="135"/>
      <c r="J35" s="135"/>
      <c r="K35" s="135"/>
      <c r="L35" s="135"/>
      <c r="M35" s="135"/>
      <c r="N35" s="135"/>
    </row>
    <row r="36" spans="1:14" x14ac:dyDescent="0.25">
      <c r="A36" s="1"/>
      <c r="B36" s="3"/>
      <c r="F36" s="135"/>
      <c r="G36" s="135"/>
      <c r="H36" s="135"/>
      <c r="I36" s="135"/>
      <c r="J36" s="135"/>
      <c r="K36" s="135"/>
      <c r="L36" s="135"/>
      <c r="M36" s="135"/>
      <c r="N36" s="135"/>
    </row>
    <row r="37" spans="1:14" x14ac:dyDescent="0.25">
      <c r="A37" s="1"/>
      <c r="B37" s="3"/>
      <c r="F37" s="135"/>
      <c r="G37" s="135"/>
      <c r="H37" s="135"/>
      <c r="I37" s="135"/>
      <c r="J37" s="135"/>
      <c r="K37" s="135"/>
      <c r="L37" s="135"/>
      <c r="M37" s="135"/>
      <c r="N37" s="135"/>
    </row>
    <row r="38" spans="1:14" x14ac:dyDescent="0.25">
      <c r="A38" s="1"/>
      <c r="B38" s="3"/>
      <c r="F38" s="135"/>
      <c r="G38" s="135"/>
      <c r="H38" s="135"/>
      <c r="I38" s="135"/>
      <c r="J38" s="135"/>
      <c r="K38" s="135"/>
      <c r="L38" s="135"/>
      <c r="M38" s="135"/>
      <c r="N38" s="135"/>
    </row>
    <row r="39" spans="1:14" x14ac:dyDescent="0.25">
      <c r="A39" s="1"/>
      <c r="B39" s="3"/>
      <c r="F39" s="135"/>
      <c r="G39" s="135"/>
      <c r="H39" s="135"/>
      <c r="I39" s="135"/>
      <c r="J39" s="135"/>
      <c r="K39" s="135"/>
      <c r="L39" s="135"/>
      <c r="M39" s="135"/>
      <c r="N39" s="135"/>
    </row>
    <row r="40" spans="1:14" x14ac:dyDescent="0.25">
      <c r="A40" s="1"/>
      <c r="B40" s="3"/>
      <c r="F40" s="135"/>
      <c r="G40" s="135"/>
      <c r="H40" s="135"/>
      <c r="I40" s="135"/>
      <c r="J40" s="135"/>
      <c r="K40" s="135"/>
      <c r="L40" s="135"/>
      <c r="M40" s="135"/>
      <c r="N40" s="135"/>
    </row>
    <row r="41" spans="1:14" x14ac:dyDescent="0.25">
      <c r="A41" s="1"/>
      <c r="B41" s="3"/>
      <c r="F41" s="135"/>
      <c r="G41" s="135"/>
      <c r="H41" s="135"/>
      <c r="I41" s="135"/>
      <c r="J41" s="135"/>
      <c r="K41" s="135"/>
      <c r="L41" s="135"/>
      <c r="M41" s="135"/>
      <c r="N41" s="135"/>
    </row>
    <row r="42" spans="1:14" x14ac:dyDescent="0.25">
      <c r="A42" s="1"/>
      <c r="B42" s="3"/>
      <c r="F42" s="135"/>
      <c r="G42" s="135"/>
      <c r="H42" s="135"/>
      <c r="I42" s="135"/>
      <c r="J42" s="135"/>
      <c r="K42" s="135"/>
      <c r="L42" s="135"/>
      <c r="M42" s="135"/>
      <c r="N42" s="135"/>
    </row>
    <row r="43" spans="1:14" x14ac:dyDescent="0.25">
      <c r="A43" s="1"/>
      <c r="B43" s="3"/>
      <c r="F43" s="135"/>
      <c r="G43" s="135"/>
      <c r="H43" s="135"/>
      <c r="I43" s="135"/>
      <c r="J43" s="135"/>
      <c r="K43" s="135"/>
      <c r="L43" s="135"/>
      <c r="M43" s="135"/>
      <c r="N43" s="135"/>
    </row>
    <row r="44" spans="1:14" x14ac:dyDescent="0.25">
      <c r="A44" s="1"/>
      <c r="B44" s="3"/>
      <c r="F44" s="135"/>
      <c r="G44" s="135"/>
      <c r="H44" s="135"/>
      <c r="I44" s="135"/>
      <c r="J44" s="135"/>
      <c r="K44" s="135"/>
      <c r="L44" s="135"/>
      <c r="M44" s="135"/>
      <c r="N44" s="135"/>
    </row>
    <row r="45" spans="1:14" ht="16" thickBot="1" x14ac:dyDescent="0.4">
      <c r="A45" s="68" t="s">
        <v>213</v>
      </c>
      <c r="B45" s="29" t="s">
        <v>486</v>
      </c>
      <c r="F45" s="135"/>
      <c r="G45" s="135"/>
      <c r="H45" s="135"/>
      <c r="I45" s="135"/>
      <c r="J45" s="135"/>
      <c r="K45" s="135"/>
      <c r="L45" s="135"/>
      <c r="M45" s="135"/>
      <c r="N45" s="135"/>
    </row>
    <row r="46" spans="1:14" x14ac:dyDescent="0.25">
      <c r="A46" s="1" t="s">
        <v>215</v>
      </c>
      <c r="B46" s="31">
        <v>30</v>
      </c>
      <c r="C46" s="8" t="s">
        <v>218</v>
      </c>
      <c r="F46" s="135"/>
      <c r="G46" s="135"/>
      <c r="H46" s="135"/>
      <c r="I46" s="135"/>
      <c r="J46" s="135"/>
      <c r="K46" s="135"/>
      <c r="L46" s="135"/>
      <c r="M46" s="135"/>
      <c r="N46" s="135"/>
    </row>
    <row r="47" spans="1:14" ht="13" thickBot="1" x14ac:dyDescent="0.3">
      <c r="A47" s="1" t="s">
        <v>216</v>
      </c>
      <c r="B47" s="191">
        <v>1750</v>
      </c>
      <c r="C47" s="8" t="s">
        <v>217</v>
      </c>
      <c r="F47" s="135"/>
      <c r="G47" s="135"/>
      <c r="H47" s="135"/>
      <c r="I47" s="135"/>
      <c r="J47" s="135"/>
      <c r="K47" s="135"/>
      <c r="L47" s="135"/>
      <c r="M47" s="135"/>
      <c r="N47" s="135"/>
    </row>
    <row r="48" spans="1:14" ht="13" x14ac:dyDescent="0.3">
      <c r="B48" s="29" t="s">
        <v>139</v>
      </c>
      <c r="F48" s="135"/>
      <c r="G48" s="135"/>
      <c r="H48" s="135"/>
      <c r="I48" s="135"/>
      <c r="J48" s="135"/>
      <c r="K48" s="135"/>
      <c r="L48" s="135"/>
      <c r="M48" s="135"/>
      <c r="N48" s="135"/>
    </row>
    <row r="49" spans="1:14" ht="13" x14ac:dyDescent="0.3">
      <c r="A49" s="2" t="s">
        <v>212</v>
      </c>
      <c r="B49" s="4" t="s">
        <v>304</v>
      </c>
      <c r="F49" s="135"/>
      <c r="G49" s="135"/>
      <c r="H49" s="135"/>
      <c r="I49" s="135"/>
      <c r="J49" s="135"/>
      <c r="K49" s="135"/>
      <c r="L49" s="135"/>
      <c r="M49" s="135"/>
      <c r="N49" s="135"/>
    </row>
    <row r="50" spans="1:14" ht="13" x14ac:dyDescent="0.3">
      <c r="A50" s="2" t="s">
        <v>219</v>
      </c>
      <c r="B50" s="5">
        <f>(12*33000*B46)/(2*3.142*B47)</f>
        <v>1080.2946258070383</v>
      </c>
      <c r="C50" s="10" t="s">
        <v>205</v>
      </c>
      <c r="F50" s="135"/>
      <c r="G50" s="135"/>
      <c r="H50" s="135"/>
      <c r="I50" s="135"/>
      <c r="J50" s="135"/>
      <c r="K50" s="135"/>
      <c r="L50" s="135"/>
      <c r="M50" s="135"/>
      <c r="N50" s="135"/>
    </row>
    <row r="51" spans="1:14" x14ac:dyDescent="0.25">
      <c r="F51" s="135"/>
      <c r="G51" s="135"/>
      <c r="H51" s="135"/>
      <c r="I51" s="135"/>
      <c r="J51" s="135"/>
      <c r="K51" s="135"/>
      <c r="L51" s="135"/>
      <c r="M51" s="135"/>
      <c r="N51" s="135"/>
    </row>
    <row r="52" spans="1:14" x14ac:dyDescent="0.25">
      <c r="A52" s="120"/>
      <c r="B52" s="120"/>
      <c r="C52" s="125"/>
      <c r="D52" s="120"/>
      <c r="E52" s="120"/>
      <c r="F52" s="135"/>
      <c r="G52" s="135"/>
      <c r="H52" s="135"/>
      <c r="I52" s="135"/>
      <c r="J52" s="135"/>
      <c r="K52" s="135"/>
      <c r="L52" s="135"/>
      <c r="M52" s="135"/>
      <c r="N52" s="135"/>
    </row>
    <row r="53" spans="1:14" x14ac:dyDescent="0.25">
      <c r="F53" s="135"/>
      <c r="G53" s="135"/>
      <c r="H53" s="135"/>
      <c r="I53" s="135"/>
      <c r="J53" s="135"/>
      <c r="K53" s="135"/>
      <c r="L53" s="135"/>
      <c r="M53" s="135"/>
      <c r="N53" s="135"/>
    </row>
    <row r="54" spans="1:14" ht="16" thickBot="1" x14ac:dyDescent="0.4">
      <c r="A54" s="82" t="s">
        <v>236</v>
      </c>
      <c r="B54" s="29" t="s">
        <v>486</v>
      </c>
      <c r="E54" s="4" t="s">
        <v>201</v>
      </c>
      <c r="F54" s="241" t="s">
        <v>871</v>
      </c>
      <c r="G54" s="241" t="s">
        <v>872</v>
      </c>
      <c r="H54" s="242">
        <v>40830</v>
      </c>
      <c r="I54" s="135"/>
      <c r="J54" s="135"/>
      <c r="K54" s="135"/>
      <c r="L54" s="135"/>
      <c r="M54" s="135"/>
      <c r="N54" s="135"/>
    </row>
    <row r="55" spans="1:14" ht="13" x14ac:dyDescent="0.3">
      <c r="A55" s="1" t="s">
        <v>313</v>
      </c>
      <c r="B55" s="36">
        <v>2.25</v>
      </c>
      <c r="C55" s="8" t="s">
        <v>209</v>
      </c>
      <c r="E55" s="4" t="s">
        <v>694</v>
      </c>
      <c r="F55" s="63">
        <v>2.25</v>
      </c>
      <c r="G55" s="36">
        <v>3</v>
      </c>
      <c r="H55" s="135"/>
      <c r="I55" s="135"/>
      <c r="J55" s="135"/>
      <c r="K55" s="135"/>
      <c r="L55" s="135"/>
      <c r="M55" s="135"/>
      <c r="N55" s="135"/>
    </row>
    <row r="56" spans="1:14" x14ac:dyDescent="0.25">
      <c r="A56" s="1" t="s">
        <v>330</v>
      </c>
      <c r="B56" s="32">
        <v>3</v>
      </c>
      <c r="C56" s="8" t="s">
        <v>314</v>
      </c>
      <c r="F56" s="63">
        <v>3</v>
      </c>
      <c r="G56" s="32">
        <v>3</v>
      </c>
      <c r="H56" s="135"/>
      <c r="I56" s="135"/>
      <c r="J56" s="135"/>
      <c r="K56" s="135"/>
      <c r="L56" s="135"/>
      <c r="M56" s="135"/>
      <c r="N56" s="135"/>
    </row>
    <row r="57" spans="1:14" x14ac:dyDescent="0.25">
      <c r="A57" s="156" t="s">
        <v>874</v>
      </c>
      <c r="B57" s="32">
        <v>14.5</v>
      </c>
      <c r="C57" s="8" t="s">
        <v>214</v>
      </c>
      <c r="F57" s="63">
        <v>14.5</v>
      </c>
      <c r="G57" s="32">
        <v>5.86</v>
      </c>
      <c r="H57" s="135"/>
      <c r="I57" s="135"/>
      <c r="J57" s="135"/>
      <c r="K57" s="135"/>
      <c r="L57" s="135"/>
      <c r="M57" s="135"/>
      <c r="N57" s="135"/>
    </row>
    <row r="58" spans="1:14" x14ac:dyDescent="0.25">
      <c r="A58" s="1" t="s">
        <v>333</v>
      </c>
      <c r="B58" s="32">
        <v>2</v>
      </c>
      <c r="F58" s="63">
        <v>2</v>
      </c>
      <c r="G58" s="32">
        <v>2</v>
      </c>
      <c r="H58" s="135"/>
      <c r="I58" s="135"/>
      <c r="J58" s="135"/>
      <c r="K58" s="135"/>
      <c r="L58" s="135"/>
      <c r="M58" s="135"/>
      <c r="N58" s="135"/>
    </row>
    <row r="59" spans="1:14" x14ac:dyDescent="0.25">
      <c r="A59" s="1" t="s">
        <v>312</v>
      </c>
      <c r="B59" s="32">
        <v>0.15</v>
      </c>
      <c r="F59" s="63"/>
      <c r="G59" s="135"/>
      <c r="H59" s="135"/>
      <c r="I59" s="135"/>
      <c r="J59" s="135"/>
      <c r="K59" s="135"/>
      <c r="L59" s="135"/>
      <c r="M59" s="135"/>
      <c r="N59" s="135"/>
    </row>
    <row r="60" spans="1:14" x14ac:dyDescent="0.25">
      <c r="A60" s="1" t="s">
        <v>315</v>
      </c>
      <c r="B60" s="32">
        <v>0</v>
      </c>
      <c r="F60" s="63"/>
      <c r="G60" s="135"/>
      <c r="H60" s="135"/>
      <c r="I60" s="135"/>
      <c r="J60" s="135"/>
      <c r="K60" s="135"/>
      <c r="L60" s="135"/>
      <c r="M60" s="135"/>
      <c r="N60" s="135"/>
    </row>
    <row r="61" spans="1:14" x14ac:dyDescent="0.25">
      <c r="A61" s="1" t="s">
        <v>339</v>
      </c>
      <c r="B61" s="32">
        <v>2</v>
      </c>
      <c r="C61" s="8" t="s">
        <v>209</v>
      </c>
      <c r="F61" s="63"/>
      <c r="G61" s="135"/>
      <c r="H61" s="135"/>
      <c r="I61" s="135"/>
      <c r="J61" s="135"/>
      <c r="K61" s="135"/>
      <c r="L61" s="135"/>
      <c r="M61" s="135"/>
      <c r="N61" s="135"/>
    </row>
    <row r="62" spans="1:14" ht="13" thickBot="1" x14ac:dyDescent="0.3">
      <c r="A62" s="1" t="s">
        <v>335</v>
      </c>
      <c r="B62" s="191">
        <v>500</v>
      </c>
      <c r="C62" s="8" t="s">
        <v>230</v>
      </c>
      <c r="F62" s="63"/>
      <c r="G62" s="135"/>
      <c r="H62" s="135"/>
      <c r="I62" s="135"/>
      <c r="J62" s="135"/>
      <c r="K62" s="135"/>
      <c r="L62" s="135"/>
      <c r="M62" s="135"/>
      <c r="N62" s="135"/>
    </row>
    <row r="63" spans="1:14" ht="13" x14ac:dyDescent="0.3">
      <c r="B63" s="29" t="s">
        <v>139</v>
      </c>
      <c r="F63" s="135"/>
      <c r="G63" s="135"/>
      <c r="H63" s="135"/>
      <c r="I63" s="135"/>
      <c r="J63" s="135"/>
      <c r="K63" s="135"/>
      <c r="L63" s="135"/>
      <c r="M63" s="135"/>
      <c r="N63" s="135"/>
    </row>
    <row r="64" spans="1:14" ht="13" x14ac:dyDescent="0.3">
      <c r="A64" s="2" t="s">
        <v>316</v>
      </c>
      <c r="B64" s="4" t="s">
        <v>317</v>
      </c>
      <c r="F64" s="135"/>
      <c r="G64" s="135"/>
      <c r="H64" s="135"/>
      <c r="I64" s="135"/>
      <c r="J64" s="135"/>
      <c r="K64" s="135"/>
      <c r="L64" s="135"/>
      <c r="M64" s="135"/>
      <c r="N64" s="135"/>
    </row>
    <row r="65" spans="1:14" ht="13" x14ac:dyDescent="0.3">
      <c r="A65" s="2" t="s">
        <v>321</v>
      </c>
      <c r="B65" s="9">
        <f>(0.5*(1/B56))+0.01</f>
        <v>0.17666666666666667</v>
      </c>
      <c r="C65" s="10" t="s">
        <v>209</v>
      </c>
      <c r="E65" t="s">
        <v>201</v>
      </c>
      <c r="F65" s="135"/>
      <c r="G65" s="135"/>
      <c r="H65" s="135"/>
      <c r="I65" s="135"/>
      <c r="J65" s="135"/>
      <c r="K65" s="135"/>
      <c r="L65" s="135"/>
      <c r="M65" s="135"/>
      <c r="N65" s="135"/>
    </row>
    <row r="66" spans="1:14" ht="13" x14ac:dyDescent="0.3">
      <c r="A66" s="2" t="s">
        <v>318</v>
      </c>
      <c r="B66" s="4" t="s">
        <v>319</v>
      </c>
      <c r="C66" s="10"/>
      <c r="F66" s="135"/>
      <c r="G66" s="135"/>
      <c r="H66" s="135"/>
      <c r="I66" s="135"/>
      <c r="J66" s="135"/>
      <c r="K66" s="135"/>
      <c r="L66" s="135"/>
      <c r="M66" s="135"/>
      <c r="N66" s="135"/>
    </row>
    <row r="67" spans="1:14" ht="13" x14ac:dyDescent="0.3">
      <c r="A67" s="2" t="s">
        <v>320</v>
      </c>
      <c r="B67" s="9">
        <f>(B55-B65)/2</f>
        <v>1.0366666666666666</v>
      </c>
      <c r="C67" s="10" t="s">
        <v>209</v>
      </c>
      <c r="F67" s="135"/>
      <c r="G67" s="135"/>
      <c r="H67" s="135"/>
      <c r="I67" s="135"/>
      <c r="J67" s="135"/>
      <c r="K67" s="135"/>
      <c r="L67" s="135"/>
      <c r="M67" s="135"/>
      <c r="N67" s="135"/>
    </row>
    <row r="68" spans="1:14" x14ac:dyDescent="0.25">
      <c r="A68" s="1"/>
      <c r="B68" s="3"/>
      <c r="F68" s="135"/>
      <c r="G68" s="135"/>
      <c r="H68" s="135"/>
      <c r="I68" s="135"/>
      <c r="J68" s="135"/>
      <c r="K68" s="135"/>
      <c r="L68" s="135"/>
      <c r="M68" s="135"/>
      <c r="N68" s="135"/>
    </row>
    <row r="69" spans="1:14" ht="13" x14ac:dyDescent="0.3">
      <c r="A69" s="2" t="s">
        <v>329</v>
      </c>
      <c r="B69" s="4" t="s">
        <v>322</v>
      </c>
      <c r="F69" s="135"/>
      <c r="G69" s="135"/>
      <c r="H69" s="135"/>
      <c r="I69" s="135"/>
      <c r="J69" s="135"/>
      <c r="K69" s="135"/>
      <c r="L69" s="135"/>
      <c r="M69" s="135"/>
      <c r="N69" s="135"/>
    </row>
    <row r="70" spans="1:14" ht="13" x14ac:dyDescent="0.3">
      <c r="A70" s="2" t="s">
        <v>323</v>
      </c>
      <c r="B70" s="11">
        <f>(B58*(1/B56))/(2*3.142*B67)</f>
        <v>0.10233717643543241</v>
      </c>
      <c r="F70" s="135"/>
      <c r="G70" s="135"/>
      <c r="H70" s="135"/>
      <c r="I70" s="135"/>
      <c r="J70" s="135"/>
      <c r="K70" s="135"/>
      <c r="L70" s="135"/>
      <c r="M70" s="135"/>
      <c r="N70" s="135"/>
    </row>
    <row r="71" spans="1:14" ht="13" x14ac:dyDescent="0.3">
      <c r="A71" s="2" t="s">
        <v>324</v>
      </c>
      <c r="B71" s="6">
        <f>57.2975*B70</f>
        <v>5.8636643668091883</v>
      </c>
      <c r="C71" s="10" t="s">
        <v>214</v>
      </c>
      <c r="F71" s="135"/>
      <c r="G71" s="135"/>
      <c r="H71" s="135"/>
      <c r="I71" s="135"/>
      <c r="J71" s="135"/>
      <c r="K71" s="135"/>
      <c r="L71" s="135"/>
      <c r="M71" s="135"/>
      <c r="N71" s="135"/>
    </row>
    <row r="72" spans="1:14" x14ac:dyDescent="0.25">
      <c r="A72" s="1"/>
      <c r="B72" s="3"/>
      <c r="F72" s="135"/>
      <c r="G72" s="135"/>
      <c r="H72" s="135"/>
      <c r="I72" s="135"/>
      <c r="J72" s="135"/>
      <c r="K72" s="135"/>
      <c r="L72" s="135"/>
      <c r="M72" s="135"/>
      <c r="N72" s="135"/>
    </row>
    <row r="73" spans="1:14" ht="13" x14ac:dyDescent="0.3">
      <c r="A73" s="2" t="s">
        <v>325</v>
      </c>
      <c r="B73" s="4" t="s">
        <v>326</v>
      </c>
      <c r="C73" s="10"/>
      <c r="F73" s="135"/>
      <c r="G73" s="135"/>
      <c r="H73" s="135"/>
      <c r="I73" s="135"/>
      <c r="J73" s="135"/>
      <c r="K73" s="135"/>
      <c r="L73" s="135"/>
      <c r="M73" s="135"/>
      <c r="N73" s="135"/>
    </row>
    <row r="74" spans="1:14" ht="13" x14ac:dyDescent="0.3">
      <c r="A74" s="2" t="s">
        <v>327</v>
      </c>
      <c r="B74" s="11">
        <f>B70*COS(B71/57.2884)</f>
        <v>0.10180159060928851</v>
      </c>
      <c r="C74" s="10"/>
      <c r="F74" s="135"/>
      <c r="G74" s="135"/>
      <c r="H74" s="135"/>
      <c r="I74" s="135"/>
      <c r="J74" s="135"/>
      <c r="K74" s="135"/>
      <c r="L74" s="135"/>
      <c r="M74" s="135"/>
      <c r="N74" s="135"/>
    </row>
    <row r="75" spans="1:14" ht="13" x14ac:dyDescent="0.3">
      <c r="A75" s="2" t="s">
        <v>328</v>
      </c>
      <c r="B75" s="6">
        <f>57.2975*B74</f>
        <v>5.8329766379357082</v>
      </c>
      <c r="C75" s="10" t="s">
        <v>214</v>
      </c>
      <c r="F75" s="135"/>
      <c r="G75" s="135"/>
      <c r="H75" s="135"/>
      <c r="I75" s="135"/>
      <c r="J75" s="135"/>
      <c r="K75" s="135"/>
      <c r="L75" s="135"/>
      <c r="M75" s="135"/>
      <c r="N75" s="135"/>
    </row>
    <row r="76" spans="1:14" x14ac:dyDescent="0.25">
      <c r="A76" s="1"/>
      <c r="B76" s="3"/>
      <c r="F76" s="135"/>
      <c r="G76" s="135"/>
      <c r="H76" s="135"/>
      <c r="I76" s="135"/>
      <c r="J76" s="135"/>
      <c r="K76" s="135"/>
      <c r="L76" s="135"/>
      <c r="M76" s="135"/>
      <c r="N76" s="135"/>
    </row>
    <row r="77" spans="1:14" ht="13" x14ac:dyDescent="0.3">
      <c r="A77" s="2" t="s">
        <v>336</v>
      </c>
      <c r="B77" s="10" t="s">
        <v>340</v>
      </c>
      <c r="C77" s="10"/>
      <c r="F77" s="135"/>
      <c r="G77" s="135"/>
      <c r="H77" s="135"/>
      <c r="I77" s="135"/>
      <c r="J77" s="135"/>
      <c r="K77" s="135"/>
      <c r="L77" s="135"/>
      <c r="M77" s="135"/>
      <c r="N77" s="135"/>
    </row>
    <row r="78" spans="1:14" ht="13" x14ac:dyDescent="0.3">
      <c r="A78" s="2"/>
      <c r="B78" s="11">
        <f>(TAN($B$71/57.2975))+($B$59/COS($B$75/57.2975))</f>
        <v>0.25347657285159086</v>
      </c>
      <c r="C78" s="10"/>
      <c r="F78" s="135"/>
      <c r="G78" s="135"/>
      <c r="H78" s="135"/>
      <c r="I78" s="135"/>
      <c r="J78" s="135"/>
      <c r="K78" s="135"/>
      <c r="L78" s="135"/>
      <c r="M78" s="135"/>
      <c r="N78" s="135"/>
    </row>
    <row r="79" spans="1:14" ht="13" x14ac:dyDescent="0.3">
      <c r="A79" s="2" t="s">
        <v>337</v>
      </c>
      <c r="B79" s="11" t="s">
        <v>341</v>
      </c>
      <c r="C79" s="10"/>
      <c r="F79" s="135"/>
      <c r="G79" s="135"/>
      <c r="H79" s="135"/>
      <c r="I79" s="135"/>
      <c r="J79" s="135"/>
      <c r="K79" s="135"/>
      <c r="L79" s="135"/>
      <c r="M79" s="135"/>
      <c r="N79" s="135"/>
    </row>
    <row r="80" spans="1:14" ht="13" x14ac:dyDescent="0.3">
      <c r="A80" s="2"/>
      <c r="B80" s="11">
        <f>1-(B59*TAN(B71/57.2975))/COS(B75/57.2975)</f>
        <v>0.98451544141594916</v>
      </c>
      <c r="C80" s="10"/>
      <c r="F80" s="135"/>
      <c r="G80" s="135"/>
      <c r="H80" s="135"/>
      <c r="I80" s="135"/>
      <c r="J80" s="135"/>
      <c r="K80" s="135"/>
      <c r="L80" s="135"/>
      <c r="M80" s="135"/>
      <c r="N80" s="135"/>
    </row>
    <row r="81" spans="1:14" ht="13" x14ac:dyDescent="0.3">
      <c r="A81" s="2" t="s">
        <v>334</v>
      </c>
      <c r="B81" s="40" t="s">
        <v>338</v>
      </c>
      <c r="C81" s="10"/>
      <c r="F81" s="135"/>
      <c r="G81" s="135"/>
      <c r="H81" s="135"/>
      <c r="I81" s="135"/>
      <c r="J81" s="135"/>
      <c r="K81" s="135"/>
      <c r="L81" s="135"/>
      <c r="M81" s="135"/>
      <c r="N81" s="135"/>
    </row>
    <row r="82" spans="1:14" ht="13" x14ac:dyDescent="0.3">
      <c r="A82" s="2" t="s">
        <v>342</v>
      </c>
      <c r="B82" s="195">
        <f>B62*(B67*(B78/B80)+B60*B61)</f>
        <v>133.4517991298477</v>
      </c>
      <c r="C82" s="10" t="s">
        <v>205</v>
      </c>
      <c r="F82" s="135"/>
      <c r="G82" s="135"/>
      <c r="H82" s="135"/>
      <c r="I82" s="135"/>
      <c r="J82" s="135"/>
      <c r="K82" s="135"/>
      <c r="L82" s="135"/>
      <c r="M82" s="135"/>
      <c r="N82" s="135"/>
    </row>
    <row r="83" spans="1:14" x14ac:dyDescent="0.25">
      <c r="A83" s="1"/>
      <c r="B83" s="3"/>
      <c r="F83" s="135"/>
      <c r="G83" s="135"/>
      <c r="H83" s="135"/>
      <c r="I83" s="135"/>
      <c r="J83" s="135"/>
      <c r="K83" s="135"/>
      <c r="L83" s="135"/>
      <c r="M83" s="135"/>
      <c r="N83" s="135"/>
    </row>
    <row r="84" spans="1:14" ht="13" x14ac:dyDescent="0.3">
      <c r="A84" s="10" t="s">
        <v>138</v>
      </c>
      <c r="B84" s="4"/>
      <c r="F84" s="135"/>
      <c r="G84" s="135"/>
      <c r="H84" s="135"/>
      <c r="I84" s="135"/>
      <c r="J84" s="135"/>
      <c r="K84" s="135"/>
      <c r="L84" s="135"/>
      <c r="M84" s="135"/>
      <c r="N84" s="135"/>
    </row>
    <row r="85" spans="1:14" ht="13" x14ac:dyDescent="0.3">
      <c r="A85" s="2" t="s">
        <v>369</v>
      </c>
      <c r="B85" s="11">
        <f>(-TAN($B$71/57.2975))+($B$59/COS($B$75/57.2975))</f>
        <v>4.8084702852200734E-2</v>
      </c>
      <c r="F85" s="135"/>
      <c r="G85" s="135"/>
      <c r="H85" s="135"/>
      <c r="I85" s="135"/>
      <c r="J85" s="135"/>
      <c r="K85" s="135"/>
      <c r="L85" s="135"/>
      <c r="M85" s="135"/>
      <c r="N85" s="135"/>
    </row>
    <row r="86" spans="1:14" x14ac:dyDescent="0.25">
      <c r="A86" s="120"/>
      <c r="B86" s="120"/>
      <c r="C86" s="125"/>
      <c r="D86" s="120"/>
      <c r="E86" s="120"/>
      <c r="F86" s="135"/>
      <c r="G86" s="135"/>
      <c r="H86" s="135"/>
      <c r="I86" s="135"/>
      <c r="J86" s="135"/>
      <c r="K86" s="135"/>
      <c r="L86" s="135"/>
      <c r="M86" s="135"/>
      <c r="N86" s="135"/>
    </row>
    <row r="87" spans="1:14" x14ac:dyDescent="0.25">
      <c r="F87" s="135"/>
      <c r="G87" s="135"/>
      <c r="H87" s="135"/>
      <c r="I87" s="135"/>
      <c r="J87" s="135"/>
      <c r="K87" s="135"/>
      <c r="L87" s="135"/>
      <c r="M87" s="135"/>
      <c r="N87" s="135"/>
    </row>
    <row r="88" spans="1:14" x14ac:dyDescent="0.25">
      <c r="A88" s="1"/>
      <c r="B88" s="3"/>
      <c r="F88" s="135"/>
      <c r="G88" s="135"/>
      <c r="H88" s="135"/>
      <c r="I88" s="135"/>
      <c r="J88" s="135"/>
      <c r="K88" s="135"/>
      <c r="L88" s="135"/>
      <c r="M88" s="135"/>
      <c r="N88" s="135"/>
    </row>
    <row r="89" spans="1:14" x14ac:dyDescent="0.25">
      <c r="A89" s="8"/>
      <c r="B89" s="3"/>
      <c r="F89" s="135"/>
      <c r="G89" s="135"/>
      <c r="H89" s="135"/>
      <c r="I89" s="135"/>
      <c r="J89" s="135"/>
      <c r="K89" s="135"/>
      <c r="L89" s="135"/>
      <c r="M89" s="135"/>
      <c r="N89" s="135"/>
    </row>
    <row r="90" spans="1:14" x14ac:dyDescent="0.25">
      <c r="B90" s="3"/>
      <c r="F90" s="135"/>
      <c r="G90" s="135"/>
      <c r="H90" s="135"/>
      <c r="I90" s="135"/>
      <c r="J90" s="135"/>
      <c r="K90" s="135"/>
      <c r="L90" s="135"/>
      <c r="M90" s="135"/>
      <c r="N90" s="135"/>
    </row>
    <row r="91" spans="1:14" x14ac:dyDescent="0.25">
      <c r="F91" s="135"/>
      <c r="G91" s="135"/>
      <c r="H91" s="135"/>
      <c r="I91" s="135"/>
      <c r="J91" s="135"/>
      <c r="K91" s="135"/>
      <c r="L91" s="135"/>
      <c r="M91" s="135"/>
      <c r="N91" s="135"/>
    </row>
    <row r="92" spans="1:14" ht="13.5" thickBot="1" x14ac:dyDescent="0.35">
      <c r="A92" s="10" t="s">
        <v>370</v>
      </c>
      <c r="B92" s="29" t="s">
        <v>486</v>
      </c>
      <c r="F92" s="135"/>
      <c r="G92" s="135"/>
      <c r="H92" s="135"/>
      <c r="I92" s="135"/>
      <c r="J92" s="135"/>
      <c r="K92" s="135"/>
      <c r="L92" s="135"/>
      <c r="M92" s="135"/>
      <c r="N92" s="135"/>
    </row>
    <row r="93" spans="1:14" x14ac:dyDescent="0.25">
      <c r="A93" s="1" t="s">
        <v>335</v>
      </c>
      <c r="B93" s="194">
        <v>2000</v>
      </c>
      <c r="C93" s="8" t="s">
        <v>230</v>
      </c>
      <c r="F93" s="135"/>
      <c r="G93" s="135"/>
      <c r="H93" s="135"/>
      <c r="I93" s="135"/>
      <c r="J93" s="135"/>
      <c r="K93" s="135"/>
      <c r="L93" s="135"/>
      <c r="M93" s="135"/>
      <c r="N93" s="135"/>
    </row>
    <row r="94" spans="1:14" x14ac:dyDescent="0.25">
      <c r="A94" s="1" t="s">
        <v>140</v>
      </c>
      <c r="B94" s="32">
        <v>4</v>
      </c>
      <c r="C94" s="8" t="s">
        <v>209</v>
      </c>
      <c r="F94" s="135"/>
      <c r="G94" s="135"/>
      <c r="H94" s="135"/>
      <c r="I94" s="135"/>
      <c r="J94" s="135"/>
      <c r="K94" s="135"/>
      <c r="L94" s="135"/>
      <c r="M94" s="135"/>
      <c r="N94" s="135"/>
    </row>
    <row r="95" spans="1:14" x14ac:dyDescent="0.25">
      <c r="A95" s="1" t="s">
        <v>330</v>
      </c>
      <c r="B95" s="32">
        <v>3</v>
      </c>
      <c r="C95" s="8" t="s">
        <v>314</v>
      </c>
      <c r="F95" s="135"/>
      <c r="G95" s="135"/>
      <c r="H95" s="135"/>
      <c r="I95" s="135"/>
      <c r="J95" s="135"/>
      <c r="K95" s="135"/>
      <c r="L95" s="135"/>
      <c r="M95" s="135"/>
      <c r="N95" s="135"/>
    </row>
    <row r="96" spans="1:14" x14ac:dyDescent="0.25">
      <c r="A96" s="1" t="s">
        <v>371</v>
      </c>
      <c r="B96" s="32">
        <v>0.18</v>
      </c>
      <c r="C96" s="8" t="s">
        <v>209</v>
      </c>
      <c r="F96" s="135"/>
      <c r="G96" s="135"/>
      <c r="H96" s="135"/>
      <c r="I96" s="135"/>
      <c r="J96" s="135"/>
      <c r="K96" s="135"/>
      <c r="L96" s="135"/>
      <c r="M96" s="135"/>
      <c r="N96" s="135"/>
    </row>
    <row r="97" spans="1:14" ht="13" thickBot="1" x14ac:dyDescent="0.3">
      <c r="A97" s="1" t="s">
        <v>318</v>
      </c>
      <c r="B97" s="34">
        <v>0.9</v>
      </c>
      <c r="F97" s="135"/>
      <c r="G97" s="135"/>
      <c r="H97" s="135"/>
      <c r="I97" s="135"/>
      <c r="J97" s="135"/>
      <c r="K97" s="135"/>
      <c r="L97" s="135"/>
      <c r="M97" s="135"/>
      <c r="N97" s="135"/>
    </row>
    <row r="98" spans="1:14" ht="13" x14ac:dyDescent="0.3">
      <c r="A98" s="1"/>
      <c r="B98" s="29" t="s">
        <v>139</v>
      </c>
      <c r="F98" s="135"/>
      <c r="G98" s="135"/>
      <c r="H98" s="135"/>
      <c r="I98" s="135"/>
      <c r="J98" s="135"/>
      <c r="K98" s="135"/>
      <c r="L98" s="135"/>
      <c r="M98" s="135"/>
      <c r="N98" s="135"/>
    </row>
    <row r="99" spans="1:14" ht="13" x14ac:dyDescent="0.3">
      <c r="A99" s="2" t="s">
        <v>372</v>
      </c>
      <c r="B99" s="4" t="s">
        <v>141</v>
      </c>
      <c r="C99" s="10"/>
      <c r="F99" s="135"/>
      <c r="G99" s="135"/>
      <c r="H99" s="135"/>
      <c r="I99" s="135"/>
      <c r="J99" s="135"/>
      <c r="K99" s="135"/>
      <c r="L99" s="135"/>
      <c r="M99" s="135"/>
      <c r="N99" s="135"/>
    </row>
    <row r="100" spans="1:14" ht="13" x14ac:dyDescent="0.3">
      <c r="A100" s="2" t="s">
        <v>373</v>
      </c>
      <c r="B100" s="195">
        <f>B93/(2*3.142*B94*B97*B96*B95)</f>
        <v>163.71842526450348</v>
      </c>
      <c r="C100" s="10" t="s">
        <v>275</v>
      </c>
      <c r="F100" s="135"/>
      <c r="G100" s="135"/>
      <c r="H100" s="135"/>
      <c r="I100" s="135"/>
      <c r="J100" s="135"/>
      <c r="K100" s="135"/>
      <c r="L100" s="135"/>
      <c r="M100" s="135"/>
      <c r="N100" s="135"/>
    </row>
    <row r="101" spans="1:14" x14ac:dyDescent="0.25">
      <c r="F101" s="135"/>
      <c r="G101" s="135"/>
      <c r="H101" s="135"/>
      <c r="I101" s="135"/>
      <c r="J101" s="135"/>
      <c r="K101" s="135"/>
      <c r="L101" s="135"/>
      <c r="M101" s="135"/>
      <c r="N101" s="135"/>
    </row>
    <row r="102" spans="1:14" x14ac:dyDescent="0.25">
      <c r="A102" s="120"/>
      <c r="B102" s="120"/>
      <c r="C102" s="125"/>
      <c r="D102" s="120"/>
      <c r="E102" s="120"/>
      <c r="F102" s="135"/>
      <c r="G102" s="135"/>
      <c r="H102" s="135"/>
      <c r="I102" s="135"/>
      <c r="J102" s="135"/>
      <c r="K102" s="135"/>
      <c r="L102" s="135"/>
      <c r="M102" s="135"/>
      <c r="N102" s="135"/>
    </row>
    <row r="104" spans="1:14" ht="15.5" x14ac:dyDescent="0.35">
      <c r="A104" s="71" t="s">
        <v>697</v>
      </c>
    </row>
    <row r="105" spans="1:14" x14ac:dyDescent="0.25">
      <c r="B105" s="3"/>
    </row>
    <row r="106" spans="1:14" x14ac:dyDescent="0.25">
      <c r="A106" s="1"/>
      <c r="B106" s="3" t="s">
        <v>254</v>
      </c>
    </row>
  </sheetData>
  <sheetProtection sheet="1" objects="1" scenarios="1" formatCells="0" selectLockedCells="1"/>
  <phoneticPr fontId="2" type="noConversion"/>
  <printOptions gridLines="1"/>
  <pageMargins left="0.75" right="0.75" top="1" bottom="1" header="0.5" footer="0.5"/>
  <pageSetup orientation="portrait" horizont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02"/>
  <sheetViews>
    <sheetView workbookViewId="0">
      <selection activeCell="F1" sqref="F1"/>
    </sheetView>
  </sheetViews>
  <sheetFormatPr defaultRowHeight="12.5" x14ac:dyDescent="0.25"/>
  <cols>
    <col min="1" max="1" width="39.81640625" customWidth="1"/>
    <col min="2" max="2" width="20" customWidth="1"/>
    <col min="3" max="3" width="9.1796875" style="8"/>
    <col min="4" max="4" width="10" customWidth="1"/>
    <col min="5" max="5" width="11.7265625" customWidth="1"/>
    <col min="6" max="6" width="32.26953125" customWidth="1"/>
    <col min="7" max="7" width="14.453125" customWidth="1"/>
  </cols>
  <sheetData>
    <row r="1" spans="1:11" ht="18" x14ac:dyDescent="0.4">
      <c r="A1" s="355" t="s">
        <v>1170</v>
      </c>
      <c r="C1" s="10"/>
      <c r="D1" s="28"/>
      <c r="E1" s="4"/>
      <c r="F1" s="135"/>
      <c r="G1" s="135"/>
      <c r="H1" s="135"/>
      <c r="I1" s="135"/>
      <c r="J1" s="135"/>
      <c r="K1" s="135"/>
    </row>
    <row r="2" spans="1:11" x14ac:dyDescent="0.25">
      <c r="A2" s="66"/>
      <c r="F2" s="135"/>
      <c r="G2" s="135"/>
      <c r="H2" s="135"/>
      <c r="I2" s="135"/>
      <c r="J2" s="135"/>
      <c r="K2" s="135"/>
    </row>
    <row r="3" spans="1:11" x14ac:dyDescent="0.25">
      <c r="F3" s="135"/>
      <c r="G3" s="135"/>
      <c r="H3" s="135"/>
      <c r="I3" s="135"/>
      <c r="J3" s="135"/>
      <c r="K3" s="135"/>
    </row>
    <row r="4" spans="1:11" ht="20" x14ac:dyDescent="0.4">
      <c r="A4" s="354" t="s">
        <v>836</v>
      </c>
      <c r="F4" s="135"/>
      <c r="G4" s="135"/>
      <c r="H4" s="135"/>
      <c r="I4" s="135"/>
      <c r="J4" s="135"/>
      <c r="K4" s="135"/>
    </row>
    <row r="5" spans="1:11" ht="13" x14ac:dyDescent="0.3">
      <c r="A5" s="14"/>
      <c r="F5" s="135"/>
      <c r="G5" s="135"/>
      <c r="H5" s="135"/>
      <c r="I5" s="135"/>
      <c r="J5" s="135"/>
      <c r="K5" s="135"/>
    </row>
    <row r="6" spans="1:11" ht="13" x14ac:dyDescent="0.3">
      <c r="A6" s="14"/>
      <c r="F6" s="135"/>
      <c r="G6" s="135"/>
      <c r="H6" s="135"/>
      <c r="I6" s="135"/>
      <c r="J6" s="135"/>
      <c r="K6" s="135"/>
    </row>
    <row r="7" spans="1:11" x14ac:dyDescent="0.25">
      <c r="A7" s="128"/>
      <c r="F7" s="135"/>
      <c r="G7" s="135"/>
      <c r="H7" s="135"/>
      <c r="I7" s="135"/>
      <c r="J7" s="135"/>
      <c r="K7" s="135"/>
    </row>
    <row r="8" spans="1:11" x14ac:dyDescent="0.25">
      <c r="A8" s="128"/>
      <c r="F8" s="135"/>
      <c r="G8" s="135"/>
      <c r="H8" s="135"/>
      <c r="I8" s="135"/>
      <c r="J8" s="135"/>
      <c r="K8" s="135"/>
    </row>
    <row r="9" spans="1:11" x14ac:dyDescent="0.25">
      <c r="F9" s="135"/>
      <c r="G9" s="135"/>
      <c r="H9" s="135"/>
      <c r="I9" s="135"/>
      <c r="J9" s="135"/>
      <c r="K9" s="135"/>
    </row>
    <row r="10" spans="1:11" x14ac:dyDescent="0.25">
      <c r="F10" s="135"/>
      <c r="G10" s="135"/>
      <c r="H10" s="135"/>
      <c r="I10" s="135"/>
      <c r="J10" s="135"/>
      <c r="K10" s="135"/>
    </row>
    <row r="11" spans="1:11" x14ac:dyDescent="0.25">
      <c r="F11" s="135"/>
      <c r="G11" s="135"/>
      <c r="H11" s="135"/>
      <c r="I11" s="135"/>
      <c r="J11" s="135"/>
      <c r="K11" s="135"/>
    </row>
    <row r="12" spans="1:11" x14ac:dyDescent="0.25">
      <c r="F12" s="135"/>
      <c r="G12" s="135"/>
      <c r="H12" s="135"/>
      <c r="I12" s="135"/>
      <c r="J12" s="135"/>
      <c r="K12" s="135"/>
    </row>
    <row r="13" spans="1:11" x14ac:dyDescent="0.25">
      <c r="F13" s="135"/>
      <c r="G13" s="135"/>
      <c r="H13" s="135"/>
      <c r="I13" s="135"/>
      <c r="J13" s="135"/>
      <c r="K13" s="135"/>
    </row>
    <row r="14" spans="1:11" x14ac:dyDescent="0.25">
      <c r="F14" s="135"/>
      <c r="G14" s="135"/>
      <c r="H14" s="135"/>
      <c r="I14" s="135"/>
      <c r="J14" s="135"/>
      <c r="K14" s="135"/>
    </row>
    <row r="15" spans="1:11" x14ac:dyDescent="0.25">
      <c r="F15" s="135"/>
      <c r="G15" s="135"/>
      <c r="H15" s="135"/>
      <c r="I15" s="135"/>
      <c r="J15" s="135"/>
      <c r="K15" s="135"/>
    </row>
    <row r="16" spans="1:11" x14ac:dyDescent="0.25">
      <c r="F16" s="135"/>
      <c r="G16" s="135"/>
      <c r="H16" s="135"/>
      <c r="I16" s="135"/>
      <c r="J16" s="135"/>
      <c r="K16" s="135"/>
    </row>
    <row r="17" spans="1:11" x14ac:dyDescent="0.25">
      <c r="F17" s="135"/>
      <c r="G17" s="135"/>
      <c r="H17" s="135"/>
      <c r="I17" s="135"/>
      <c r="J17" s="135"/>
      <c r="K17" s="135"/>
    </row>
    <row r="18" spans="1:11" x14ac:dyDescent="0.25">
      <c r="F18" s="135"/>
      <c r="G18" s="135"/>
      <c r="H18" s="135"/>
      <c r="I18" s="135"/>
      <c r="J18" s="135"/>
      <c r="K18" s="135"/>
    </row>
    <row r="19" spans="1:11" ht="16" thickBot="1" x14ac:dyDescent="0.4">
      <c r="A19" s="68" t="s">
        <v>381</v>
      </c>
      <c r="B19" s="29" t="s">
        <v>486</v>
      </c>
      <c r="F19" s="135"/>
      <c r="G19" s="135"/>
      <c r="H19" s="135"/>
      <c r="I19" s="135"/>
      <c r="J19" s="135"/>
      <c r="K19" s="135"/>
    </row>
    <row r="20" spans="1:11" x14ac:dyDescent="0.25">
      <c r="A20" s="1" t="s">
        <v>181</v>
      </c>
      <c r="B20" s="194">
        <v>50</v>
      </c>
      <c r="C20" s="8" t="s">
        <v>230</v>
      </c>
      <c r="F20" s="135"/>
      <c r="G20" s="135"/>
      <c r="H20" s="135"/>
      <c r="I20" s="135"/>
      <c r="J20" s="135"/>
      <c r="K20" s="135"/>
    </row>
    <row r="21" spans="1:11" x14ac:dyDescent="0.25">
      <c r="A21" s="1" t="s">
        <v>182</v>
      </c>
      <c r="B21" s="32">
        <v>0.2</v>
      </c>
      <c r="C21" s="69" t="s">
        <v>406</v>
      </c>
      <c r="F21" s="135"/>
      <c r="G21" s="135"/>
      <c r="H21" s="135"/>
      <c r="I21" s="135"/>
      <c r="J21" s="135"/>
      <c r="K21" s="135"/>
    </row>
    <row r="22" spans="1:11" x14ac:dyDescent="0.25">
      <c r="A22" s="1" t="s">
        <v>179</v>
      </c>
      <c r="B22" s="57">
        <v>7</v>
      </c>
      <c r="C22" s="8" t="s">
        <v>209</v>
      </c>
      <c r="F22" s="135"/>
      <c r="G22" s="135"/>
      <c r="H22" s="135"/>
      <c r="I22" s="135"/>
      <c r="J22" s="135"/>
      <c r="K22" s="135"/>
    </row>
    <row r="23" spans="1:11" ht="13" thickBot="1" x14ac:dyDescent="0.3">
      <c r="A23" s="1" t="s">
        <v>180</v>
      </c>
      <c r="B23" s="58">
        <v>1</v>
      </c>
      <c r="C23" s="69" t="s">
        <v>406</v>
      </c>
      <c r="F23" s="135"/>
      <c r="G23" s="135"/>
      <c r="H23" s="135"/>
      <c r="I23" s="135"/>
      <c r="J23" s="135"/>
      <c r="K23" s="135"/>
    </row>
    <row r="24" spans="1:11" x14ac:dyDescent="0.25">
      <c r="F24" s="135"/>
      <c r="G24" s="135"/>
      <c r="H24" s="135"/>
      <c r="I24" s="135"/>
      <c r="J24" s="135"/>
      <c r="K24" s="135"/>
    </row>
    <row r="25" spans="1:11" ht="13" x14ac:dyDescent="0.3">
      <c r="B25" s="29" t="s">
        <v>139</v>
      </c>
      <c r="F25" s="135"/>
      <c r="G25" s="135"/>
      <c r="H25" s="135"/>
      <c r="I25" s="135"/>
      <c r="J25" s="135"/>
      <c r="K25" s="135"/>
    </row>
    <row r="26" spans="1:11" ht="13" x14ac:dyDescent="0.3">
      <c r="A26" s="2" t="s">
        <v>778</v>
      </c>
      <c r="B26" s="4" t="s">
        <v>183</v>
      </c>
      <c r="C26" s="10"/>
      <c r="F26" s="135"/>
      <c r="G26" s="135"/>
      <c r="H26" s="135"/>
      <c r="I26" s="135"/>
      <c r="J26" s="135"/>
      <c r="K26" s="135"/>
    </row>
    <row r="27" spans="1:11" ht="13" x14ac:dyDescent="0.3">
      <c r="A27" s="16"/>
      <c r="B27" s="195">
        <f>2*B21*B20*B23*B22</f>
        <v>140</v>
      </c>
      <c r="C27" s="10" t="s">
        <v>205</v>
      </c>
      <c r="F27" s="135"/>
      <c r="G27" s="135"/>
      <c r="H27" s="135"/>
      <c r="I27" s="135"/>
      <c r="J27" s="135"/>
      <c r="K27" s="135"/>
    </row>
    <row r="28" spans="1:11" x14ac:dyDescent="0.25">
      <c r="F28" s="135"/>
      <c r="G28" s="135"/>
      <c r="H28" s="135"/>
      <c r="I28" s="135"/>
      <c r="J28" s="135"/>
      <c r="K28" s="135"/>
    </row>
    <row r="29" spans="1:11" ht="13" x14ac:dyDescent="0.3">
      <c r="A29" s="120"/>
      <c r="B29" s="124"/>
      <c r="C29" s="125"/>
      <c r="D29" s="120"/>
      <c r="E29" s="133" t="s">
        <v>201</v>
      </c>
      <c r="F29" s="135"/>
      <c r="G29" s="135"/>
      <c r="H29" s="135"/>
      <c r="I29" s="135"/>
      <c r="J29" s="135"/>
      <c r="K29" s="135"/>
    </row>
    <row r="30" spans="1:11" x14ac:dyDescent="0.25">
      <c r="F30" s="135"/>
      <c r="G30" s="135"/>
      <c r="H30" s="135"/>
      <c r="I30" s="135"/>
      <c r="J30" s="135"/>
      <c r="K30" s="135"/>
    </row>
    <row r="31" spans="1:11" ht="15.5" x14ac:dyDescent="0.35">
      <c r="A31" s="82" t="s">
        <v>835</v>
      </c>
      <c r="B31" s="3"/>
      <c r="F31" s="135"/>
      <c r="G31" s="135"/>
      <c r="H31" s="135"/>
      <c r="I31" s="135"/>
      <c r="J31" s="135"/>
      <c r="K31" s="135"/>
    </row>
    <row r="32" spans="1:11" x14ac:dyDescent="0.25">
      <c r="B32" s="3"/>
      <c r="F32" s="135"/>
      <c r="G32" s="135"/>
      <c r="H32" s="135"/>
      <c r="I32" s="135"/>
      <c r="J32" s="135"/>
      <c r="K32" s="135"/>
    </row>
    <row r="33" spans="1:11" x14ac:dyDescent="0.25">
      <c r="B33" s="3"/>
      <c r="F33" s="135"/>
      <c r="G33" s="135"/>
      <c r="H33" s="135"/>
      <c r="I33" s="135"/>
      <c r="J33" s="135"/>
      <c r="K33" s="135"/>
    </row>
    <row r="34" spans="1:11" x14ac:dyDescent="0.25">
      <c r="B34" s="3"/>
      <c r="F34" s="135"/>
      <c r="G34" s="135"/>
      <c r="H34" s="135"/>
      <c r="I34" s="135"/>
      <c r="J34" s="135"/>
      <c r="K34" s="135"/>
    </row>
    <row r="35" spans="1:11" x14ac:dyDescent="0.25">
      <c r="B35" s="3"/>
      <c r="F35" s="135"/>
      <c r="G35" s="135"/>
      <c r="H35" s="135"/>
      <c r="I35" s="135"/>
      <c r="J35" s="135"/>
      <c r="K35" s="135"/>
    </row>
    <row r="36" spans="1:11" x14ac:dyDescent="0.25">
      <c r="A36" s="8"/>
      <c r="B36" s="3"/>
      <c r="F36" s="135"/>
      <c r="G36" s="135"/>
      <c r="H36" s="135"/>
      <c r="I36" s="135"/>
      <c r="J36" s="135"/>
      <c r="K36" s="135"/>
    </row>
    <row r="37" spans="1:11" x14ac:dyDescent="0.25">
      <c r="A37" s="8"/>
      <c r="B37" s="3"/>
      <c r="F37" s="135"/>
      <c r="G37" s="135"/>
      <c r="H37" s="135"/>
      <c r="I37" s="135"/>
      <c r="J37" s="135"/>
      <c r="K37" s="135"/>
    </row>
    <row r="38" spans="1:11" ht="13" x14ac:dyDescent="0.3">
      <c r="A38" s="10"/>
      <c r="B38" s="3"/>
      <c r="F38" s="135"/>
      <c r="G38" s="135"/>
      <c r="H38" s="135"/>
      <c r="I38" s="135"/>
      <c r="J38" s="135"/>
      <c r="K38" s="135"/>
    </row>
    <row r="39" spans="1:11" x14ac:dyDescent="0.25">
      <c r="A39" s="8"/>
      <c r="B39" s="3"/>
      <c r="F39" s="135"/>
      <c r="G39" s="135"/>
      <c r="H39" s="135"/>
      <c r="I39" s="135"/>
      <c r="J39" s="135"/>
      <c r="K39" s="135"/>
    </row>
    <row r="40" spans="1:11" x14ac:dyDescent="0.25">
      <c r="A40" s="8"/>
      <c r="B40" s="3"/>
      <c r="F40" s="135"/>
      <c r="G40" s="135"/>
      <c r="H40" s="135"/>
      <c r="I40" s="135"/>
      <c r="J40" s="135"/>
      <c r="K40" s="135"/>
    </row>
    <row r="41" spans="1:11" x14ac:dyDescent="0.25">
      <c r="A41" s="8"/>
      <c r="B41" s="3"/>
      <c r="F41" s="135"/>
      <c r="G41" s="135"/>
      <c r="H41" s="135"/>
      <c r="I41" s="135"/>
      <c r="J41" s="135"/>
      <c r="K41" s="135"/>
    </row>
    <row r="42" spans="1:11" x14ac:dyDescent="0.25">
      <c r="A42" s="8"/>
      <c r="B42" s="3"/>
      <c r="F42" s="135"/>
      <c r="G42" s="135"/>
      <c r="H42" s="135"/>
      <c r="I42" s="135"/>
      <c r="J42" s="135"/>
      <c r="K42" s="135"/>
    </row>
    <row r="43" spans="1:11" x14ac:dyDescent="0.25">
      <c r="A43" s="8"/>
      <c r="B43" s="3"/>
      <c r="F43" s="135"/>
      <c r="G43" s="135"/>
      <c r="H43" s="135"/>
      <c r="I43" s="135"/>
      <c r="J43" s="135"/>
      <c r="K43" s="135"/>
    </row>
    <row r="44" spans="1:11" x14ac:dyDescent="0.25">
      <c r="A44" s="8"/>
      <c r="B44" s="3"/>
      <c r="F44" s="135"/>
      <c r="G44" s="135"/>
      <c r="H44" s="135"/>
      <c r="I44" s="135"/>
      <c r="J44" s="135"/>
      <c r="K44" s="135"/>
    </row>
    <row r="45" spans="1:11" x14ac:dyDescent="0.25">
      <c r="A45" s="1"/>
      <c r="B45" s="3"/>
      <c r="F45" s="135"/>
      <c r="G45" s="135"/>
      <c r="H45" s="135"/>
      <c r="I45" s="135"/>
      <c r="J45" s="135"/>
      <c r="K45" s="135"/>
    </row>
    <row r="46" spans="1:11" x14ac:dyDescent="0.25">
      <c r="A46" s="1"/>
      <c r="B46" s="3"/>
      <c r="F46" s="135"/>
      <c r="G46" s="135"/>
      <c r="H46" s="135"/>
      <c r="I46" s="135"/>
      <c r="J46" s="135"/>
      <c r="K46" s="135"/>
    </row>
    <row r="47" spans="1:11" x14ac:dyDescent="0.25">
      <c r="F47" s="135"/>
      <c r="G47" s="135"/>
      <c r="H47" s="135"/>
      <c r="I47" s="135"/>
      <c r="J47" s="135"/>
      <c r="K47" s="135"/>
    </row>
    <row r="48" spans="1:11" x14ac:dyDescent="0.25">
      <c r="F48" s="135"/>
      <c r="G48" s="135"/>
      <c r="H48" s="135"/>
      <c r="I48" s="135"/>
      <c r="J48" s="135"/>
      <c r="K48" s="135"/>
    </row>
    <row r="49" spans="1:11" x14ac:dyDescent="0.25">
      <c r="F49" s="135"/>
      <c r="G49" s="135"/>
      <c r="H49" s="135"/>
      <c r="I49" s="135"/>
      <c r="J49" s="135"/>
      <c r="K49" s="135"/>
    </row>
    <row r="50" spans="1:11" x14ac:dyDescent="0.25">
      <c r="F50" s="135"/>
      <c r="G50" s="135"/>
      <c r="H50" s="135"/>
      <c r="I50" s="135"/>
      <c r="J50" s="135"/>
      <c r="K50" s="135"/>
    </row>
    <row r="51" spans="1:11" x14ac:dyDescent="0.25">
      <c r="F51" s="135"/>
      <c r="G51" s="135"/>
      <c r="H51" s="135"/>
      <c r="I51" s="135"/>
      <c r="J51" s="135"/>
      <c r="K51" s="135"/>
    </row>
    <row r="52" spans="1:11" ht="15.5" x14ac:dyDescent="0.35">
      <c r="A52" s="68" t="s">
        <v>381</v>
      </c>
      <c r="E52" s="4" t="s">
        <v>201</v>
      </c>
      <c r="F52" s="135"/>
      <c r="G52" s="135"/>
      <c r="H52" s="135"/>
      <c r="I52" s="135"/>
      <c r="J52" s="135"/>
      <c r="K52" s="135"/>
    </row>
    <row r="53" spans="1:11" ht="13.5" thickBot="1" x14ac:dyDescent="0.35">
      <c r="B53" s="29" t="s">
        <v>486</v>
      </c>
      <c r="F53" s="135"/>
      <c r="G53" s="135"/>
      <c r="H53" s="135"/>
      <c r="I53" s="135"/>
      <c r="J53" s="135"/>
      <c r="K53" s="135"/>
    </row>
    <row r="54" spans="1:11" x14ac:dyDescent="0.25">
      <c r="A54" s="1" t="s">
        <v>279</v>
      </c>
      <c r="B54" s="31">
        <v>0.2</v>
      </c>
      <c r="F54" s="135"/>
      <c r="G54" s="135"/>
      <c r="H54" s="135"/>
      <c r="I54" s="135"/>
      <c r="J54" s="135"/>
      <c r="K54" s="135"/>
    </row>
    <row r="55" spans="1:11" x14ac:dyDescent="0.25">
      <c r="A55" s="1" t="s">
        <v>374</v>
      </c>
      <c r="B55" s="32">
        <v>2</v>
      </c>
      <c r="C55" s="8" t="s">
        <v>209</v>
      </c>
      <c r="F55" s="135"/>
      <c r="G55" s="135"/>
      <c r="H55" s="135"/>
      <c r="I55" s="135"/>
      <c r="J55" s="135"/>
      <c r="K55" s="135"/>
    </row>
    <row r="56" spans="1:11" x14ac:dyDescent="0.25">
      <c r="A56" s="1" t="s">
        <v>375</v>
      </c>
      <c r="B56" s="32">
        <v>6</v>
      </c>
      <c r="C56" s="8" t="s">
        <v>209</v>
      </c>
      <c r="F56" s="135"/>
      <c r="G56" s="135"/>
      <c r="H56" s="135"/>
      <c r="I56" s="135"/>
      <c r="J56" s="135"/>
      <c r="K56" s="135"/>
    </row>
    <row r="57" spans="1:11" x14ac:dyDescent="0.25">
      <c r="A57" s="1" t="s">
        <v>380</v>
      </c>
      <c r="B57" s="32">
        <v>5</v>
      </c>
      <c r="C57" s="8" t="s">
        <v>209</v>
      </c>
      <c r="F57" s="135"/>
      <c r="G57" s="135"/>
      <c r="H57" s="135"/>
      <c r="I57" s="135"/>
      <c r="J57" s="135"/>
      <c r="K57" s="135"/>
    </row>
    <row r="58" spans="1:11" x14ac:dyDescent="0.25">
      <c r="A58" s="1" t="s">
        <v>376</v>
      </c>
      <c r="B58" s="32">
        <v>0</v>
      </c>
      <c r="C58" s="8" t="s">
        <v>214</v>
      </c>
      <c r="F58" s="135"/>
      <c r="G58" s="135"/>
      <c r="H58" s="135"/>
      <c r="I58" s="135"/>
      <c r="J58" s="135"/>
      <c r="K58" s="135"/>
    </row>
    <row r="59" spans="1:11" x14ac:dyDescent="0.25">
      <c r="A59" s="1" t="s">
        <v>377</v>
      </c>
      <c r="B59" s="32">
        <v>130</v>
      </c>
      <c r="C59" s="8" t="s">
        <v>214</v>
      </c>
      <c r="F59" s="135"/>
      <c r="G59" s="135"/>
      <c r="H59" s="135"/>
      <c r="I59" s="135"/>
      <c r="J59" s="135"/>
      <c r="K59" s="135"/>
    </row>
    <row r="60" spans="1:11" x14ac:dyDescent="0.25">
      <c r="A60" s="1" t="s">
        <v>378</v>
      </c>
      <c r="B60" s="32">
        <v>90</v>
      </c>
      <c r="C60" s="8" t="s">
        <v>214</v>
      </c>
      <c r="F60" s="135"/>
      <c r="G60" s="135"/>
      <c r="H60" s="135"/>
      <c r="I60" s="135"/>
      <c r="J60" s="135"/>
      <c r="K60" s="135"/>
    </row>
    <row r="61" spans="1:11" x14ac:dyDescent="0.25">
      <c r="A61" s="1" t="s">
        <v>142</v>
      </c>
      <c r="B61" s="190">
        <v>150</v>
      </c>
      <c r="C61" s="8" t="s">
        <v>275</v>
      </c>
      <c r="F61" s="135"/>
      <c r="G61" s="135"/>
      <c r="H61" s="135"/>
      <c r="I61" s="135"/>
      <c r="J61" s="135"/>
      <c r="K61" s="135"/>
    </row>
    <row r="62" spans="1:11" x14ac:dyDescent="0.25">
      <c r="A62" s="1" t="s">
        <v>143</v>
      </c>
      <c r="B62" s="190">
        <v>150</v>
      </c>
      <c r="C62" s="8" t="s">
        <v>275</v>
      </c>
      <c r="F62" s="135"/>
      <c r="G62" s="135"/>
      <c r="H62" s="135"/>
      <c r="I62" s="135"/>
      <c r="J62" s="135"/>
      <c r="K62" s="135"/>
    </row>
    <row r="63" spans="1:11" ht="13" thickBot="1" x14ac:dyDescent="0.3">
      <c r="A63" s="1" t="s">
        <v>379</v>
      </c>
      <c r="B63" s="34">
        <v>9</v>
      </c>
      <c r="C63" s="8" t="s">
        <v>209</v>
      </c>
      <c r="F63" s="135"/>
      <c r="G63" s="135"/>
      <c r="H63" s="135"/>
      <c r="I63" s="135"/>
      <c r="J63" s="135"/>
      <c r="K63" s="135"/>
    </row>
    <row r="64" spans="1:11" ht="13" x14ac:dyDescent="0.3">
      <c r="A64" s="1"/>
      <c r="B64" s="29" t="s">
        <v>139</v>
      </c>
      <c r="F64" s="135"/>
      <c r="G64" s="135"/>
      <c r="H64" s="135"/>
      <c r="I64" s="135"/>
      <c r="J64" s="135"/>
      <c r="K64" s="135"/>
    </row>
    <row r="65" spans="1:11" ht="13" x14ac:dyDescent="0.3">
      <c r="A65" s="2" t="s">
        <v>336</v>
      </c>
      <c r="B65" s="10" t="s">
        <v>382</v>
      </c>
      <c r="C65" s="10"/>
      <c r="F65" s="135"/>
      <c r="G65" s="135"/>
      <c r="H65" s="135"/>
      <c r="I65" s="135"/>
      <c r="J65" s="135"/>
      <c r="K65" s="135"/>
    </row>
    <row r="66" spans="1:11" ht="13" x14ac:dyDescent="0.3">
      <c r="A66" s="2" t="s">
        <v>336</v>
      </c>
      <c r="B66" s="11">
        <f>(B56)-(B56*COS(B59/57.2975))-((B57/2)*(SIN(B59/57.2975))^2)</f>
        <v>8.3891845502513149</v>
      </c>
      <c r="C66" s="10"/>
      <c r="F66" s="135"/>
      <c r="G66" s="135"/>
      <c r="H66" s="135"/>
      <c r="I66" s="135"/>
      <c r="J66" s="135"/>
      <c r="K66" s="135"/>
    </row>
    <row r="67" spans="1:11" ht="13" x14ac:dyDescent="0.3">
      <c r="A67" s="2" t="s">
        <v>383</v>
      </c>
      <c r="B67" s="10" t="s">
        <v>385</v>
      </c>
      <c r="C67" s="10"/>
      <c r="F67" s="135"/>
      <c r="G67" s="135"/>
      <c r="H67" s="135"/>
      <c r="I67" s="135"/>
      <c r="J67" s="135"/>
      <c r="K67" s="135"/>
    </row>
    <row r="68" spans="1:11" ht="13" x14ac:dyDescent="0.3">
      <c r="A68" s="2" t="s">
        <v>384</v>
      </c>
      <c r="B68" s="195">
        <f>((B54*B61*B55*B56)/SIN(B60/57.2975))*(B66)</f>
        <v>3020.1064414498865</v>
      </c>
      <c r="C68" s="10" t="s">
        <v>205</v>
      </c>
      <c r="F68" s="135"/>
      <c r="G68" s="135"/>
      <c r="H68" s="135"/>
      <c r="I68" s="135"/>
      <c r="J68" s="135"/>
      <c r="K68" s="135"/>
    </row>
    <row r="69" spans="1:11" ht="13" x14ac:dyDescent="0.3">
      <c r="A69" s="2"/>
      <c r="B69" s="4"/>
      <c r="C69" s="10"/>
      <c r="F69" s="135"/>
      <c r="G69" s="135"/>
      <c r="H69" s="135"/>
      <c r="I69" s="135"/>
      <c r="J69" s="135"/>
      <c r="K69" s="135"/>
    </row>
    <row r="70" spans="1:11" ht="13" x14ac:dyDescent="0.3">
      <c r="A70" s="2" t="s">
        <v>337</v>
      </c>
      <c r="B70" s="10" t="s">
        <v>392</v>
      </c>
      <c r="C70" s="10"/>
      <c r="F70" s="135"/>
      <c r="G70" s="135"/>
      <c r="H70" s="135"/>
      <c r="I70" s="135"/>
      <c r="J70" s="135"/>
      <c r="K70" s="135"/>
    </row>
    <row r="71" spans="1:11" ht="13" x14ac:dyDescent="0.3">
      <c r="A71" s="2" t="s">
        <v>337</v>
      </c>
      <c r="B71" s="11">
        <f>(0.5*B59/57.2975)-(0.25*SIN(2*B59/57.2975))</f>
        <v>1.3806259696197822</v>
      </c>
      <c r="C71" s="10"/>
      <c r="F71" s="135"/>
      <c r="G71" s="135"/>
      <c r="H71" s="135"/>
      <c r="I71" s="135"/>
      <c r="J71" s="135"/>
      <c r="K71" s="135"/>
    </row>
    <row r="72" spans="1:11" ht="13" x14ac:dyDescent="0.3">
      <c r="A72" s="2" t="s">
        <v>393</v>
      </c>
      <c r="B72" s="10" t="s">
        <v>386</v>
      </c>
      <c r="C72" s="10"/>
      <c r="F72" s="135"/>
      <c r="G72" s="135"/>
      <c r="H72" s="135"/>
      <c r="I72" s="135"/>
      <c r="J72" s="135"/>
      <c r="K72" s="135"/>
    </row>
    <row r="73" spans="1:11" ht="13" x14ac:dyDescent="0.3">
      <c r="A73" s="2" t="s">
        <v>394</v>
      </c>
      <c r="B73" s="195">
        <f>((B61*B55*B56*B57)/SIN(B60/57.2975))*(B71)</f>
        <v>12425.633740399684</v>
      </c>
      <c r="C73" s="10" t="s">
        <v>205</v>
      </c>
      <c r="F73" s="135"/>
      <c r="G73" s="135"/>
      <c r="H73" s="135"/>
      <c r="I73" s="135"/>
      <c r="J73" s="135"/>
      <c r="K73" s="135"/>
    </row>
    <row r="74" spans="1:11" ht="13" x14ac:dyDescent="0.3">
      <c r="A74" s="2"/>
      <c r="B74" s="4"/>
      <c r="C74" s="10"/>
      <c r="F74" s="135"/>
      <c r="G74" s="135"/>
      <c r="H74" s="135"/>
      <c r="I74" s="135"/>
      <c r="J74" s="135"/>
      <c r="K74" s="135"/>
    </row>
    <row r="75" spans="1:11" ht="13" x14ac:dyDescent="0.3">
      <c r="A75" s="2" t="s">
        <v>396</v>
      </c>
      <c r="B75" s="4" t="s">
        <v>395</v>
      </c>
      <c r="C75" s="10"/>
      <c r="E75" s="4"/>
      <c r="F75" s="135"/>
      <c r="G75" s="135"/>
      <c r="H75" s="135"/>
      <c r="I75" s="135"/>
      <c r="J75" s="135"/>
      <c r="K75" s="135"/>
    </row>
    <row r="76" spans="1:11" ht="13" x14ac:dyDescent="0.3">
      <c r="A76" s="2" t="s">
        <v>373</v>
      </c>
      <c r="B76" s="195">
        <f>(B73-B68)/B63</f>
        <v>1045.0585887721998</v>
      </c>
      <c r="C76" s="10" t="s">
        <v>230</v>
      </c>
      <c r="F76" s="135"/>
      <c r="G76" s="135"/>
      <c r="H76" s="135"/>
      <c r="I76" s="135"/>
      <c r="J76" s="135"/>
      <c r="K76" s="135"/>
    </row>
    <row r="77" spans="1:11" ht="13" x14ac:dyDescent="0.3">
      <c r="A77" s="1"/>
      <c r="B77" s="3"/>
      <c r="E77" s="4" t="s">
        <v>201</v>
      </c>
      <c r="F77" s="135"/>
      <c r="G77" s="135"/>
      <c r="H77" s="135"/>
      <c r="I77" s="135"/>
      <c r="J77" s="135"/>
      <c r="K77" s="135"/>
    </row>
    <row r="78" spans="1:11" ht="13" x14ac:dyDescent="0.3">
      <c r="A78" s="2" t="s">
        <v>388</v>
      </c>
      <c r="B78" s="10" t="s">
        <v>389</v>
      </c>
      <c r="C78" s="10"/>
      <c r="F78" s="135"/>
      <c r="G78" s="135"/>
      <c r="H78" s="135"/>
      <c r="I78" s="135"/>
      <c r="J78" s="135"/>
      <c r="K78" s="135"/>
    </row>
    <row r="79" spans="1:11" ht="13" x14ac:dyDescent="0.3">
      <c r="A79" s="2" t="s">
        <v>388</v>
      </c>
      <c r="B79" s="11">
        <f>((COS(B58/57.2975)-COS(B59/57.2975))/(SIN(B60/57.2975)))</f>
        <v>1.6427354196506261</v>
      </c>
      <c r="C79" s="10"/>
      <c r="F79" s="135"/>
      <c r="G79" s="135"/>
      <c r="H79" s="135"/>
      <c r="I79" s="135"/>
      <c r="J79" s="135"/>
      <c r="K79" s="135"/>
    </row>
    <row r="80" spans="1:11" ht="13" x14ac:dyDescent="0.3">
      <c r="A80" s="2" t="s">
        <v>387</v>
      </c>
      <c r="B80" s="4" t="s">
        <v>391</v>
      </c>
      <c r="C80" s="10"/>
      <c r="F80" s="135"/>
      <c r="G80" s="135"/>
      <c r="H80" s="135"/>
      <c r="I80" s="135"/>
      <c r="J80" s="135"/>
      <c r="K80" s="135"/>
    </row>
    <row r="81" spans="1:11" ht="13" x14ac:dyDescent="0.3">
      <c r="A81" s="2" t="s">
        <v>390</v>
      </c>
      <c r="B81" s="195">
        <f>B54*B61*B55*B56^2*B79</f>
        <v>3548.3085064453521</v>
      </c>
      <c r="C81" s="10" t="s">
        <v>205</v>
      </c>
      <c r="F81" s="135"/>
      <c r="G81" s="135"/>
      <c r="H81" s="135"/>
      <c r="I81" s="135"/>
      <c r="J81" s="135"/>
      <c r="K81" s="135"/>
    </row>
    <row r="82" spans="1:11" x14ac:dyDescent="0.25">
      <c r="F82" s="135"/>
      <c r="G82" s="135"/>
      <c r="H82" s="135"/>
      <c r="I82" s="135"/>
      <c r="J82" s="135"/>
      <c r="K82" s="135"/>
    </row>
    <row r="83" spans="1:11" x14ac:dyDescent="0.25">
      <c r="A83" s="120"/>
      <c r="B83" s="124"/>
      <c r="C83" s="125"/>
      <c r="D83" s="120"/>
      <c r="E83" s="120"/>
      <c r="F83" s="135"/>
      <c r="G83" s="135"/>
      <c r="H83" s="135"/>
      <c r="I83" s="135"/>
      <c r="J83" s="135"/>
      <c r="K83" s="135"/>
    </row>
    <row r="84" spans="1:11" x14ac:dyDescent="0.25">
      <c r="F84" s="135"/>
      <c r="G84" s="135"/>
      <c r="H84" s="135"/>
      <c r="I84" s="135"/>
      <c r="J84" s="135"/>
      <c r="K84" s="135"/>
    </row>
    <row r="85" spans="1:11" ht="15.5" x14ac:dyDescent="0.35">
      <c r="A85" s="68" t="s">
        <v>245</v>
      </c>
      <c r="F85" s="135"/>
      <c r="G85" s="135"/>
      <c r="H85" s="135"/>
      <c r="I85" s="135"/>
      <c r="J85" s="135"/>
      <c r="K85" s="135"/>
    </row>
    <row r="86" spans="1:11" x14ac:dyDescent="0.25">
      <c r="F86" s="135"/>
      <c r="G86" s="135"/>
      <c r="H86" s="135"/>
      <c r="I86" s="135"/>
      <c r="J86" s="135"/>
      <c r="K86" s="135"/>
    </row>
    <row r="87" spans="1:11" x14ac:dyDescent="0.25">
      <c r="F87" s="135"/>
      <c r="G87" s="135"/>
      <c r="H87" s="135"/>
      <c r="I87" s="135"/>
      <c r="J87" s="135"/>
      <c r="K87" s="135"/>
    </row>
    <row r="88" spans="1:11" x14ac:dyDescent="0.25">
      <c r="F88" s="135"/>
      <c r="G88" s="135"/>
      <c r="H88" s="135"/>
      <c r="I88" s="135"/>
      <c r="J88" s="135"/>
      <c r="K88" s="135"/>
    </row>
    <row r="89" spans="1:11" x14ac:dyDescent="0.25">
      <c r="F89" s="135"/>
      <c r="G89" s="135"/>
      <c r="H89" s="135"/>
      <c r="I89" s="135"/>
      <c r="J89" s="135"/>
      <c r="K89" s="135"/>
    </row>
    <row r="90" spans="1:11" x14ac:dyDescent="0.25">
      <c r="F90" s="135"/>
      <c r="G90" s="135"/>
      <c r="H90" s="135"/>
      <c r="I90" s="135"/>
      <c r="J90" s="135"/>
      <c r="K90" s="135"/>
    </row>
    <row r="91" spans="1:11" x14ac:dyDescent="0.25">
      <c r="F91" s="135"/>
      <c r="G91" s="135"/>
      <c r="H91" s="135"/>
      <c r="I91" s="135"/>
      <c r="J91" s="135"/>
      <c r="K91" s="135"/>
    </row>
    <row r="92" spans="1:11" x14ac:dyDescent="0.25">
      <c r="F92" s="135"/>
      <c r="G92" s="135"/>
      <c r="H92" s="135"/>
      <c r="I92" s="135"/>
      <c r="J92" s="135"/>
      <c r="K92" s="135"/>
    </row>
    <row r="93" spans="1:11" x14ac:dyDescent="0.25">
      <c r="F93" s="135"/>
      <c r="G93" s="135"/>
      <c r="H93" s="135"/>
      <c r="I93" s="135"/>
      <c r="J93" s="135"/>
      <c r="K93" s="135"/>
    </row>
    <row r="94" spans="1:11" x14ac:dyDescent="0.25">
      <c r="F94" s="135"/>
      <c r="G94" s="135"/>
      <c r="H94" s="135"/>
      <c r="I94" s="135"/>
      <c r="J94" s="135"/>
      <c r="K94" s="135"/>
    </row>
    <row r="95" spans="1:11" x14ac:dyDescent="0.25">
      <c r="F95" s="135"/>
      <c r="G95" s="135"/>
      <c r="H95" s="135"/>
      <c r="I95" s="135"/>
      <c r="J95" s="135"/>
      <c r="K95" s="135"/>
    </row>
    <row r="96" spans="1:11" x14ac:dyDescent="0.25">
      <c r="F96" s="135"/>
      <c r="G96" s="135"/>
      <c r="H96" s="135"/>
      <c r="I96" s="135"/>
      <c r="J96" s="135"/>
      <c r="K96" s="135"/>
    </row>
    <row r="97" spans="6:11" x14ac:dyDescent="0.25">
      <c r="F97" s="135"/>
      <c r="G97" s="135"/>
      <c r="H97" s="135"/>
      <c r="I97" s="135"/>
      <c r="J97" s="135"/>
      <c r="K97" s="135"/>
    </row>
    <row r="98" spans="6:11" x14ac:dyDescent="0.25">
      <c r="F98" s="135"/>
      <c r="G98" s="135"/>
      <c r="H98" s="135"/>
      <c r="I98" s="135"/>
      <c r="J98" s="135"/>
      <c r="K98" s="135"/>
    </row>
    <row r="99" spans="6:11" x14ac:dyDescent="0.25">
      <c r="F99" s="135"/>
      <c r="G99" s="135"/>
      <c r="H99" s="135"/>
      <c r="I99" s="135"/>
      <c r="J99" s="135"/>
      <c r="K99" s="135"/>
    </row>
    <row r="100" spans="6:11" x14ac:dyDescent="0.25">
      <c r="F100" s="135"/>
      <c r="G100" s="135"/>
      <c r="H100" s="135"/>
      <c r="I100" s="135"/>
      <c r="J100" s="135"/>
      <c r="K100" s="135"/>
    </row>
    <row r="101" spans="6:11" x14ac:dyDescent="0.25">
      <c r="F101" s="135"/>
      <c r="G101" s="135"/>
      <c r="H101" s="135"/>
      <c r="I101" s="135"/>
      <c r="J101" s="135"/>
      <c r="K101" s="135"/>
    </row>
    <row r="102" spans="6:11" x14ac:dyDescent="0.25">
      <c r="F102" s="135"/>
      <c r="G102" s="135"/>
      <c r="H102" s="135"/>
      <c r="I102" s="135"/>
      <c r="J102" s="135"/>
      <c r="K102" s="135"/>
    </row>
  </sheetData>
  <sheetProtection sheet="1" objects="1" scenarios="1" formatCells="0" selectLockedCells="1"/>
  <phoneticPr fontId="2" type="noConversion"/>
  <printOptions gridLines="1"/>
  <pageMargins left="0.75" right="0.75" top="1" bottom="1" header="0.5" footer="0.5"/>
  <pageSetup orientation="portrait" horizont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84"/>
  <sheetViews>
    <sheetView zoomScale="130" zoomScaleNormal="130" workbookViewId="0">
      <selection activeCell="F1" sqref="F1"/>
    </sheetView>
  </sheetViews>
  <sheetFormatPr defaultRowHeight="12.5" x14ac:dyDescent="0.25"/>
  <cols>
    <col min="1" max="1" width="39.453125" style="1" customWidth="1"/>
    <col min="2" max="2" width="11.26953125" style="8" customWidth="1"/>
    <col min="3" max="3" width="9.1796875" style="8"/>
    <col min="5" max="5" width="17.26953125" customWidth="1"/>
    <col min="6" max="6" width="4.1796875" customWidth="1"/>
    <col min="7" max="7" width="40.7265625" style="1" customWidth="1"/>
    <col min="8" max="8" width="11.1796875" style="8" customWidth="1"/>
    <col min="11" max="11" width="14.54296875" customWidth="1"/>
    <col min="14" max="14" width="9.54296875" bestFit="1" customWidth="1"/>
  </cols>
  <sheetData>
    <row r="1" spans="1:16" ht="15.5" x14ac:dyDescent="0.35">
      <c r="A1" s="353" t="s">
        <v>1170</v>
      </c>
      <c r="C1" s="10"/>
      <c r="D1" s="28"/>
      <c r="E1" s="4" t="s">
        <v>201</v>
      </c>
      <c r="F1" s="135"/>
      <c r="G1" s="136"/>
      <c r="H1" s="139"/>
      <c r="I1" s="135"/>
      <c r="J1" s="135"/>
      <c r="K1" s="135"/>
      <c r="L1" s="135"/>
      <c r="M1" s="135"/>
      <c r="N1" s="135"/>
      <c r="O1" s="135"/>
      <c r="P1" s="135"/>
    </row>
    <row r="2" spans="1:16" x14ac:dyDescent="0.25">
      <c r="A2" s="66"/>
      <c r="F2" s="135"/>
      <c r="G2" s="136"/>
      <c r="H2" s="139"/>
      <c r="I2" s="135"/>
      <c r="J2" s="135"/>
      <c r="K2" s="135"/>
      <c r="L2" s="135"/>
      <c r="M2" s="135"/>
      <c r="N2" s="135"/>
      <c r="O2" s="135"/>
      <c r="P2" s="135"/>
    </row>
    <row r="3" spans="1:16" ht="13" x14ac:dyDescent="0.3">
      <c r="A3" s="14"/>
      <c r="F3" s="135"/>
      <c r="G3" s="136"/>
      <c r="H3" s="139"/>
      <c r="I3" s="135"/>
      <c r="J3" s="135"/>
      <c r="K3" s="135"/>
      <c r="L3" s="135"/>
      <c r="M3" s="135"/>
      <c r="N3" s="135"/>
      <c r="O3" s="135"/>
      <c r="P3" s="135"/>
    </row>
    <row r="4" spans="1:16" ht="15.5" x14ac:dyDescent="0.35">
      <c r="A4" s="143" t="s">
        <v>899</v>
      </c>
      <c r="F4" s="135"/>
      <c r="G4" s="288"/>
      <c r="H4" s="139"/>
      <c r="I4" s="135"/>
      <c r="J4" s="135"/>
      <c r="K4" s="135"/>
      <c r="L4" s="135"/>
      <c r="M4" s="135"/>
      <c r="N4" s="135"/>
      <c r="O4" s="135"/>
      <c r="P4" s="135"/>
    </row>
    <row r="5" spans="1:16" ht="13" x14ac:dyDescent="0.3">
      <c r="A5" s="14"/>
      <c r="G5" s="136"/>
      <c r="H5" s="139"/>
      <c r="I5" s="135"/>
      <c r="J5" s="135"/>
      <c r="K5" s="135"/>
      <c r="L5" s="135"/>
      <c r="M5" s="135"/>
      <c r="N5" s="135"/>
      <c r="O5" s="135"/>
      <c r="P5" s="135"/>
    </row>
    <row r="6" spans="1:16" x14ac:dyDescent="0.25">
      <c r="G6" s="136"/>
      <c r="H6" s="139"/>
      <c r="I6" s="135"/>
      <c r="J6" s="135"/>
      <c r="K6" s="135"/>
      <c r="L6" s="135"/>
      <c r="M6" s="135"/>
      <c r="N6" s="135"/>
      <c r="O6" s="135"/>
      <c r="P6" s="135"/>
    </row>
    <row r="7" spans="1:16" x14ac:dyDescent="0.25">
      <c r="G7" s="136"/>
      <c r="H7" s="139"/>
      <c r="I7" s="135"/>
      <c r="J7" s="135"/>
      <c r="K7" s="135"/>
      <c r="L7" s="135"/>
      <c r="M7" s="135"/>
      <c r="N7" s="135"/>
      <c r="O7" s="135"/>
      <c r="P7" s="135"/>
    </row>
    <row r="8" spans="1:16" x14ac:dyDescent="0.25">
      <c r="G8" s="136"/>
      <c r="H8" s="139"/>
      <c r="I8" s="135"/>
      <c r="J8" s="135"/>
      <c r="K8" s="135"/>
      <c r="L8" s="135"/>
      <c r="M8" s="135"/>
      <c r="N8" s="135"/>
      <c r="O8" s="135"/>
      <c r="P8" s="135"/>
    </row>
    <row r="9" spans="1:16" x14ac:dyDescent="0.25">
      <c r="G9" s="136"/>
      <c r="H9" s="139"/>
      <c r="I9" s="135"/>
      <c r="J9" s="135"/>
      <c r="K9" s="135"/>
      <c r="L9" s="135"/>
      <c r="M9" s="135"/>
      <c r="N9" s="135"/>
      <c r="O9" s="135"/>
      <c r="P9" s="135"/>
    </row>
    <row r="10" spans="1:16" x14ac:dyDescent="0.25">
      <c r="G10" s="136"/>
      <c r="H10" s="139"/>
      <c r="I10" s="135"/>
      <c r="J10" s="135"/>
      <c r="K10" s="135"/>
      <c r="L10" s="135"/>
      <c r="M10" s="135"/>
      <c r="N10" s="135"/>
      <c r="O10" s="135"/>
      <c r="P10" s="135"/>
    </row>
    <row r="11" spans="1:16" x14ac:dyDescent="0.25">
      <c r="G11" s="136"/>
      <c r="H11" s="139"/>
      <c r="I11" s="135"/>
      <c r="J11" s="135"/>
      <c r="K11" s="135"/>
      <c r="L11" s="135"/>
      <c r="M11" s="135"/>
      <c r="N11" s="135"/>
      <c r="O11" s="135"/>
      <c r="P11" s="135"/>
    </row>
    <row r="12" spans="1:16" x14ac:dyDescent="0.25">
      <c r="G12" s="136"/>
      <c r="H12" s="139"/>
      <c r="I12" s="135"/>
      <c r="J12" s="135"/>
      <c r="K12" s="135"/>
      <c r="L12" s="135"/>
      <c r="M12" s="135"/>
      <c r="N12" s="135"/>
      <c r="O12" s="135"/>
      <c r="P12" s="135"/>
    </row>
    <row r="13" spans="1:16" x14ac:dyDescent="0.25">
      <c r="G13" s="136"/>
      <c r="H13" s="139"/>
      <c r="I13" s="135"/>
      <c r="J13" s="135"/>
      <c r="K13" s="135"/>
      <c r="L13" s="135"/>
      <c r="M13" s="135"/>
      <c r="N13" s="135"/>
      <c r="O13" s="135"/>
      <c r="P13" s="135"/>
    </row>
    <row r="14" spans="1:16" x14ac:dyDescent="0.25">
      <c r="G14" s="136"/>
      <c r="H14" s="139"/>
      <c r="I14" s="135"/>
      <c r="J14" s="135"/>
      <c r="K14" s="135"/>
      <c r="L14" s="135"/>
      <c r="M14" s="135"/>
      <c r="N14" s="135"/>
      <c r="O14" s="135"/>
      <c r="P14" s="135"/>
    </row>
    <row r="15" spans="1:16" x14ac:dyDescent="0.25">
      <c r="G15" s="136"/>
      <c r="H15" s="139"/>
      <c r="I15" s="135"/>
      <c r="J15" s="135"/>
      <c r="K15" s="135"/>
      <c r="L15" s="135"/>
      <c r="M15" s="135"/>
      <c r="N15" s="135"/>
      <c r="O15" s="135"/>
      <c r="P15" s="135"/>
    </row>
    <row r="16" spans="1:16" x14ac:dyDescent="0.25">
      <c r="G16" s="136"/>
      <c r="H16" s="139"/>
      <c r="I16" s="135"/>
      <c r="J16" s="135"/>
      <c r="K16" s="135"/>
      <c r="L16" s="135"/>
      <c r="M16" s="135"/>
      <c r="N16" s="135"/>
      <c r="O16" s="135"/>
      <c r="P16" s="135"/>
    </row>
    <row r="17" spans="1:16" x14ac:dyDescent="0.25">
      <c r="G17" s="136"/>
      <c r="H17" s="139"/>
      <c r="I17" s="135"/>
      <c r="J17" s="135"/>
      <c r="K17" s="135"/>
      <c r="L17" s="135"/>
      <c r="M17" s="135"/>
      <c r="N17" s="135"/>
      <c r="O17" s="135"/>
      <c r="P17" s="135"/>
    </row>
    <row r="18" spans="1:16" x14ac:dyDescent="0.25">
      <c r="G18" s="136"/>
      <c r="H18" s="139"/>
      <c r="I18" s="135"/>
      <c r="J18" s="135"/>
      <c r="K18" s="135"/>
      <c r="L18" s="135"/>
      <c r="M18" s="135"/>
      <c r="N18" s="135"/>
      <c r="O18" s="135"/>
      <c r="P18" s="135"/>
    </row>
    <row r="19" spans="1:16" x14ac:dyDescent="0.25">
      <c r="G19" s="136"/>
      <c r="H19" s="139"/>
      <c r="I19" s="135"/>
      <c r="J19" s="135"/>
      <c r="K19" s="135"/>
      <c r="L19" s="135"/>
      <c r="M19" s="135"/>
      <c r="N19" s="135"/>
      <c r="O19" s="135"/>
      <c r="P19" s="135"/>
    </row>
    <row r="20" spans="1:16" x14ac:dyDescent="0.25">
      <c r="G20" s="136"/>
      <c r="H20" s="139"/>
      <c r="I20" s="135"/>
      <c r="J20" s="135"/>
      <c r="K20" s="135"/>
      <c r="L20" s="135"/>
      <c r="M20" s="135"/>
      <c r="N20" s="135"/>
      <c r="O20" s="135"/>
      <c r="P20" s="135"/>
    </row>
    <row r="21" spans="1:16" x14ac:dyDescent="0.25">
      <c r="G21" s="136"/>
      <c r="H21" s="139"/>
      <c r="I21" s="135"/>
      <c r="J21" s="135"/>
      <c r="K21" s="135"/>
      <c r="L21" s="135"/>
      <c r="M21" s="135"/>
      <c r="N21" s="135"/>
      <c r="O21" s="135"/>
      <c r="P21" s="135"/>
    </row>
    <row r="22" spans="1:16" x14ac:dyDescent="0.25">
      <c r="G22" s="136"/>
      <c r="H22" s="139"/>
      <c r="I22" s="135"/>
      <c r="J22" s="135"/>
      <c r="K22" s="135"/>
      <c r="L22" s="135"/>
      <c r="M22" s="135"/>
      <c r="N22" s="135"/>
      <c r="O22" s="135"/>
      <c r="P22" s="135"/>
    </row>
    <row r="23" spans="1:16" x14ac:dyDescent="0.25">
      <c r="G23" s="136"/>
      <c r="H23" s="139"/>
      <c r="I23" s="135"/>
      <c r="J23" s="135"/>
      <c r="K23" s="135"/>
      <c r="L23" s="135"/>
      <c r="M23" s="135"/>
      <c r="N23" s="135"/>
      <c r="O23" s="135"/>
      <c r="P23" s="135"/>
    </row>
    <row r="24" spans="1:16" x14ac:dyDescent="0.25">
      <c r="G24" s="136"/>
      <c r="H24" s="139"/>
      <c r="I24" s="135"/>
      <c r="J24" s="135"/>
      <c r="K24" s="135"/>
      <c r="L24" s="135"/>
      <c r="M24" s="135"/>
      <c r="N24" s="135"/>
      <c r="O24" s="135"/>
      <c r="P24" s="135"/>
    </row>
    <row r="25" spans="1:16" ht="18" x14ac:dyDescent="0.25">
      <c r="A25" s="262" t="s">
        <v>906</v>
      </c>
      <c r="G25" s="136"/>
      <c r="H25" s="139"/>
      <c r="I25" s="135"/>
      <c r="J25" s="135"/>
      <c r="K25" s="135"/>
      <c r="L25" s="135"/>
      <c r="M25" s="135"/>
      <c r="N25" s="135"/>
      <c r="O25" s="135"/>
      <c r="P25" s="135"/>
    </row>
    <row r="26" spans="1:16" x14ac:dyDescent="0.25">
      <c r="G26" s="136"/>
      <c r="H26" s="139"/>
      <c r="I26" s="135"/>
      <c r="J26" s="135"/>
      <c r="K26" s="135"/>
      <c r="L26" s="135"/>
      <c r="M26" s="135"/>
      <c r="N26" s="135"/>
      <c r="O26" s="135"/>
      <c r="P26" s="135"/>
    </row>
    <row r="27" spans="1:16" x14ac:dyDescent="0.25">
      <c r="G27" s="136"/>
      <c r="H27" s="139"/>
      <c r="I27" s="135"/>
      <c r="J27" s="135"/>
      <c r="K27" s="135"/>
      <c r="L27" s="135"/>
      <c r="M27" s="135"/>
      <c r="N27" s="135"/>
      <c r="O27" s="135"/>
      <c r="P27" s="135"/>
    </row>
    <row r="28" spans="1:16" ht="14" x14ac:dyDescent="0.3">
      <c r="G28" s="199"/>
      <c r="H28" s="266"/>
      <c r="I28" s="189"/>
      <c r="J28" s="135"/>
      <c r="K28" s="135"/>
      <c r="L28" s="135"/>
      <c r="M28" s="135"/>
      <c r="N28" s="135"/>
      <c r="O28" s="135"/>
      <c r="P28" s="135"/>
    </row>
    <row r="29" spans="1:16" x14ac:dyDescent="0.25">
      <c r="G29" s="136"/>
      <c r="H29" s="139"/>
      <c r="I29" s="135"/>
      <c r="J29" s="135"/>
      <c r="K29" s="135"/>
      <c r="L29" s="135"/>
      <c r="M29" s="135"/>
      <c r="N29" s="135"/>
      <c r="O29" s="135"/>
      <c r="P29" s="135"/>
    </row>
    <row r="30" spans="1:16" x14ac:dyDescent="0.25">
      <c r="G30" s="136"/>
      <c r="H30" s="139"/>
      <c r="I30" s="135"/>
      <c r="J30" s="135"/>
      <c r="K30" s="135"/>
      <c r="L30" s="135"/>
      <c r="M30" s="135"/>
      <c r="N30" s="135"/>
      <c r="O30" s="135"/>
      <c r="P30" s="135"/>
    </row>
    <row r="31" spans="1:16" x14ac:dyDescent="0.25">
      <c r="G31" s="136"/>
      <c r="H31" s="139"/>
      <c r="I31" s="135"/>
      <c r="J31" s="135"/>
      <c r="K31" s="135"/>
      <c r="L31" s="135"/>
      <c r="M31" s="135"/>
      <c r="N31" s="135"/>
      <c r="O31" s="135"/>
      <c r="P31" s="135"/>
    </row>
    <row r="32" spans="1:16" x14ac:dyDescent="0.25">
      <c r="G32" s="136"/>
      <c r="H32" s="139"/>
      <c r="I32" s="135"/>
      <c r="J32" s="135"/>
      <c r="K32" s="135"/>
      <c r="L32" s="135"/>
      <c r="M32" s="135"/>
      <c r="N32" s="135"/>
      <c r="O32" s="135"/>
      <c r="P32" s="135"/>
    </row>
    <row r="33" spans="1:16" x14ac:dyDescent="0.25">
      <c r="G33" s="136"/>
      <c r="H33" s="139"/>
      <c r="I33" s="135"/>
      <c r="J33" s="135"/>
      <c r="K33" s="135"/>
      <c r="L33" s="135"/>
      <c r="M33" s="135"/>
      <c r="N33" s="135"/>
      <c r="O33" s="135"/>
      <c r="P33" s="135"/>
    </row>
    <row r="34" spans="1:16" x14ac:dyDescent="0.25">
      <c r="G34" s="136"/>
      <c r="H34" s="139"/>
      <c r="I34" s="135"/>
      <c r="J34" s="135"/>
      <c r="K34" s="135"/>
      <c r="L34" s="135"/>
      <c r="M34" s="135"/>
      <c r="N34" s="135"/>
      <c r="O34" s="135"/>
      <c r="P34" s="135"/>
    </row>
    <row r="35" spans="1:16" x14ac:dyDescent="0.25">
      <c r="G35" s="136"/>
      <c r="H35" s="139"/>
      <c r="I35" s="135"/>
      <c r="J35" s="135"/>
      <c r="K35" s="135"/>
      <c r="L35" s="135"/>
      <c r="M35" s="135"/>
      <c r="N35" s="135"/>
      <c r="O35" s="135"/>
      <c r="P35" s="135"/>
    </row>
    <row r="36" spans="1:16" x14ac:dyDescent="0.25">
      <c r="A36" s="128"/>
      <c r="B36" s="45"/>
      <c r="G36" s="136"/>
      <c r="H36" s="139"/>
      <c r="I36" s="135"/>
      <c r="J36" s="135"/>
      <c r="K36" s="135"/>
      <c r="L36" s="135"/>
      <c r="M36" s="135"/>
      <c r="N36" s="135"/>
      <c r="O36" s="135"/>
      <c r="P36" s="135"/>
    </row>
    <row r="37" spans="1:16" x14ac:dyDescent="0.25">
      <c r="G37" s="136"/>
      <c r="H37" s="139"/>
      <c r="I37" s="135"/>
      <c r="J37" s="135"/>
      <c r="K37" s="135"/>
      <c r="L37" s="135"/>
      <c r="M37" s="135"/>
      <c r="N37" s="135"/>
      <c r="O37" s="135"/>
      <c r="P37" s="135"/>
    </row>
    <row r="38" spans="1:16" x14ac:dyDescent="0.25">
      <c r="G38" s="136"/>
      <c r="H38" s="139"/>
      <c r="I38" s="135"/>
      <c r="J38" s="135"/>
      <c r="K38" s="135"/>
      <c r="L38" s="135"/>
      <c r="M38" s="135"/>
      <c r="N38" s="135"/>
      <c r="O38" s="135"/>
      <c r="P38" s="135"/>
    </row>
    <row r="39" spans="1:16" x14ac:dyDescent="0.25">
      <c r="G39" s="136"/>
      <c r="H39" s="139"/>
      <c r="I39" s="135"/>
      <c r="J39" s="135"/>
      <c r="K39" s="135"/>
      <c r="L39" s="135"/>
      <c r="M39" s="135"/>
      <c r="N39" s="135"/>
      <c r="O39" s="135"/>
      <c r="P39" s="135"/>
    </row>
    <row r="40" spans="1:16" x14ac:dyDescent="0.25">
      <c r="G40" s="136"/>
      <c r="H40" s="139"/>
      <c r="I40" s="135"/>
      <c r="J40" s="135"/>
      <c r="K40" s="135"/>
      <c r="L40" s="135"/>
      <c r="M40" s="135"/>
      <c r="N40" s="135"/>
      <c r="O40" s="135"/>
      <c r="P40" s="135"/>
    </row>
    <row r="41" spans="1:16" x14ac:dyDescent="0.25">
      <c r="G41" s="136"/>
      <c r="H41" s="139"/>
      <c r="I41" s="135"/>
      <c r="J41" s="135"/>
      <c r="K41" s="135"/>
      <c r="L41" s="135"/>
      <c r="M41" s="135"/>
      <c r="N41" s="135"/>
      <c r="O41" s="135"/>
      <c r="P41" s="135"/>
    </row>
    <row r="42" spans="1:16" x14ac:dyDescent="0.25">
      <c r="G42" s="136"/>
      <c r="H42" s="139"/>
      <c r="I42" s="135"/>
      <c r="J42" s="135"/>
      <c r="K42" s="135"/>
      <c r="L42" s="135"/>
      <c r="M42" s="135"/>
      <c r="N42" s="135"/>
      <c r="O42" s="135"/>
      <c r="P42" s="135"/>
    </row>
    <row r="43" spans="1:16" x14ac:dyDescent="0.25">
      <c r="G43" s="136"/>
      <c r="H43" s="139"/>
      <c r="I43" s="135"/>
      <c r="J43" s="135"/>
      <c r="K43" s="135"/>
      <c r="L43" s="135"/>
      <c r="M43" s="135"/>
      <c r="N43" s="135"/>
      <c r="O43" s="135"/>
      <c r="P43" s="135"/>
    </row>
    <row r="44" spans="1:16" x14ac:dyDescent="0.25">
      <c r="G44" s="136"/>
      <c r="H44" s="139"/>
      <c r="I44" s="135"/>
      <c r="J44" s="135"/>
      <c r="K44" s="135"/>
      <c r="L44" s="135"/>
      <c r="M44" s="135"/>
      <c r="N44" s="135"/>
      <c r="O44" s="135"/>
      <c r="P44" s="135"/>
    </row>
    <row r="45" spans="1:16" x14ac:dyDescent="0.25">
      <c r="G45" s="136"/>
      <c r="H45" s="139"/>
      <c r="I45" s="135"/>
      <c r="J45" s="135"/>
      <c r="K45" s="135"/>
      <c r="L45" s="135"/>
      <c r="M45" s="135"/>
      <c r="N45" s="135"/>
      <c r="O45" s="135"/>
      <c r="P45" s="135"/>
    </row>
    <row r="46" spans="1:16" x14ac:dyDescent="0.25">
      <c r="G46" s="136"/>
      <c r="H46" s="139"/>
      <c r="I46" s="135"/>
      <c r="J46" s="135"/>
      <c r="K46" s="135"/>
      <c r="L46" s="135"/>
      <c r="M46" s="135"/>
      <c r="N46" s="135"/>
      <c r="O46" s="135"/>
      <c r="P46" s="135"/>
    </row>
    <row r="47" spans="1:16" x14ac:dyDescent="0.25">
      <c r="G47" s="136"/>
      <c r="H47" s="139"/>
      <c r="I47" s="135"/>
      <c r="J47" s="135"/>
      <c r="K47" s="135"/>
      <c r="L47" s="135"/>
      <c r="M47" s="135"/>
      <c r="N47" s="135"/>
      <c r="O47" s="135"/>
      <c r="P47" s="135"/>
    </row>
    <row r="48" spans="1:16" x14ac:dyDescent="0.25">
      <c r="G48" s="136"/>
      <c r="H48" s="139"/>
      <c r="I48" s="135"/>
      <c r="J48" s="135"/>
      <c r="K48" s="135"/>
      <c r="L48" s="135"/>
      <c r="M48" s="135"/>
      <c r="N48" s="135"/>
      <c r="O48" s="135"/>
      <c r="P48" s="135"/>
    </row>
    <row r="49" spans="1:16" ht="13" x14ac:dyDescent="0.3">
      <c r="A49" s="10" t="s">
        <v>201</v>
      </c>
      <c r="G49" s="136"/>
      <c r="H49" s="139"/>
      <c r="I49" s="135"/>
      <c r="J49" s="135"/>
      <c r="K49" s="135"/>
      <c r="L49" s="135"/>
      <c r="M49" s="135"/>
      <c r="N49" s="135"/>
      <c r="O49" s="135"/>
      <c r="P49" s="135"/>
    </row>
    <row r="50" spans="1:16" x14ac:dyDescent="0.25">
      <c r="A50" s="8"/>
      <c r="G50" s="136"/>
      <c r="H50" s="139"/>
      <c r="I50" s="135"/>
      <c r="J50" s="135"/>
      <c r="K50" s="135"/>
      <c r="L50" s="135"/>
      <c r="M50" s="135"/>
      <c r="N50" s="135"/>
      <c r="O50" s="135"/>
      <c r="P50" s="135"/>
    </row>
    <row r="51" spans="1:16" x14ac:dyDescent="0.25">
      <c r="A51" s="8"/>
      <c r="G51" s="136"/>
      <c r="H51" s="139"/>
      <c r="I51" s="135"/>
      <c r="J51" s="135"/>
      <c r="K51" s="135"/>
      <c r="L51" s="135"/>
      <c r="M51" s="135"/>
      <c r="N51" s="135"/>
      <c r="O51" s="135"/>
      <c r="P51" s="135"/>
    </row>
    <row r="52" spans="1:16" x14ac:dyDescent="0.25">
      <c r="A52" s="8"/>
      <c r="G52" s="136"/>
      <c r="H52" s="139"/>
      <c r="I52" s="135"/>
      <c r="J52" s="135"/>
      <c r="K52" s="135"/>
      <c r="L52" s="135"/>
      <c r="M52" s="135"/>
      <c r="N52" s="135"/>
      <c r="O52" s="135"/>
      <c r="P52" s="135"/>
    </row>
    <row r="53" spans="1:16" x14ac:dyDescent="0.25">
      <c r="A53" s="8"/>
      <c r="G53" s="136"/>
      <c r="H53" s="139"/>
      <c r="I53" s="135"/>
      <c r="J53" s="135"/>
      <c r="K53" s="135"/>
      <c r="L53" s="135"/>
      <c r="M53" s="135"/>
      <c r="N53" s="135"/>
      <c r="O53" s="135"/>
      <c r="P53" s="135"/>
    </row>
    <row r="54" spans="1:16" x14ac:dyDescent="0.25">
      <c r="A54" s="8"/>
      <c r="G54" s="136"/>
      <c r="H54" s="139"/>
      <c r="I54" s="135"/>
      <c r="J54" s="135"/>
      <c r="K54" s="135"/>
      <c r="L54" s="135"/>
      <c r="M54" s="135"/>
      <c r="N54" s="135"/>
      <c r="O54" s="135"/>
      <c r="P54" s="135"/>
    </row>
    <row r="55" spans="1:16" x14ac:dyDescent="0.25">
      <c r="A55" s="8"/>
      <c r="G55" s="136"/>
      <c r="H55" s="139"/>
      <c r="I55" s="135"/>
      <c r="J55" s="135"/>
      <c r="K55" s="135"/>
      <c r="L55" s="135"/>
      <c r="M55" s="135"/>
      <c r="N55" s="135"/>
      <c r="O55" s="135"/>
      <c r="P55" s="135"/>
    </row>
    <row r="56" spans="1:16" x14ac:dyDescent="0.25">
      <c r="A56" s="8"/>
      <c r="G56" s="136"/>
      <c r="H56" s="139"/>
      <c r="I56" s="135"/>
      <c r="J56" s="135"/>
      <c r="K56" s="135"/>
      <c r="L56" s="135"/>
      <c r="M56" s="135"/>
      <c r="N56" s="135"/>
      <c r="O56" s="135"/>
      <c r="P56" s="135"/>
    </row>
    <row r="57" spans="1:16" x14ac:dyDescent="0.25">
      <c r="A57" s="8"/>
      <c r="G57" s="136"/>
      <c r="H57" s="139"/>
      <c r="I57" s="135"/>
      <c r="J57" s="135"/>
      <c r="K57" s="135"/>
      <c r="L57" s="135"/>
      <c r="M57" s="135"/>
      <c r="N57" s="135"/>
      <c r="O57" s="135"/>
      <c r="P57" s="135"/>
    </row>
    <row r="58" spans="1:16" x14ac:dyDescent="0.25">
      <c r="G58" s="136"/>
      <c r="H58" s="139"/>
      <c r="I58" s="135"/>
      <c r="J58" s="135"/>
      <c r="K58" s="135"/>
      <c r="L58" s="135"/>
      <c r="M58" s="135"/>
      <c r="N58" s="135"/>
      <c r="O58" s="135"/>
      <c r="P58" s="135"/>
    </row>
    <row r="59" spans="1:16" x14ac:dyDescent="0.25">
      <c r="F59" s="135"/>
      <c r="G59" s="136"/>
      <c r="H59" s="139"/>
      <c r="I59" s="135"/>
      <c r="J59" s="135"/>
      <c r="K59" s="135"/>
      <c r="L59" s="135"/>
      <c r="M59" s="135"/>
      <c r="N59" s="135"/>
      <c r="O59" s="135"/>
      <c r="P59" s="135"/>
    </row>
    <row r="60" spans="1:16" x14ac:dyDescent="0.25">
      <c r="F60" s="135"/>
      <c r="G60" s="136"/>
      <c r="H60" s="139"/>
      <c r="I60" s="135"/>
      <c r="J60" s="135"/>
      <c r="K60" s="135"/>
      <c r="L60" s="135"/>
      <c r="M60" s="135"/>
      <c r="N60" s="135"/>
      <c r="O60" s="135"/>
      <c r="P60" s="135"/>
    </row>
    <row r="61" spans="1:16" ht="13.5" thickBot="1" x14ac:dyDescent="0.35">
      <c r="A61" s="10" t="s">
        <v>894</v>
      </c>
      <c r="B61" s="29" t="s">
        <v>486</v>
      </c>
      <c r="C61" s="245"/>
      <c r="G61" s="136"/>
      <c r="H61" s="139"/>
      <c r="I61" s="135"/>
      <c r="J61" s="135"/>
      <c r="K61" s="135"/>
      <c r="L61" s="135"/>
      <c r="M61" s="135"/>
      <c r="N61" s="135"/>
      <c r="O61" s="135"/>
      <c r="P61" s="135"/>
    </row>
    <row r="62" spans="1:16" x14ac:dyDescent="0.25">
      <c r="A62" s="156" t="s">
        <v>936</v>
      </c>
      <c r="B62" s="256">
        <v>5.4429999999999996</v>
      </c>
      <c r="C62" s="245" t="s">
        <v>209</v>
      </c>
      <c r="G62" s="136"/>
      <c r="H62" s="139"/>
      <c r="I62" s="135"/>
      <c r="J62" s="135"/>
      <c r="K62" s="135"/>
      <c r="L62" s="135"/>
      <c r="M62" s="135"/>
      <c r="N62" s="135"/>
      <c r="O62" s="135"/>
      <c r="P62" s="135"/>
    </row>
    <row r="63" spans="1:16" x14ac:dyDescent="0.25">
      <c r="A63" s="156" t="s">
        <v>937</v>
      </c>
      <c r="B63" s="286">
        <v>5.843</v>
      </c>
      <c r="C63" s="245" t="s">
        <v>209</v>
      </c>
      <c r="G63" s="136"/>
      <c r="H63" s="139"/>
      <c r="I63" s="135"/>
      <c r="J63" s="135"/>
      <c r="K63" s="135"/>
      <c r="L63" s="135"/>
      <c r="M63" s="135"/>
      <c r="N63" s="135"/>
      <c r="O63" s="135"/>
      <c r="P63" s="135"/>
    </row>
    <row r="64" spans="1:16" ht="13" thickBot="1" x14ac:dyDescent="0.3">
      <c r="A64" s="156" t="s">
        <v>739</v>
      </c>
      <c r="B64" s="258">
        <v>18.600000000000001</v>
      </c>
      <c r="C64" s="245" t="s">
        <v>209</v>
      </c>
      <c r="G64" s="136"/>
      <c r="H64" s="139"/>
      <c r="I64" s="135"/>
      <c r="J64" s="135"/>
      <c r="K64" s="135"/>
      <c r="L64" s="135"/>
      <c r="M64" s="135"/>
      <c r="N64" s="135"/>
      <c r="O64" s="135"/>
      <c r="P64" s="135"/>
    </row>
    <row r="65" spans="1:16" ht="13" x14ac:dyDescent="0.3">
      <c r="A65" s="156"/>
      <c r="B65" s="29" t="s">
        <v>139</v>
      </c>
      <c r="C65" s="245"/>
      <c r="G65" s="136"/>
      <c r="H65" s="139"/>
      <c r="I65" s="135"/>
      <c r="J65" s="135"/>
      <c r="K65" s="135"/>
      <c r="L65" s="135"/>
      <c r="M65" s="135"/>
      <c r="N65" s="135"/>
      <c r="O65" s="135"/>
      <c r="P65" s="135"/>
    </row>
    <row r="66" spans="1:16" ht="13" x14ac:dyDescent="0.3">
      <c r="A66" s="2" t="s">
        <v>896</v>
      </c>
      <c r="B66" s="10" t="s">
        <v>938</v>
      </c>
      <c r="C66" s="10"/>
      <c r="G66" s="136"/>
      <c r="H66" s="139"/>
      <c r="I66" s="135"/>
      <c r="J66" s="135"/>
      <c r="K66" s="135"/>
      <c r="L66" s="135"/>
      <c r="M66" s="135"/>
      <c r="N66" s="135"/>
      <c r="O66" s="135"/>
      <c r="P66" s="135"/>
    </row>
    <row r="67" spans="1:16" ht="13" x14ac:dyDescent="0.3">
      <c r="A67" s="2" t="s">
        <v>101</v>
      </c>
      <c r="B67" s="178">
        <f>B63+B62/2</f>
        <v>8.5644999999999989</v>
      </c>
      <c r="C67" s="10" t="s">
        <v>209</v>
      </c>
      <c r="G67" s="136"/>
      <c r="H67" s="139"/>
      <c r="I67" s="135"/>
      <c r="J67" s="135"/>
      <c r="K67" s="135"/>
      <c r="L67" s="135"/>
      <c r="M67" s="135"/>
      <c r="N67" s="135"/>
      <c r="O67" s="135"/>
      <c r="P67" s="135"/>
    </row>
    <row r="68" spans="1:16" ht="13" x14ac:dyDescent="0.3">
      <c r="A68" s="2" t="s">
        <v>939</v>
      </c>
      <c r="B68" s="284" t="s">
        <v>935</v>
      </c>
      <c r="G68" s="136"/>
      <c r="H68" s="139"/>
      <c r="I68" s="135"/>
      <c r="J68" s="135"/>
      <c r="K68" s="135"/>
      <c r="L68" s="135"/>
      <c r="M68" s="135"/>
      <c r="N68" s="135"/>
      <c r="O68" s="135"/>
      <c r="P68" s="135"/>
    </row>
    <row r="69" spans="1:16" ht="13" x14ac:dyDescent="0.3">
      <c r="A69" s="2" t="s">
        <v>101</v>
      </c>
      <c r="B69" s="285">
        <f>2*B64 + 1.57*(B63 + B62) + (B63 - B62)^2 / (4*B64)</f>
        <v>54.92117053763441</v>
      </c>
      <c r="C69" s="10" t="s">
        <v>209</v>
      </c>
      <c r="G69" s="136"/>
      <c r="H69" s="139"/>
      <c r="I69" s="135"/>
      <c r="J69" s="135"/>
      <c r="K69" s="135"/>
      <c r="L69" s="135"/>
      <c r="M69" s="135"/>
      <c r="N69" s="135"/>
      <c r="O69" s="135"/>
      <c r="P69" s="135"/>
    </row>
    <row r="70" spans="1:16" ht="13.5" thickBot="1" x14ac:dyDescent="0.35">
      <c r="A70" s="156" t="s">
        <v>101</v>
      </c>
      <c r="B70" s="91">
        <f>B69*25.4</f>
        <v>1394.9977316559139</v>
      </c>
      <c r="C70" s="10" t="s">
        <v>904</v>
      </c>
      <c r="G70" s="271"/>
      <c r="H70" s="139"/>
      <c r="I70" s="135"/>
      <c r="J70" s="135"/>
      <c r="K70" s="135"/>
      <c r="L70" s="135"/>
      <c r="M70" s="135"/>
      <c r="N70" s="135"/>
      <c r="O70" s="135"/>
      <c r="P70" s="135"/>
    </row>
    <row r="71" spans="1:16" ht="13.5" thickBot="1" x14ac:dyDescent="0.35">
      <c r="A71" s="2" t="s">
        <v>905</v>
      </c>
      <c r="B71" s="246">
        <v>1400</v>
      </c>
      <c r="C71" s="10" t="s">
        <v>904</v>
      </c>
      <c r="G71" s="136"/>
      <c r="H71" s="139"/>
      <c r="I71" s="135"/>
      <c r="J71" s="135"/>
      <c r="K71" s="135"/>
      <c r="L71" s="135"/>
      <c r="M71" s="135"/>
      <c r="N71" s="135"/>
      <c r="O71" s="135"/>
      <c r="P71" s="135"/>
    </row>
    <row r="72" spans="1:16" ht="13" x14ac:dyDescent="0.3">
      <c r="A72" s="2" t="s">
        <v>101</v>
      </c>
      <c r="B72" s="41">
        <f>B71/25.4</f>
        <v>55.118110236220474</v>
      </c>
      <c r="C72" s="10" t="s">
        <v>209</v>
      </c>
      <c r="G72" s="199"/>
      <c r="H72" s="255"/>
      <c r="I72" s="137"/>
      <c r="J72" s="135"/>
      <c r="K72" s="135"/>
      <c r="L72" s="135"/>
      <c r="M72" s="135"/>
      <c r="N72" s="135"/>
      <c r="O72" s="135"/>
      <c r="P72" s="135"/>
    </row>
    <row r="73" spans="1:16" x14ac:dyDescent="0.25">
      <c r="G73" s="136"/>
      <c r="H73" s="139"/>
      <c r="I73" s="135"/>
      <c r="J73" s="135"/>
      <c r="K73" s="135"/>
      <c r="L73" s="135"/>
      <c r="M73" s="135"/>
      <c r="N73" s="135"/>
      <c r="O73" s="135"/>
      <c r="P73" s="135"/>
    </row>
    <row r="74" spans="1:16" ht="15.5" x14ac:dyDescent="0.3">
      <c r="A74" s="287" t="s">
        <v>940</v>
      </c>
      <c r="B74" s="137"/>
      <c r="C74" s="189"/>
      <c r="D74" s="135"/>
      <c r="E74" s="135"/>
      <c r="F74" s="135"/>
      <c r="G74" s="136"/>
      <c r="H74" s="139"/>
      <c r="I74" s="135"/>
      <c r="J74" s="135"/>
      <c r="K74" s="135"/>
      <c r="L74" s="135"/>
      <c r="M74" s="135"/>
      <c r="N74" s="135"/>
      <c r="O74" s="135"/>
      <c r="P74" s="135"/>
    </row>
    <row r="75" spans="1:16" ht="13" x14ac:dyDescent="0.3">
      <c r="A75" s="199"/>
      <c r="B75" s="189"/>
      <c r="C75" s="189"/>
      <c r="D75" s="135"/>
      <c r="E75" s="135"/>
      <c r="F75" s="135"/>
      <c r="G75" s="136"/>
      <c r="H75" s="139"/>
      <c r="I75" s="135"/>
      <c r="J75" s="135"/>
      <c r="K75" s="135"/>
      <c r="L75" s="135"/>
      <c r="M75" s="135"/>
      <c r="N75" s="135"/>
      <c r="O75" s="135"/>
      <c r="P75" s="135"/>
    </row>
    <row r="76" spans="1:16" ht="13" x14ac:dyDescent="0.3">
      <c r="A76" s="199"/>
      <c r="B76" s="253"/>
      <c r="C76" s="189"/>
      <c r="D76" s="135"/>
      <c r="E76" s="135"/>
      <c r="F76" s="135"/>
      <c r="G76" s="136"/>
      <c r="H76" s="139"/>
      <c r="I76" s="135"/>
      <c r="J76" s="135"/>
      <c r="K76" s="135"/>
      <c r="L76" s="135"/>
      <c r="M76" s="135"/>
      <c r="N76" s="135"/>
      <c r="O76" s="135"/>
      <c r="P76" s="135"/>
    </row>
    <row r="77" spans="1:16" ht="14" x14ac:dyDescent="0.3">
      <c r="A77" s="199"/>
      <c r="B77" s="265"/>
      <c r="C77" s="138"/>
      <c r="D77" s="135"/>
      <c r="E77" s="135"/>
      <c r="F77" s="135"/>
      <c r="G77" s="136"/>
      <c r="H77" s="139"/>
      <c r="I77" s="135"/>
      <c r="J77" s="135"/>
      <c r="K77" s="135"/>
      <c r="L77" s="135"/>
      <c r="M77" s="135"/>
      <c r="N77" s="135"/>
      <c r="O77" s="135"/>
      <c r="P77" s="135"/>
    </row>
    <row r="78" spans="1:16" ht="13" x14ac:dyDescent="0.3">
      <c r="A78" s="199"/>
      <c r="B78" s="253"/>
      <c r="C78" s="189"/>
      <c r="D78" s="135"/>
      <c r="E78" s="135"/>
      <c r="F78" s="135"/>
      <c r="G78" s="136"/>
      <c r="H78" s="139"/>
      <c r="I78" s="135"/>
      <c r="J78" s="135"/>
      <c r="K78" s="135"/>
      <c r="L78" s="135"/>
      <c r="M78" s="135"/>
      <c r="N78" s="135"/>
      <c r="O78" s="135"/>
      <c r="P78" s="135"/>
    </row>
    <row r="79" spans="1:16" ht="13" x14ac:dyDescent="0.3">
      <c r="A79" s="199"/>
      <c r="B79" s="189"/>
      <c r="C79" s="189"/>
      <c r="D79" s="135"/>
      <c r="E79" s="135"/>
      <c r="F79" s="135"/>
      <c r="G79" s="136"/>
      <c r="H79" s="139"/>
      <c r="I79" s="135"/>
      <c r="J79" s="135"/>
      <c r="K79" s="135"/>
      <c r="L79" s="135"/>
      <c r="M79" s="135"/>
      <c r="N79" s="135"/>
      <c r="O79" s="135"/>
      <c r="P79" s="135"/>
    </row>
    <row r="80" spans="1:16" ht="13" x14ac:dyDescent="0.3">
      <c r="A80" s="199"/>
      <c r="B80" s="255"/>
      <c r="C80" s="189"/>
      <c r="D80" s="135"/>
      <c r="E80" s="135"/>
      <c r="F80" s="135"/>
      <c r="G80" s="136"/>
      <c r="H80" s="139"/>
      <c r="I80" s="135"/>
      <c r="J80" s="135"/>
      <c r="K80" s="135"/>
      <c r="L80" s="135"/>
      <c r="M80" s="135"/>
      <c r="N80" s="135"/>
      <c r="O80" s="135"/>
      <c r="P80" s="135"/>
    </row>
    <row r="81" spans="1:16" ht="13" x14ac:dyDescent="0.3">
      <c r="A81" s="199"/>
      <c r="B81" s="189"/>
      <c r="C81" s="135"/>
      <c r="D81" s="135"/>
      <c r="E81" s="135"/>
      <c r="F81" s="135"/>
      <c r="G81" s="136"/>
      <c r="H81" s="139"/>
      <c r="I81" s="135"/>
      <c r="J81" s="135"/>
      <c r="K81" s="135"/>
      <c r="L81" s="135"/>
      <c r="M81" s="135"/>
      <c r="N81" s="135"/>
      <c r="O81" s="135"/>
      <c r="P81" s="135"/>
    </row>
    <row r="82" spans="1:16" ht="13" x14ac:dyDescent="0.3">
      <c r="A82" s="199"/>
      <c r="B82" s="272"/>
      <c r="C82" s="135"/>
      <c r="D82" s="135"/>
      <c r="E82" s="135"/>
      <c r="F82" s="135"/>
      <c r="G82" s="136"/>
      <c r="H82" s="139"/>
      <c r="I82" s="135"/>
      <c r="J82" s="135"/>
      <c r="K82" s="135"/>
      <c r="L82" s="135"/>
      <c r="M82" s="135"/>
      <c r="N82" s="135"/>
      <c r="O82" s="135"/>
      <c r="P82" s="135"/>
    </row>
    <row r="83" spans="1:16" ht="13" x14ac:dyDescent="0.3">
      <c r="A83" s="199"/>
      <c r="B83" s="189"/>
      <c r="C83" s="189"/>
      <c r="D83" s="135"/>
      <c r="E83" s="135"/>
      <c r="F83" s="135"/>
      <c r="G83" s="136"/>
      <c r="H83" s="139"/>
      <c r="I83" s="135"/>
      <c r="J83" s="135"/>
      <c r="K83" s="135"/>
      <c r="L83" s="135"/>
      <c r="M83" s="135"/>
      <c r="N83" s="135"/>
      <c r="O83" s="135"/>
      <c r="P83" s="135"/>
    </row>
    <row r="84" spans="1:16" ht="13" x14ac:dyDescent="0.3">
      <c r="A84" s="199"/>
      <c r="B84" s="253"/>
      <c r="C84" s="189"/>
      <c r="D84" s="135"/>
      <c r="E84" s="135"/>
      <c r="F84" s="135"/>
      <c r="G84" s="136"/>
      <c r="H84" s="139"/>
      <c r="I84" s="135"/>
      <c r="J84" s="135"/>
      <c r="K84" s="135"/>
      <c r="L84" s="135"/>
      <c r="M84" s="135"/>
      <c r="N84" s="135"/>
      <c r="O84" s="135"/>
      <c r="P84" s="135"/>
    </row>
    <row r="85" spans="1:16" ht="13" x14ac:dyDescent="0.3">
      <c r="A85" s="199"/>
      <c r="B85" s="137"/>
      <c r="C85" s="139"/>
      <c r="D85" s="135"/>
      <c r="E85" s="135"/>
      <c r="F85" s="135"/>
      <c r="G85" s="136"/>
      <c r="H85" s="139"/>
      <c r="I85" s="135"/>
      <c r="J85" s="135"/>
      <c r="K85" s="135"/>
      <c r="L85" s="135"/>
      <c r="M85" s="135"/>
      <c r="N85" s="135"/>
      <c r="O85" s="135"/>
      <c r="P85" s="135"/>
    </row>
    <row r="86" spans="1:16" ht="13" x14ac:dyDescent="0.3">
      <c r="A86" s="271"/>
      <c r="B86" s="255"/>
      <c r="C86" s="137"/>
      <c r="D86" s="135"/>
      <c r="E86" s="135"/>
      <c r="F86" s="135"/>
      <c r="G86" s="136"/>
      <c r="H86" s="139"/>
      <c r="I86" s="135"/>
      <c r="J86" s="135"/>
      <c r="K86" s="135"/>
      <c r="L86" s="135"/>
      <c r="M86" s="135"/>
      <c r="N86" s="135"/>
      <c r="O86" s="135"/>
      <c r="P86" s="135"/>
    </row>
    <row r="87" spans="1:16" ht="13" x14ac:dyDescent="0.3">
      <c r="A87" s="199"/>
      <c r="B87" s="189"/>
      <c r="C87" s="189"/>
      <c r="D87" s="135"/>
      <c r="E87" s="135"/>
      <c r="F87" s="135"/>
      <c r="G87" s="136"/>
      <c r="H87" s="139"/>
      <c r="I87" s="135"/>
      <c r="J87" s="135"/>
      <c r="K87" s="135"/>
      <c r="L87" s="135"/>
      <c r="M87" s="135"/>
      <c r="N87" s="135"/>
      <c r="O87" s="135"/>
      <c r="P87" s="135"/>
    </row>
    <row r="88" spans="1:16" ht="15.5" x14ac:dyDescent="0.3">
      <c r="A88" s="287" t="s">
        <v>941</v>
      </c>
      <c r="B88" s="255"/>
      <c r="C88" s="189"/>
      <c r="D88" s="135"/>
      <c r="E88" s="135"/>
      <c r="F88" s="135"/>
      <c r="G88" s="136"/>
      <c r="H88" s="139"/>
      <c r="I88" s="135"/>
      <c r="J88" s="135"/>
      <c r="K88" s="135"/>
      <c r="L88" s="135"/>
      <c r="M88" s="135"/>
      <c r="N88" s="135"/>
      <c r="O88" s="135"/>
      <c r="P88" s="135"/>
    </row>
    <row r="89" spans="1:16" ht="13" x14ac:dyDescent="0.3">
      <c r="A89" s="199"/>
      <c r="B89" s="272"/>
      <c r="C89" s="189"/>
      <c r="D89" s="135"/>
      <c r="E89" s="135"/>
      <c r="F89" s="135"/>
      <c r="G89" s="136"/>
      <c r="H89" s="139"/>
      <c r="I89" s="135"/>
      <c r="J89" s="135"/>
      <c r="K89" s="135"/>
      <c r="L89" s="135"/>
      <c r="M89" s="135"/>
      <c r="N89" s="135"/>
      <c r="O89" s="135"/>
      <c r="P89" s="135"/>
    </row>
    <row r="90" spans="1:16" x14ac:dyDescent="0.25">
      <c r="A90" s="135"/>
      <c r="B90" s="135"/>
      <c r="C90" s="135"/>
      <c r="D90" s="135"/>
      <c r="E90" s="135"/>
      <c r="F90" s="135"/>
      <c r="G90" s="136"/>
      <c r="H90" s="139"/>
      <c r="I90" s="135"/>
      <c r="J90" s="135"/>
      <c r="K90" s="135"/>
      <c r="L90" s="135"/>
      <c r="M90" s="135"/>
      <c r="N90" s="135"/>
      <c r="O90" s="135"/>
      <c r="P90" s="135"/>
    </row>
    <row r="91" spans="1:16" x14ac:dyDescent="0.25">
      <c r="A91" s="135"/>
      <c r="B91" s="135"/>
      <c r="C91" s="135"/>
      <c r="D91" s="135"/>
      <c r="E91" s="135"/>
      <c r="F91" s="135"/>
      <c r="G91" s="136"/>
      <c r="H91" s="139"/>
      <c r="I91" s="135"/>
      <c r="J91" s="135"/>
      <c r="K91" s="135"/>
      <c r="L91" s="135"/>
      <c r="M91" s="135"/>
      <c r="N91" s="135"/>
      <c r="O91" s="135"/>
      <c r="P91" s="135"/>
    </row>
    <row r="92" spans="1:16" x14ac:dyDescent="0.25">
      <c r="A92" s="136"/>
      <c r="B92" s="139"/>
      <c r="C92" s="139"/>
      <c r="D92" s="135"/>
      <c r="E92" s="135"/>
      <c r="F92" s="135"/>
      <c r="G92" s="136"/>
      <c r="H92" s="139"/>
      <c r="I92" s="135"/>
      <c r="J92" s="135"/>
      <c r="K92" s="135"/>
      <c r="L92" s="135"/>
      <c r="M92" s="135"/>
      <c r="N92" s="135"/>
      <c r="O92" s="135"/>
      <c r="P92" s="135"/>
    </row>
    <row r="93" spans="1:16" x14ac:dyDescent="0.25">
      <c r="A93" s="135"/>
      <c r="B93" s="135"/>
      <c r="C93" s="135"/>
      <c r="D93" s="135"/>
      <c r="E93" s="135"/>
      <c r="F93" s="135"/>
      <c r="G93" s="136"/>
      <c r="H93" s="139"/>
      <c r="I93" s="135"/>
      <c r="J93" s="135"/>
      <c r="K93" s="135"/>
      <c r="L93" s="135"/>
      <c r="M93" s="135"/>
      <c r="N93" s="135"/>
      <c r="O93" s="135"/>
      <c r="P93" s="135"/>
    </row>
    <row r="94" spans="1:16" x14ac:dyDescent="0.25">
      <c r="A94" s="135"/>
      <c r="B94" s="135"/>
      <c r="C94" s="135"/>
      <c r="D94" s="135"/>
      <c r="E94" s="135"/>
      <c r="F94" s="135"/>
      <c r="G94" s="136"/>
      <c r="H94" s="139"/>
      <c r="I94" s="135"/>
      <c r="J94" s="135"/>
      <c r="K94" s="135"/>
      <c r="L94" s="135"/>
      <c r="M94" s="135"/>
      <c r="N94" s="135"/>
      <c r="O94" s="135"/>
      <c r="P94" s="135"/>
    </row>
    <row r="95" spans="1:16" x14ac:dyDescent="0.25">
      <c r="A95" s="135"/>
      <c r="B95" s="135"/>
      <c r="C95" s="135"/>
      <c r="D95" s="135"/>
      <c r="E95" s="135"/>
      <c r="F95" s="135"/>
      <c r="G95" s="136"/>
      <c r="H95" s="139"/>
      <c r="I95" s="135"/>
      <c r="J95" s="135"/>
      <c r="K95" s="135"/>
      <c r="L95" s="135"/>
      <c r="M95" s="135"/>
      <c r="N95" s="135"/>
      <c r="O95" s="135"/>
      <c r="P95" s="135"/>
    </row>
    <row r="96" spans="1:16" x14ac:dyDescent="0.25">
      <c r="A96" s="135"/>
      <c r="B96" s="135"/>
      <c r="C96" s="135"/>
      <c r="D96" s="135"/>
      <c r="E96" s="135"/>
      <c r="F96" s="135"/>
      <c r="G96" s="136"/>
      <c r="H96" s="139"/>
      <c r="I96" s="135"/>
      <c r="J96" s="135"/>
      <c r="K96" s="135"/>
      <c r="L96" s="135"/>
      <c r="M96" s="135"/>
      <c r="N96" s="135"/>
      <c r="O96" s="135"/>
      <c r="P96" s="135"/>
    </row>
    <row r="97" spans="1:16" x14ac:dyDescent="0.25">
      <c r="A97" s="135"/>
      <c r="B97" s="135"/>
      <c r="C97" s="135"/>
      <c r="D97" s="135"/>
      <c r="E97" s="135"/>
      <c r="F97" s="135"/>
      <c r="G97" s="136"/>
      <c r="H97" s="139"/>
      <c r="I97" s="135"/>
      <c r="J97" s="135"/>
      <c r="K97" s="135"/>
      <c r="L97" s="135"/>
      <c r="M97" s="135"/>
      <c r="N97" s="135"/>
      <c r="O97" s="135"/>
      <c r="P97" s="135"/>
    </row>
    <row r="98" spans="1:16" x14ac:dyDescent="0.25">
      <c r="A98" s="135"/>
      <c r="B98" s="135"/>
      <c r="C98" s="135"/>
      <c r="D98" s="135"/>
      <c r="E98" s="135"/>
      <c r="F98" s="135"/>
      <c r="G98" s="136"/>
      <c r="H98" s="139"/>
      <c r="I98" s="135"/>
      <c r="J98" s="135"/>
      <c r="K98" s="135"/>
      <c r="L98" s="135"/>
      <c r="M98" s="135"/>
      <c r="N98" s="135"/>
      <c r="O98" s="135"/>
      <c r="P98" s="135"/>
    </row>
    <row r="99" spans="1:16" x14ac:dyDescent="0.25">
      <c r="A99" s="135"/>
      <c r="B99" s="135"/>
      <c r="C99" s="135"/>
      <c r="D99" s="135"/>
      <c r="E99" s="135"/>
      <c r="F99" s="135"/>
      <c r="G99" s="136"/>
      <c r="H99" s="139"/>
      <c r="I99" s="135"/>
      <c r="J99" s="135"/>
      <c r="K99" s="135"/>
      <c r="L99" s="135"/>
      <c r="M99" s="135"/>
      <c r="N99" s="135"/>
      <c r="O99" s="135"/>
      <c r="P99" s="135"/>
    </row>
    <row r="100" spans="1:16" x14ac:dyDescent="0.25">
      <c r="A100" s="135"/>
      <c r="B100" s="135"/>
      <c r="C100" s="135"/>
      <c r="D100" s="135"/>
      <c r="E100" s="135"/>
      <c r="F100" s="135"/>
      <c r="G100" s="136"/>
      <c r="H100" s="139"/>
      <c r="I100" s="135"/>
      <c r="J100" s="135"/>
      <c r="K100" s="135"/>
      <c r="L100" s="135"/>
      <c r="M100" s="135"/>
      <c r="N100" s="135"/>
      <c r="O100" s="135"/>
      <c r="P100" s="135"/>
    </row>
    <row r="101" spans="1:16" x14ac:dyDescent="0.25">
      <c r="A101" s="135"/>
      <c r="B101" s="135"/>
      <c r="C101" s="135"/>
      <c r="D101" s="135"/>
      <c r="E101" s="135"/>
      <c r="F101" s="135"/>
      <c r="G101" s="136"/>
      <c r="H101" s="139"/>
      <c r="I101" s="135"/>
      <c r="J101" s="135"/>
      <c r="K101" s="135"/>
      <c r="L101" s="135"/>
      <c r="M101" s="135"/>
      <c r="N101" s="135"/>
      <c r="O101" s="135"/>
      <c r="P101" s="135"/>
    </row>
    <row r="102" spans="1:16" x14ac:dyDescent="0.25">
      <c r="A102" s="135"/>
      <c r="B102" s="135"/>
      <c r="C102" s="135"/>
      <c r="D102" s="135"/>
      <c r="E102" s="135"/>
      <c r="F102" s="135"/>
      <c r="G102" s="136"/>
      <c r="H102" s="139"/>
      <c r="I102" s="135"/>
      <c r="J102" s="135"/>
      <c r="K102" s="135"/>
      <c r="L102" s="135"/>
      <c r="M102" s="135"/>
      <c r="N102" s="135"/>
      <c r="O102" s="135"/>
      <c r="P102" s="135"/>
    </row>
    <row r="103" spans="1:16" x14ac:dyDescent="0.25">
      <c r="A103" s="135"/>
      <c r="B103" s="135"/>
      <c r="C103" s="135"/>
      <c r="D103" s="135"/>
      <c r="E103" s="135"/>
      <c r="F103" s="135"/>
      <c r="G103" s="136"/>
      <c r="H103" s="139"/>
      <c r="I103" s="135"/>
      <c r="J103" s="135"/>
      <c r="K103" s="135"/>
      <c r="L103" s="135"/>
      <c r="M103" s="135"/>
      <c r="N103" s="135"/>
      <c r="O103" s="135"/>
      <c r="P103" s="135"/>
    </row>
    <row r="104" spans="1:16" ht="15.5" x14ac:dyDescent="0.35">
      <c r="A104" s="261"/>
      <c r="B104" s="135"/>
      <c r="C104" s="135"/>
      <c r="D104" s="135"/>
      <c r="E104" s="135"/>
      <c r="F104" s="135"/>
      <c r="G104" s="136"/>
      <c r="H104" s="139"/>
      <c r="I104" s="135"/>
      <c r="J104" s="135"/>
      <c r="K104" s="135"/>
      <c r="L104" s="135"/>
      <c r="M104" s="135"/>
      <c r="N104" s="135"/>
      <c r="O104" s="135"/>
      <c r="P104" s="135"/>
    </row>
    <row r="105" spans="1:16" x14ac:dyDescent="0.25">
      <c r="A105" s="135"/>
      <c r="B105" s="135"/>
      <c r="C105" s="135"/>
      <c r="D105" s="135"/>
      <c r="E105" s="135"/>
      <c r="F105" s="135"/>
      <c r="G105" s="136"/>
      <c r="H105" s="139"/>
      <c r="I105" s="135"/>
      <c r="J105" s="135"/>
      <c r="K105" s="135"/>
      <c r="L105" s="135"/>
      <c r="M105" s="135"/>
      <c r="N105" s="135"/>
      <c r="O105" s="135"/>
      <c r="P105" s="135"/>
    </row>
    <row r="106" spans="1:16" x14ac:dyDescent="0.25">
      <c r="A106" s="135"/>
      <c r="B106" s="135"/>
      <c r="C106" s="135"/>
      <c r="D106" s="135"/>
      <c r="E106" s="135"/>
      <c r="F106" s="135"/>
      <c r="G106" s="136"/>
      <c r="H106" s="139"/>
      <c r="I106" s="135"/>
      <c r="J106" s="135"/>
      <c r="K106" s="135"/>
      <c r="L106" s="135"/>
      <c r="M106" s="135"/>
      <c r="N106" s="135"/>
      <c r="O106" s="135"/>
      <c r="P106" s="135"/>
    </row>
    <row r="107" spans="1:16" x14ac:dyDescent="0.25">
      <c r="A107" s="135"/>
      <c r="B107" s="135"/>
      <c r="C107" s="135"/>
      <c r="D107" s="135"/>
      <c r="E107" s="135"/>
      <c r="F107" s="135"/>
      <c r="G107" s="136"/>
      <c r="H107" s="139"/>
      <c r="I107" s="135"/>
      <c r="J107" s="135"/>
      <c r="K107" s="135"/>
      <c r="L107" s="135"/>
      <c r="M107" s="135"/>
      <c r="N107" s="135"/>
      <c r="O107" s="135"/>
      <c r="P107" s="135"/>
    </row>
    <row r="108" spans="1:16" x14ac:dyDescent="0.25">
      <c r="A108" s="135"/>
      <c r="B108" s="135"/>
      <c r="C108" s="135"/>
      <c r="D108" s="135"/>
      <c r="E108" s="135"/>
      <c r="F108" s="135"/>
      <c r="G108" s="136"/>
      <c r="H108" s="139"/>
      <c r="I108" s="135"/>
      <c r="J108" s="135"/>
      <c r="K108" s="135"/>
      <c r="L108" s="135"/>
      <c r="M108" s="135"/>
      <c r="N108" s="135"/>
      <c r="O108" s="135"/>
      <c r="P108" s="135"/>
    </row>
    <row r="109" spans="1:16" x14ac:dyDescent="0.25">
      <c r="A109" s="135"/>
      <c r="B109" s="135"/>
      <c r="C109" s="135"/>
      <c r="D109" s="135"/>
      <c r="E109" s="135"/>
      <c r="F109" s="135"/>
      <c r="G109" s="136"/>
      <c r="H109" s="139"/>
      <c r="I109" s="135"/>
      <c r="J109" s="135"/>
      <c r="K109" s="135"/>
      <c r="L109" s="135"/>
      <c r="M109" s="135"/>
      <c r="N109" s="135"/>
      <c r="O109" s="135"/>
      <c r="P109" s="135"/>
    </row>
    <row r="110" spans="1:16" x14ac:dyDescent="0.25">
      <c r="A110" s="135"/>
      <c r="B110" s="135"/>
      <c r="C110" s="135"/>
      <c r="D110" s="135"/>
      <c r="E110" s="135"/>
      <c r="F110" s="135"/>
      <c r="G110" s="136"/>
      <c r="H110" s="139"/>
      <c r="I110" s="135"/>
      <c r="J110" s="135"/>
      <c r="K110" s="135"/>
      <c r="L110" s="135"/>
      <c r="M110" s="135"/>
      <c r="N110" s="135"/>
      <c r="O110" s="135"/>
      <c r="P110" s="135"/>
    </row>
    <row r="111" spans="1:16" x14ac:dyDescent="0.25">
      <c r="A111" s="135"/>
      <c r="B111" s="135"/>
      <c r="C111" s="135"/>
      <c r="D111" s="135"/>
      <c r="E111" s="135"/>
      <c r="F111" s="135"/>
      <c r="G111" s="136"/>
      <c r="H111" s="139"/>
      <c r="I111" s="135"/>
      <c r="J111" s="135"/>
      <c r="K111" s="135"/>
      <c r="L111" s="135"/>
      <c r="M111" s="135"/>
      <c r="N111" s="135"/>
      <c r="O111" s="135"/>
      <c r="P111" s="135"/>
    </row>
    <row r="112" spans="1:16" x14ac:dyDescent="0.25">
      <c r="A112" s="135"/>
      <c r="B112" s="135"/>
      <c r="C112" s="135"/>
      <c r="D112" s="135"/>
      <c r="E112" s="135"/>
      <c r="F112" s="135"/>
      <c r="G112" s="136"/>
      <c r="H112" s="139"/>
      <c r="I112" s="135"/>
      <c r="J112" s="135"/>
      <c r="K112" s="135"/>
      <c r="L112" s="135"/>
      <c r="M112" s="135"/>
      <c r="N112" s="135"/>
      <c r="O112" s="135"/>
      <c r="P112" s="135"/>
    </row>
    <row r="113" spans="1:16" x14ac:dyDescent="0.25">
      <c r="G113" s="136"/>
      <c r="H113" s="139"/>
      <c r="I113" s="135"/>
      <c r="J113" s="135"/>
      <c r="K113" s="135"/>
      <c r="L113" s="135"/>
      <c r="M113" s="135"/>
      <c r="N113" s="135"/>
      <c r="O113" s="135"/>
      <c r="P113" s="135"/>
    </row>
    <row r="114" spans="1:16" x14ac:dyDescent="0.25">
      <c r="G114" s="136"/>
      <c r="H114" s="139"/>
      <c r="I114" s="135"/>
      <c r="J114" s="135"/>
      <c r="K114" s="135"/>
      <c r="L114" s="135"/>
      <c r="M114" s="135"/>
      <c r="N114" s="135"/>
      <c r="O114" s="135"/>
      <c r="P114" s="135"/>
    </row>
    <row r="115" spans="1:16" x14ac:dyDescent="0.25">
      <c r="A115" s="123"/>
      <c r="B115" s="125"/>
      <c r="C115" s="125"/>
      <c r="D115" s="120"/>
      <c r="E115" s="120"/>
      <c r="G115" s="136"/>
      <c r="H115" s="139"/>
      <c r="I115" s="135"/>
      <c r="J115" s="135"/>
      <c r="K115" s="135"/>
      <c r="L115" s="135"/>
      <c r="M115" s="135"/>
      <c r="N115" s="135"/>
      <c r="O115" s="135"/>
      <c r="P115" s="135"/>
    </row>
    <row r="116" spans="1:16" x14ac:dyDescent="0.25">
      <c r="G116" s="136"/>
      <c r="H116" s="139"/>
      <c r="I116" s="135"/>
      <c r="J116" s="135"/>
      <c r="K116" s="135"/>
      <c r="L116" s="135"/>
      <c r="M116" s="135"/>
      <c r="N116" s="135"/>
      <c r="O116" s="135"/>
      <c r="P116" s="135"/>
    </row>
    <row r="117" spans="1:16" ht="18" x14ac:dyDescent="0.4">
      <c r="A117" s="260" t="s">
        <v>238</v>
      </c>
      <c r="G117" s="136"/>
      <c r="H117" s="139"/>
      <c r="I117" s="135"/>
      <c r="J117" s="135"/>
      <c r="K117" s="135"/>
      <c r="L117" s="135"/>
      <c r="M117" s="135"/>
      <c r="N117" s="135"/>
      <c r="O117" s="135"/>
      <c r="P117" s="135"/>
    </row>
    <row r="118" spans="1:16" x14ac:dyDescent="0.25">
      <c r="G118" s="136"/>
      <c r="H118" s="139"/>
      <c r="I118" s="135"/>
      <c r="J118" s="135"/>
      <c r="K118" s="135"/>
      <c r="L118" s="135"/>
      <c r="M118" s="135"/>
      <c r="N118" s="135"/>
      <c r="O118" s="135"/>
      <c r="P118" s="135"/>
    </row>
    <row r="119" spans="1:16" x14ac:dyDescent="0.25">
      <c r="G119" s="136"/>
      <c r="H119" s="139"/>
      <c r="I119" s="135"/>
      <c r="J119" s="135"/>
      <c r="K119" s="135"/>
      <c r="L119" s="135"/>
      <c r="M119" s="135"/>
      <c r="N119" s="135"/>
      <c r="O119" s="135"/>
      <c r="P119" s="135"/>
    </row>
    <row r="120" spans="1:16" x14ac:dyDescent="0.25">
      <c r="G120" s="136"/>
      <c r="H120" s="139"/>
      <c r="I120" s="135"/>
      <c r="J120" s="135"/>
      <c r="K120" s="135"/>
      <c r="L120" s="135"/>
      <c r="M120" s="135"/>
      <c r="N120" s="135"/>
      <c r="O120" s="135"/>
      <c r="P120" s="135"/>
    </row>
    <row r="121" spans="1:16" x14ac:dyDescent="0.25">
      <c r="G121" s="136"/>
      <c r="H121" s="139"/>
      <c r="I121" s="135"/>
      <c r="J121" s="135"/>
      <c r="K121" s="135"/>
      <c r="L121" s="135"/>
      <c r="M121" s="135"/>
      <c r="N121" s="135"/>
      <c r="O121" s="135"/>
      <c r="P121" s="135"/>
    </row>
    <row r="122" spans="1:16" x14ac:dyDescent="0.25">
      <c r="G122" s="136"/>
      <c r="H122" s="139"/>
      <c r="I122" s="135"/>
      <c r="J122" s="135"/>
      <c r="K122" s="135"/>
      <c r="L122" s="135"/>
      <c r="M122" s="135"/>
      <c r="N122" s="135"/>
      <c r="O122" s="135"/>
      <c r="P122" s="135"/>
    </row>
    <row r="123" spans="1:16" x14ac:dyDescent="0.25">
      <c r="G123" s="136"/>
      <c r="H123" s="139"/>
      <c r="I123" s="135"/>
      <c r="J123" s="135"/>
      <c r="K123" s="135"/>
      <c r="L123" s="135"/>
      <c r="M123" s="135"/>
      <c r="N123" s="135"/>
      <c r="O123" s="135"/>
      <c r="P123" s="135"/>
    </row>
    <row r="124" spans="1:16" x14ac:dyDescent="0.25">
      <c r="G124" s="136"/>
      <c r="H124" s="139"/>
      <c r="I124" s="135"/>
      <c r="J124" s="135"/>
      <c r="K124" s="135"/>
      <c r="L124" s="135"/>
      <c r="M124" s="135"/>
      <c r="N124" s="135"/>
      <c r="O124" s="135"/>
      <c r="P124" s="135"/>
    </row>
    <row r="125" spans="1:16" x14ac:dyDescent="0.25">
      <c r="G125" s="136"/>
      <c r="H125" s="139"/>
      <c r="I125" s="135"/>
      <c r="J125" s="135"/>
      <c r="K125" s="135"/>
      <c r="L125" s="135"/>
      <c r="M125" s="135"/>
      <c r="N125" s="135"/>
      <c r="O125" s="135"/>
      <c r="P125" s="135"/>
    </row>
    <row r="126" spans="1:16" x14ac:dyDescent="0.25">
      <c r="G126" s="136"/>
      <c r="H126" s="139"/>
      <c r="I126" s="135"/>
      <c r="J126" s="135"/>
      <c r="K126" s="135"/>
      <c r="L126" s="135"/>
      <c r="M126" s="135"/>
      <c r="N126" s="135"/>
      <c r="O126" s="135"/>
      <c r="P126" s="135"/>
    </row>
    <row r="127" spans="1:16" x14ac:dyDescent="0.25">
      <c r="G127" s="136"/>
      <c r="H127" s="139"/>
      <c r="I127" s="135"/>
      <c r="J127" s="135"/>
      <c r="K127" s="135"/>
      <c r="L127" s="135"/>
      <c r="M127" s="135"/>
      <c r="N127" s="135"/>
      <c r="O127" s="135"/>
      <c r="P127" s="135"/>
    </row>
    <row r="128" spans="1:16" x14ac:dyDescent="0.25">
      <c r="G128" s="136"/>
      <c r="H128" s="139"/>
      <c r="I128" s="135"/>
      <c r="J128" s="135"/>
      <c r="K128" s="135"/>
      <c r="L128" s="135"/>
      <c r="M128" s="135"/>
      <c r="N128" s="135"/>
      <c r="O128" s="135"/>
      <c r="P128" s="135"/>
    </row>
    <row r="129" spans="6:16" x14ac:dyDescent="0.25">
      <c r="G129" s="136"/>
      <c r="H129" s="139"/>
      <c r="I129" s="135"/>
      <c r="J129" s="135"/>
      <c r="K129" s="135"/>
      <c r="L129" s="135"/>
      <c r="M129" s="135"/>
      <c r="N129" s="135"/>
      <c r="O129" s="135"/>
      <c r="P129" s="135"/>
    </row>
    <row r="130" spans="6:16" x14ac:dyDescent="0.25">
      <c r="G130" s="136"/>
      <c r="H130" s="139"/>
      <c r="I130" s="135"/>
      <c r="J130" s="135"/>
      <c r="K130" s="135"/>
      <c r="L130" s="135"/>
      <c r="M130" s="135"/>
      <c r="N130" s="135"/>
      <c r="O130" s="135"/>
      <c r="P130" s="135"/>
    </row>
    <row r="131" spans="6:16" x14ac:dyDescent="0.25">
      <c r="G131" s="136"/>
      <c r="H131" s="139"/>
      <c r="I131" s="135"/>
      <c r="J131" s="135"/>
      <c r="K131" s="135"/>
      <c r="L131" s="135"/>
      <c r="M131" s="135"/>
      <c r="N131" s="135"/>
      <c r="O131" s="135"/>
      <c r="P131" s="135"/>
    </row>
    <row r="132" spans="6:16" x14ac:dyDescent="0.25">
      <c r="G132" s="136"/>
      <c r="H132" s="139"/>
      <c r="I132" s="135"/>
      <c r="J132" s="135"/>
      <c r="K132" s="135"/>
      <c r="L132" s="135"/>
      <c r="M132" s="135"/>
      <c r="N132" s="135"/>
      <c r="O132" s="135"/>
      <c r="P132" s="135"/>
    </row>
    <row r="133" spans="6:16" x14ac:dyDescent="0.25">
      <c r="G133" s="136"/>
      <c r="H133" s="139"/>
      <c r="I133" s="135"/>
      <c r="J133" s="135"/>
      <c r="K133" s="135"/>
      <c r="L133" s="135"/>
      <c r="M133" s="135"/>
      <c r="N133" s="135"/>
      <c r="O133" s="135"/>
      <c r="P133" s="135"/>
    </row>
    <row r="134" spans="6:16" x14ac:dyDescent="0.25">
      <c r="G134" s="136"/>
      <c r="H134" s="139"/>
      <c r="I134" s="135"/>
      <c r="J134" s="135"/>
      <c r="K134" s="135"/>
      <c r="L134" s="135"/>
      <c r="M134" s="135"/>
      <c r="N134" s="135"/>
      <c r="O134" s="135"/>
      <c r="P134" s="135"/>
    </row>
    <row r="135" spans="6:16" x14ac:dyDescent="0.25">
      <c r="F135" s="135"/>
      <c r="G135" s="136"/>
      <c r="H135" s="139"/>
      <c r="I135" s="135"/>
      <c r="J135" s="135"/>
      <c r="K135" s="135"/>
      <c r="L135" s="135"/>
      <c r="M135" s="135"/>
      <c r="N135" s="135"/>
      <c r="O135" s="135"/>
      <c r="P135" s="135"/>
    </row>
    <row r="136" spans="6:16" x14ac:dyDescent="0.25">
      <c r="F136" s="135"/>
      <c r="G136" s="136"/>
      <c r="H136" s="139"/>
      <c r="I136" s="135"/>
      <c r="J136" s="135"/>
      <c r="K136" s="135"/>
      <c r="L136" s="135"/>
      <c r="M136" s="135"/>
      <c r="N136" s="135"/>
      <c r="O136" s="135"/>
      <c r="P136" s="135"/>
    </row>
    <row r="137" spans="6:16" x14ac:dyDescent="0.25">
      <c r="F137" s="135"/>
      <c r="G137" s="136"/>
      <c r="H137" s="139"/>
      <c r="I137" s="135"/>
      <c r="J137" s="135"/>
      <c r="K137" s="135"/>
      <c r="L137" s="135"/>
      <c r="M137" s="135"/>
      <c r="N137" s="135"/>
      <c r="O137" s="135"/>
      <c r="P137" s="135"/>
    </row>
    <row r="138" spans="6:16" x14ac:dyDescent="0.25">
      <c r="F138" s="135"/>
      <c r="G138" s="136"/>
      <c r="H138" s="139"/>
      <c r="I138" s="135"/>
      <c r="J138" s="135"/>
      <c r="K138" s="135"/>
      <c r="L138" s="135"/>
      <c r="M138" s="135"/>
      <c r="N138" s="135"/>
      <c r="O138" s="135"/>
      <c r="P138" s="135"/>
    </row>
    <row r="139" spans="6:16" x14ac:dyDescent="0.25">
      <c r="F139" s="135"/>
      <c r="G139" s="136"/>
      <c r="H139" s="139"/>
      <c r="I139" s="135"/>
      <c r="J139" s="135"/>
      <c r="K139" s="135"/>
      <c r="L139" s="135"/>
      <c r="M139" s="135"/>
      <c r="N139" s="135"/>
      <c r="O139" s="135"/>
      <c r="P139" s="135"/>
    </row>
    <row r="140" spans="6:16" x14ac:dyDescent="0.25">
      <c r="F140" s="135"/>
      <c r="G140" s="136"/>
      <c r="H140" s="139"/>
      <c r="I140" s="135"/>
      <c r="J140" s="135"/>
      <c r="K140" s="135"/>
      <c r="L140" s="135"/>
      <c r="M140" s="135"/>
      <c r="N140" s="135"/>
      <c r="O140" s="135"/>
      <c r="P140" s="135"/>
    </row>
    <row r="141" spans="6:16" x14ac:dyDescent="0.25">
      <c r="F141" s="135"/>
      <c r="G141" s="136"/>
      <c r="H141" s="139"/>
    </row>
    <row r="142" spans="6:16" x14ac:dyDescent="0.25">
      <c r="F142" s="135"/>
      <c r="G142" s="136"/>
      <c r="H142" s="139"/>
    </row>
    <row r="143" spans="6:16" x14ac:dyDescent="0.25">
      <c r="F143" s="135"/>
    </row>
    <row r="144" spans="6:16" x14ac:dyDescent="0.25">
      <c r="F144" s="135"/>
      <c r="G144" s="136"/>
    </row>
    <row r="145" spans="1:7" x14ac:dyDescent="0.25">
      <c r="F145" s="135"/>
      <c r="G145" s="136"/>
    </row>
    <row r="146" spans="1:7" x14ac:dyDescent="0.25">
      <c r="F146" s="135"/>
    </row>
    <row r="147" spans="1:7" x14ac:dyDescent="0.25">
      <c r="F147" s="135"/>
    </row>
    <row r="148" spans="1:7" x14ac:dyDescent="0.25">
      <c r="F148" s="135"/>
    </row>
    <row r="149" spans="1:7" x14ac:dyDescent="0.25">
      <c r="F149" s="135"/>
    </row>
    <row r="151" spans="1:7" ht="18.5" thickBot="1" x14ac:dyDescent="0.45">
      <c r="A151" s="260" t="s">
        <v>903</v>
      </c>
      <c r="B151" s="29" t="s">
        <v>486</v>
      </c>
    </row>
    <row r="152" spans="1:7" x14ac:dyDescent="0.25">
      <c r="A152" s="1" t="s">
        <v>740</v>
      </c>
      <c r="B152" s="173">
        <v>10</v>
      </c>
      <c r="C152" s="8" t="s">
        <v>218</v>
      </c>
    </row>
    <row r="153" spans="1:7" x14ac:dyDescent="0.25">
      <c r="A153" s="156" t="s">
        <v>889</v>
      </c>
      <c r="B153" s="174">
        <v>1.5</v>
      </c>
      <c r="C153" s="245" t="s">
        <v>406</v>
      </c>
    </row>
    <row r="154" spans="1:7" ht="13" thickBot="1" x14ac:dyDescent="0.3">
      <c r="A154" s="1" t="s">
        <v>762</v>
      </c>
      <c r="B154" s="263">
        <v>1750</v>
      </c>
      <c r="C154" s="8" t="s">
        <v>217</v>
      </c>
    </row>
    <row r="155" spans="1:7" ht="13" x14ac:dyDescent="0.3">
      <c r="B155" s="29" t="s">
        <v>565</v>
      </c>
    </row>
    <row r="156" spans="1:7" x14ac:dyDescent="0.25">
      <c r="A156" s="156" t="s">
        <v>908</v>
      </c>
      <c r="B156" s="245" t="s">
        <v>891</v>
      </c>
    </row>
    <row r="157" spans="1:7" ht="13" x14ac:dyDescent="0.3">
      <c r="A157" s="156" t="s">
        <v>101</v>
      </c>
      <c r="B157" s="10">
        <f>B152*B153</f>
        <v>15</v>
      </c>
      <c r="C157" s="10" t="s">
        <v>218</v>
      </c>
    </row>
    <row r="158" spans="1:7" ht="13" thickBot="1" x14ac:dyDescent="0.3"/>
    <row r="159" spans="1:7" ht="13.5" thickBot="1" x14ac:dyDescent="0.35">
      <c r="A159" s="2" t="s">
        <v>909</v>
      </c>
      <c r="B159" s="27" t="s">
        <v>907</v>
      </c>
      <c r="C159" s="16" t="s">
        <v>915</v>
      </c>
      <c r="F159" s="135"/>
    </row>
    <row r="160" spans="1:7" ht="13" x14ac:dyDescent="0.3">
      <c r="A160" s="156" t="s">
        <v>910</v>
      </c>
      <c r="B160" s="270">
        <v>286</v>
      </c>
      <c r="C160" s="245" t="s">
        <v>275</v>
      </c>
      <c r="D160" s="16" t="s">
        <v>920</v>
      </c>
      <c r="F160" s="135"/>
    </row>
    <row r="161" spans="1:6" ht="13" x14ac:dyDescent="0.3">
      <c r="A161" s="156" t="s">
        <v>911</v>
      </c>
      <c r="B161" s="166">
        <v>408</v>
      </c>
      <c r="C161" s="245" t="s">
        <v>275</v>
      </c>
      <c r="D161" s="16" t="s">
        <v>920</v>
      </c>
      <c r="F161" s="135"/>
    </row>
    <row r="162" spans="1:6" ht="13.5" thickBot="1" x14ac:dyDescent="0.35">
      <c r="A162" s="156" t="s">
        <v>912</v>
      </c>
      <c r="B162" s="167">
        <v>746</v>
      </c>
      <c r="C162" s="245" t="s">
        <v>275</v>
      </c>
      <c r="D162" s="16" t="s">
        <v>920</v>
      </c>
    </row>
    <row r="165" spans="1:6" ht="15.5" x14ac:dyDescent="0.35">
      <c r="A165" s="68" t="s">
        <v>916</v>
      </c>
      <c r="F165" s="135"/>
    </row>
    <row r="166" spans="1:6" ht="13.5" thickBot="1" x14ac:dyDescent="0.35">
      <c r="B166" s="29" t="s">
        <v>486</v>
      </c>
      <c r="E166" s="4" t="s">
        <v>201</v>
      </c>
      <c r="F166" s="135"/>
    </row>
    <row r="167" spans="1:6" x14ac:dyDescent="0.25">
      <c r="A167" s="156" t="s">
        <v>144</v>
      </c>
      <c r="B167" s="264">
        <v>38</v>
      </c>
      <c r="C167" s="245" t="s">
        <v>741</v>
      </c>
      <c r="F167" s="135"/>
    </row>
    <row r="168" spans="1:6" x14ac:dyDescent="0.25">
      <c r="A168" s="1" t="s">
        <v>875</v>
      </c>
      <c r="B168" s="259">
        <v>2.8</v>
      </c>
      <c r="C168" s="8" t="s">
        <v>209</v>
      </c>
      <c r="F168" s="135"/>
    </row>
    <row r="169" spans="1:6" x14ac:dyDescent="0.25">
      <c r="A169" s="1" t="s">
        <v>876</v>
      </c>
      <c r="B169" s="259">
        <v>6.25</v>
      </c>
      <c r="C169" s="8" t="s">
        <v>209</v>
      </c>
      <c r="F169" s="135"/>
    </row>
    <row r="170" spans="1:6" x14ac:dyDescent="0.25">
      <c r="A170" s="1" t="s">
        <v>739</v>
      </c>
      <c r="B170" s="174">
        <v>20</v>
      </c>
      <c r="C170" s="8" t="s">
        <v>209</v>
      </c>
      <c r="F170" s="135"/>
    </row>
    <row r="171" spans="1:6" ht="13" x14ac:dyDescent="0.3">
      <c r="A171" s="1" t="s">
        <v>742</v>
      </c>
      <c r="B171" s="174">
        <v>0.2</v>
      </c>
      <c r="C171" s="8" t="s">
        <v>406</v>
      </c>
      <c r="D171" s="16" t="s">
        <v>920</v>
      </c>
      <c r="F171" s="135"/>
    </row>
    <row r="172" spans="1:6" ht="13" x14ac:dyDescent="0.3">
      <c r="A172" s="1" t="s">
        <v>743</v>
      </c>
      <c r="B172" s="174">
        <v>0.2</v>
      </c>
      <c r="C172" s="8" t="s">
        <v>406</v>
      </c>
      <c r="D172" s="16" t="s">
        <v>920</v>
      </c>
      <c r="F172" s="135"/>
    </row>
    <row r="173" spans="1:6" ht="13" x14ac:dyDescent="0.3">
      <c r="A173" s="156" t="s">
        <v>880</v>
      </c>
      <c r="B173" s="174">
        <v>0.38</v>
      </c>
      <c r="C173" s="8" t="s">
        <v>209</v>
      </c>
      <c r="D173" s="16" t="s">
        <v>914</v>
      </c>
      <c r="F173" s="135"/>
    </row>
    <row r="174" spans="1:6" ht="13" x14ac:dyDescent="0.3">
      <c r="A174" s="156" t="s">
        <v>913</v>
      </c>
      <c r="B174" s="174">
        <v>0.32</v>
      </c>
      <c r="C174" s="8" t="s">
        <v>209</v>
      </c>
      <c r="D174" s="16" t="s">
        <v>914</v>
      </c>
      <c r="F174" s="135" t="s">
        <v>201</v>
      </c>
    </row>
    <row r="175" spans="1:6" x14ac:dyDescent="0.25">
      <c r="A175" s="1" t="s">
        <v>744</v>
      </c>
      <c r="B175" s="174">
        <v>0.32</v>
      </c>
      <c r="C175" s="8" t="s">
        <v>745</v>
      </c>
      <c r="F175" s="135"/>
    </row>
    <row r="176" spans="1:6" ht="13" thickBot="1" x14ac:dyDescent="0.3">
      <c r="A176" s="156" t="s">
        <v>886</v>
      </c>
      <c r="B176" s="248">
        <v>286</v>
      </c>
      <c r="C176" s="245" t="s">
        <v>275</v>
      </c>
      <c r="F176" s="135"/>
    </row>
    <row r="177" spans="1:6" ht="13" x14ac:dyDescent="0.3">
      <c r="B177" s="29" t="s">
        <v>139</v>
      </c>
      <c r="F177" s="135"/>
    </row>
    <row r="178" spans="1:6" ht="13" x14ac:dyDescent="0.3">
      <c r="A178" s="2" t="s">
        <v>881</v>
      </c>
      <c r="B178" s="10" t="s">
        <v>882</v>
      </c>
      <c r="C178" s="10"/>
      <c r="D178" s="16"/>
      <c r="F178" s="135"/>
    </row>
    <row r="179" spans="1:6" ht="13" x14ac:dyDescent="0.3">
      <c r="A179" s="2" t="s">
        <v>101</v>
      </c>
      <c r="B179" s="178">
        <f>B173 - B174*2*TAN(B167/(2*57.3))</f>
        <v>0.15964781287544913</v>
      </c>
      <c r="C179" s="10" t="s">
        <v>209</v>
      </c>
      <c r="D179" s="16"/>
      <c r="F179" s="135" t="s">
        <v>201</v>
      </c>
    </row>
    <row r="180" spans="1:6" ht="13" x14ac:dyDescent="0.3">
      <c r="A180" s="2" t="s">
        <v>747</v>
      </c>
      <c r="B180" s="10" t="s">
        <v>746</v>
      </c>
      <c r="C180" s="10"/>
      <c r="F180" s="135"/>
    </row>
    <row r="181" spans="1:6" ht="13" x14ac:dyDescent="0.3">
      <c r="A181" s="43" t="s">
        <v>101</v>
      </c>
      <c r="B181" s="178">
        <f>(B174*(B179+2*B173))/(3*(B179+B173))</f>
        <v>0.18177738214859607</v>
      </c>
      <c r="C181" s="10" t="s">
        <v>209</v>
      </c>
      <c r="F181" s="135"/>
    </row>
    <row r="182" spans="1:6" ht="13" x14ac:dyDescent="0.3">
      <c r="A182" s="2" t="s">
        <v>877</v>
      </c>
      <c r="B182" s="10" t="s">
        <v>878</v>
      </c>
      <c r="C182" s="10" t="s">
        <v>201</v>
      </c>
      <c r="F182" s="135"/>
    </row>
    <row r="183" spans="1:6" ht="13" x14ac:dyDescent="0.3">
      <c r="A183" s="156" t="s">
        <v>101</v>
      </c>
      <c r="B183" s="41">
        <f>B168+2*B181</f>
        <v>3.1635547642971922</v>
      </c>
      <c r="C183" s="10" t="s">
        <v>209</v>
      </c>
      <c r="F183" s="135"/>
    </row>
    <row r="184" spans="1:6" ht="13" x14ac:dyDescent="0.3">
      <c r="A184" s="2" t="s">
        <v>189</v>
      </c>
      <c r="B184" s="10" t="s">
        <v>879</v>
      </c>
      <c r="C184" s="10" t="s">
        <v>201</v>
      </c>
      <c r="F184" s="135"/>
    </row>
    <row r="185" spans="1:6" ht="13" x14ac:dyDescent="0.3">
      <c r="A185" s="43" t="s">
        <v>101</v>
      </c>
      <c r="B185" s="41">
        <f>B169+(2*B181)</f>
        <v>6.6135547642971924</v>
      </c>
      <c r="C185" s="10" t="s">
        <v>209</v>
      </c>
      <c r="F185" s="135"/>
    </row>
    <row r="186" spans="1:6" ht="15.5" x14ac:dyDescent="0.35">
      <c r="A186" s="68" t="s">
        <v>237</v>
      </c>
      <c r="B186" s="14"/>
      <c r="F186" s="135"/>
    </row>
    <row r="187" spans="1:6" ht="13" x14ac:dyDescent="0.3">
      <c r="A187" s="2" t="s">
        <v>748</v>
      </c>
      <c r="B187" s="41">
        <f>B168/2</f>
        <v>1.4</v>
      </c>
      <c r="C187" s="10" t="s">
        <v>209</v>
      </c>
      <c r="F187" s="247"/>
    </row>
    <row r="188" spans="1:6" ht="13" x14ac:dyDescent="0.3">
      <c r="A188" s="2" t="s">
        <v>749</v>
      </c>
      <c r="B188" s="41">
        <f>B185/2</f>
        <v>3.3067773821485962</v>
      </c>
      <c r="C188" s="10" t="s">
        <v>209</v>
      </c>
    </row>
    <row r="189" spans="1:6" ht="13" x14ac:dyDescent="0.3">
      <c r="A189" s="2" t="s">
        <v>735</v>
      </c>
      <c r="B189" s="10" t="s">
        <v>736</v>
      </c>
      <c r="C189" s="10"/>
    </row>
    <row r="190" spans="1:6" ht="13" x14ac:dyDescent="0.3">
      <c r="A190" s="2" t="s">
        <v>735</v>
      </c>
      <c r="B190" s="243">
        <f>(B188-B187)/B170</f>
        <v>9.5338869107429808E-2</v>
      </c>
      <c r="C190" s="10"/>
      <c r="F190" s="135"/>
    </row>
    <row r="191" spans="1:6" ht="13" x14ac:dyDescent="0.3">
      <c r="A191" s="2" t="s">
        <v>737</v>
      </c>
      <c r="B191" s="243">
        <f>ASIN(B190)</f>
        <v>9.5483893525013269E-2</v>
      </c>
      <c r="C191" s="10" t="s">
        <v>738</v>
      </c>
      <c r="F191" s="135"/>
    </row>
    <row r="192" spans="1:6" ht="13" x14ac:dyDescent="0.3">
      <c r="A192" s="2" t="s">
        <v>737</v>
      </c>
      <c r="B192" s="41">
        <f>B191*57.2958</f>
        <v>5.4708260666304556</v>
      </c>
      <c r="C192" s="10" t="s">
        <v>214</v>
      </c>
      <c r="F192" s="135"/>
    </row>
    <row r="193" spans="1:14" ht="13" x14ac:dyDescent="0.3">
      <c r="A193" s="2" t="s">
        <v>750</v>
      </c>
      <c r="B193" s="10" t="s">
        <v>751</v>
      </c>
      <c r="C193" s="10"/>
      <c r="F193" s="135"/>
      <c r="M193" s="135"/>
    </row>
    <row r="194" spans="1:14" ht="13" x14ac:dyDescent="0.3">
      <c r="A194" s="2" t="s">
        <v>752</v>
      </c>
      <c r="B194" s="41">
        <f>180-2*B192</f>
        <v>169.0583478667391</v>
      </c>
      <c r="C194" s="10" t="s">
        <v>214</v>
      </c>
      <c r="M194" s="135"/>
    </row>
    <row r="195" spans="1:14" ht="13" x14ac:dyDescent="0.3">
      <c r="A195" s="2" t="s">
        <v>755</v>
      </c>
      <c r="B195" s="10" t="s">
        <v>753</v>
      </c>
      <c r="C195" s="10"/>
      <c r="M195" s="135"/>
    </row>
    <row r="196" spans="1:14" ht="13" x14ac:dyDescent="0.3">
      <c r="A196" s="2" t="s">
        <v>756</v>
      </c>
      <c r="B196" s="41">
        <f>180+2*B192</f>
        <v>190.9416521332609</v>
      </c>
      <c r="C196" s="10" t="s">
        <v>214</v>
      </c>
      <c r="F196" s="135"/>
      <c r="G196" s="136"/>
      <c r="H196" s="139"/>
      <c r="I196" s="135"/>
      <c r="J196" s="135"/>
      <c r="K196" s="135"/>
      <c r="L196" s="135"/>
      <c r="M196" s="135"/>
      <c r="N196" s="135"/>
    </row>
    <row r="197" spans="1:14" ht="13" x14ac:dyDescent="0.3">
      <c r="A197" s="2" t="s">
        <v>754</v>
      </c>
      <c r="B197" s="243">
        <v>2.71828</v>
      </c>
      <c r="F197" s="135"/>
      <c r="G197" s="136"/>
      <c r="H197" s="139"/>
      <c r="I197" s="135"/>
      <c r="J197" s="135"/>
      <c r="K197" s="135"/>
      <c r="L197" s="135"/>
      <c r="M197" s="135"/>
      <c r="N197" s="135"/>
    </row>
    <row r="198" spans="1:14" x14ac:dyDescent="0.25">
      <c r="D198" t="s">
        <v>694</v>
      </c>
      <c r="E198" t="s">
        <v>201</v>
      </c>
      <c r="F198" s="138"/>
      <c r="I198" s="135"/>
      <c r="J198" s="135"/>
      <c r="K198" s="135"/>
      <c r="L198" s="135"/>
      <c r="M198" s="135"/>
      <c r="N198" s="135"/>
    </row>
    <row r="199" spans="1:14" ht="13" x14ac:dyDescent="0.3">
      <c r="A199" s="2" t="s">
        <v>155</v>
      </c>
      <c r="B199" s="10" t="s">
        <v>757</v>
      </c>
      <c r="C199" s="10"/>
      <c r="F199" s="135"/>
      <c r="G199" s="136" t="s">
        <v>949</v>
      </c>
      <c r="H199" s="29" t="s">
        <v>486</v>
      </c>
      <c r="I199" s="135"/>
      <c r="J199" s="135"/>
      <c r="K199" s="135"/>
      <c r="L199" s="135"/>
      <c r="M199" s="135"/>
      <c r="N199" s="135"/>
    </row>
    <row r="200" spans="1:14" ht="13" x14ac:dyDescent="0.3">
      <c r="A200" s="43" t="s">
        <v>489</v>
      </c>
      <c r="B200" s="41">
        <f>$B$197^($B$171*$B$194/57.2958)/SIN($B$167/(2*57.2958))</f>
        <v>5.5417378971563416</v>
      </c>
      <c r="C200" s="10"/>
      <c r="F200" s="135"/>
      <c r="G200" s="136" t="s">
        <v>943</v>
      </c>
      <c r="H200" s="139">
        <v>8.516</v>
      </c>
      <c r="I200" s="135"/>
      <c r="J200" s="135"/>
      <c r="K200" s="135"/>
      <c r="L200" s="135"/>
      <c r="M200" s="135"/>
      <c r="N200" s="135"/>
    </row>
    <row r="201" spans="1:14" ht="13" x14ac:dyDescent="0.3">
      <c r="A201" s="2" t="s">
        <v>156</v>
      </c>
      <c r="B201" s="10" t="s">
        <v>154</v>
      </c>
      <c r="G201" s="136" t="s">
        <v>952</v>
      </c>
      <c r="H201" s="139">
        <v>1160</v>
      </c>
      <c r="I201" s="135"/>
      <c r="J201" s="135"/>
      <c r="K201" s="135"/>
      <c r="L201" s="135"/>
      <c r="M201" s="135"/>
      <c r="N201" s="135"/>
    </row>
    <row r="202" spans="1:14" ht="13" x14ac:dyDescent="0.3">
      <c r="A202" s="43" t="s">
        <v>489</v>
      </c>
      <c r="B202" s="41">
        <f>$B$197^(($B$172*$B$196/57.2958)/SIN(90/(57.2958)))</f>
        <v>1.9474316758294519</v>
      </c>
      <c r="G202" s="136" t="s">
        <v>950</v>
      </c>
      <c r="H202" s="139">
        <v>1.4319999999999999</v>
      </c>
      <c r="I202" s="135"/>
      <c r="J202" s="135"/>
      <c r="K202" s="135"/>
      <c r="L202" s="135"/>
      <c r="M202" s="135"/>
      <c r="N202" s="135"/>
    </row>
    <row r="203" spans="1:14" ht="13" x14ac:dyDescent="0.3">
      <c r="F203" s="135"/>
      <c r="G203" s="136"/>
      <c r="H203" s="29" t="s">
        <v>565</v>
      </c>
      <c r="I203" s="135"/>
      <c r="J203" s="135"/>
      <c r="K203" s="135"/>
      <c r="L203" s="135"/>
      <c r="M203" s="135"/>
      <c r="N203" s="135"/>
    </row>
    <row r="204" spans="1:14" ht="15.5" x14ac:dyDescent="0.35">
      <c r="A204" s="68" t="s">
        <v>153</v>
      </c>
      <c r="F204" s="135"/>
      <c r="G204" s="136" t="s">
        <v>945</v>
      </c>
      <c r="H204" s="139">
        <v>1.1691</v>
      </c>
      <c r="I204" s="135"/>
      <c r="J204" s="135" t="s">
        <v>954</v>
      </c>
      <c r="K204" s="135"/>
      <c r="L204" s="135"/>
      <c r="M204" s="135"/>
      <c r="N204" s="135"/>
    </row>
    <row r="205" spans="1:14" ht="13" x14ac:dyDescent="0.3">
      <c r="A205" s="2" t="s">
        <v>888</v>
      </c>
      <c r="B205" s="10" t="s">
        <v>758</v>
      </c>
      <c r="C205" s="10"/>
      <c r="F205" s="135"/>
      <c r="G205" s="136" t="s">
        <v>946</v>
      </c>
      <c r="H205" s="139">
        <v>1.5295000000000001</v>
      </c>
      <c r="I205" s="135"/>
      <c r="J205" s="135"/>
      <c r="K205" s="135"/>
      <c r="L205" s="135"/>
      <c r="M205" s="135"/>
      <c r="N205" s="135"/>
    </row>
    <row r="206" spans="1:14" ht="13" x14ac:dyDescent="0.3">
      <c r="A206" s="43" t="s">
        <v>489</v>
      </c>
      <c r="B206" s="243">
        <f>(B179+B173)/(2*B174)</f>
        <v>0.84319970761788932</v>
      </c>
      <c r="C206" s="10" t="s">
        <v>583</v>
      </c>
      <c r="E206" s="156"/>
      <c r="F206" s="135"/>
      <c r="G206" s="136" t="s">
        <v>947</v>
      </c>
      <c r="H206" s="139">
        <v>1.5228999999999999E-4</v>
      </c>
      <c r="I206" s="135"/>
      <c r="J206" s="135"/>
      <c r="K206" s="135"/>
      <c r="L206" s="135"/>
      <c r="M206" s="135"/>
      <c r="N206" s="135"/>
    </row>
    <row r="207" spans="1:14" ht="13" x14ac:dyDescent="0.3">
      <c r="A207" s="2" t="s">
        <v>188</v>
      </c>
      <c r="B207" s="10" t="s">
        <v>885</v>
      </c>
      <c r="F207" s="135"/>
      <c r="G207" s="136" t="s">
        <v>948</v>
      </c>
      <c r="H207" s="8">
        <v>0.15959999999999999</v>
      </c>
      <c r="K207" s="139"/>
      <c r="L207" s="135"/>
      <c r="M207" s="135"/>
      <c r="N207" s="135"/>
    </row>
    <row r="208" spans="1:14" ht="13" x14ac:dyDescent="0.3">
      <c r="A208" s="2"/>
      <c r="B208" s="244">
        <f>B176*B206</f>
        <v>241.15511637871634</v>
      </c>
      <c r="F208" s="135"/>
      <c r="G208" s="136" t="s">
        <v>944</v>
      </c>
      <c r="H208" s="139" t="s">
        <v>951</v>
      </c>
      <c r="I208" s="135"/>
      <c r="J208" s="135"/>
      <c r="K208" s="135"/>
      <c r="L208" s="135"/>
      <c r="M208" s="135"/>
      <c r="N208" s="135"/>
    </row>
    <row r="209" spans="1:14" ht="13" x14ac:dyDescent="0.3">
      <c r="A209" s="2" t="s">
        <v>766</v>
      </c>
      <c r="B209" s="10" t="s">
        <v>767</v>
      </c>
      <c r="C209" s="10"/>
      <c r="F209" s="135"/>
      <c r="G209" s="136" t="s">
        <v>101</v>
      </c>
      <c r="H209" s="139">
        <f>H201/1000</f>
        <v>1.1599999999999999</v>
      </c>
      <c r="I209" s="135"/>
      <c r="J209" s="135"/>
      <c r="K209" s="135"/>
      <c r="L209" s="135"/>
      <c r="M209" s="135"/>
      <c r="N209" s="135"/>
    </row>
    <row r="210" spans="1:14" ht="13" x14ac:dyDescent="0.3">
      <c r="A210" s="43" t="s">
        <v>489</v>
      </c>
      <c r="B210" s="243">
        <f>B206*B175*12</f>
        <v>3.237886877252695</v>
      </c>
      <c r="C210" s="10" t="s">
        <v>768</v>
      </c>
      <c r="F210" s="135"/>
      <c r="G210" s="136" t="s">
        <v>942</v>
      </c>
      <c r="H210" s="139" t="s">
        <v>953</v>
      </c>
      <c r="I210" s="135"/>
      <c r="J210" s="135"/>
      <c r="K210" s="135"/>
      <c r="L210" s="135"/>
      <c r="M210" s="135"/>
      <c r="N210" s="135"/>
    </row>
    <row r="211" spans="1:14" ht="13" x14ac:dyDescent="0.3">
      <c r="A211" s="2" t="s">
        <v>761</v>
      </c>
      <c r="B211" s="10" t="s">
        <v>769</v>
      </c>
      <c r="C211" s="10"/>
      <c r="F211" s="135"/>
      <c r="G211" s="136" t="s">
        <v>101</v>
      </c>
      <c r="H211" s="139">
        <f>(((H200*H209*(H204-H205)/H200)-(H206*(H200*H209)^2)-(H207*LOG(H200*H209,10)))+H202*H209)</f>
        <v>1.0694415307666718</v>
      </c>
      <c r="I211" s="135"/>
      <c r="J211" s="135"/>
      <c r="K211" s="135"/>
      <c r="L211" s="135"/>
      <c r="M211" s="135"/>
      <c r="N211" s="135"/>
    </row>
    <row r="212" spans="1:14" ht="13" x14ac:dyDescent="0.3">
      <c r="A212" s="2" t="s">
        <v>763</v>
      </c>
      <c r="B212" s="41">
        <f>3.142*(B168/12)*(B154/60)</f>
        <v>21.383055555555551</v>
      </c>
      <c r="C212" s="10" t="s">
        <v>765</v>
      </c>
      <c r="G212" s="136"/>
      <c r="H212" s="139"/>
      <c r="I212" s="135"/>
      <c r="J212" s="135"/>
      <c r="K212" s="135"/>
      <c r="L212" s="135"/>
      <c r="M212" s="135"/>
      <c r="N212" s="135"/>
    </row>
    <row r="213" spans="1:14" ht="13" x14ac:dyDescent="0.3">
      <c r="A213" s="2" t="s">
        <v>763</v>
      </c>
      <c r="B213" s="91">
        <f>B212*60</f>
        <v>1282.9833333333331</v>
      </c>
      <c r="C213" s="10" t="s">
        <v>895</v>
      </c>
      <c r="G213" s="136"/>
      <c r="H213" s="139"/>
      <c r="I213" s="135"/>
      <c r="J213" s="135"/>
      <c r="K213" s="135"/>
      <c r="L213" s="135"/>
      <c r="M213" s="135"/>
      <c r="N213" s="135"/>
    </row>
    <row r="214" spans="1:14" ht="13" x14ac:dyDescent="0.3">
      <c r="A214" s="2" t="s">
        <v>763</v>
      </c>
      <c r="B214" s="41">
        <f>0.3048*B213/60</f>
        <v>6.5175553333333323</v>
      </c>
      <c r="C214" s="10" t="s">
        <v>900</v>
      </c>
      <c r="G214" s="136"/>
      <c r="H214" s="139"/>
      <c r="I214" s="135"/>
      <c r="J214" s="135"/>
      <c r="K214" s="135"/>
      <c r="L214" s="135"/>
      <c r="M214" s="135"/>
      <c r="N214" s="135"/>
    </row>
    <row r="215" spans="1:14" ht="13" x14ac:dyDescent="0.3">
      <c r="A215" s="2" t="s">
        <v>884</v>
      </c>
      <c r="B215" s="10">
        <v>32.200000000000003</v>
      </c>
      <c r="C215" s="10" t="s">
        <v>764</v>
      </c>
      <c r="G215" s="136"/>
      <c r="H215" s="139"/>
      <c r="I215" s="135"/>
      <c r="J215" s="135"/>
      <c r="K215" s="135"/>
      <c r="L215" s="135"/>
      <c r="M215" s="135"/>
      <c r="N215" s="135"/>
    </row>
    <row r="216" spans="1:14" ht="13" x14ac:dyDescent="0.3">
      <c r="A216" s="2" t="s">
        <v>759</v>
      </c>
      <c r="B216" s="10" t="s">
        <v>161</v>
      </c>
      <c r="C216" s="10"/>
      <c r="E216" s="4"/>
      <c r="G216" s="136"/>
      <c r="H216" s="139"/>
      <c r="I216" s="135"/>
      <c r="J216" s="135"/>
      <c r="K216" s="135"/>
      <c r="L216" s="135"/>
      <c r="M216" s="135"/>
      <c r="N216" s="135"/>
    </row>
    <row r="217" spans="1:14" ht="13" x14ac:dyDescent="0.3">
      <c r="A217" s="43" t="s">
        <v>489</v>
      </c>
      <c r="B217" s="91">
        <f>((B176-(B210*B212^2/B215))/B202)+(B210*(B212^2/(B215)))</f>
        <v>169.22829257990594</v>
      </c>
      <c r="C217" s="10" t="s">
        <v>230</v>
      </c>
      <c r="G217" s="136"/>
      <c r="H217" s="139"/>
      <c r="I217" s="135"/>
      <c r="J217" s="135"/>
      <c r="K217" s="135"/>
      <c r="L217" s="135"/>
      <c r="M217" s="135"/>
      <c r="N217" s="135"/>
    </row>
    <row r="218" spans="1:14" ht="13" x14ac:dyDescent="0.3">
      <c r="A218" s="2" t="s">
        <v>158</v>
      </c>
      <c r="B218" s="10" t="s">
        <v>157</v>
      </c>
      <c r="C218" s="10"/>
      <c r="D218" s="16"/>
      <c r="G218" s="136"/>
      <c r="H218" s="139"/>
      <c r="I218" s="135"/>
      <c r="J218" s="135"/>
      <c r="K218" s="135"/>
      <c r="L218" s="135"/>
      <c r="M218" s="135"/>
      <c r="N218" s="135"/>
    </row>
    <row r="219" spans="1:14" ht="13" x14ac:dyDescent="0.3">
      <c r="A219" s="43" t="s">
        <v>489</v>
      </c>
      <c r="B219" s="41">
        <f>(B176-B217)*B212/550</f>
        <v>4.5398834674199087</v>
      </c>
      <c r="C219" s="10" t="s">
        <v>218</v>
      </c>
      <c r="D219" s="16"/>
      <c r="G219" s="136"/>
      <c r="H219" s="139"/>
      <c r="I219" s="135"/>
      <c r="J219" s="135"/>
      <c r="K219" s="135"/>
      <c r="L219" s="135"/>
      <c r="M219" s="135"/>
      <c r="N219" s="135"/>
    </row>
    <row r="220" spans="1:14" ht="13" x14ac:dyDescent="0.3">
      <c r="A220" s="2" t="s">
        <v>890</v>
      </c>
      <c r="B220" s="10" t="s">
        <v>891</v>
      </c>
      <c r="G220" s="136"/>
      <c r="H220" s="139"/>
      <c r="I220" s="135"/>
      <c r="J220" s="135"/>
      <c r="K220" s="135"/>
      <c r="L220" s="135"/>
      <c r="M220" s="135"/>
      <c r="N220" s="135"/>
    </row>
    <row r="221" spans="1:14" ht="13" x14ac:dyDescent="0.3">
      <c r="A221" s="156" t="s">
        <v>101</v>
      </c>
      <c r="B221" s="10">
        <f>B152*B153</f>
        <v>15</v>
      </c>
      <c r="C221" s="10" t="s">
        <v>218</v>
      </c>
      <c r="G221" s="136"/>
      <c r="H221" s="139"/>
      <c r="I221" s="135"/>
      <c r="J221" s="135"/>
      <c r="K221" s="135"/>
      <c r="L221" s="135"/>
      <c r="M221" s="135"/>
      <c r="N221" s="135"/>
    </row>
    <row r="222" spans="1:14" ht="13" x14ac:dyDescent="0.3">
      <c r="A222" s="2" t="s">
        <v>887</v>
      </c>
      <c r="B222" s="10" t="s">
        <v>159</v>
      </c>
      <c r="C222" s="10"/>
      <c r="D222" s="16"/>
      <c r="G222" s="136"/>
      <c r="H222" s="139"/>
      <c r="I222" s="135"/>
      <c r="J222" s="135"/>
      <c r="K222" s="135"/>
      <c r="L222" s="135"/>
      <c r="M222" s="135"/>
      <c r="N222" s="135"/>
    </row>
    <row r="223" spans="1:14" ht="13" x14ac:dyDescent="0.3">
      <c r="A223" s="43" t="s">
        <v>489</v>
      </c>
      <c r="B223" s="41">
        <f>B221/B219</f>
        <v>3.3040495659516895</v>
      </c>
      <c r="C223" s="10" t="s">
        <v>160</v>
      </c>
      <c r="D223" s="16"/>
      <c r="G223" s="136"/>
      <c r="H223" s="139"/>
      <c r="I223" s="135"/>
      <c r="J223" s="135"/>
      <c r="K223" s="135"/>
      <c r="L223" s="135"/>
      <c r="M223" s="135"/>
      <c r="N223" s="135"/>
    </row>
    <row r="224" spans="1:14" ht="13.5" thickBot="1" x14ac:dyDescent="0.35">
      <c r="B224" s="29" t="s">
        <v>486</v>
      </c>
      <c r="G224" s="136"/>
      <c r="H224" s="139"/>
      <c r="I224" s="135"/>
      <c r="J224" s="135"/>
      <c r="K224" s="135"/>
      <c r="L224" s="135"/>
      <c r="M224" s="135"/>
      <c r="N224" s="135"/>
    </row>
    <row r="225" spans="1:14" ht="13.5" thickBot="1" x14ac:dyDescent="0.35">
      <c r="A225" s="2" t="s">
        <v>883</v>
      </c>
      <c r="B225" s="246"/>
      <c r="C225" s="10" t="s">
        <v>160</v>
      </c>
      <c r="G225" s="136"/>
      <c r="H225" s="139"/>
      <c r="I225" s="135"/>
      <c r="J225" s="135"/>
      <c r="K225" s="135"/>
      <c r="L225" s="135"/>
      <c r="M225" s="135"/>
      <c r="N225" s="135"/>
    </row>
    <row r="226" spans="1:14" x14ac:dyDescent="0.25">
      <c r="G226" s="136"/>
      <c r="H226" s="139"/>
      <c r="I226" s="135"/>
      <c r="J226" s="135"/>
      <c r="K226" s="135"/>
      <c r="L226" s="135"/>
      <c r="M226" s="135"/>
      <c r="N226" s="135"/>
    </row>
    <row r="227" spans="1:14" x14ac:dyDescent="0.25">
      <c r="A227" s="123"/>
      <c r="B227" s="125"/>
      <c r="C227" s="125"/>
      <c r="D227" s="120"/>
      <c r="E227" s="120"/>
      <c r="G227" s="136"/>
      <c r="H227" s="139"/>
      <c r="I227" s="135"/>
      <c r="J227" s="135"/>
      <c r="K227" s="135"/>
      <c r="L227" s="135"/>
      <c r="M227" s="135"/>
      <c r="N227" s="135"/>
    </row>
    <row r="228" spans="1:14" x14ac:dyDescent="0.25">
      <c r="G228" s="136"/>
      <c r="H228" s="139"/>
      <c r="I228" s="135"/>
      <c r="J228" s="135"/>
      <c r="K228" s="135"/>
      <c r="L228" s="135"/>
      <c r="M228" s="135"/>
      <c r="N228" s="135"/>
    </row>
    <row r="229" spans="1:14" x14ac:dyDescent="0.25">
      <c r="G229" s="136"/>
      <c r="H229" s="139"/>
      <c r="I229" s="135"/>
      <c r="J229" s="135"/>
      <c r="K229" s="135"/>
      <c r="L229" s="135"/>
      <c r="M229" s="135"/>
      <c r="N229" s="135"/>
    </row>
    <row r="233" spans="1:14" ht="13" x14ac:dyDescent="0.3">
      <c r="K233" s="136" t="s">
        <v>955</v>
      </c>
      <c r="L233" s="29" t="s">
        <v>486</v>
      </c>
      <c r="M233" s="135"/>
      <c r="N233" s="135"/>
    </row>
    <row r="234" spans="1:14" x14ac:dyDescent="0.25">
      <c r="K234" s="136" t="s">
        <v>943</v>
      </c>
      <c r="L234" s="139">
        <v>9.25</v>
      </c>
      <c r="M234" s="135"/>
      <c r="N234" s="135"/>
    </row>
    <row r="235" spans="1:14" x14ac:dyDescent="0.25">
      <c r="K235" s="136" t="s">
        <v>952</v>
      </c>
      <c r="L235" s="139">
        <v>1750</v>
      </c>
      <c r="M235" s="135"/>
      <c r="N235" s="135"/>
    </row>
    <row r="236" spans="1:14" x14ac:dyDescent="0.25">
      <c r="K236" s="136" t="s">
        <v>950</v>
      </c>
      <c r="L236" s="139">
        <v>2.33</v>
      </c>
      <c r="M236" s="135"/>
      <c r="N236" s="135"/>
    </row>
    <row r="237" spans="1:14" ht="13" x14ac:dyDescent="0.3">
      <c r="K237" s="136"/>
      <c r="L237" s="29" t="s">
        <v>565</v>
      </c>
      <c r="M237" s="135"/>
      <c r="N237" s="135"/>
    </row>
    <row r="238" spans="1:14" x14ac:dyDescent="0.25">
      <c r="K238" s="136" t="s">
        <v>945</v>
      </c>
      <c r="L238" s="139">
        <v>3.3037999999999998</v>
      </c>
      <c r="M238" s="135"/>
      <c r="N238" s="135" t="s">
        <v>954</v>
      </c>
    </row>
    <row r="239" spans="1:14" x14ac:dyDescent="0.25">
      <c r="K239" s="136" t="s">
        <v>946</v>
      </c>
      <c r="L239" s="139">
        <v>7.7809999999999997</v>
      </c>
      <c r="M239" s="135"/>
      <c r="N239" s="135"/>
    </row>
    <row r="240" spans="1:14" x14ac:dyDescent="0.25">
      <c r="K240" s="136" t="s">
        <v>947</v>
      </c>
      <c r="L240" s="139">
        <v>3.6430000000000002E-4</v>
      </c>
      <c r="M240" s="135"/>
      <c r="N240" s="289">
        <f>3.6432*10^-4</f>
        <v>3.6432000000000006E-4</v>
      </c>
    </row>
    <row r="241" spans="11:14" x14ac:dyDescent="0.25">
      <c r="K241" s="136" t="s">
        <v>948</v>
      </c>
      <c r="L241" s="8">
        <v>0.43342999999999998</v>
      </c>
    </row>
    <row r="242" spans="11:14" x14ac:dyDescent="0.25">
      <c r="K242" s="136" t="s">
        <v>944</v>
      </c>
      <c r="L242" s="139" t="s">
        <v>951</v>
      </c>
      <c r="M242" s="135"/>
      <c r="N242" s="135"/>
    </row>
    <row r="243" spans="11:14" x14ac:dyDescent="0.25">
      <c r="K243" s="136" t="s">
        <v>101</v>
      </c>
      <c r="L243" s="139">
        <f>L235/1000</f>
        <v>1.75</v>
      </c>
      <c r="M243" s="135"/>
      <c r="N243" s="135"/>
    </row>
    <row r="244" spans="11:14" x14ac:dyDescent="0.25">
      <c r="K244" s="136" t="s">
        <v>942</v>
      </c>
      <c r="L244" s="139" t="s">
        <v>953</v>
      </c>
      <c r="M244" s="135"/>
      <c r="N244" s="135"/>
    </row>
    <row r="245" spans="11:14" x14ac:dyDescent="0.25">
      <c r="K245" s="136" t="s">
        <v>101</v>
      </c>
      <c r="L245" s="139">
        <f>(((L234*L243*(L238-L239)/L234)-(L240*(L234*L243)^2)-(L241*LOG(L234*L243,10)))+L236*L243)</f>
        <v>-4.3771542000850516</v>
      </c>
      <c r="M245" s="135"/>
      <c r="N245" s="135"/>
    </row>
    <row r="284" spans="2:2" ht="15.5" x14ac:dyDescent="0.35">
      <c r="B284" s="68" t="s">
        <v>245</v>
      </c>
    </row>
  </sheetData>
  <sheetProtection sheet="1" formatCells="0" selectLockedCells="1"/>
  <phoneticPr fontId="2" type="noConversion"/>
  <printOptions gridLines="1"/>
  <pageMargins left="0.75" right="0.75" top="1" bottom="1" header="0.5" footer="0.5"/>
  <pageSetup orientation="portrait" horizont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266"/>
  <sheetViews>
    <sheetView zoomScaleNormal="100" workbookViewId="0">
      <selection activeCell="G1" sqref="G1"/>
    </sheetView>
  </sheetViews>
  <sheetFormatPr defaultRowHeight="12.5" x14ac:dyDescent="0.25"/>
  <cols>
    <col min="1" max="1" width="45.54296875" style="1" customWidth="1"/>
    <col min="2" max="2" width="12.453125" style="8" customWidth="1"/>
    <col min="3" max="3" width="10.81640625" customWidth="1"/>
    <col min="6" max="6" width="4.453125" customWidth="1"/>
    <col min="7" max="7" width="41.453125" customWidth="1"/>
  </cols>
  <sheetData>
    <row r="1" spans="1:13" ht="15.5" x14ac:dyDescent="0.35">
      <c r="A1" s="144" t="s">
        <v>1170</v>
      </c>
      <c r="C1" s="10"/>
      <c r="D1" s="28"/>
      <c r="E1" s="4" t="s">
        <v>201</v>
      </c>
      <c r="G1" s="135"/>
      <c r="H1" s="135"/>
      <c r="I1" s="135"/>
      <c r="J1" s="135"/>
      <c r="K1" s="135"/>
      <c r="L1" s="135"/>
      <c r="M1" s="135"/>
    </row>
    <row r="2" spans="1:13" x14ac:dyDescent="0.25">
      <c r="A2" s="66"/>
      <c r="C2" s="8"/>
      <c r="G2" s="135"/>
      <c r="H2" s="135"/>
      <c r="I2" s="135"/>
      <c r="J2" s="135"/>
      <c r="K2" s="135"/>
      <c r="L2" s="135"/>
      <c r="M2" s="135"/>
    </row>
    <row r="3" spans="1:13" ht="13" x14ac:dyDescent="0.3">
      <c r="A3" s="15"/>
      <c r="C3" s="8"/>
      <c r="G3" s="135"/>
      <c r="H3" s="135"/>
      <c r="I3" s="135"/>
      <c r="J3" s="135"/>
      <c r="K3" s="135"/>
      <c r="L3" s="135"/>
      <c r="M3" s="135"/>
    </row>
    <row r="4" spans="1:13" ht="15.5" x14ac:dyDescent="0.35">
      <c r="A4" s="280" t="s">
        <v>929</v>
      </c>
      <c r="C4" s="8"/>
      <c r="G4" s="135"/>
      <c r="H4" s="135"/>
      <c r="I4" s="135"/>
      <c r="J4" s="135"/>
      <c r="K4" s="135"/>
      <c r="L4" s="135"/>
      <c r="M4" s="135"/>
    </row>
    <row r="5" spans="1:13" x14ac:dyDescent="0.25">
      <c r="G5" s="135"/>
      <c r="H5" s="135"/>
      <c r="I5" s="135"/>
      <c r="J5" s="135"/>
      <c r="K5" s="135"/>
      <c r="L5" s="135"/>
      <c r="M5" s="135"/>
    </row>
    <row r="6" spans="1:13" x14ac:dyDescent="0.25">
      <c r="G6" s="135"/>
      <c r="H6" s="135"/>
      <c r="I6" s="135"/>
      <c r="J6" s="135"/>
      <c r="K6" s="135"/>
      <c r="L6" s="135"/>
      <c r="M6" s="135"/>
    </row>
    <row r="7" spans="1:13" x14ac:dyDescent="0.25">
      <c r="G7" s="135"/>
      <c r="H7" s="135"/>
      <c r="I7" s="135"/>
      <c r="J7" s="135"/>
      <c r="K7" s="135"/>
      <c r="L7" s="135"/>
      <c r="M7" s="135"/>
    </row>
    <row r="8" spans="1:13" x14ac:dyDescent="0.25">
      <c r="G8" s="135"/>
      <c r="H8" s="135"/>
      <c r="I8" s="135"/>
      <c r="J8" s="135"/>
      <c r="K8" s="135"/>
      <c r="L8" s="135"/>
      <c r="M8" s="135"/>
    </row>
    <row r="9" spans="1:13" x14ac:dyDescent="0.25">
      <c r="G9" s="135"/>
      <c r="H9" s="135"/>
      <c r="I9" s="135"/>
      <c r="J9" s="135"/>
      <c r="K9" s="135"/>
      <c r="L9" s="135"/>
      <c r="M9" s="135"/>
    </row>
    <row r="10" spans="1:13" x14ac:dyDescent="0.25">
      <c r="G10" s="135"/>
      <c r="H10" s="135"/>
      <c r="I10" s="135"/>
      <c r="J10" s="135"/>
      <c r="K10" s="135"/>
      <c r="L10" s="135"/>
      <c r="M10" s="135"/>
    </row>
    <row r="11" spans="1:13" x14ac:dyDescent="0.25">
      <c r="G11" s="135"/>
      <c r="H11" s="135"/>
      <c r="I11" s="135"/>
      <c r="J11" s="135"/>
      <c r="K11" s="135"/>
      <c r="L11" s="135"/>
      <c r="M11" s="135"/>
    </row>
    <row r="12" spans="1:13" x14ac:dyDescent="0.25">
      <c r="G12" s="135"/>
      <c r="H12" s="135"/>
      <c r="I12" s="135"/>
      <c r="J12" s="135"/>
      <c r="K12" s="135"/>
      <c r="L12" s="135"/>
      <c r="M12" s="135"/>
    </row>
    <row r="13" spans="1:13" x14ac:dyDescent="0.25">
      <c r="G13" s="135"/>
      <c r="H13" s="135"/>
      <c r="I13" s="135"/>
      <c r="J13" s="135"/>
      <c r="K13" s="135"/>
      <c r="L13" s="135"/>
      <c r="M13" s="135"/>
    </row>
    <row r="14" spans="1:13" x14ac:dyDescent="0.25">
      <c r="G14" s="135"/>
      <c r="H14" s="135"/>
      <c r="I14" s="135"/>
      <c r="J14" s="135"/>
      <c r="K14" s="135"/>
      <c r="L14" s="135"/>
      <c r="M14" s="135"/>
    </row>
    <row r="15" spans="1:13" x14ac:dyDescent="0.25">
      <c r="G15" s="135"/>
      <c r="H15" s="135"/>
      <c r="I15" s="135"/>
      <c r="J15" s="135"/>
      <c r="K15" s="135"/>
      <c r="L15" s="135"/>
      <c r="M15" s="135"/>
    </row>
    <row r="16" spans="1:13" x14ac:dyDescent="0.25">
      <c r="G16" s="135"/>
      <c r="H16" s="135"/>
      <c r="I16" s="135"/>
      <c r="J16" s="135"/>
      <c r="K16" s="135"/>
      <c r="L16" s="135"/>
      <c r="M16" s="135"/>
    </row>
    <row r="17" spans="1:13" x14ac:dyDescent="0.25">
      <c r="G17" s="135"/>
      <c r="H17" s="135"/>
      <c r="I17" s="135"/>
      <c r="J17" s="135"/>
      <c r="K17" s="135"/>
      <c r="L17" s="135"/>
      <c r="M17" s="135"/>
    </row>
    <row r="18" spans="1:13" x14ac:dyDescent="0.25">
      <c r="G18" s="135"/>
      <c r="H18" s="135"/>
      <c r="I18" s="135"/>
      <c r="J18" s="135"/>
      <c r="K18" s="135"/>
      <c r="L18" s="135"/>
      <c r="M18" s="135"/>
    </row>
    <row r="19" spans="1:13" x14ac:dyDescent="0.25">
      <c r="G19" s="135"/>
      <c r="H19" s="135"/>
      <c r="I19" s="135"/>
      <c r="J19" s="135"/>
      <c r="K19" s="135"/>
      <c r="L19" s="135"/>
      <c r="M19" s="135"/>
    </row>
    <row r="20" spans="1:13" x14ac:dyDescent="0.25">
      <c r="G20" s="135"/>
      <c r="H20" s="135"/>
      <c r="I20" s="135"/>
      <c r="J20" s="135"/>
      <c r="K20" s="135"/>
      <c r="L20" s="135"/>
      <c r="M20" s="135"/>
    </row>
    <row r="21" spans="1:13" x14ac:dyDescent="0.25">
      <c r="G21" s="135"/>
      <c r="H21" s="135"/>
      <c r="I21" s="135"/>
      <c r="J21" s="135"/>
      <c r="K21" s="135"/>
      <c r="L21" s="135"/>
      <c r="M21" s="135"/>
    </row>
    <row r="22" spans="1:13" ht="15.5" x14ac:dyDescent="0.35">
      <c r="G22" s="267" t="s">
        <v>919</v>
      </c>
      <c r="H22" s="135"/>
      <c r="I22" s="135"/>
      <c r="J22" s="135"/>
      <c r="K22" s="135"/>
      <c r="L22" s="135"/>
      <c r="M22" s="135"/>
    </row>
    <row r="23" spans="1:13" x14ac:dyDescent="0.25">
      <c r="G23" s="135"/>
      <c r="H23" s="135"/>
    </row>
    <row r="24" spans="1:13" x14ac:dyDescent="0.25">
      <c r="G24" s="135"/>
      <c r="H24" s="135"/>
    </row>
    <row r="30" spans="1:13" x14ac:dyDescent="0.25">
      <c r="A30" s="136"/>
      <c r="B30" s="139"/>
      <c r="C30" s="135"/>
      <c r="D30" s="135"/>
      <c r="E30" s="135"/>
      <c r="F30" s="135"/>
    </row>
    <row r="31" spans="1:13" x14ac:dyDescent="0.25">
      <c r="A31" s="136"/>
      <c r="B31" s="139"/>
      <c r="C31" s="135"/>
      <c r="D31" s="135"/>
      <c r="E31" s="135"/>
      <c r="F31" s="135"/>
    </row>
    <row r="32" spans="1:13" x14ac:dyDescent="0.25">
      <c r="A32" s="136"/>
      <c r="B32" s="139"/>
      <c r="C32" s="135"/>
      <c r="D32" s="135"/>
      <c r="E32" s="135"/>
      <c r="F32" s="135"/>
    </row>
    <row r="33" spans="1:8" x14ac:dyDescent="0.25">
      <c r="A33" s="136"/>
      <c r="B33" s="139"/>
      <c r="C33" s="135"/>
      <c r="D33" s="135"/>
      <c r="E33" s="135"/>
      <c r="F33" s="135"/>
    </row>
    <row r="34" spans="1:8" x14ac:dyDescent="0.25">
      <c r="A34" s="136"/>
      <c r="B34" s="139"/>
      <c r="C34" s="135"/>
      <c r="D34" s="135"/>
      <c r="E34" s="135"/>
      <c r="F34" s="135"/>
    </row>
    <row r="35" spans="1:8" x14ac:dyDescent="0.25">
      <c r="A35" s="136"/>
      <c r="B35" s="139"/>
      <c r="C35" s="135"/>
      <c r="D35" s="135"/>
      <c r="E35" s="135"/>
      <c r="F35" s="135"/>
    </row>
    <row r="36" spans="1:8" x14ac:dyDescent="0.25">
      <c r="A36" s="136"/>
      <c r="B36" s="139"/>
      <c r="C36" s="135"/>
      <c r="D36" s="135"/>
      <c r="E36" s="135"/>
      <c r="F36" s="135"/>
      <c r="G36" s="135"/>
      <c r="H36" s="135"/>
    </row>
    <row r="37" spans="1:8" x14ac:dyDescent="0.25">
      <c r="A37" s="136"/>
      <c r="B37" s="139"/>
      <c r="C37" s="135"/>
      <c r="D37" s="135"/>
      <c r="E37" s="135"/>
      <c r="F37" s="135"/>
      <c r="G37" s="135"/>
      <c r="H37" s="135"/>
    </row>
    <row r="38" spans="1:8" x14ac:dyDescent="0.25">
      <c r="A38" s="136"/>
      <c r="B38" s="139"/>
      <c r="C38" s="135"/>
      <c r="D38" s="135"/>
      <c r="E38" s="135"/>
      <c r="F38" s="135"/>
      <c r="G38" s="135"/>
      <c r="H38" s="135"/>
    </row>
    <row r="39" spans="1:8" x14ac:dyDescent="0.25">
      <c r="A39" s="136"/>
      <c r="B39" s="139"/>
      <c r="C39" s="135"/>
      <c r="D39" s="135"/>
      <c r="E39" s="135"/>
      <c r="F39" s="135"/>
      <c r="G39" s="135"/>
      <c r="H39" s="135"/>
    </row>
    <row r="40" spans="1:8" x14ac:dyDescent="0.25">
      <c r="A40" s="136"/>
      <c r="F40" s="135"/>
      <c r="G40" s="135"/>
      <c r="H40" s="135"/>
    </row>
    <row r="41" spans="1:8" x14ac:dyDescent="0.25">
      <c r="A41" s="136"/>
      <c r="F41" s="135"/>
      <c r="G41" s="135"/>
      <c r="H41" s="135"/>
    </row>
    <row r="42" spans="1:8" x14ac:dyDescent="0.25">
      <c r="A42" s="136"/>
      <c r="F42" s="135"/>
      <c r="G42" s="135"/>
      <c r="H42" s="135"/>
    </row>
    <row r="43" spans="1:8" x14ac:dyDescent="0.25">
      <c r="A43" s="136"/>
      <c r="F43" s="135"/>
      <c r="G43" s="135"/>
      <c r="H43" s="135"/>
    </row>
    <row r="44" spans="1:8" x14ac:dyDescent="0.25">
      <c r="A44" s="136"/>
      <c r="F44" s="135"/>
      <c r="G44" s="135"/>
      <c r="H44" s="135"/>
    </row>
    <row r="45" spans="1:8" x14ac:dyDescent="0.25">
      <c r="A45" s="136"/>
      <c r="F45" s="135"/>
      <c r="H45" s="135"/>
    </row>
    <row r="46" spans="1:8" x14ac:dyDescent="0.25">
      <c r="A46" s="136"/>
      <c r="F46" s="135"/>
      <c r="G46" s="135"/>
      <c r="H46" s="135"/>
    </row>
    <row r="47" spans="1:8" ht="13.5" thickBot="1" x14ac:dyDescent="0.35">
      <c r="A47" s="10" t="s">
        <v>931</v>
      </c>
      <c r="B47" s="14" t="s">
        <v>486</v>
      </c>
      <c r="C47" s="245"/>
      <c r="F47" s="135"/>
      <c r="G47" s="135"/>
      <c r="H47" s="135"/>
    </row>
    <row r="48" spans="1:8" x14ac:dyDescent="0.25">
      <c r="A48" s="156" t="s">
        <v>897</v>
      </c>
      <c r="B48" s="256">
        <v>7.1180000000000003</v>
      </c>
      <c r="C48" s="245" t="s">
        <v>927</v>
      </c>
      <c r="F48" s="135"/>
      <c r="G48" s="135"/>
      <c r="H48" s="135"/>
    </row>
    <row r="49" spans="1:8" x14ac:dyDescent="0.25">
      <c r="A49" s="156" t="s">
        <v>901</v>
      </c>
      <c r="B49" s="174">
        <v>40</v>
      </c>
      <c r="F49" s="135"/>
      <c r="G49" s="135"/>
      <c r="H49" s="135"/>
    </row>
    <row r="50" spans="1:8" x14ac:dyDescent="0.25">
      <c r="A50" s="156" t="s">
        <v>898</v>
      </c>
      <c r="B50" s="257">
        <v>14.036</v>
      </c>
      <c r="C50" s="245" t="s">
        <v>927</v>
      </c>
      <c r="F50" s="135"/>
      <c r="G50" s="135"/>
      <c r="H50" s="135"/>
    </row>
    <row r="51" spans="1:8" x14ac:dyDescent="0.25">
      <c r="A51" s="156" t="s">
        <v>902</v>
      </c>
      <c r="B51" s="174">
        <v>80</v>
      </c>
      <c r="F51" s="135"/>
      <c r="G51" s="135"/>
      <c r="H51" s="135"/>
    </row>
    <row r="52" spans="1:8" ht="13" thickBot="1" x14ac:dyDescent="0.3">
      <c r="A52" s="156" t="s">
        <v>739</v>
      </c>
      <c r="B52" s="274">
        <v>30.11858887134769</v>
      </c>
      <c r="C52" s="245" t="s">
        <v>209</v>
      </c>
      <c r="D52" s="8"/>
      <c r="E52" s="135"/>
      <c r="F52" s="135"/>
      <c r="G52" s="135"/>
      <c r="H52" s="135"/>
    </row>
    <row r="53" spans="1:8" ht="13" x14ac:dyDescent="0.3">
      <c r="A53" s="156"/>
      <c r="B53" s="14" t="s">
        <v>139</v>
      </c>
      <c r="C53" s="245"/>
      <c r="E53" s="135"/>
      <c r="F53" s="135"/>
      <c r="G53" s="135"/>
      <c r="H53" s="135"/>
    </row>
    <row r="54" spans="1:8" x14ac:dyDescent="0.25">
      <c r="A54" s="156" t="s">
        <v>925</v>
      </c>
      <c r="B54" s="245" t="s">
        <v>921</v>
      </c>
      <c r="F54" s="135"/>
      <c r="G54" s="135"/>
      <c r="H54" s="135"/>
    </row>
    <row r="55" spans="1:8" x14ac:dyDescent="0.25">
      <c r="A55" s="136" t="s">
        <v>101</v>
      </c>
      <c r="B55" s="273">
        <f>2*B52 + 1.57*(B50 + B48) + (B50 - B48)^2 / (4*B52)</f>
        <v>93.846210118997192</v>
      </c>
      <c r="C55" s="135" t="s">
        <v>209</v>
      </c>
      <c r="D55" s="135"/>
      <c r="E55" s="135"/>
      <c r="F55" s="135"/>
      <c r="G55" s="135"/>
      <c r="H55" s="135"/>
    </row>
    <row r="56" spans="1:8" ht="13" x14ac:dyDescent="0.3">
      <c r="A56" s="2" t="s">
        <v>101</v>
      </c>
      <c r="B56" s="275">
        <f>B55*25.4</f>
        <v>2383.6937370225287</v>
      </c>
      <c r="C56" s="8" t="s">
        <v>904</v>
      </c>
      <c r="E56" s="135"/>
      <c r="F56" s="135"/>
      <c r="G56" s="135"/>
      <c r="H56" s="135"/>
    </row>
    <row r="57" spans="1:8" x14ac:dyDescent="0.25">
      <c r="E57" s="135"/>
      <c r="F57" s="135"/>
      <c r="G57" s="135"/>
      <c r="H57" s="135"/>
    </row>
    <row r="58" spans="1:8" ht="13.5" thickBot="1" x14ac:dyDescent="0.35">
      <c r="A58" s="2"/>
      <c r="B58" s="14" t="s">
        <v>486</v>
      </c>
      <c r="C58" s="10"/>
      <c r="E58" s="135"/>
      <c r="F58" s="135"/>
      <c r="G58" s="135"/>
      <c r="H58" s="135"/>
    </row>
    <row r="59" spans="1:8" ht="13" x14ac:dyDescent="0.3">
      <c r="A59" s="2" t="s">
        <v>922</v>
      </c>
      <c r="B59" s="268">
        <v>111.81</v>
      </c>
      <c r="C59" s="245" t="s">
        <v>928</v>
      </c>
      <c r="E59" s="135"/>
      <c r="F59" s="135"/>
      <c r="G59" s="135"/>
      <c r="H59" s="135"/>
    </row>
    <row r="60" spans="1:8" ht="13" x14ac:dyDescent="0.3">
      <c r="A60" s="2" t="s">
        <v>101</v>
      </c>
      <c r="B60" s="281">
        <f>B59*25.4</f>
        <v>2839.9739999999997</v>
      </c>
      <c r="C60" s="10" t="s">
        <v>904</v>
      </c>
      <c r="E60" s="135"/>
      <c r="F60" s="135"/>
      <c r="G60" s="135"/>
      <c r="H60" s="135"/>
    </row>
    <row r="61" spans="1:8" ht="13" x14ac:dyDescent="0.3">
      <c r="A61" s="2" t="s">
        <v>923</v>
      </c>
      <c r="B61" s="269" t="s">
        <v>924</v>
      </c>
      <c r="C61" s="10" t="s">
        <v>926</v>
      </c>
      <c r="E61" s="138" t="s">
        <v>201</v>
      </c>
      <c r="F61" s="135"/>
      <c r="G61" s="135"/>
      <c r="H61" s="135"/>
    </row>
    <row r="62" spans="1:8" ht="13" x14ac:dyDescent="0.3">
      <c r="A62" s="2" t="s">
        <v>930</v>
      </c>
      <c r="B62" s="282" t="s">
        <v>933</v>
      </c>
      <c r="C62" s="10"/>
      <c r="E62" s="135"/>
      <c r="F62" s="135"/>
      <c r="G62" s="135"/>
      <c r="H62" s="135"/>
    </row>
    <row r="63" spans="1:8" ht="13.5" thickBot="1" x14ac:dyDescent="0.35">
      <c r="A63" s="2" t="s">
        <v>932</v>
      </c>
      <c r="B63" s="283" t="s">
        <v>934</v>
      </c>
      <c r="C63" s="10"/>
      <c r="E63" s="135"/>
      <c r="F63" s="135"/>
      <c r="G63" s="135"/>
      <c r="H63" s="135"/>
    </row>
    <row r="64" spans="1:8" ht="14" x14ac:dyDescent="0.3">
      <c r="A64" s="2"/>
      <c r="B64" s="266"/>
      <c r="C64" s="189"/>
      <c r="E64" s="135"/>
      <c r="F64" s="135"/>
      <c r="G64" s="135"/>
      <c r="H64" s="135"/>
    </row>
    <row r="65" spans="1:23" ht="13" x14ac:dyDescent="0.3">
      <c r="A65" s="199"/>
      <c r="B65" s="137"/>
      <c r="C65" s="189"/>
      <c r="E65" s="135"/>
      <c r="F65" s="135"/>
      <c r="G65" s="135"/>
      <c r="H65" s="135"/>
    </row>
    <row r="66" spans="1:23" ht="13" x14ac:dyDescent="0.3">
      <c r="A66" s="2"/>
      <c r="B66" s="137"/>
      <c r="C66" s="189"/>
      <c r="E66" s="135"/>
      <c r="F66" s="135"/>
      <c r="G66" s="135"/>
      <c r="H66" s="135"/>
    </row>
    <row r="67" spans="1:23" ht="13" x14ac:dyDescent="0.3">
      <c r="A67" s="199"/>
      <c r="B67" s="253"/>
      <c r="C67" s="189"/>
      <c r="E67" s="135"/>
      <c r="F67" s="135"/>
      <c r="G67" s="135"/>
      <c r="H67" s="135"/>
    </row>
    <row r="68" spans="1:23" ht="14" x14ac:dyDescent="0.3">
      <c r="A68" s="2"/>
      <c r="B68" s="266"/>
      <c r="C68" s="254"/>
      <c r="E68" s="135"/>
      <c r="F68" s="135"/>
      <c r="G68" s="135"/>
      <c r="H68" s="135"/>
    </row>
    <row r="69" spans="1:23" ht="13" x14ac:dyDescent="0.3">
      <c r="A69" s="199"/>
      <c r="B69" s="253"/>
      <c r="C69" s="16"/>
      <c r="E69" s="135"/>
      <c r="F69" s="135"/>
      <c r="G69" s="135"/>
      <c r="H69" s="135"/>
    </row>
    <row r="70" spans="1:23" ht="13" x14ac:dyDescent="0.3">
      <c r="A70" s="2"/>
      <c r="B70" s="137"/>
      <c r="C70" s="189"/>
      <c r="D70" s="135"/>
      <c r="E70" s="135"/>
      <c r="F70" s="135"/>
      <c r="G70" s="135"/>
      <c r="H70" s="135"/>
    </row>
    <row r="71" spans="1:23" ht="13" x14ac:dyDescent="0.3">
      <c r="A71" s="199"/>
      <c r="B71" s="255"/>
      <c r="C71" s="16"/>
      <c r="D71" s="135"/>
      <c r="E71" s="135"/>
      <c r="F71" s="135"/>
      <c r="G71" s="135"/>
      <c r="H71" s="135"/>
    </row>
    <row r="72" spans="1:23" ht="13" x14ac:dyDescent="0.3">
      <c r="A72" s="2"/>
      <c r="B72" s="10"/>
      <c r="D72" s="135"/>
      <c r="E72" s="135"/>
      <c r="F72" s="135"/>
      <c r="G72" s="135"/>
      <c r="H72" s="135"/>
    </row>
    <row r="73" spans="1:23" ht="13" x14ac:dyDescent="0.3">
      <c r="A73" s="199"/>
      <c r="B73" s="244"/>
      <c r="D73" s="135"/>
      <c r="E73" s="135"/>
      <c r="F73" s="135"/>
      <c r="G73" s="135"/>
      <c r="H73" s="135"/>
      <c r="I73" s="135"/>
      <c r="J73" s="135"/>
      <c r="K73" s="135"/>
      <c r="L73" s="135"/>
      <c r="M73" s="135"/>
      <c r="N73" s="135"/>
      <c r="O73" s="135"/>
      <c r="P73" s="135"/>
      <c r="Q73" s="135"/>
      <c r="R73" s="135"/>
      <c r="S73" s="135"/>
      <c r="T73" s="135"/>
      <c r="U73" s="135"/>
      <c r="V73" s="135"/>
      <c r="W73" s="135"/>
    </row>
    <row r="74" spans="1:23" ht="13" x14ac:dyDescent="0.3">
      <c r="A74" s="2"/>
      <c r="B74" s="10"/>
      <c r="C74" s="16"/>
      <c r="D74" s="135"/>
      <c r="E74" s="135"/>
      <c r="F74" s="135"/>
      <c r="G74" s="135"/>
      <c r="H74" s="135"/>
      <c r="I74" s="135"/>
      <c r="J74" s="135"/>
      <c r="K74" s="135"/>
      <c r="L74" s="135"/>
      <c r="M74" s="135"/>
      <c r="N74" s="135"/>
      <c r="O74" s="135"/>
      <c r="P74" s="135"/>
      <c r="Q74" s="135"/>
      <c r="R74" s="135"/>
      <c r="S74" s="135"/>
      <c r="T74" s="135"/>
      <c r="U74" s="135"/>
      <c r="V74" s="135"/>
      <c r="W74" s="135"/>
    </row>
    <row r="75" spans="1:23" ht="13" x14ac:dyDescent="0.3">
      <c r="A75" s="199"/>
      <c r="B75" s="178"/>
      <c r="C75" s="16"/>
      <c r="D75" s="135"/>
      <c r="E75" s="135"/>
      <c r="F75" s="135"/>
      <c r="G75" s="135"/>
      <c r="H75" s="135"/>
      <c r="I75" s="135"/>
      <c r="J75" s="135"/>
      <c r="K75" s="135"/>
      <c r="L75" s="135"/>
      <c r="M75" s="135"/>
      <c r="N75" s="135"/>
      <c r="O75" s="135"/>
      <c r="P75" s="135"/>
      <c r="Q75" s="135"/>
      <c r="R75" s="135"/>
      <c r="S75" s="135"/>
      <c r="T75" s="135"/>
      <c r="U75" s="135"/>
      <c r="V75" s="135"/>
      <c r="W75" s="135"/>
    </row>
    <row r="76" spans="1:23" ht="13" x14ac:dyDescent="0.3">
      <c r="A76" s="2"/>
      <c r="B76" s="10"/>
      <c r="C76" s="8"/>
      <c r="D76" s="135"/>
      <c r="E76" s="135"/>
      <c r="F76" s="135"/>
      <c r="G76" s="135"/>
      <c r="H76" s="135"/>
      <c r="I76" s="135"/>
      <c r="J76" s="135"/>
      <c r="K76" s="135"/>
      <c r="L76" s="135"/>
      <c r="M76" s="135"/>
      <c r="N76" s="135"/>
      <c r="O76" s="135"/>
      <c r="P76" s="135"/>
      <c r="Q76" s="135"/>
      <c r="R76" s="135"/>
      <c r="S76" s="135"/>
      <c r="T76" s="135"/>
      <c r="U76" s="135"/>
      <c r="V76" s="135"/>
      <c r="W76" s="135"/>
    </row>
    <row r="77" spans="1:23" ht="13" x14ac:dyDescent="0.3">
      <c r="A77" s="156"/>
      <c r="B77" s="41"/>
      <c r="C77" s="10"/>
      <c r="D77" s="135"/>
      <c r="E77" s="135"/>
      <c r="F77" s="135"/>
      <c r="G77" s="135"/>
      <c r="H77" s="135"/>
      <c r="I77" s="135"/>
      <c r="J77" s="135"/>
      <c r="K77" s="135"/>
      <c r="L77" s="135"/>
      <c r="M77" s="135"/>
      <c r="N77" s="135"/>
      <c r="O77" s="135"/>
      <c r="P77" s="135"/>
      <c r="Q77" s="135"/>
      <c r="R77" s="135"/>
      <c r="S77" s="135"/>
      <c r="T77" s="135"/>
      <c r="U77" s="135"/>
      <c r="V77" s="135"/>
      <c r="W77" s="135"/>
    </row>
    <row r="78" spans="1:23" ht="13" x14ac:dyDescent="0.3">
      <c r="A78" s="2"/>
      <c r="B78" s="10"/>
      <c r="C78" s="16"/>
      <c r="D78" s="135"/>
      <c r="E78" s="135"/>
      <c r="F78" s="135"/>
      <c r="G78" s="135"/>
      <c r="H78" s="135"/>
      <c r="I78" s="135"/>
      <c r="J78" s="135"/>
      <c r="K78" s="135"/>
      <c r="L78" s="135"/>
      <c r="M78" s="135"/>
      <c r="N78" s="135"/>
      <c r="O78" s="135"/>
      <c r="P78" s="135"/>
      <c r="Q78" s="135"/>
      <c r="R78" s="135"/>
      <c r="S78" s="135"/>
      <c r="T78" s="135"/>
      <c r="U78" s="135"/>
      <c r="V78" s="135"/>
      <c r="W78" s="135"/>
    </row>
    <row r="79" spans="1:23" ht="13" x14ac:dyDescent="0.3">
      <c r="A79" s="199"/>
      <c r="B79" s="41"/>
      <c r="C79" s="189"/>
      <c r="D79" s="135"/>
      <c r="E79" s="135"/>
      <c r="F79" s="135"/>
      <c r="G79" s="135"/>
      <c r="H79" s="135"/>
      <c r="I79" s="135"/>
      <c r="J79" s="135"/>
      <c r="K79" s="135"/>
      <c r="L79" s="135"/>
      <c r="M79" s="135"/>
      <c r="N79" s="135"/>
      <c r="O79" s="135"/>
      <c r="P79" s="135"/>
      <c r="Q79" s="135"/>
      <c r="R79" s="135"/>
      <c r="S79" s="135"/>
      <c r="T79" s="135"/>
      <c r="U79" s="135"/>
      <c r="V79" s="135"/>
      <c r="W79" s="135"/>
    </row>
    <row r="80" spans="1:23" ht="13" x14ac:dyDescent="0.3">
      <c r="A80" s="2"/>
      <c r="B80" s="272"/>
      <c r="C80" s="16"/>
      <c r="G80" s="135"/>
      <c r="H80" s="135"/>
      <c r="I80" s="135"/>
      <c r="J80" s="135"/>
      <c r="K80" s="135"/>
      <c r="L80" s="135"/>
      <c r="M80" s="135"/>
      <c r="N80" s="135"/>
      <c r="O80" s="135"/>
      <c r="P80" s="135"/>
      <c r="Q80" s="135"/>
      <c r="R80" s="135"/>
      <c r="S80" s="135"/>
      <c r="T80" s="135"/>
      <c r="U80" s="135"/>
      <c r="V80" s="135"/>
      <c r="W80" s="135"/>
    </row>
    <row r="81" spans="1:23" x14ac:dyDescent="0.25">
      <c r="G81" s="135"/>
      <c r="H81" s="135"/>
      <c r="I81" s="135"/>
      <c r="J81" s="135"/>
      <c r="K81" s="135"/>
      <c r="L81" s="135"/>
      <c r="M81" s="135"/>
      <c r="N81" s="135"/>
      <c r="O81" s="135"/>
      <c r="P81" s="135"/>
      <c r="Q81" s="135"/>
      <c r="R81" s="135"/>
      <c r="S81" s="135"/>
      <c r="T81" s="135"/>
      <c r="U81" s="135"/>
      <c r="V81" s="135"/>
      <c r="W81" s="135"/>
    </row>
    <row r="82" spans="1:23" x14ac:dyDescent="0.25">
      <c r="F82" s="135"/>
      <c r="G82" s="135"/>
      <c r="H82" s="135"/>
      <c r="I82" s="135"/>
      <c r="J82" s="135"/>
      <c r="K82" s="135"/>
      <c r="L82" s="135"/>
      <c r="M82" s="135"/>
      <c r="N82" s="135"/>
      <c r="O82" s="135"/>
      <c r="P82" s="135"/>
      <c r="Q82" s="135"/>
      <c r="R82" s="135"/>
      <c r="S82" s="135"/>
      <c r="T82" s="135"/>
      <c r="U82" s="135"/>
      <c r="V82" s="135"/>
      <c r="W82" s="135"/>
    </row>
    <row r="83" spans="1:23" x14ac:dyDescent="0.25">
      <c r="A83" s="123"/>
      <c r="B83" s="125"/>
      <c r="C83" s="125"/>
      <c r="D83" s="120"/>
      <c r="E83" s="120"/>
      <c r="F83" s="135"/>
      <c r="G83" s="135"/>
      <c r="H83" s="135"/>
      <c r="I83" s="135"/>
      <c r="J83" s="135"/>
      <c r="K83" s="135"/>
      <c r="L83" s="135"/>
      <c r="M83" s="135"/>
      <c r="N83" s="135"/>
      <c r="O83" s="135"/>
      <c r="P83" s="135"/>
      <c r="Q83" s="135"/>
      <c r="R83" s="135"/>
      <c r="S83" s="135"/>
      <c r="T83" s="135"/>
      <c r="U83" s="135"/>
      <c r="V83" s="135"/>
      <c r="W83" s="135"/>
    </row>
    <row r="84" spans="1:23" x14ac:dyDescent="0.25">
      <c r="A84" s="136"/>
      <c r="B84" s="139"/>
      <c r="C84" s="135"/>
      <c r="D84" s="135"/>
      <c r="E84" s="135"/>
      <c r="F84" s="135"/>
      <c r="G84" s="135"/>
      <c r="H84" s="135"/>
      <c r="I84" s="135"/>
      <c r="J84" s="135"/>
      <c r="K84" s="135"/>
      <c r="L84" s="135"/>
      <c r="M84" s="135"/>
      <c r="N84" s="135"/>
      <c r="O84" s="135"/>
      <c r="P84" s="135"/>
      <c r="Q84" s="135"/>
      <c r="R84" s="135"/>
      <c r="S84" s="135"/>
      <c r="T84" s="135"/>
      <c r="U84" s="135"/>
      <c r="V84" s="135"/>
      <c r="W84" s="135"/>
    </row>
    <row r="85" spans="1:23" ht="15.5" x14ac:dyDescent="0.25">
      <c r="A85" s="276"/>
      <c r="C85" s="135"/>
      <c r="D85" s="135"/>
      <c r="E85" s="135"/>
      <c r="F85" s="135"/>
      <c r="G85" s="135"/>
      <c r="H85" s="135"/>
      <c r="I85" s="135"/>
      <c r="J85" s="135"/>
      <c r="K85" s="135"/>
      <c r="L85" s="135"/>
      <c r="M85" s="135"/>
      <c r="N85" s="135"/>
      <c r="O85" s="135"/>
      <c r="P85" s="135"/>
      <c r="Q85" s="135"/>
      <c r="R85" s="135"/>
      <c r="S85" s="135"/>
      <c r="T85" s="135"/>
      <c r="U85" s="135"/>
      <c r="V85" s="135"/>
      <c r="W85" s="135"/>
    </row>
    <row r="86" spans="1:23" x14ac:dyDescent="0.25">
      <c r="A86" s="277"/>
      <c r="C86" s="135"/>
      <c r="D86" s="135"/>
      <c r="E86" s="135"/>
      <c r="F86" s="135"/>
      <c r="G86" s="135"/>
      <c r="H86" s="135"/>
      <c r="I86" s="135"/>
      <c r="J86" s="135"/>
      <c r="K86" s="135"/>
      <c r="L86" s="135"/>
      <c r="M86" s="135"/>
      <c r="N86" s="135"/>
      <c r="O86" s="135"/>
      <c r="P86" s="135"/>
      <c r="Q86" s="135"/>
      <c r="R86" s="135"/>
      <c r="S86" s="135"/>
      <c r="T86" s="135"/>
      <c r="U86" s="135"/>
      <c r="V86" s="135"/>
      <c r="W86" s="135"/>
    </row>
    <row r="87" spans="1:23" x14ac:dyDescent="0.25">
      <c r="A87" s="136"/>
      <c r="B87" s="139"/>
      <c r="C87" s="135"/>
      <c r="D87" s="135"/>
      <c r="E87" s="135"/>
      <c r="F87" s="135"/>
      <c r="G87" s="135"/>
      <c r="H87" s="135"/>
      <c r="I87" s="135"/>
      <c r="J87" s="135"/>
      <c r="K87" s="135"/>
      <c r="L87" s="135"/>
      <c r="M87" s="135"/>
      <c r="N87" s="135"/>
      <c r="O87" s="135"/>
      <c r="P87" s="135"/>
      <c r="Q87" s="135"/>
      <c r="R87" s="135"/>
      <c r="S87" s="135"/>
      <c r="T87" s="135"/>
      <c r="U87" s="135"/>
      <c r="V87" s="135"/>
      <c r="W87" s="135"/>
    </row>
    <row r="88" spans="1:23" x14ac:dyDescent="0.25">
      <c r="A88" s="136"/>
      <c r="B88" s="139"/>
      <c r="C88" s="135"/>
      <c r="D88" s="135"/>
      <c r="E88" s="135"/>
      <c r="F88" s="135"/>
      <c r="G88" s="135"/>
      <c r="H88" s="135"/>
      <c r="I88" s="135"/>
      <c r="J88" s="135"/>
      <c r="K88" s="135"/>
      <c r="L88" s="135"/>
      <c r="M88" s="135"/>
      <c r="N88" s="135"/>
      <c r="O88" s="135"/>
      <c r="P88" s="135"/>
      <c r="Q88" s="135"/>
      <c r="R88" s="135"/>
      <c r="S88" s="135"/>
      <c r="T88" s="135"/>
      <c r="U88" s="135"/>
      <c r="V88" s="135"/>
      <c r="W88" s="135"/>
    </row>
    <row r="89" spans="1:23" x14ac:dyDescent="0.25">
      <c r="A89" s="136"/>
      <c r="B89" s="139"/>
      <c r="C89" s="135"/>
      <c r="D89" s="135"/>
      <c r="E89" s="135"/>
      <c r="F89" s="135"/>
      <c r="G89" s="135"/>
      <c r="H89" s="135"/>
      <c r="I89" s="135"/>
      <c r="J89" s="135"/>
      <c r="K89" s="135"/>
      <c r="L89" s="135"/>
      <c r="M89" s="135"/>
      <c r="N89" s="135"/>
      <c r="O89" s="135"/>
      <c r="P89" s="135"/>
      <c r="Q89" s="135"/>
      <c r="R89" s="135"/>
      <c r="S89" s="135"/>
      <c r="T89" s="135"/>
      <c r="U89" s="135"/>
      <c r="V89" s="135"/>
      <c r="W89" s="135"/>
    </row>
    <row r="90" spans="1:23" x14ac:dyDescent="0.25">
      <c r="A90" s="136"/>
      <c r="B90" s="139"/>
      <c r="C90" s="135"/>
      <c r="D90" s="135"/>
      <c r="E90" s="135"/>
      <c r="F90" s="135"/>
      <c r="G90" s="135"/>
      <c r="H90" s="135"/>
      <c r="I90" s="135"/>
      <c r="J90" s="135"/>
      <c r="K90" s="135"/>
      <c r="L90" s="135"/>
      <c r="M90" s="135"/>
      <c r="N90" s="135"/>
      <c r="O90" s="135"/>
      <c r="P90" s="135"/>
      <c r="Q90" s="135"/>
      <c r="R90" s="135"/>
      <c r="S90" s="135"/>
      <c r="T90" s="135"/>
      <c r="U90" s="135"/>
      <c r="V90" s="135"/>
      <c r="W90" s="135"/>
    </row>
    <row r="91" spans="1:23" x14ac:dyDescent="0.25">
      <c r="A91" s="136"/>
      <c r="B91" s="139"/>
      <c r="C91" s="135"/>
      <c r="D91" s="135"/>
      <c r="E91" s="135"/>
      <c r="F91" s="135"/>
      <c r="G91" s="135"/>
      <c r="H91" s="135"/>
      <c r="I91" s="135"/>
      <c r="J91" s="135"/>
      <c r="K91" s="135"/>
      <c r="L91" s="135"/>
      <c r="M91" s="135"/>
      <c r="N91" s="135"/>
      <c r="O91" s="135"/>
      <c r="P91" s="135"/>
      <c r="Q91" s="135"/>
      <c r="R91" s="135"/>
      <c r="S91" s="135"/>
      <c r="T91" s="135"/>
      <c r="U91" s="135"/>
      <c r="V91" s="135"/>
      <c r="W91" s="135"/>
    </row>
    <row r="92" spans="1:23" x14ac:dyDescent="0.25">
      <c r="A92" s="136"/>
      <c r="B92" s="139"/>
      <c r="C92" s="135"/>
      <c r="D92" s="135"/>
      <c r="E92" s="135"/>
      <c r="F92" s="135"/>
      <c r="G92" s="135"/>
      <c r="H92" s="135"/>
      <c r="I92" s="135"/>
      <c r="J92" s="135"/>
      <c r="K92" s="135"/>
      <c r="L92" s="135"/>
      <c r="M92" s="135"/>
      <c r="N92" s="135"/>
      <c r="O92" s="135"/>
      <c r="P92" s="135"/>
      <c r="Q92" s="135"/>
      <c r="R92" s="135"/>
      <c r="S92" s="135"/>
      <c r="T92" s="135"/>
      <c r="U92" s="135"/>
      <c r="V92" s="135"/>
      <c r="W92" s="135"/>
    </row>
    <row r="93" spans="1:23" x14ac:dyDescent="0.25">
      <c r="A93" s="136"/>
      <c r="B93" s="139"/>
      <c r="C93" s="135"/>
      <c r="D93" s="135"/>
      <c r="E93" s="135"/>
      <c r="F93" s="135"/>
      <c r="G93" s="135"/>
      <c r="H93" s="135"/>
      <c r="I93" s="135"/>
      <c r="J93" s="135"/>
      <c r="K93" s="135"/>
      <c r="L93" s="135"/>
      <c r="M93" s="135"/>
      <c r="N93" s="135"/>
      <c r="O93" s="135"/>
      <c r="P93" s="135"/>
      <c r="Q93" s="135"/>
      <c r="R93" s="135"/>
      <c r="S93" s="135"/>
      <c r="T93" s="135"/>
      <c r="U93" s="135"/>
      <c r="V93" s="135"/>
      <c r="W93" s="135"/>
    </row>
    <row r="94" spans="1:23" x14ac:dyDescent="0.25">
      <c r="A94" s="136"/>
      <c r="B94" s="139"/>
      <c r="C94" s="135"/>
      <c r="D94" s="135"/>
      <c r="E94" s="135"/>
      <c r="F94" s="135"/>
      <c r="G94" s="135"/>
      <c r="H94" s="135"/>
      <c r="I94" s="135"/>
      <c r="J94" s="135"/>
      <c r="K94" s="135"/>
      <c r="L94" s="135"/>
      <c r="M94" s="135"/>
      <c r="N94" s="135"/>
      <c r="O94" s="135"/>
      <c r="P94" s="135"/>
      <c r="Q94" s="135"/>
      <c r="R94" s="135"/>
      <c r="S94" s="135"/>
      <c r="T94" s="135"/>
      <c r="U94" s="135"/>
      <c r="V94" s="135"/>
      <c r="W94" s="135"/>
    </row>
    <row r="95" spans="1:23" x14ac:dyDescent="0.25">
      <c r="A95" s="136"/>
      <c r="B95" s="139"/>
      <c r="C95" s="135"/>
      <c r="D95" s="135"/>
      <c r="E95" s="135"/>
      <c r="F95" s="135"/>
      <c r="G95" s="135"/>
      <c r="H95" s="135"/>
      <c r="I95" s="135"/>
      <c r="J95" s="135"/>
      <c r="K95" s="135"/>
      <c r="L95" s="135"/>
      <c r="M95" s="135"/>
      <c r="N95" s="135"/>
      <c r="O95" s="135"/>
      <c r="P95" s="135"/>
      <c r="Q95" s="135"/>
      <c r="R95" s="135"/>
      <c r="S95" s="135"/>
      <c r="T95" s="135"/>
      <c r="U95" s="135"/>
      <c r="V95" s="135"/>
      <c r="W95" s="135"/>
    </row>
    <row r="96" spans="1:23" x14ac:dyDescent="0.25">
      <c r="A96" s="136"/>
      <c r="B96" s="139"/>
      <c r="C96" s="135"/>
      <c r="D96" s="135"/>
      <c r="E96" s="135"/>
      <c r="F96" s="135"/>
      <c r="G96" s="135"/>
      <c r="H96" s="135"/>
      <c r="I96" s="135"/>
      <c r="J96" s="135"/>
      <c r="K96" s="135"/>
      <c r="L96" s="135"/>
      <c r="M96" s="135"/>
      <c r="N96" s="135"/>
      <c r="O96" s="135"/>
      <c r="P96" s="135"/>
      <c r="Q96" s="135"/>
      <c r="R96" s="135"/>
      <c r="S96" s="135"/>
      <c r="T96" s="135"/>
      <c r="U96" s="135"/>
      <c r="V96" s="135"/>
      <c r="W96" s="135"/>
    </row>
    <row r="97" spans="1:23" x14ac:dyDescent="0.25">
      <c r="A97" s="136"/>
      <c r="B97" s="139"/>
      <c r="C97" s="135"/>
      <c r="D97" s="135"/>
      <c r="E97" s="135"/>
      <c r="F97" s="135"/>
      <c r="G97" s="135"/>
      <c r="H97" s="135"/>
      <c r="I97" s="135"/>
      <c r="J97" s="135"/>
      <c r="K97" s="135"/>
      <c r="L97" s="135"/>
      <c r="M97" s="135"/>
      <c r="N97" s="135"/>
      <c r="O97" s="135"/>
      <c r="P97" s="135"/>
      <c r="Q97" s="135"/>
      <c r="R97" s="135"/>
      <c r="S97" s="135"/>
      <c r="T97" s="135"/>
      <c r="U97" s="135"/>
      <c r="V97" s="135"/>
      <c r="W97" s="135"/>
    </row>
    <row r="98" spans="1:23" x14ac:dyDescent="0.25">
      <c r="A98" s="136"/>
      <c r="B98" s="139"/>
      <c r="C98" s="135"/>
      <c r="D98" s="135"/>
      <c r="E98" s="135"/>
      <c r="F98" s="135"/>
      <c r="G98" s="135"/>
      <c r="H98" s="135"/>
      <c r="I98" s="135"/>
      <c r="J98" s="135"/>
      <c r="K98" s="135"/>
      <c r="L98" s="135"/>
      <c r="M98" s="135"/>
      <c r="N98" s="135"/>
      <c r="O98" s="135"/>
      <c r="P98" s="135"/>
      <c r="Q98" s="135"/>
      <c r="R98" s="135"/>
      <c r="S98" s="135"/>
      <c r="T98" s="135"/>
      <c r="U98" s="135"/>
      <c r="V98" s="135"/>
      <c r="W98" s="135"/>
    </row>
    <row r="99" spans="1:23" x14ac:dyDescent="0.25">
      <c r="A99" s="136"/>
      <c r="B99" s="139"/>
      <c r="C99" s="135"/>
      <c r="D99" s="135"/>
      <c r="E99" s="135"/>
      <c r="F99" s="135"/>
      <c r="G99" s="135"/>
      <c r="H99" s="135"/>
      <c r="I99" s="135"/>
      <c r="J99" s="135"/>
      <c r="K99" s="135"/>
      <c r="L99" s="135"/>
      <c r="M99" s="135"/>
      <c r="N99" s="135"/>
      <c r="O99" s="135"/>
      <c r="P99" s="135"/>
      <c r="Q99" s="135"/>
      <c r="R99" s="135"/>
      <c r="S99" s="135"/>
      <c r="T99" s="135"/>
      <c r="U99" s="135"/>
      <c r="V99" s="135"/>
      <c r="W99" s="135"/>
    </row>
    <row r="100" spans="1:23" x14ac:dyDescent="0.25">
      <c r="A100" s="136"/>
      <c r="B100" s="139"/>
      <c r="C100" s="135"/>
      <c r="D100" s="135"/>
      <c r="E100" s="135"/>
      <c r="F100" s="135"/>
      <c r="G100" s="135"/>
      <c r="H100" s="135"/>
      <c r="I100" s="135"/>
      <c r="J100" s="135"/>
      <c r="K100" s="135"/>
      <c r="L100" s="135"/>
      <c r="M100" s="135"/>
      <c r="N100" s="135"/>
      <c r="O100" s="135"/>
      <c r="P100" s="135"/>
      <c r="Q100" s="135"/>
      <c r="R100" s="135"/>
      <c r="S100" s="135"/>
      <c r="T100" s="135"/>
      <c r="U100" s="135"/>
      <c r="V100" s="135"/>
      <c r="W100" s="135"/>
    </row>
    <row r="101" spans="1:23" x14ac:dyDescent="0.25">
      <c r="A101" s="136"/>
      <c r="B101" s="139"/>
      <c r="C101" s="135"/>
      <c r="D101" s="135"/>
      <c r="E101" s="135"/>
      <c r="F101" s="135"/>
      <c r="G101" s="135"/>
      <c r="H101" s="135"/>
      <c r="I101" s="135"/>
      <c r="J101" s="135"/>
      <c r="K101" s="135"/>
      <c r="L101" s="135"/>
      <c r="M101" s="135"/>
      <c r="N101" s="135"/>
      <c r="O101" s="135"/>
      <c r="P101" s="135"/>
      <c r="Q101" s="135"/>
      <c r="R101" s="135"/>
      <c r="S101" s="135"/>
      <c r="T101" s="135"/>
      <c r="U101" s="135"/>
      <c r="V101" s="135"/>
      <c r="W101" s="135"/>
    </row>
    <row r="102" spans="1:23" x14ac:dyDescent="0.25">
      <c r="A102" s="136"/>
      <c r="B102" s="139"/>
      <c r="C102" s="135"/>
      <c r="D102" s="135"/>
      <c r="E102" s="135"/>
      <c r="F102" s="135"/>
      <c r="G102" s="135"/>
      <c r="H102" s="135"/>
      <c r="I102" s="135"/>
      <c r="J102" s="135"/>
      <c r="K102" s="135"/>
      <c r="L102" s="135"/>
      <c r="M102" s="135"/>
      <c r="N102" s="135"/>
      <c r="O102" s="135"/>
      <c r="P102" s="135"/>
      <c r="Q102" s="135"/>
      <c r="R102" s="135"/>
      <c r="S102" s="135"/>
      <c r="T102" s="135"/>
      <c r="U102" s="135"/>
      <c r="V102" s="135"/>
      <c r="W102" s="135"/>
    </row>
    <row r="103" spans="1:23" x14ac:dyDescent="0.25">
      <c r="A103" s="136"/>
      <c r="B103" s="139"/>
      <c r="C103" s="135"/>
      <c r="D103" s="135"/>
      <c r="E103" s="135"/>
      <c r="F103" s="135"/>
      <c r="G103" s="135"/>
      <c r="H103" s="135"/>
      <c r="I103" s="135"/>
      <c r="J103" s="135"/>
      <c r="K103" s="135"/>
      <c r="L103" s="135"/>
      <c r="M103" s="135"/>
      <c r="N103" s="135"/>
      <c r="O103" s="135"/>
      <c r="P103" s="135"/>
      <c r="Q103" s="135"/>
      <c r="R103" s="135"/>
      <c r="S103" s="135"/>
      <c r="T103" s="135"/>
      <c r="U103" s="135"/>
      <c r="V103" s="135"/>
      <c r="W103" s="135"/>
    </row>
    <row r="104" spans="1:23" x14ac:dyDescent="0.25">
      <c r="G104" s="135"/>
      <c r="H104" s="135"/>
      <c r="I104" s="135"/>
      <c r="J104" s="135"/>
      <c r="K104" s="135"/>
      <c r="L104" s="135"/>
      <c r="M104" s="135"/>
      <c r="N104" s="135"/>
      <c r="O104" s="135"/>
      <c r="P104" s="135"/>
      <c r="Q104" s="135"/>
      <c r="R104" s="135"/>
      <c r="S104" s="135"/>
      <c r="T104" s="135"/>
      <c r="U104" s="135"/>
      <c r="V104" s="135"/>
      <c r="W104" s="135"/>
    </row>
    <row r="105" spans="1:23" x14ac:dyDescent="0.25">
      <c r="G105" s="135"/>
      <c r="H105" s="135"/>
      <c r="I105" s="135"/>
      <c r="J105" s="135"/>
      <c r="K105" s="135"/>
      <c r="L105" s="135"/>
      <c r="M105" s="135"/>
      <c r="N105" s="135"/>
      <c r="O105" s="135"/>
      <c r="P105" s="135"/>
      <c r="Q105" s="135"/>
      <c r="R105" s="135"/>
      <c r="S105" s="135"/>
      <c r="T105" s="135"/>
      <c r="U105" s="135"/>
      <c r="V105" s="135"/>
      <c r="W105" s="135"/>
    </row>
    <row r="106" spans="1:23" x14ac:dyDescent="0.25">
      <c r="G106" s="135"/>
      <c r="H106" s="135"/>
      <c r="I106" s="135"/>
      <c r="J106" s="135"/>
      <c r="K106" s="135"/>
      <c r="L106" s="135"/>
      <c r="M106" s="135"/>
      <c r="N106" s="135"/>
      <c r="O106" s="135"/>
      <c r="P106" s="135"/>
      <c r="Q106" s="135"/>
      <c r="R106" s="135"/>
      <c r="S106" s="135"/>
      <c r="T106" s="135"/>
      <c r="U106" s="135"/>
      <c r="V106" s="135"/>
      <c r="W106" s="135"/>
    </row>
    <row r="107" spans="1:23" x14ac:dyDescent="0.25">
      <c r="I107" s="135"/>
      <c r="J107" s="135"/>
      <c r="K107" s="135"/>
      <c r="L107" s="135"/>
      <c r="M107" s="135"/>
      <c r="N107" s="135"/>
      <c r="O107" s="135"/>
      <c r="P107" s="135"/>
      <c r="Q107" s="135"/>
      <c r="R107" s="135"/>
      <c r="S107" s="135"/>
      <c r="T107" s="135"/>
      <c r="U107" s="135"/>
      <c r="V107" s="135"/>
      <c r="W107" s="135"/>
    </row>
    <row r="108" spans="1:23" x14ac:dyDescent="0.25">
      <c r="G108" s="135"/>
      <c r="H108" s="135"/>
      <c r="I108" s="135"/>
      <c r="J108" s="135"/>
      <c r="K108" s="135"/>
      <c r="L108" s="135"/>
      <c r="M108" s="135"/>
      <c r="N108" s="135"/>
      <c r="O108" s="135"/>
      <c r="P108" s="135"/>
      <c r="Q108" s="135"/>
      <c r="R108" s="135"/>
      <c r="S108" s="135"/>
      <c r="T108" s="135"/>
      <c r="U108" s="135"/>
      <c r="V108" s="135"/>
      <c r="W108" s="135"/>
    </row>
    <row r="109" spans="1:23" x14ac:dyDescent="0.25">
      <c r="G109" s="135"/>
      <c r="H109" s="135"/>
      <c r="I109" s="135"/>
      <c r="J109" s="135"/>
      <c r="K109" s="135"/>
      <c r="L109" s="135"/>
      <c r="M109" s="135"/>
      <c r="N109" s="135"/>
      <c r="O109" s="135"/>
      <c r="P109" s="135"/>
      <c r="Q109" s="135"/>
      <c r="R109" s="135"/>
      <c r="S109" s="135"/>
      <c r="T109" s="135"/>
      <c r="U109" s="135"/>
      <c r="V109" s="135"/>
      <c r="W109" s="135"/>
    </row>
    <row r="110" spans="1:23" x14ac:dyDescent="0.25">
      <c r="G110" s="135"/>
      <c r="H110" s="135"/>
      <c r="I110" s="135"/>
      <c r="J110" s="135"/>
      <c r="K110" s="135"/>
      <c r="L110" s="135"/>
      <c r="M110" s="135"/>
      <c r="N110" s="135"/>
      <c r="O110" s="135"/>
      <c r="P110" s="135"/>
      <c r="Q110" s="135"/>
      <c r="R110" s="135"/>
      <c r="S110" s="135"/>
      <c r="T110" s="135"/>
      <c r="U110" s="135"/>
      <c r="V110" s="135"/>
      <c r="W110" s="135"/>
    </row>
    <row r="111" spans="1:23" ht="13" x14ac:dyDescent="0.3">
      <c r="A111" s="2" t="s">
        <v>918</v>
      </c>
      <c r="G111" s="135"/>
      <c r="H111" s="135"/>
      <c r="I111" s="135"/>
      <c r="J111" s="135"/>
      <c r="K111" s="135"/>
      <c r="L111" s="135"/>
      <c r="M111" s="135"/>
      <c r="N111" s="135"/>
      <c r="O111" s="135"/>
      <c r="P111" s="135"/>
      <c r="Q111" s="135"/>
      <c r="R111" s="135"/>
      <c r="S111" s="135"/>
      <c r="T111" s="135"/>
      <c r="U111" s="135"/>
      <c r="V111" s="135"/>
      <c r="W111" s="135"/>
    </row>
    <row r="112" spans="1:23" x14ac:dyDescent="0.25">
      <c r="A112" s="135"/>
      <c r="G112" s="135"/>
      <c r="H112" s="135"/>
      <c r="I112" s="135"/>
      <c r="J112" s="135"/>
      <c r="K112" s="135"/>
      <c r="L112" s="135"/>
      <c r="M112" s="135"/>
      <c r="N112" s="135"/>
      <c r="O112" s="135"/>
      <c r="P112" s="135"/>
      <c r="Q112" s="135"/>
      <c r="R112" s="135"/>
      <c r="S112" s="135"/>
      <c r="T112" s="135"/>
      <c r="U112" s="135"/>
      <c r="V112" s="135"/>
      <c r="W112" s="135"/>
    </row>
    <row r="113" spans="7:23" x14ac:dyDescent="0.25">
      <c r="G113" s="135"/>
      <c r="H113" s="135"/>
      <c r="I113" s="135"/>
      <c r="J113" s="135"/>
      <c r="K113" s="135"/>
      <c r="L113" s="135"/>
      <c r="M113" s="135"/>
      <c r="N113" s="135"/>
      <c r="O113" s="135"/>
      <c r="P113" s="135"/>
      <c r="Q113" s="135"/>
      <c r="R113" s="135"/>
      <c r="S113" s="135"/>
      <c r="T113" s="135"/>
      <c r="U113" s="135"/>
      <c r="V113" s="135"/>
      <c r="W113" s="135"/>
    </row>
    <row r="114" spans="7:23" x14ac:dyDescent="0.25">
      <c r="G114" s="135"/>
      <c r="H114" s="135"/>
      <c r="I114" s="135"/>
      <c r="J114" s="135"/>
      <c r="K114" s="135"/>
      <c r="L114" s="135"/>
      <c r="M114" s="135"/>
      <c r="N114" s="135"/>
      <c r="O114" s="135"/>
      <c r="P114" s="135"/>
      <c r="Q114" s="135"/>
      <c r="R114" s="135"/>
      <c r="S114" s="135"/>
      <c r="T114" s="135"/>
      <c r="U114" s="135"/>
      <c r="V114" s="135"/>
      <c r="W114" s="135"/>
    </row>
    <row r="115" spans="7:23" x14ac:dyDescent="0.25">
      <c r="G115" s="135"/>
      <c r="H115" s="135"/>
      <c r="I115" s="135"/>
      <c r="J115" s="135"/>
      <c r="K115" s="135"/>
      <c r="L115" s="135"/>
      <c r="M115" s="135"/>
      <c r="N115" s="135"/>
      <c r="O115" s="135"/>
      <c r="P115" s="135"/>
      <c r="Q115" s="135"/>
      <c r="R115" s="135"/>
      <c r="S115" s="135"/>
      <c r="T115" s="135"/>
      <c r="U115" s="135"/>
      <c r="V115" s="135"/>
      <c r="W115" s="135"/>
    </row>
    <row r="116" spans="7:23" x14ac:dyDescent="0.25">
      <c r="G116" s="135"/>
      <c r="H116" s="135"/>
      <c r="I116" s="135"/>
      <c r="J116" s="135"/>
      <c r="K116" s="135"/>
      <c r="L116" s="135"/>
      <c r="M116" s="135"/>
      <c r="N116" s="135"/>
      <c r="O116" s="135"/>
      <c r="P116" s="135"/>
      <c r="Q116" s="135"/>
      <c r="R116" s="135"/>
      <c r="S116" s="135"/>
      <c r="T116" s="135"/>
      <c r="U116" s="135"/>
      <c r="V116" s="135"/>
      <c r="W116" s="135"/>
    </row>
    <row r="117" spans="7:23" x14ac:dyDescent="0.25">
      <c r="G117" s="135"/>
      <c r="H117" s="135"/>
      <c r="I117" s="135"/>
      <c r="J117" s="135"/>
      <c r="K117" s="135"/>
      <c r="L117" s="135"/>
      <c r="M117" s="135"/>
      <c r="N117" s="135"/>
      <c r="O117" s="135"/>
      <c r="P117" s="135"/>
      <c r="Q117" s="135"/>
      <c r="R117" s="135"/>
      <c r="S117" s="135"/>
      <c r="T117" s="135"/>
      <c r="U117" s="135"/>
      <c r="V117" s="135"/>
      <c r="W117" s="135"/>
    </row>
    <row r="118" spans="7:23" x14ac:dyDescent="0.25">
      <c r="G118" s="135"/>
      <c r="H118" s="135"/>
      <c r="I118" s="135"/>
      <c r="J118" s="135"/>
      <c r="K118" s="135"/>
      <c r="L118" s="135"/>
      <c r="M118" s="135"/>
      <c r="N118" s="135"/>
      <c r="O118" s="135"/>
      <c r="P118" s="135"/>
      <c r="Q118" s="135"/>
      <c r="R118" s="135"/>
      <c r="S118" s="135"/>
      <c r="T118" s="135"/>
      <c r="U118" s="135"/>
      <c r="V118" s="135"/>
      <c r="W118" s="135"/>
    </row>
    <row r="119" spans="7:23" x14ac:dyDescent="0.25">
      <c r="G119" s="135"/>
      <c r="H119" s="135"/>
      <c r="I119" s="135"/>
      <c r="J119" s="135"/>
      <c r="K119" s="135"/>
      <c r="L119" s="135"/>
      <c r="M119" s="135"/>
      <c r="N119" s="135"/>
      <c r="O119" s="135"/>
      <c r="P119" s="135"/>
      <c r="Q119" s="135"/>
      <c r="R119" s="135"/>
      <c r="S119" s="135"/>
      <c r="T119" s="135"/>
      <c r="U119" s="135"/>
      <c r="V119" s="135"/>
      <c r="W119" s="135"/>
    </row>
    <row r="120" spans="7:23" x14ac:dyDescent="0.25">
      <c r="G120" s="135"/>
      <c r="H120" s="135"/>
      <c r="I120" s="135"/>
      <c r="J120" s="135"/>
      <c r="K120" s="135"/>
      <c r="L120" s="135"/>
      <c r="M120" s="135"/>
      <c r="N120" s="135"/>
      <c r="O120" s="135"/>
      <c r="P120" s="135"/>
      <c r="Q120" s="135"/>
      <c r="R120" s="135"/>
      <c r="S120" s="135"/>
      <c r="T120" s="135"/>
      <c r="U120" s="135"/>
      <c r="V120" s="135"/>
      <c r="W120" s="135"/>
    </row>
    <row r="121" spans="7:23" x14ac:dyDescent="0.25">
      <c r="G121" s="135"/>
      <c r="H121" s="135"/>
      <c r="I121" s="135"/>
      <c r="J121" s="135"/>
      <c r="K121" s="135"/>
      <c r="L121" s="135"/>
      <c r="M121" s="135"/>
      <c r="N121" s="135"/>
      <c r="O121" s="135"/>
      <c r="P121" s="135"/>
      <c r="Q121" s="135"/>
      <c r="R121" s="135"/>
      <c r="S121" s="135"/>
      <c r="T121" s="135"/>
      <c r="U121" s="135"/>
      <c r="V121" s="135"/>
      <c r="W121" s="135"/>
    </row>
    <row r="122" spans="7:23" x14ac:dyDescent="0.25">
      <c r="G122" s="135"/>
      <c r="H122" s="135"/>
      <c r="I122" s="135"/>
      <c r="J122" s="135"/>
      <c r="K122" s="135"/>
      <c r="L122" s="135"/>
      <c r="M122" s="135"/>
      <c r="N122" s="135"/>
      <c r="O122" s="135"/>
      <c r="P122" s="135"/>
      <c r="Q122" s="135"/>
      <c r="R122" s="135"/>
      <c r="S122" s="135"/>
      <c r="T122" s="135"/>
      <c r="U122" s="135"/>
      <c r="V122" s="135"/>
      <c r="W122" s="135"/>
    </row>
    <row r="123" spans="7:23" x14ac:dyDescent="0.25">
      <c r="G123" s="135"/>
      <c r="H123" s="135"/>
      <c r="I123" s="135"/>
      <c r="J123" s="135"/>
      <c r="K123" s="135"/>
      <c r="L123" s="135"/>
      <c r="M123" s="135"/>
      <c r="N123" s="135"/>
      <c r="O123" s="135"/>
      <c r="P123" s="135"/>
      <c r="Q123" s="135"/>
      <c r="R123" s="135"/>
      <c r="S123" s="135"/>
      <c r="T123" s="135"/>
      <c r="U123" s="135"/>
      <c r="V123" s="135"/>
      <c r="W123" s="135"/>
    </row>
    <row r="124" spans="7:23" x14ac:dyDescent="0.25">
      <c r="G124" s="135"/>
      <c r="H124" s="135"/>
      <c r="I124" s="135"/>
      <c r="J124" s="135"/>
      <c r="K124" s="135"/>
      <c r="L124" s="135"/>
      <c r="M124" s="135"/>
      <c r="N124" s="135"/>
      <c r="O124" s="135"/>
      <c r="P124" s="135"/>
      <c r="Q124" s="135"/>
      <c r="R124" s="135"/>
      <c r="S124" s="135"/>
      <c r="T124" s="135"/>
      <c r="U124" s="135"/>
      <c r="V124" s="135"/>
      <c r="W124" s="135"/>
    </row>
    <row r="125" spans="7:23" x14ac:dyDescent="0.25">
      <c r="G125" s="135"/>
      <c r="H125" s="135"/>
      <c r="I125" s="135"/>
      <c r="J125" s="135"/>
      <c r="K125" s="135"/>
      <c r="L125" s="135"/>
      <c r="M125" s="135"/>
      <c r="N125" s="135"/>
      <c r="O125" s="135"/>
      <c r="P125" s="135"/>
      <c r="Q125" s="135"/>
      <c r="R125" s="135"/>
      <c r="S125" s="135"/>
      <c r="T125" s="135"/>
      <c r="U125" s="135"/>
      <c r="V125" s="135"/>
      <c r="W125" s="135"/>
    </row>
    <row r="126" spans="7:23" x14ac:dyDescent="0.25">
      <c r="G126" s="135"/>
      <c r="H126" s="135"/>
      <c r="I126" s="135"/>
      <c r="J126" s="135"/>
      <c r="K126" s="135"/>
      <c r="L126" s="135"/>
      <c r="M126" s="135"/>
      <c r="N126" s="135"/>
      <c r="O126" s="135"/>
      <c r="P126" s="135"/>
      <c r="Q126" s="135"/>
      <c r="R126" s="135"/>
      <c r="S126" s="135"/>
      <c r="T126" s="135"/>
      <c r="U126" s="135"/>
      <c r="V126" s="135"/>
      <c r="W126" s="135"/>
    </row>
    <row r="127" spans="7:23" x14ac:dyDescent="0.25">
      <c r="G127" s="135"/>
      <c r="H127" s="135"/>
      <c r="I127" s="135"/>
      <c r="J127" s="135"/>
      <c r="K127" s="135"/>
      <c r="L127" s="135"/>
      <c r="M127" s="135"/>
      <c r="N127" s="135"/>
      <c r="O127" s="135"/>
      <c r="P127" s="135"/>
      <c r="Q127" s="135"/>
      <c r="R127" s="135"/>
      <c r="S127" s="135"/>
      <c r="T127" s="135"/>
      <c r="U127" s="135"/>
      <c r="V127" s="135"/>
      <c r="W127" s="135"/>
    </row>
    <row r="128" spans="7:23" x14ac:dyDescent="0.25">
      <c r="G128" s="135"/>
      <c r="H128" s="135"/>
      <c r="I128" s="135"/>
      <c r="J128" s="135"/>
      <c r="K128" s="135"/>
      <c r="L128" s="135"/>
      <c r="M128" s="135"/>
      <c r="N128" s="135"/>
      <c r="O128" s="135"/>
      <c r="P128" s="135"/>
      <c r="Q128" s="135"/>
      <c r="R128" s="135"/>
      <c r="S128" s="135"/>
      <c r="T128" s="135"/>
      <c r="U128" s="135"/>
      <c r="V128" s="135"/>
      <c r="W128" s="135"/>
    </row>
    <row r="129" spans="7:23" x14ac:dyDescent="0.25">
      <c r="G129" s="135"/>
      <c r="H129" s="135"/>
      <c r="I129" s="135"/>
      <c r="J129" s="135"/>
      <c r="K129" s="135"/>
      <c r="L129" s="135"/>
      <c r="M129" s="135"/>
      <c r="N129" s="135"/>
      <c r="O129" s="135"/>
      <c r="P129" s="135"/>
      <c r="Q129" s="135"/>
      <c r="R129" s="135"/>
      <c r="S129" s="135"/>
      <c r="T129" s="135"/>
      <c r="U129" s="135"/>
      <c r="V129" s="135"/>
      <c r="W129" s="135"/>
    </row>
    <row r="130" spans="7:23" x14ac:dyDescent="0.25">
      <c r="G130" s="135"/>
      <c r="H130" s="135"/>
      <c r="I130" s="135"/>
      <c r="J130" s="135"/>
      <c r="K130" s="135"/>
      <c r="L130" s="135"/>
      <c r="M130" s="135"/>
      <c r="N130" s="135"/>
      <c r="O130" s="135"/>
      <c r="P130" s="135"/>
      <c r="Q130" s="135"/>
      <c r="R130" s="135"/>
      <c r="S130" s="135"/>
      <c r="T130" s="135"/>
      <c r="U130" s="135"/>
      <c r="V130" s="135"/>
      <c r="W130" s="135"/>
    </row>
    <row r="131" spans="7:23" x14ac:dyDescent="0.25">
      <c r="G131" s="135"/>
      <c r="H131" s="135"/>
      <c r="I131" s="135"/>
      <c r="J131" s="135"/>
      <c r="K131" s="135"/>
      <c r="L131" s="135"/>
      <c r="M131" s="135"/>
      <c r="N131" s="135"/>
      <c r="O131" s="135"/>
      <c r="P131" s="135"/>
      <c r="Q131" s="135"/>
      <c r="R131" s="135"/>
      <c r="S131" s="135"/>
      <c r="T131" s="135"/>
      <c r="U131" s="135"/>
      <c r="V131" s="135"/>
      <c r="W131" s="135"/>
    </row>
    <row r="132" spans="7:23" x14ac:dyDescent="0.25">
      <c r="G132" s="135"/>
      <c r="H132" s="135"/>
      <c r="I132" s="135"/>
      <c r="J132" s="135"/>
      <c r="K132" s="135"/>
      <c r="L132" s="135"/>
      <c r="M132" s="135"/>
      <c r="N132" s="135"/>
      <c r="O132" s="135"/>
      <c r="P132" s="135"/>
      <c r="Q132" s="135"/>
      <c r="R132" s="135"/>
      <c r="S132" s="135"/>
      <c r="T132" s="135"/>
      <c r="U132" s="135"/>
      <c r="V132" s="135"/>
      <c r="W132" s="135"/>
    </row>
    <row r="133" spans="7:23" x14ac:dyDescent="0.25">
      <c r="G133" s="135"/>
      <c r="H133" s="135"/>
      <c r="I133" s="135"/>
      <c r="J133" s="135"/>
      <c r="K133" s="135"/>
      <c r="L133" s="135"/>
      <c r="M133" s="135"/>
      <c r="N133" s="135"/>
      <c r="O133" s="135"/>
      <c r="P133" s="135"/>
      <c r="Q133" s="135"/>
      <c r="R133" s="135"/>
      <c r="S133" s="135"/>
      <c r="T133" s="135"/>
      <c r="U133" s="135"/>
      <c r="V133" s="135"/>
      <c r="W133" s="135"/>
    </row>
    <row r="134" spans="7:23" x14ac:dyDescent="0.25">
      <c r="G134" s="135"/>
      <c r="H134" s="135"/>
      <c r="I134" s="135"/>
      <c r="J134" s="135"/>
      <c r="K134" s="135"/>
      <c r="L134" s="135"/>
      <c r="M134" s="135"/>
      <c r="N134" s="135"/>
      <c r="O134" s="135"/>
      <c r="P134" s="135"/>
      <c r="Q134" s="135"/>
      <c r="R134" s="135"/>
      <c r="S134" s="135"/>
      <c r="T134" s="135"/>
      <c r="U134" s="135"/>
      <c r="V134" s="135"/>
      <c r="W134" s="135"/>
    </row>
    <row r="135" spans="7:23" x14ac:dyDescent="0.25">
      <c r="G135" s="135"/>
      <c r="H135" s="135"/>
      <c r="I135" s="135"/>
      <c r="J135" s="135"/>
      <c r="K135" s="135"/>
      <c r="L135" s="135"/>
      <c r="M135" s="135"/>
      <c r="N135" s="135"/>
      <c r="O135" s="135"/>
      <c r="P135" s="135"/>
      <c r="Q135" s="135"/>
      <c r="R135" s="135"/>
      <c r="S135" s="135"/>
      <c r="T135" s="135"/>
      <c r="U135" s="135"/>
      <c r="V135" s="135"/>
      <c r="W135" s="135"/>
    </row>
    <row r="136" spans="7:23" x14ac:dyDescent="0.25">
      <c r="G136" s="135"/>
      <c r="H136" s="135"/>
      <c r="I136" s="135"/>
      <c r="J136" s="135"/>
      <c r="K136" s="135"/>
      <c r="L136" s="135"/>
      <c r="M136" s="135"/>
      <c r="N136" s="135"/>
      <c r="O136" s="135"/>
      <c r="P136" s="135"/>
      <c r="Q136" s="135"/>
      <c r="R136" s="135"/>
      <c r="S136" s="135"/>
      <c r="T136" s="135"/>
      <c r="U136" s="135"/>
      <c r="V136" s="135"/>
      <c r="W136" s="135"/>
    </row>
    <row r="137" spans="7:23" x14ac:dyDescent="0.25">
      <c r="G137" s="135"/>
      <c r="H137" s="135"/>
      <c r="I137" s="135"/>
      <c r="J137" s="135"/>
      <c r="K137" s="135"/>
      <c r="L137" s="135"/>
      <c r="M137" s="135"/>
      <c r="N137" s="135"/>
      <c r="O137" s="135"/>
      <c r="P137" s="135"/>
      <c r="Q137" s="135"/>
      <c r="R137" s="135"/>
      <c r="S137" s="135"/>
      <c r="T137" s="135"/>
      <c r="U137" s="135"/>
      <c r="V137" s="135"/>
      <c r="W137" s="135"/>
    </row>
    <row r="138" spans="7:23" x14ac:dyDescent="0.25">
      <c r="G138" s="135"/>
      <c r="H138" s="135"/>
      <c r="I138" s="135"/>
      <c r="J138" s="135"/>
      <c r="K138" s="135"/>
      <c r="L138" s="135"/>
      <c r="M138" s="135"/>
      <c r="N138" s="135"/>
      <c r="O138" s="135"/>
      <c r="P138" s="135"/>
      <c r="Q138" s="135"/>
      <c r="R138" s="135"/>
      <c r="S138" s="135"/>
      <c r="T138" s="135"/>
      <c r="U138" s="135"/>
      <c r="V138" s="135"/>
      <c r="W138" s="135"/>
    </row>
    <row r="139" spans="7:23" x14ac:dyDescent="0.25">
      <c r="G139" s="135"/>
      <c r="H139" s="135"/>
      <c r="I139" s="135"/>
      <c r="J139" s="135"/>
      <c r="K139" s="135"/>
      <c r="L139" s="135"/>
      <c r="M139" s="135"/>
      <c r="N139" s="135"/>
      <c r="O139" s="135"/>
      <c r="P139" s="135"/>
      <c r="Q139" s="135"/>
      <c r="R139" s="135"/>
      <c r="S139" s="135"/>
      <c r="T139" s="135"/>
      <c r="U139" s="135"/>
      <c r="V139" s="135"/>
      <c r="W139" s="135"/>
    </row>
    <row r="140" spans="7:23" x14ac:dyDescent="0.25">
      <c r="G140" s="135"/>
      <c r="H140" s="135"/>
      <c r="I140" s="135"/>
      <c r="J140" s="135"/>
      <c r="K140" s="135"/>
      <c r="L140" s="135"/>
      <c r="M140" s="135"/>
    </row>
    <row r="141" spans="7:23" x14ac:dyDescent="0.25">
      <c r="G141" s="135"/>
      <c r="H141" s="135"/>
      <c r="I141" s="135"/>
      <c r="J141" s="135"/>
      <c r="K141" s="135"/>
      <c r="L141" s="135"/>
      <c r="M141" s="135"/>
    </row>
    <row r="142" spans="7:23" x14ac:dyDescent="0.25">
      <c r="G142" s="135"/>
      <c r="H142" s="135"/>
      <c r="I142" s="135"/>
      <c r="J142" s="135"/>
      <c r="K142" s="135"/>
      <c r="L142" s="135"/>
      <c r="M142" s="135"/>
    </row>
    <row r="143" spans="7:23" x14ac:dyDescent="0.25">
      <c r="G143" s="135"/>
      <c r="H143" s="135"/>
      <c r="I143" s="135"/>
      <c r="J143" s="135"/>
      <c r="K143" s="135"/>
      <c r="L143" s="135"/>
      <c r="M143" s="135"/>
    </row>
    <row r="144" spans="7:23" x14ac:dyDescent="0.25">
      <c r="G144" s="135"/>
      <c r="H144" s="135"/>
      <c r="I144" s="135"/>
      <c r="J144" s="135"/>
      <c r="K144" s="135"/>
      <c r="L144" s="135"/>
      <c r="M144" s="135"/>
    </row>
    <row r="145" spans="1:13" x14ac:dyDescent="0.25">
      <c r="G145" s="135"/>
      <c r="H145" s="135"/>
      <c r="I145" s="135"/>
      <c r="J145" s="135"/>
      <c r="K145" s="135"/>
      <c r="L145" s="135"/>
      <c r="M145" s="135"/>
    </row>
    <row r="146" spans="1:13" x14ac:dyDescent="0.25">
      <c r="G146" s="135"/>
      <c r="H146" s="135"/>
      <c r="I146" s="135"/>
      <c r="J146" s="135"/>
      <c r="K146" s="135"/>
      <c r="L146" s="135"/>
      <c r="M146" s="135"/>
    </row>
    <row r="147" spans="1:13" x14ac:dyDescent="0.25">
      <c r="G147" s="135"/>
      <c r="H147" s="135"/>
      <c r="I147" s="135"/>
      <c r="J147" s="135"/>
      <c r="K147" s="135"/>
      <c r="L147" s="135"/>
      <c r="M147" s="135"/>
    </row>
    <row r="148" spans="1:13" x14ac:dyDescent="0.25">
      <c r="G148" s="135"/>
      <c r="H148" s="135"/>
      <c r="I148" s="135"/>
      <c r="J148" s="135"/>
      <c r="K148" s="135"/>
      <c r="L148" s="135"/>
      <c r="M148" s="135"/>
    </row>
    <row r="149" spans="1:13" x14ac:dyDescent="0.25">
      <c r="G149" s="135"/>
      <c r="H149" s="135"/>
      <c r="I149" s="135"/>
      <c r="J149" s="135"/>
      <c r="K149" s="135"/>
      <c r="L149" s="135"/>
      <c r="M149" s="135"/>
    </row>
    <row r="150" spans="1:13" x14ac:dyDescent="0.25">
      <c r="G150" s="135"/>
      <c r="H150" s="135"/>
      <c r="I150" s="135"/>
      <c r="J150" s="135"/>
      <c r="K150" s="135"/>
      <c r="L150" s="135"/>
      <c r="M150" s="135"/>
    </row>
    <row r="151" spans="1:13" x14ac:dyDescent="0.25">
      <c r="G151" s="135"/>
      <c r="H151" s="135"/>
      <c r="I151" s="135"/>
      <c r="J151" s="135"/>
      <c r="K151" s="135"/>
      <c r="L151" s="135"/>
      <c r="M151" s="135"/>
    </row>
    <row r="152" spans="1:13" x14ac:dyDescent="0.25">
      <c r="G152" s="135"/>
      <c r="H152" s="135"/>
      <c r="I152" s="135"/>
      <c r="J152" s="135"/>
      <c r="K152" s="135"/>
      <c r="L152" s="135"/>
      <c r="M152" s="135"/>
    </row>
    <row r="153" spans="1:13" ht="15.5" x14ac:dyDescent="0.35">
      <c r="A153" s="68"/>
      <c r="G153" s="68"/>
      <c r="H153" s="8"/>
      <c r="J153" s="135"/>
      <c r="K153" s="135"/>
      <c r="L153" s="135"/>
      <c r="M153" s="135"/>
    </row>
    <row r="154" spans="1:13" ht="13" x14ac:dyDescent="0.3">
      <c r="A154" s="10"/>
      <c r="B154" s="278"/>
      <c r="G154" s="10"/>
      <c r="H154" s="278"/>
      <c r="J154" s="135"/>
      <c r="K154" s="135"/>
      <c r="L154" s="135"/>
      <c r="M154" s="135"/>
    </row>
    <row r="155" spans="1:13" ht="13" x14ac:dyDescent="0.3">
      <c r="A155" s="2"/>
      <c r="B155" s="137"/>
      <c r="C155" s="16"/>
      <c r="G155" s="2"/>
      <c r="H155" s="10"/>
      <c r="I155" s="16"/>
      <c r="J155" s="135"/>
      <c r="K155" s="135"/>
      <c r="L155" s="135"/>
      <c r="M155" s="135"/>
    </row>
    <row r="156" spans="1:13" ht="13" x14ac:dyDescent="0.3">
      <c r="A156" s="2"/>
      <c r="B156" s="137"/>
      <c r="C156" s="16"/>
      <c r="G156" s="2"/>
      <c r="H156" s="10"/>
      <c r="I156" s="16"/>
      <c r="J156" s="135"/>
      <c r="K156" s="135"/>
      <c r="L156" s="135"/>
      <c r="M156" s="135"/>
    </row>
    <row r="157" spans="1:13" ht="13" x14ac:dyDescent="0.3">
      <c r="A157" s="279"/>
      <c r="B157" s="137"/>
      <c r="C157" s="16"/>
      <c r="G157" s="279"/>
      <c r="H157" s="10"/>
      <c r="I157" s="16"/>
      <c r="J157" s="135"/>
      <c r="K157" s="135"/>
      <c r="L157" s="135"/>
      <c r="M157" s="135"/>
    </row>
    <row r="158" spans="1:13" ht="13" x14ac:dyDescent="0.3">
      <c r="A158" s="2"/>
      <c r="B158" s="137"/>
      <c r="C158" s="16"/>
      <c r="G158" s="2"/>
      <c r="H158" s="10"/>
      <c r="I158" s="16"/>
      <c r="J158" s="135"/>
      <c r="K158" s="135"/>
      <c r="L158" s="135"/>
      <c r="M158" s="135"/>
    </row>
    <row r="159" spans="1:13" ht="13" x14ac:dyDescent="0.3">
      <c r="A159" s="2"/>
      <c r="B159" s="137"/>
      <c r="C159" s="16"/>
      <c r="G159" s="2"/>
      <c r="H159" s="10"/>
      <c r="I159" s="16"/>
      <c r="J159" s="135"/>
      <c r="K159" s="135"/>
      <c r="L159" s="135"/>
      <c r="M159" s="135"/>
    </row>
    <row r="160" spans="1:13" ht="13" x14ac:dyDescent="0.3">
      <c r="A160" s="2"/>
      <c r="B160" s="137"/>
      <c r="C160" s="16"/>
      <c r="G160" s="2"/>
      <c r="H160" s="10"/>
      <c r="I160" s="16"/>
      <c r="J160" s="135"/>
      <c r="K160" s="135"/>
      <c r="L160" s="135"/>
      <c r="M160" s="135"/>
    </row>
    <row r="161" spans="1:13" ht="13" x14ac:dyDescent="0.3">
      <c r="A161" s="2"/>
      <c r="B161" s="137"/>
      <c r="C161" s="16"/>
      <c r="G161" s="2"/>
      <c r="H161" s="10"/>
      <c r="I161" s="16"/>
      <c r="J161" s="135"/>
      <c r="K161" s="135"/>
      <c r="L161" s="135"/>
      <c r="M161" s="135"/>
    </row>
    <row r="162" spans="1:13" ht="13" x14ac:dyDescent="0.3">
      <c r="A162" s="2"/>
      <c r="B162" s="137"/>
      <c r="C162" s="16"/>
      <c r="G162" s="2"/>
      <c r="H162" s="10"/>
      <c r="I162" s="16"/>
      <c r="J162" s="135"/>
      <c r="K162" s="135"/>
      <c r="L162" s="135"/>
      <c r="M162" s="135"/>
    </row>
    <row r="163" spans="1:13" ht="13" x14ac:dyDescent="0.3">
      <c r="A163" s="2"/>
      <c r="B163" s="137"/>
      <c r="C163" s="16"/>
      <c r="G163" s="2"/>
      <c r="H163" s="10"/>
      <c r="I163" s="16"/>
      <c r="J163" s="135"/>
      <c r="K163" s="135"/>
      <c r="L163" s="135"/>
      <c r="M163" s="135"/>
    </row>
    <row r="164" spans="1:13" ht="13" x14ac:dyDescent="0.3">
      <c r="A164" s="2"/>
      <c r="B164" s="278"/>
      <c r="C164" s="16"/>
      <c r="G164" s="2"/>
      <c r="H164" s="278"/>
      <c r="I164" s="16"/>
      <c r="J164" s="135"/>
      <c r="K164" s="135"/>
      <c r="L164" s="135"/>
      <c r="M164" s="135"/>
    </row>
    <row r="165" spans="1:13" ht="13" x14ac:dyDescent="0.3">
      <c r="A165" s="2"/>
      <c r="B165" s="243"/>
      <c r="C165" s="16"/>
      <c r="G165" s="2"/>
      <c r="H165" s="243"/>
      <c r="I165" s="16"/>
      <c r="J165" s="135"/>
      <c r="K165" s="135"/>
      <c r="L165" s="135"/>
      <c r="M165" s="135"/>
    </row>
    <row r="166" spans="1:13" ht="13" x14ac:dyDescent="0.3">
      <c r="A166" s="279"/>
      <c r="B166" s="243"/>
      <c r="C166" s="16"/>
      <c r="G166" s="279"/>
      <c r="H166" s="243"/>
      <c r="I166" s="16"/>
      <c r="J166" s="135"/>
      <c r="K166" s="135"/>
      <c r="L166" s="135"/>
      <c r="M166" s="135"/>
    </row>
    <row r="167" spans="1:13" ht="13" x14ac:dyDescent="0.3">
      <c r="A167" s="2"/>
      <c r="B167" s="243"/>
      <c r="C167" s="16"/>
      <c r="G167" s="2"/>
      <c r="H167" s="243"/>
      <c r="I167" s="16"/>
      <c r="J167" s="135"/>
      <c r="K167" s="135"/>
      <c r="L167" s="135"/>
      <c r="M167" s="135"/>
    </row>
    <row r="168" spans="1:13" x14ac:dyDescent="0.25">
      <c r="A168" s="156"/>
      <c r="G168" s="156"/>
      <c r="H168" s="8"/>
      <c r="J168" s="135"/>
      <c r="K168" s="135"/>
      <c r="L168" s="135"/>
      <c r="M168" s="135"/>
    </row>
    <row r="169" spans="1:13" ht="15.5" x14ac:dyDescent="0.35">
      <c r="A169" s="68"/>
      <c r="G169" s="68"/>
      <c r="H169" s="8"/>
      <c r="J169" s="135"/>
      <c r="K169" s="135"/>
      <c r="L169" s="135"/>
      <c r="M169" s="135"/>
    </row>
    <row r="170" spans="1:13" x14ac:dyDescent="0.25">
      <c r="G170" s="1"/>
      <c r="H170" s="8"/>
      <c r="J170" s="135"/>
      <c r="K170" s="135"/>
      <c r="L170" s="135"/>
      <c r="M170" s="135"/>
    </row>
    <row r="171" spans="1:13" x14ac:dyDescent="0.25">
      <c r="H171" s="8"/>
      <c r="J171" s="135"/>
      <c r="K171" s="135"/>
      <c r="L171" s="135"/>
      <c r="M171" s="135"/>
    </row>
    <row r="172" spans="1:13" x14ac:dyDescent="0.25">
      <c r="G172" s="1"/>
      <c r="H172" s="8"/>
      <c r="J172" s="135"/>
      <c r="K172" s="135"/>
      <c r="L172" s="135"/>
      <c r="M172" s="135"/>
    </row>
    <row r="173" spans="1:13" x14ac:dyDescent="0.25">
      <c r="G173" s="1"/>
      <c r="H173" s="8"/>
      <c r="J173" s="135"/>
      <c r="K173" s="135"/>
      <c r="L173" s="135"/>
      <c r="M173" s="135"/>
    </row>
    <row r="174" spans="1:13" x14ac:dyDescent="0.25">
      <c r="G174" s="1"/>
      <c r="H174" s="8"/>
      <c r="J174" s="135"/>
      <c r="K174" s="135"/>
      <c r="L174" s="135"/>
      <c r="M174" s="135"/>
    </row>
    <row r="175" spans="1:13" x14ac:dyDescent="0.25">
      <c r="G175" s="1"/>
      <c r="H175" s="8"/>
      <c r="J175" s="135"/>
      <c r="K175" s="135"/>
      <c r="L175" s="135"/>
      <c r="M175" s="135"/>
    </row>
    <row r="176" spans="1:13" x14ac:dyDescent="0.25">
      <c r="G176" s="1"/>
      <c r="H176" s="8"/>
      <c r="J176" s="135"/>
      <c r="K176" s="135"/>
      <c r="L176" s="135"/>
      <c r="M176" s="135"/>
    </row>
    <row r="177" spans="7:13" x14ac:dyDescent="0.25">
      <c r="G177" s="1"/>
      <c r="H177" s="8"/>
      <c r="J177" s="135"/>
      <c r="K177" s="135"/>
      <c r="L177" s="135"/>
      <c r="M177" s="135"/>
    </row>
    <row r="178" spans="7:13" x14ac:dyDescent="0.25">
      <c r="G178" s="1"/>
      <c r="H178" s="8"/>
      <c r="J178" s="135"/>
      <c r="K178" s="135"/>
      <c r="L178" s="135"/>
      <c r="M178" s="135"/>
    </row>
    <row r="179" spans="7:13" x14ac:dyDescent="0.25">
      <c r="G179" s="1"/>
      <c r="H179" s="8"/>
      <c r="J179" s="135"/>
      <c r="K179" s="135"/>
      <c r="L179" s="135"/>
      <c r="M179" s="135"/>
    </row>
    <row r="180" spans="7:13" x14ac:dyDescent="0.25">
      <c r="G180" s="1"/>
      <c r="H180" s="8"/>
      <c r="J180" s="135"/>
      <c r="K180" s="135"/>
      <c r="L180" s="135"/>
      <c r="M180" s="135"/>
    </row>
    <row r="181" spans="7:13" x14ac:dyDescent="0.25">
      <c r="G181" s="1"/>
      <c r="H181" s="8"/>
      <c r="J181" s="135"/>
      <c r="K181" s="135"/>
      <c r="L181" s="135"/>
      <c r="M181" s="135"/>
    </row>
    <row r="182" spans="7:13" x14ac:dyDescent="0.25">
      <c r="G182" s="1"/>
      <c r="H182" s="8"/>
      <c r="J182" s="135"/>
      <c r="K182" s="135"/>
      <c r="L182" s="135"/>
      <c r="M182" s="135"/>
    </row>
    <row r="183" spans="7:13" x14ac:dyDescent="0.25">
      <c r="G183" s="1"/>
      <c r="H183" s="8"/>
      <c r="J183" s="135"/>
      <c r="K183" s="135"/>
      <c r="L183" s="135"/>
      <c r="M183" s="135"/>
    </row>
    <row r="184" spans="7:13" x14ac:dyDescent="0.25">
      <c r="G184" s="1"/>
      <c r="H184" s="8"/>
      <c r="J184" s="135"/>
      <c r="K184" s="135"/>
      <c r="L184" s="135"/>
      <c r="M184" s="135"/>
    </row>
    <row r="185" spans="7:13" x14ac:dyDescent="0.25">
      <c r="G185" s="1"/>
      <c r="H185" s="8"/>
      <c r="J185" s="135"/>
      <c r="K185" s="135"/>
      <c r="L185" s="135"/>
      <c r="M185" s="135"/>
    </row>
    <row r="186" spans="7:13" x14ac:dyDescent="0.25">
      <c r="G186" s="1"/>
      <c r="H186" s="8"/>
      <c r="J186" s="135"/>
      <c r="K186" s="135"/>
      <c r="L186" s="135"/>
      <c r="M186" s="135"/>
    </row>
    <row r="187" spans="7:13" x14ac:dyDescent="0.25">
      <c r="G187" s="1"/>
      <c r="H187" s="8"/>
      <c r="J187" s="135"/>
      <c r="K187" s="135"/>
      <c r="L187" s="135"/>
      <c r="M187" s="135"/>
    </row>
    <row r="188" spans="7:13" x14ac:dyDescent="0.25">
      <c r="G188" s="1"/>
      <c r="H188" s="8"/>
      <c r="J188" s="135"/>
      <c r="K188" s="135"/>
      <c r="L188" s="135"/>
      <c r="M188" s="135"/>
    </row>
    <row r="189" spans="7:13" ht="15.5" x14ac:dyDescent="0.35">
      <c r="G189" s="68"/>
      <c r="H189" s="8"/>
    </row>
    <row r="190" spans="7:13" x14ac:dyDescent="0.25">
      <c r="H190" s="8"/>
    </row>
    <row r="191" spans="7:13" x14ac:dyDescent="0.25">
      <c r="G191" s="1"/>
      <c r="H191" s="8"/>
    </row>
    <row r="192" spans="7:13" x14ac:dyDescent="0.25">
      <c r="G192" s="1"/>
      <c r="H192" s="8"/>
    </row>
    <row r="193" spans="7:8" x14ac:dyDescent="0.25">
      <c r="G193" s="1"/>
      <c r="H193" s="8"/>
    </row>
    <row r="194" spans="7:8" x14ac:dyDescent="0.25">
      <c r="G194" s="1"/>
      <c r="H194" s="8"/>
    </row>
    <row r="195" spans="7:8" x14ac:dyDescent="0.25">
      <c r="G195" s="1"/>
      <c r="H195" s="8"/>
    </row>
    <row r="224" spans="7:7" ht="15.5" x14ac:dyDescent="0.35">
      <c r="G224" s="68"/>
    </row>
    <row r="266" spans="7:7" ht="13" x14ac:dyDescent="0.3">
      <c r="G266" s="16" t="s">
        <v>918</v>
      </c>
    </row>
  </sheetData>
  <sheetProtection sheet="1" formatCells="0" select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vt:lpstr>
      <vt:lpstr>1 Machines</vt:lpstr>
      <vt:lpstr>2 Stress</vt:lpstr>
      <vt:lpstr>3 Shaft</vt:lpstr>
      <vt:lpstr>4 Coupling</vt:lpstr>
      <vt:lpstr>5 Actuator</vt:lpstr>
      <vt:lpstr>6 Brake</vt:lpstr>
      <vt:lpstr>7 V-Belt</vt:lpstr>
      <vt:lpstr>8 Gear-Belt</vt:lpstr>
      <vt:lpstr>9 Gears</vt:lpstr>
      <vt:lpstr>10 Goal Seek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Andrew</dc:creator>
  <cp:lastModifiedBy>John Andrew</cp:lastModifiedBy>
  <cp:lastPrinted>2013-11-29T15:02:55Z</cp:lastPrinted>
  <dcterms:created xsi:type="dcterms:W3CDTF">2006-06-11T19:59:18Z</dcterms:created>
  <dcterms:modified xsi:type="dcterms:W3CDTF">2023-12-21T16:08:40Z</dcterms:modified>
</cp:coreProperties>
</file>