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jpeg" ContentType="image/jpeg"/>
  <Override PartName="/xl/drawings/drawing4.xml" ContentType="application/vnd.openxmlformats-officedocument.drawing+xml"/>
  <Override PartName="/xl/drawings/drawing5.xml" ContentType="application/vnd.openxmlformats-officedocument.drawing+xml"/>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955" yWindow="-165" windowWidth="9450" windowHeight="7965"/>
  </bookViews>
  <sheets>
    <sheet name="INTRODUCTION" sheetId="1" r:id="rId1"/>
    <sheet name="PRESSURE VESSELS" sheetId="2" r:id="rId2"/>
    <sheet name="NOZZELS" sheetId="5" r:id="rId3"/>
    <sheet name="MATH TOOLS" sheetId="4" r:id="rId4"/>
    <sheet name="MATERIALS" sheetId="3" r:id="rId5"/>
  </sheets>
  <calcPr calcId="152511"/>
</workbook>
</file>

<file path=xl/calcChain.xml><?xml version="1.0" encoding="utf-8"?>
<calcChain xmlns="http://schemas.openxmlformats.org/spreadsheetml/2006/main">
  <c r="J433" i="2"/>
  <c r="J432"/>
  <c r="C64" i="4"/>
  <c r="E64" s="1"/>
  <c r="C62"/>
  <c r="E62" s="1"/>
  <c r="C48"/>
  <c r="E48" s="1"/>
  <c r="C46"/>
  <c r="E46" s="1"/>
  <c r="C115" i="5"/>
  <c r="C422" i="2"/>
  <c r="D361"/>
  <c r="C367"/>
  <c r="C366"/>
  <c r="C369" s="1"/>
  <c r="C371" s="1"/>
  <c r="C336"/>
  <c r="C154"/>
  <c r="F154" s="1"/>
  <c r="C152"/>
  <c r="C141"/>
  <c r="C139"/>
  <c r="J137"/>
  <c r="J136"/>
  <c r="H134"/>
  <c r="J356"/>
  <c r="J355"/>
  <c r="H353"/>
  <c r="C42"/>
  <c r="C40"/>
  <c r="C38"/>
  <c r="H160" i="5"/>
  <c r="H155"/>
  <c r="H150"/>
  <c r="H153" s="1"/>
  <c r="H146"/>
  <c r="H144"/>
  <c r="H148" s="1"/>
  <c r="H143"/>
  <c r="H162" s="1"/>
  <c r="H142"/>
  <c r="H113"/>
  <c r="H111"/>
  <c r="H115" s="1"/>
  <c r="H100"/>
  <c r="H104" s="1"/>
  <c r="H80"/>
  <c r="H82" s="1"/>
  <c r="C146"/>
  <c r="C160"/>
  <c r="C155"/>
  <c r="C150"/>
  <c r="C144"/>
  <c r="C143"/>
  <c r="C142"/>
  <c r="C157" s="1"/>
  <c r="C113"/>
  <c r="C111"/>
  <c r="C100"/>
  <c r="C102" s="1"/>
  <c r="C80"/>
  <c r="C82" s="1"/>
  <c r="C423" i="2"/>
  <c r="C565"/>
  <c r="C570" s="1"/>
  <c r="C574"/>
  <c r="C566"/>
  <c r="C482"/>
  <c r="C484" s="1"/>
  <c r="C530"/>
  <c r="C532" s="1"/>
  <c r="C534" s="1"/>
  <c r="J520"/>
  <c r="J519"/>
  <c r="H517"/>
  <c r="C518"/>
  <c r="C471"/>
  <c r="C438"/>
  <c r="F440" s="1"/>
  <c r="F423"/>
  <c r="C408"/>
  <c r="F408" s="1"/>
  <c r="C440"/>
  <c r="C439"/>
  <c r="F439"/>
  <c r="F425"/>
  <c r="C425"/>
  <c r="C409"/>
  <c r="H403"/>
  <c r="J405"/>
  <c r="J406"/>
  <c r="C411"/>
  <c r="F411"/>
  <c r="F409"/>
  <c r="C211"/>
  <c r="C198"/>
  <c r="C212"/>
  <c r="C199"/>
  <c r="C209"/>
  <c r="C196"/>
  <c r="F196" s="1"/>
  <c r="F141"/>
  <c r="H152" i="5" l="1"/>
  <c r="F209" i="2"/>
  <c r="H163" i="5"/>
  <c r="H122"/>
  <c r="H124"/>
  <c r="H102"/>
  <c r="H109" s="1"/>
  <c r="H157"/>
  <c r="H158" s="1"/>
  <c r="C162"/>
  <c r="C163" s="1"/>
  <c r="C153"/>
  <c r="C148"/>
  <c r="C158"/>
  <c r="C109"/>
  <c r="C152"/>
  <c r="C104"/>
  <c r="D482" i="2"/>
  <c r="C568"/>
  <c r="C572" s="1"/>
  <c r="D530"/>
  <c r="F438"/>
  <c r="F422"/>
  <c r="F198"/>
  <c r="F211"/>
  <c r="F152"/>
  <c r="F139"/>
  <c r="H191"/>
  <c r="J480"/>
  <c r="J479"/>
  <c r="H477"/>
  <c r="C318"/>
  <c r="J315"/>
  <c r="J314"/>
  <c r="H312"/>
  <c r="J283"/>
  <c r="J282"/>
  <c r="H280"/>
  <c r="C286"/>
  <c r="J193"/>
  <c r="J194"/>
  <c r="H130" i="5" l="1"/>
  <c r="H117"/>
  <c r="H126"/>
  <c r="C130"/>
  <c r="C117"/>
  <c r="C124"/>
  <c r="C122"/>
  <c r="H129" l="1"/>
  <c r="H127"/>
  <c r="C126"/>
  <c r="C127" s="1"/>
  <c r="C129" l="1"/>
</calcChain>
</file>

<file path=xl/sharedStrings.xml><?xml version="1.0" encoding="utf-8"?>
<sst xmlns="http://schemas.openxmlformats.org/spreadsheetml/2006/main" count="897" uniqueCount="297">
  <si>
    <t>To scroll, roll the mouse wheel.</t>
  </si>
  <si>
    <t>To zoom in, depress the Ctrl key and roll the mouse wheel away from you.</t>
  </si>
  <si>
    <t>To open another, "Work Sheet Lesson" select a tab at the bottom of this spreadsheet.</t>
  </si>
  <si>
    <t xml:space="preserve">To unlock the cells of this spreadsheet: Home &gt; Format &gt; Unprotect Sheet. </t>
  </si>
  <si>
    <t xml:space="preserve">To lock the cells of this spreadsheet: Home &gt; Format &gt; Protect Sheet. </t>
  </si>
  <si>
    <t>To open a new spreadsheet topic click on the tabs below.</t>
  </si>
  <si>
    <t>a) Carbon and Low Alloy Steels:</t>
  </si>
  <si>
    <t>b) High Alloy Steels:</t>
  </si>
  <si>
    <t xml:space="preserve">    Math Symbols</t>
  </si>
  <si>
    <t>A x B =</t>
  </si>
  <si>
    <t xml:space="preserve"> A*B</t>
  </si>
  <si>
    <t>A / B =</t>
  </si>
  <si>
    <t>A / B</t>
  </si>
  <si>
    <t>2 x 3 =</t>
  </si>
  <si>
    <t xml:space="preserve"> 2 * 3</t>
  </si>
  <si>
    <t>3 / 2 =</t>
  </si>
  <si>
    <t>3 / 2</t>
  </si>
  <si>
    <t>=</t>
  </si>
  <si>
    <t>A + B =</t>
  </si>
  <si>
    <t xml:space="preserve"> A + B</t>
  </si>
  <si>
    <r>
      <t>X</t>
    </r>
    <r>
      <rPr>
        <b/>
        <vertAlign val="superscript"/>
        <sz val="10"/>
        <rFont val="Arial"/>
        <family val="2"/>
      </rPr>
      <t>n</t>
    </r>
    <r>
      <rPr>
        <b/>
        <sz val="10"/>
        <rFont val="Arial"/>
        <family val="2"/>
      </rPr>
      <t xml:space="preserve"> =</t>
    </r>
  </si>
  <si>
    <t>X^n</t>
  </si>
  <si>
    <t>2 + 3 =</t>
  </si>
  <si>
    <t xml:space="preserve"> 2 + 3</t>
  </si>
  <si>
    <r>
      <t>2</t>
    </r>
    <r>
      <rPr>
        <b/>
        <vertAlign val="superscript"/>
        <sz val="10"/>
        <rFont val="Arial"/>
        <family val="2"/>
      </rPr>
      <t>3</t>
    </r>
    <r>
      <rPr>
        <b/>
        <sz val="10"/>
        <rFont val="Arial"/>
        <family val="2"/>
      </rPr>
      <t xml:space="preserve"> =</t>
    </r>
  </si>
  <si>
    <t>2^3</t>
  </si>
  <si>
    <t>Input</t>
  </si>
  <si>
    <t>Internal design pressure ,  P =</t>
  </si>
  <si>
    <t>Maximum allowable stress value at operating temperature, S =</t>
  </si>
  <si>
    <t>Mpa</t>
  </si>
  <si>
    <t>mm</t>
  </si>
  <si>
    <t>MPa</t>
  </si>
  <si>
    <t>Calculate</t>
  </si>
  <si>
    <t>Metric</t>
  </si>
  <si>
    <t>psi</t>
  </si>
  <si>
    <t>in</t>
  </si>
  <si>
    <t>Mpa =</t>
  </si>
  <si>
    <t>mm =</t>
  </si>
  <si>
    <t>Minimum allowable  t =  3.2 mm</t>
  </si>
  <si>
    <t>Minimum allowable  t =  0.125 in</t>
  </si>
  <si>
    <t>http://coolingtower-design.com/category/boiler/</t>
  </si>
  <si>
    <t xml:space="preserve">Image above may be found at:  </t>
  </si>
  <si>
    <t>www.science.howstuffworks.com</t>
  </si>
  <si>
    <t>www.industrial-boilers.org</t>
  </si>
  <si>
    <t>www.reference.findtarget.com</t>
  </si>
  <si>
    <t>www.machinetec.blogspot.com</t>
  </si>
  <si>
    <t>Efficiency of longitudinal welded joints,  E =</t>
  </si>
  <si>
    <t>Inside Radius of cylinder,  R =</t>
  </si>
  <si>
    <t>D =</t>
  </si>
  <si>
    <t>R =</t>
  </si>
  <si>
    <t>Step-2   Select: Data &gt; What-If Analysis &gt; Goal Seek…</t>
  </si>
  <si>
    <t>Step-5  OK.</t>
  </si>
  <si>
    <t xml:space="preserve">Calculate Internal design pressure ,  P if  t = 0.250 in. </t>
  </si>
  <si>
    <t>US Units</t>
  </si>
  <si>
    <t>Longitudinal stress (circumferential joints)</t>
  </si>
  <si>
    <t>Design shell thickness ,  t =</t>
  </si>
  <si>
    <t>P*R / (2*t)</t>
  </si>
  <si>
    <t>P*R / t</t>
  </si>
  <si>
    <t>Not ASME Code</t>
  </si>
  <si>
    <t>Inside radius of spherical shell,  R =</t>
  </si>
  <si>
    <t xml:space="preserve">The corrosion allowance,  C = </t>
  </si>
  <si>
    <t xml:space="preserve">S*E* (t - C) /  (( R + (1 - y)*(t - C))                                                                           </t>
  </si>
  <si>
    <t>Ferritic steeel less than 480° C [896°F],  y =</t>
  </si>
  <si>
    <t>The corrosion allowance,  C =</t>
  </si>
  <si>
    <t xml:space="preserve">Note: In cylindrical vessels, the stress set up by the pressure on the longitudinal joints </t>
  </si>
  <si>
    <t>is equal to twice the stress on the circumferential joints.</t>
  </si>
  <si>
    <t>Thin Boiler Drum under Internal Pressure.</t>
  </si>
  <si>
    <t>Thin Boiler Drum Tubesheet under Internal Pressure.</t>
  </si>
  <si>
    <t>END OF WORKSHEET</t>
  </si>
  <si>
    <t>Joint efficiency,  E =</t>
  </si>
  <si>
    <t xml:space="preserve">2*S*E*t  / (R - 0.4*t) </t>
  </si>
  <si>
    <t>Inside radius of cylinder,  R =</t>
  </si>
  <si>
    <t>Minimum required thickness (Longitudinal Joint),  t =</t>
  </si>
  <si>
    <t>Minimum required thickness (Circumferential Joint),  t =</t>
  </si>
  <si>
    <t>Maximum allowable pressure (Circumferencial Joint),   P =</t>
  </si>
  <si>
    <t>Maximum allowable pressure (Longitudinal Joint),   P =</t>
  </si>
  <si>
    <t>Thin shell thickness,  t =</t>
  </si>
  <si>
    <t>Maximum allowable  P = 0.385*S*E =</t>
  </si>
  <si>
    <t>Thin Cylinder Minimum Thickness Under Internal Pressure.</t>
  </si>
  <si>
    <t>ASME Boiler and Pressure Vessel Committee BPVC Rules</t>
  </si>
  <si>
    <t xml:space="preserve">S*E*t  / (R + 0.6*t) </t>
  </si>
  <si>
    <t xml:space="preserve">(P*R / (2*S*E - 0.2*P) ) + C                                                                                </t>
  </si>
  <si>
    <t>Maximum internal pressure = 0.665*S*E =</t>
  </si>
  <si>
    <t>Hemispherical shell minimum required thickness,  t =</t>
  </si>
  <si>
    <t>Where t &lt; 0.356*R or P &lt; 0.665*S*E</t>
  </si>
  <si>
    <t>Maximum allowable  t = 0.356*R =</t>
  </si>
  <si>
    <t>Minimum allowable  t =</t>
  </si>
  <si>
    <t>Hemespherical shell thickness,  t =</t>
  </si>
  <si>
    <t>Hemispherical shell maximum allowable pressure,  P =</t>
  </si>
  <si>
    <t>Maximum allowable stress value at operating temperature,  S =</t>
  </si>
  <si>
    <t xml:space="preserve">(2*S*E*t / (R + 0.2*t) ) + C                                                                           </t>
  </si>
  <si>
    <t>Depth of head,  H =</t>
  </si>
  <si>
    <t>DI / 4</t>
  </si>
  <si>
    <t>(1 / 6)*(2 + (D / (2*H))^2)</t>
  </si>
  <si>
    <t xml:space="preserve">Torispherical Head </t>
  </si>
  <si>
    <t>Semi-Elliptical head inside diameter,  D =</t>
  </si>
  <si>
    <t>M =</t>
  </si>
  <si>
    <t>(1/4)*(3 + (L/r)^(1/2))</t>
  </si>
  <si>
    <t>L =</t>
  </si>
  <si>
    <t>r =</t>
  </si>
  <si>
    <t>D / 4</t>
  </si>
  <si>
    <t>Hemispherical Head</t>
  </si>
  <si>
    <t>Ellipsoidal Head 2:1</t>
  </si>
  <si>
    <t>Limit ratio, L / r &lt; 16^(2/3) = 6.350,        L / r  =</t>
  </si>
  <si>
    <t>Ellipsoidal head inside diameter,  D =</t>
  </si>
  <si>
    <t>Ellipsoidal head minimum required thickness,  t =</t>
  </si>
  <si>
    <t xml:space="preserve">(P*D*K / (2*S*E - 0.2*P) ) + C                                                                                 </t>
  </si>
  <si>
    <t xml:space="preserve">(P*L*M/ (2*S*E - 0.2*P) ) + C                                                                                 </t>
  </si>
  <si>
    <t xml:space="preserve">Conical Head </t>
  </si>
  <si>
    <t>a &lt; 30 degrees,  a =</t>
  </si>
  <si>
    <t>Cone half angle,  a =</t>
  </si>
  <si>
    <t>deg</t>
  </si>
  <si>
    <t>X =</t>
  </si>
  <si>
    <t>R / Sin (a /57.3)</t>
  </si>
  <si>
    <t xml:space="preserve">(P*D / (2*Cos (a / 57.3) *(S*E - 0.6*P) ) )+ C                                                                                 </t>
  </si>
  <si>
    <t>Semi-Elliptical head inside radius,  R =</t>
  </si>
  <si>
    <t>D / 2</t>
  </si>
  <si>
    <t>Y =</t>
  </si>
  <si>
    <t>R*Sin (a /57.3)</t>
  </si>
  <si>
    <t>Z =</t>
  </si>
  <si>
    <t>X - Y</t>
  </si>
  <si>
    <t>Torispherical head inside diameter,  D =</t>
  </si>
  <si>
    <t>Torispherical head minimum required thickness,  t =</t>
  </si>
  <si>
    <t>Conical head inside diameter,  D =</t>
  </si>
  <si>
    <t>Conical head minimum required thickness,  t =</t>
  </si>
  <si>
    <t>If K &gt; 1.000, S must be 20,000 psi reduced for temperature,  K =</t>
  </si>
  <si>
    <t>http://www.pveng.com/Sample/AddNozzle/Sample1_APV.pdf</t>
  </si>
  <si>
    <t xml:space="preserve"> Minimum required thickness  (Longitudinal  Joint),  t =</t>
  </si>
  <si>
    <t xml:space="preserve">Shell Material: </t>
  </si>
  <si>
    <t>SHELL</t>
  </si>
  <si>
    <t>Nozzle Reinforcement</t>
  </si>
  <si>
    <t>PORTABLE BOILER</t>
  </si>
  <si>
    <t>http://www.pbs.org/wgbh/nova/tech/fuel-cell-car.html</t>
  </si>
  <si>
    <t>The fuel cell car above runs on hydrogen gas in tanks at 5,000 psi.</t>
  </si>
  <si>
    <t>BASIC BOILER</t>
  </si>
  <si>
    <t>PORTABLE BOILER - SECTION VIEW</t>
  </si>
  <si>
    <t>Full radiographic examination</t>
  </si>
  <si>
    <t>Design pressure,  P =</t>
  </si>
  <si>
    <t>Design temperature,  T =</t>
  </si>
  <si>
    <t>deg F</t>
  </si>
  <si>
    <t>SA-516 Grade 70</t>
  </si>
  <si>
    <t>Shell minimum thickness,  ts =</t>
  </si>
  <si>
    <t>Use standard larger thickness,  Ts =</t>
  </si>
  <si>
    <t>Use standard larger thickness,  Tn =</t>
  </si>
  <si>
    <t>Shell internal radius,  Rs =</t>
  </si>
  <si>
    <t>Shell allowable stress at design temp.,  Ss =</t>
  </si>
  <si>
    <t xml:space="preserve">P*Rs / (Ss*E - 0.6*P) </t>
  </si>
  <si>
    <t xml:space="preserve">P*Rn / (Sn*E - 0.6*P)  </t>
  </si>
  <si>
    <t>SHELL REINFORCEMENT RING</t>
  </si>
  <si>
    <t>Minimum required ring area,  Ar =</t>
  </si>
  <si>
    <t>Shell internal diameter,  Ds =</t>
  </si>
  <si>
    <t>Ds / 2</t>
  </si>
  <si>
    <t>2*(2.5*Ts*(Tn - tn) )</t>
  </si>
  <si>
    <t>2*(2.5*Tn*(Tn - tn) )</t>
  </si>
  <si>
    <t>MIN(An1, An2)</t>
  </si>
  <si>
    <t>POWER BOILER</t>
  </si>
  <si>
    <t>SA-53 Grade B</t>
  </si>
  <si>
    <t>8" Schedule 100</t>
  </si>
  <si>
    <t>http://www.allsteelpipe.com/Pipe-Dimensions-Weights-Chart.pdf</t>
  </si>
  <si>
    <t>Same pressure and temperature as shell</t>
  </si>
  <si>
    <t>Pipe inside diameter,  di =</t>
  </si>
  <si>
    <t>2*R</t>
  </si>
  <si>
    <t>2*di</t>
  </si>
  <si>
    <t>MAX(Dro1,Dro2)</t>
  </si>
  <si>
    <t>Ring outside diameter,  Dro1 =</t>
  </si>
  <si>
    <t>Efficiency of Nozzle,  E =</t>
  </si>
  <si>
    <t>Standard pipe dimensions can be found at:</t>
  </si>
  <si>
    <t>Efficiency of: shell,  E =</t>
  </si>
  <si>
    <t>Area available in shell,  As1 =</t>
  </si>
  <si>
    <t>d*(Ts - ts) - 2*Tn*(Ts - ts)</t>
  </si>
  <si>
    <t>or Area available in shell,  As2 =</t>
  </si>
  <si>
    <t>2*(Ts + tn)*(Ts - ts) - 2*tn*(Ts - ts)</t>
  </si>
  <si>
    <t>di*ts</t>
  </si>
  <si>
    <t>Minimum of An1 and An2 = An =</t>
  </si>
  <si>
    <t>in^2</t>
  </si>
  <si>
    <t>Standard Pipe external diameter,  de =</t>
  </si>
  <si>
    <t>(de - 2*tn) / 2</t>
  </si>
  <si>
    <t>Geometry Constraints:</t>
  </si>
  <si>
    <t>tcLeg41 =</t>
  </si>
  <si>
    <t>0.7*Leg42 &gt;=</t>
  </si>
  <si>
    <t>Leg5 &gt;=</t>
  </si>
  <si>
    <t>LegG &gt;=</t>
  </si>
  <si>
    <t>IF A REINFORCING RING IS USED:</t>
  </si>
  <si>
    <t>Fillet weld leg,  5 =</t>
  </si>
  <si>
    <t>Fillet weld leg,  41 =</t>
  </si>
  <si>
    <t>Fillet weld leg,  42 =</t>
  </si>
  <si>
    <t>Fillet weld leg,  G =</t>
  </si>
  <si>
    <t>If used ring thickness is,  tr =</t>
  </si>
  <si>
    <t>Ring outside diameter,  Dro =</t>
  </si>
  <si>
    <t>or Ring outside diameter,  Dro =</t>
  </si>
  <si>
    <t>2*(de / 2 + tn + t)</t>
  </si>
  <si>
    <t>2*de</t>
  </si>
  <si>
    <t>or Ring outside diameter,  Dro2 =</t>
  </si>
  <si>
    <t>Design Ring outside diameter,  Dro =</t>
  </si>
  <si>
    <t>Ar / Dro</t>
  </si>
  <si>
    <t>Use larger standard ring thickness,  Tr =</t>
  </si>
  <si>
    <t>Reinforcing ring thickness,  te = Tr =</t>
  </si>
  <si>
    <t>Shell thickness,  Ts =</t>
  </si>
  <si>
    <t>0.5*Min(0.75,Tr,Ts)</t>
  </si>
  <si>
    <t>0.7*Min(0.75,Tr,Tn)</t>
  </si>
  <si>
    <t>0.7*Min(0.75,Ts,Tn)</t>
  </si>
  <si>
    <t>0.7*Leg42 =</t>
  </si>
  <si>
    <t>Leg5 =</t>
  </si>
  <si>
    <t>LegG =</t>
  </si>
  <si>
    <t>Min(0.25,0.7*Min(0.75,tn,tr))</t>
  </si>
  <si>
    <t>Weld Leg41 =</t>
  </si>
  <si>
    <t>2*(di / 2 + tn + t)</t>
  </si>
  <si>
    <t>Copy of Weld Detail</t>
  </si>
  <si>
    <t>NOZZEL/SHEEL REFERENCE ONLY - SEE ASME CODE FOR DETAILS</t>
  </si>
  <si>
    <t xml:space="preserve">GM's HY-Wire Fuel Cell Car </t>
  </si>
  <si>
    <t>How much water is their in the earth?</t>
  </si>
  <si>
    <t>Hydrogen is found in water, H2O.</t>
  </si>
  <si>
    <t>Honda's Fuel Cell Car</t>
  </si>
  <si>
    <t>4 PDH</t>
  </si>
  <si>
    <t>INTRODUCTION</t>
  </si>
  <si>
    <t>PRESSURE VESSEL SHELLS</t>
  </si>
  <si>
    <t>MATERIALS</t>
  </si>
  <si>
    <t>FUEL CELL CARS</t>
  </si>
  <si>
    <t>A fuel cell.</t>
  </si>
  <si>
    <t>END OF THIS WORKSHEET</t>
  </si>
  <si>
    <t xml:space="preserve">GM's Fuel Cell Car </t>
  </si>
  <si>
    <t>BASIC STEAM ENGINE BOILER</t>
  </si>
  <si>
    <r>
      <t>Shell Longitudinal stress,  S</t>
    </r>
    <r>
      <rPr>
        <b/>
        <vertAlign val="subscript"/>
        <sz val="11"/>
        <color theme="1"/>
        <rFont val="Calibri"/>
        <family val="2"/>
        <scheme val="minor"/>
      </rPr>
      <t>L</t>
    </r>
    <r>
      <rPr>
        <b/>
        <sz val="11"/>
        <color theme="1"/>
        <rFont val="Calibri"/>
        <family val="2"/>
        <scheme val="minor"/>
      </rPr>
      <t xml:space="preserve"> =</t>
    </r>
  </si>
  <si>
    <r>
      <t>Shell Circumferential stress,  S</t>
    </r>
    <r>
      <rPr>
        <b/>
        <vertAlign val="subscript"/>
        <sz val="11"/>
        <color theme="1"/>
        <rFont val="Calibri"/>
        <family val="2"/>
        <scheme val="minor"/>
      </rPr>
      <t xml:space="preserve">C </t>
    </r>
    <r>
      <rPr>
        <b/>
        <sz val="11"/>
        <color theme="1"/>
        <rFont val="Calibri"/>
        <family val="2"/>
        <scheme val="minor"/>
      </rPr>
      <t>=</t>
    </r>
  </si>
  <si>
    <r>
      <t>Spherical head stress,  S</t>
    </r>
    <r>
      <rPr>
        <b/>
        <vertAlign val="subscript"/>
        <sz val="11"/>
        <color theme="1"/>
        <rFont val="Calibri"/>
        <family val="2"/>
        <scheme val="minor"/>
      </rPr>
      <t xml:space="preserve">H </t>
    </r>
    <r>
      <rPr>
        <b/>
        <sz val="11"/>
        <color theme="1"/>
        <rFont val="Calibri"/>
        <family val="2"/>
        <scheme val="minor"/>
      </rPr>
      <t>=</t>
    </r>
  </si>
  <si>
    <t>P*R /(2* t)</t>
  </si>
  <si>
    <t>Design shell thickness ,  ts =</t>
  </si>
  <si>
    <t>MATH TOOLS</t>
  </si>
  <si>
    <t>LINKS</t>
  </si>
  <si>
    <t>Actual Thin Wall Pressure Vessel Stress</t>
  </si>
  <si>
    <t>SPREAD SHEET METHODS</t>
  </si>
  <si>
    <t>Spherical head thickness ,  th =</t>
  </si>
  <si>
    <t>ASME Code</t>
  </si>
  <si>
    <t>For "Goal Seek" click the "Math Tools" tab below.</t>
  </si>
  <si>
    <t>(Design using maximum stress)       =</t>
  </si>
  <si>
    <t xml:space="preserve">P*R / (2*S*E + 0.6*P) </t>
  </si>
  <si>
    <t xml:space="preserve">P*R / (S*E - 0.4*P) </t>
  </si>
  <si>
    <t>Note: Use the maximum thickness.</t>
  </si>
  <si>
    <t>Thin Cylinder Maximum Internal Pressure Given Sheel Thickness</t>
  </si>
  <si>
    <t>Note: Use lowest pressure.</t>
  </si>
  <si>
    <t xml:space="preserve">                                             Boiler Drum with Tubesheet</t>
  </si>
  <si>
    <t>Part a. Maximum boiler DRUM internal pressure,  P =</t>
  </si>
  <si>
    <t>Part b. Maximum boiler TUBSHEET internal pressure,  P =</t>
  </si>
  <si>
    <t>Efficiency of welded joints,  E =</t>
  </si>
  <si>
    <t>http://www.scribd.com/doc/50412555/10/E-VALUES-OF-Y</t>
  </si>
  <si>
    <t>ASME: POWER PIPING</t>
  </si>
  <si>
    <t>ASME Boiler &amp; Fuel Cell Pressure Vessel Spreadsheets</t>
  </si>
  <si>
    <t>Ferritic steel less than 480° C [896°F],  y =</t>
  </si>
  <si>
    <t>Inside Radius of tubesheet,  Rt =</t>
  </si>
  <si>
    <t>Inside Radius of boiler cylinder,  Rb =</t>
  </si>
  <si>
    <t>Design  tubesheet thickness ,  ts =</t>
  </si>
  <si>
    <t>Design boiler shell thickness ,  tb =</t>
  </si>
  <si>
    <t xml:space="preserve">S*E* (tb - C) /  (( R + (1 - y)*(tb - C))                                                                           </t>
  </si>
  <si>
    <t>Rb + tb  - Rt</t>
  </si>
  <si>
    <t xml:space="preserve">S*E* (ts - C) /  (( Rt + (1 - y)*(ts - C))                                                                           </t>
  </si>
  <si>
    <t>Part b. Maximum boiler TUBESHEET internal pressure,  P =</t>
  </si>
  <si>
    <t>NOTE:</t>
  </si>
  <si>
    <t>Circumferential stress = 30% and Longitudinal stress = 56%; therefore, 0.56 &lt; 2 x 0.30)</t>
  </si>
  <si>
    <r>
      <rPr>
        <b/>
        <sz val="11"/>
        <color rgb="FF0070C0"/>
        <rFont val="Calibri"/>
        <family val="2"/>
        <scheme val="minor"/>
      </rPr>
      <t>From above:</t>
    </r>
    <r>
      <rPr>
        <b/>
        <sz val="11"/>
        <color rgb="FF000000"/>
        <rFont val="Calibri"/>
        <family val="2"/>
        <scheme val="minor"/>
      </rPr>
      <t xml:space="preserve">       Design boiler shell thickness ,  tb =</t>
    </r>
  </si>
  <si>
    <r>
      <rPr>
        <b/>
        <sz val="11"/>
        <color rgb="FF0070C0"/>
        <rFont val="Calibri"/>
        <family val="2"/>
        <scheme val="minor"/>
      </rPr>
      <t>From above</t>
    </r>
    <r>
      <rPr>
        <b/>
        <sz val="11"/>
        <color rgb="FF002060"/>
        <rFont val="Calibri"/>
        <family val="2"/>
        <scheme val="minor"/>
      </rPr>
      <t>:</t>
    </r>
    <r>
      <rPr>
        <b/>
        <sz val="11"/>
        <color rgb="FF0070C0"/>
        <rFont val="Calibri"/>
        <family val="2"/>
        <scheme val="minor"/>
      </rPr>
      <t xml:space="preserve"> </t>
    </r>
    <r>
      <rPr>
        <b/>
        <sz val="11"/>
        <color theme="1"/>
        <rFont val="Calibri"/>
        <family val="2"/>
        <scheme val="minor"/>
      </rPr>
      <t xml:space="preserve"> Inside Radius of boiler cylinder,  Rb =</t>
    </r>
  </si>
  <si>
    <t>Thin Boiler Drum Cylinder under Internal Pressure.</t>
  </si>
  <si>
    <t>Thin Hemispherical Head Internal Pressure Given Thickness</t>
  </si>
  <si>
    <t>Thin Hemispherical Head Thickness Given Internal Pressure.</t>
  </si>
  <si>
    <t>Depth of head for 2:1 ellipsoidal,  H =</t>
  </si>
  <si>
    <r>
      <rPr>
        <b/>
        <sz val="14"/>
        <color theme="1"/>
        <rFont val="Calibri"/>
        <family val="2"/>
        <scheme val="minor"/>
      </rPr>
      <t>PROBLEM</t>
    </r>
    <r>
      <rPr>
        <b/>
        <sz val="12"/>
        <color theme="1"/>
        <rFont val="Calibri"/>
        <family val="2"/>
        <scheme val="minor"/>
      </rPr>
      <t xml:space="preserve"> - Determine: Shell, Nozzle Thickness, and Reinforcing Ring Thickness</t>
    </r>
  </si>
  <si>
    <t>NOZZLE</t>
  </si>
  <si>
    <t xml:space="preserve">Nozzle Material: </t>
  </si>
  <si>
    <t>NOZZLES</t>
  </si>
  <si>
    <r>
      <rPr>
        <b/>
        <sz val="14"/>
        <color theme="1"/>
        <rFont val="Calibri"/>
        <family val="2"/>
        <scheme val="minor"/>
      </rPr>
      <t>EXAMPLE</t>
    </r>
    <r>
      <rPr>
        <b/>
        <sz val="12"/>
        <color theme="1"/>
        <rFont val="Calibri"/>
        <family val="2"/>
        <scheme val="minor"/>
      </rPr>
      <t xml:space="preserve"> - Determine: Shell, Nozzle Thickness, and Reinforcing Ring Thickness</t>
    </r>
  </si>
  <si>
    <t>Nozzle standard pipe size =</t>
  </si>
  <si>
    <t>NOZZLE SUMMARY</t>
  </si>
  <si>
    <t>Area available in the nozzle,  An =</t>
  </si>
  <si>
    <t>Pipe-nozzle inside radius,  Rn =</t>
  </si>
  <si>
    <t>Pipe-nozzle minimum thickness,  tn =</t>
  </si>
  <si>
    <t>Nozzle allowable stress at design temp.,  Sn =</t>
  </si>
  <si>
    <t>See Below:  Nozzle standard pipe wall thickness,  tn =</t>
  </si>
  <si>
    <t>Maximum allowable stress temperature, S =</t>
  </si>
  <si>
    <t>EXAMPLE - Cylindrical Components Given Internal Pressure.</t>
  </si>
  <si>
    <t>PROBLEM - Cylindrical Components Given Internal Pressure.</t>
  </si>
  <si>
    <t>Step-1    Pick the cell C64 containing the formula.</t>
  </si>
  <si>
    <t>Step-3  Type "0.250" in the To value slot.</t>
  </si>
  <si>
    <t>Step-4  Pick cell C56 containing the variable P = 580 psi.</t>
  </si>
  <si>
    <t>Result:   P = 1,831 if t = 0.250 in.</t>
  </si>
  <si>
    <t>Nozzle standard pipe wall thickness,  tn =</t>
  </si>
  <si>
    <t>Area available in the nozzle,  An1 =</t>
  </si>
  <si>
    <t>or Area available in the nozzle,  An2 =</t>
  </si>
  <si>
    <t>If Nozzle area An is greater than required ring area Ar no ring is required.</t>
  </si>
  <si>
    <t>Nozzle thickness,  Tn =</t>
  </si>
  <si>
    <t>Fuel cells are electric batteries continuously charged by hydrogen.</t>
  </si>
  <si>
    <t>The only emission is water.</t>
  </si>
  <si>
    <t>© Copy Write John Andrew P.E. 6 July 2011</t>
  </si>
  <si>
    <t>ASME</t>
  </si>
  <si>
    <t>Excel's GOAL SEEK - Use "Problem" below the Example.</t>
  </si>
  <si>
    <t>http://www.scribd.com/doc/58358457/ASME-Pressure-Vessels-Basic-Calculations</t>
  </si>
  <si>
    <t>Metric and US Units</t>
  </si>
  <si>
    <t>M393 ASME Boiler &amp; Fuel Cell Pressure Vessel Spreadsheets</t>
  </si>
  <si>
    <t>Revised 12 December 2015</t>
  </si>
</sst>
</file>

<file path=xl/styles.xml><?xml version="1.0" encoding="utf-8"?>
<styleSheet xmlns="http://schemas.openxmlformats.org/spreadsheetml/2006/main">
  <numFmts count="3">
    <numFmt numFmtId="164" formatCode="0.0"/>
    <numFmt numFmtId="165" formatCode="0.000"/>
    <numFmt numFmtId="166" formatCode="0.0000"/>
  </numFmts>
  <fonts count="27">
    <font>
      <sz val="11"/>
      <color theme="1"/>
      <name val="Calibri"/>
      <family val="2"/>
      <scheme val="minor"/>
    </font>
    <font>
      <b/>
      <sz val="12"/>
      <color indexed="12"/>
      <name val="Arial"/>
      <family val="2"/>
    </font>
    <font>
      <b/>
      <sz val="10"/>
      <name val="Arial"/>
      <family val="2"/>
    </font>
    <font>
      <b/>
      <sz val="10"/>
      <color theme="1"/>
      <name val="Arial"/>
      <family val="2"/>
    </font>
    <font>
      <b/>
      <u/>
      <sz val="11"/>
      <color rgb="FF000000"/>
      <name val="Calibri"/>
      <family val="2"/>
    </font>
    <font>
      <b/>
      <sz val="12"/>
      <name val="Arial"/>
      <family val="2"/>
    </font>
    <font>
      <b/>
      <vertAlign val="superscript"/>
      <sz val="10"/>
      <name val="Arial"/>
      <family val="2"/>
    </font>
    <font>
      <b/>
      <sz val="11"/>
      <color theme="1"/>
      <name val="Calibri"/>
      <family val="2"/>
      <scheme val="minor"/>
    </font>
    <font>
      <b/>
      <sz val="11"/>
      <color rgb="FFFF0000"/>
      <name val="Calibri"/>
      <family val="2"/>
      <scheme val="minor"/>
    </font>
    <font>
      <b/>
      <sz val="14"/>
      <color theme="1"/>
      <name val="Calibri"/>
      <family val="2"/>
      <scheme val="minor"/>
    </font>
    <font>
      <b/>
      <sz val="11"/>
      <color rgb="FF000000"/>
      <name val="Calibri"/>
      <family val="2"/>
      <scheme val="minor"/>
    </font>
    <font>
      <u/>
      <sz val="11"/>
      <color theme="10"/>
      <name val="Calibri"/>
      <family val="2"/>
    </font>
    <font>
      <sz val="12"/>
      <color theme="1"/>
      <name val="Calibri"/>
      <family val="2"/>
      <scheme val="minor"/>
    </font>
    <font>
      <u/>
      <sz val="12"/>
      <color theme="10"/>
      <name val="Calibri"/>
      <family val="2"/>
    </font>
    <font>
      <b/>
      <sz val="12"/>
      <color rgb="FF000000"/>
      <name val="Calibri"/>
      <family val="2"/>
      <scheme val="minor"/>
    </font>
    <font>
      <b/>
      <sz val="12"/>
      <color theme="1"/>
      <name val="Calibri"/>
      <family val="2"/>
      <scheme val="minor"/>
    </font>
    <font>
      <b/>
      <vertAlign val="subscript"/>
      <sz val="11"/>
      <color theme="1"/>
      <name val="Calibri"/>
      <family val="2"/>
      <scheme val="minor"/>
    </font>
    <font>
      <b/>
      <sz val="14"/>
      <color rgb="FF000000"/>
      <name val="Calibri"/>
      <family val="2"/>
      <scheme val="minor"/>
    </font>
    <font>
      <b/>
      <sz val="14"/>
      <color indexed="12"/>
      <name val="Calibri"/>
      <family val="2"/>
      <scheme val="minor"/>
    </font>
    <font>
      <b/>
      <sz val="10"/>
      <color indexed="12"/>
      <name val="Arial"/>
      <family val="2"/>
    </font>
    <font>
      <b/>
      <sz val="14"/>
      <color indexed="12"/>
      <name val="Arial"/>
      <family val="2"/>
    </font>
    <font>
      <b/>
      <sz val="14"/>
      <color rgb="FF0070C0"/>
      <name val="Calibri"/>
      <family val="2"/>
      <scheme val="minor"/>
    </font>
    <font>
      <b/>
      <u/>
      <sz val="12"/>
      <color theme="10"/>
      <name val="Calibri"/>
      <family val="2"/>
    </font>
    <font>
      <b/>
      <sz val="14"/>
      <name val="Calibri"/>
      <family val="2"/>
      <scheme val="minor"/>
    </font>
    <font>
      <b/>
      <u/>
      <sz val="11"/>
      <color theme="10"/>
      <name val="Calibri"/>
      <family val="2"/>
    </font>
    <font>
      <b/>
      <sz val="11"/>
      <color rgb="FF0070C0"/>
      <name val="Calibri"/>
      <family val="2"/>
      <scheme val="minor"/>
    </font>
    <font>
      <b/>
      <sz val="11"/>
      <color rgb="FF00206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rgb="FFFFFF00"/>
        <bgColor indexed="64"/>
      </patternFill>
    </fill>
  </fills>
  <borders count="14">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s>
  <cellStyleXfs count="2">
    <xf numFmtId="0" fontId="0" fillId="0" borderId="0"/>
    <xf numFmtId="0" fontId="11" fillId="0" borderId="0" applyNumberFormat="0" applyFill="0" applyBorder="0" applyAlignment="0" applyProtection="0">
      <alignment vertical="top"/>
      <protection locked="0"/>
    </xf>
  </cellStyleXfs>
  <cellXfs count="188">
    <xf numFmtId="0" fontId="0" fillId="0" borderId="0" xfId="0"/>
    <xf numFmtId="0" fontId="1" fillId="0" borderId="0" xfId="0" applyFont="1"/>
    <xf numFmtId="0" fontId="2" fillId="0" borderId="0" xfId="0" applyFont="1"/>
    <xf numFmtId="0" fontId="2" fillId="0" borderId="0" xfId="0" applyFont="1" applyAlignment="1" applyProtection="1">
      <alignment horizontal="left"/>
    </xf>
    <xf numFmtId="0" fontId="0" fillId="0" borderId="0" xfId="0" applyProtection="1"/>
    <xf numFmtId="0" fontId="0" fillId="0" borderId="0" xfId="0" applyAlignment="1">
      <alignment horizontal="left"/>
    </xf>
    <xf numFmtId="0" fontId="0" fillId="0" borderId="0" xfId="0" applyAlignment="1">
      <alignment horizontal="right"/>
    </xf>
    <xf numFmtId="0" fontId="8" fillId="0" borderId="0" xfId="0" applyFont="1" applyAlignment="1">
      <alignment horizontal="center"/>
    </xf>
    <xf numFmtId="0" fontId="9" fillId="0" borderId="0" xfId="0" applyFont="1" applyAlignment="1">
      <alignment horizontal="left"/>
    </xf>
    <xf numFmtId="0" fontId="10" fillId="0" borderId="0" xfId="0" applyFont="1"/>
    <xf numFmtId="0" fontId="10" fillId="0" borderId="0" xfId="0" applyFont="1" applyAlignment="1">
      <alignment horizontal="right"/>
    </xf>
    <xf numFmtId="0" fontId="7" fillId="0" borderId="0" xfId="0" applyFont="1"/>
    <xf numFmtId="0" fontId="7" fillId="0" borderId="0" xfId="0" applyFont="1" applyAlignment="1">
      <alignment horizontal="right"/>
    </xf>
    <xf numFmtId="0" fontId="0" fillId="0" borderId="0" xfId="0" applyAlignment="1">
      <alignment horizontal="center"/>
    </xf>
    <xf numFmtId="165" fontId="10" fillId="0" borderId="0" xfId="0" applyNumberFormat="1" applyFont="1" applyAlignment="1">
      <alignment horizontal="left"/>
    </xf>
    <xf numFmtId="0" fontId="7" fillId="0" borderId="2" xfId="0" applyFont="1" applyBorder="1" applyAlignment="1">
      <alignment horizontal="left"/>
    </xf>
    <xf numFmtId="0" fontId="7" fillId="0" borderId="3" xfId="0" applyFont="1" applyBorder="1" applyAlignment="1">
      <alignment horizontal="left"/>
    </xf>
    <xf numFmtId="3" fontId="7" fillId="0" borderId="3" xfId="0" applyNumberFormat="1" applyFont="1" applyBorder="1" applyAlignment="1">
      <alignment horizontal="left"/>
    </xf>
    <xf numFmtId="0" fontId="7" fillId="0" borderId="0" xfId="0" applyFont="1" applyAlignment="1">
      <alignment horizontal="center"/>
    </xf>
    <xf numFmtId="164" fontId="7" fillId="0" borderId="0" xfId="0" applyNumberFormat="1" applyFont="1" applyAlignment="1">
      <alignment horizontal="center"/>
    </xf>
    <xf numFmtId="1" fontId="7" fillId="0" borderId="0" xfId="0" applyNumberFormat="1" applyFont="1" applyAlignment="1">
      <alignment horizontal="center"/>
    </xf>
    <xf numFmtId="0" fontId="11" fillId="0" borderId="0" xfId="1" applyAlignment="1" applyProtection="1"/>
    <xf numFmtId="0" fontId="3" fillId="0" borderId="0" xfId="0" applyFont="1" applyAlignment="1" applyProtection="1">
      <alignment horizontal="left"/>
    </xf>
    <xf numFmtId="0" fontId="4" fillId="0" borderId="0" xfId="0" applyFont="1" applyAlignment="1" applyProtection="1">
      <alignment horizontal="left"/>
    </xf>
    <xf numFmtId="165" fontId="7" fillId="0" borderId="1" xfId="0" applyNumberFormat="1" applyFont="1" applyBorder="1" applyAlignment="1">
      <alignment horizontal="left"/>
    </xf>
    <xf numFmtId="165" fontId="7" fillId="0" borderId="2" xfId="0" applyNumberFormat="1" applyFont="1" applyBorder="1" applyAlignment="1">
      <alignment horizontal="left"/>
    </xf>
    <xf numFmtId="2" fontId="10" fillId="0" borderId="0" xfId="0" applyNumberFormat="1" applyFont="1" applyAlignment="1">
      <alignment horizontal="left"/>
    </xf>
    <xf numFmtId="0" fontId="12" fillId="0" borderId="0" xfId="0" applyFont="1"/>
    <xf numFmtId="0" fontId="13" fillId="0" borderId="0" xfId="1" applyFont="1" applyAlignment="1" applyProtection="1"/>
    <xf numFmtId="1" fontId="7" fillId="0" borderId="1" xfId="0" applyNumberFormat="1" applyFont="1" applyBorder="1" applyAlignment="1">
      <alignment horizontal="center"/>
    </xf>
    <xf numFmtId="165" fontId="7" fillId="0" borderId="4" xfId="0" applyNumberFormat="1" applyFont="1" applyBorder="1" applyAlignment="1">
      <alignment horizontal="center"/>
    </xf>
    <xf numFmtId="0" fontId="14" fillId="0" borderId="0" xfId="0" applyFont="1"/>
    <xf numFmtId="0" fontId="7" fillId="0" borderId="0" xfId="0" applyFont="1" applyBorder="1" applyAlignment="1">
      <alignment horizontal="right"/>
    </xf>
    <xf numFmtId="0" fontId="0" fillId="0" borderId="0" xfId="0" applyBorder="1" applyAlignment="1">
      <alignment horizontal="left"/>
    </xf>
    <xf numFmtId="2" fontId="7" fillId="0" borderId="4" xfId="0" applyNumberFormat="1" applyFont="1" applyBorder="1" applyAlignment="1">
      <alignment horizontal="center"/>
    </xf>
    <xf numFmtId="3" fontId="7" fillId="0" borderId="1" xfId="0" applyNumberFormat="1" applyFont="1" applyBorder="1" applyAlignment="1">
      <alignment horizontal="center"/>
    </xf>
    <xf numFmtId="0" fontId="9" fillId="0" borderId="0" xfId="0" applyFont="1"/>
    <xf numFmtId="0" fontId="7" fillId="0" borderId="0" xfId="0" applyFont="1" applyAlignment="1">
      <alignment horizontal="left"/>
    </xf>
    <xf numFmtId="165" fontId="10" fillId="0" borderId="4" xfId="0" applyNumberFormat="1" applyFont="1" applyBorder="1" applyAlignment="1">
      <alignment horizontal="left"/>
    </xf>
    <xf numFmtId="1" fontId="7" fillId="0" borderId="1" xfId="0" applyNumberFormat="1" applyFont="1" applyBorder="1" applyAlignment="1">
      <alignment horizontal="left"/>
    </xf>
    <xf numFmtId="2" fontId="7" fillId="0" borderId="2" xfId="0" applyNumberFormat="1" applyFont="1" applyBorder="1" applyAlignment="1">
      <alignment horizontal="left"/>
    </xf>
    <xf numFmtId="0" fontId="15" fillId="0" borderId="0" xfId="0" applyFont="1" applyAlignment="1">
      <alignment horizontal="left"/>
    </xf>
    <xf numFmtId="164" fontId="7" fillId="0" borderId="0" xfId="0" applyNumberFormat="1" applyFont="1" applyBorder="1" applyAlignment="1">
      <alignment horizontal="left"/>
    </xf>
    <xf numFmtId="0" fontId="7" fillId="0" borderId="0" xfId="0" applyFont="1" applyBorder="1" applyAlignment="1">
      <alignment horizontal="left"/>
    </xf>
    <xf numFmtId="165" fontId="7" fillId="0" borderId="0" xfId="0" applyNumberFormat="1" applyFont="1" applyBorder="1" applyAlignment="1">
      <alignment horizontal="left"/>
    </xf>
    <xf numFmtId="3" fontId="10" fillId="0" borderId="0" xfId="0" applyNumberFormat="1" applyFont="1" applyAlignment="1">
      <alignment horizontal="left"/>
    </xf>
    <xf numFmtId="165" fontId="7" fillId="0" borderId="3" xfId="0" applyNumberFormat="1" applyFont="1" applyBorder="1" applyAlignment="1">
      <alignment horizontal="left"/>
    </xf>
    <xf numFmtId="0" fontId="9" fillId="0" borderId="0" xfId="0" applyFont="1" applyBorder="1" applyAlignment="1">
      <alignment horizontal="left"/>
    </xf>
    <xf numFmtId="0" fontId="8" fillId="0" borderId="0" xfId="0" applyFont="1" applyBorder="1" applyAlignment="1">
      <alignment horizontal="center"/>
    </xf>
    <xf numFmtId="0" fontId="0" fillId="0" borderId="0" xfId="0" applyBorder="1"/>
    <xf numFmtId="0" fontId="10" fillId="0" borderId="0" xfId="0" applyFont="1" applyBorder="1" applyAlignment="1">
      <alignment horizontal="right"/>
    </xf>
    <xf numFmtId="0" fontId="7" fillId="0" borderId="0" xfId="0" applyFont="1" applyBorder="1"/>
    <xf numFmtId="0" fontId="0" fillId="0" borderId="0" xfId="0" applyBorder="1" applyAlignment="1">
      <alignment horizontal="right"/>
    </xf>
    <xf numFmtId="0" fontId="7" fillId="0" borderId="0" xfId="0" applyFont="1" applyFill="1" applyBorder="1" applyAlignment="1">
      <alignment horizontal="right"/>
    </xf>
    <xf numFmtId="0" fontId="10" fillId="0" borderId="0" xfId="0" applyFont="1" applyBorder="1"/>
    <xf numFmtId="2" fontId="10" fillId="0" borderId="0" xfId="0" applyNumberFormat="1" applyFont="1" applyBorder="1" applyAlignment="1">
      <alignment horizontal="left"/>
    </xf>
    <xf numFmtId="0" fontId="0" fillId="2" borderId="0" xfId="0" applyFill="1" applyAlignment="1">
      <alignment horizontal="right"/>
    </xf>
    <xf numFmtId="0" fontId="0" fillId="2" borderId="0" xfId="0" applyFill="1" applyAlignment="1">
      <alignment horizontal="left"/>
    </xf>
    <xf numFmtId="0" fontId="0" fillId="2" borderId="0" xfId="0" applyFill="1"/>
    <xf numFmtId="2" fontId="7" fillId="0" borderId="0" xfId="0" applyNumberFormat="1" applyFont="1" applyAlignment="1">
      <alignment horizontal="left"/>
    </xf>
    <xf numFmtId="1" fontId="7" fillId="0" borderId="0" xfId="0" applyNumberFormat="1" applyFont="1" applyAlignment="1">
      <alignment horizontal="left"/>
    </xf>
    <xf numFmtId="0" fontId="7" fillId="0" borderId="1" xfId="0" applyFont="1" applyBorder="1" applyAlignment="1">
      <alignment horizontal="left"/>
    </xf>
    <xf numFmtId="0" fontId="14" fillId="0" borderId="0" xfId="0" applyFont="1" applyBorder="1"/>
    <xf numFmtId="0" fontId="15" fillId="0" borderId="0" xfId="0" applyFont="1" applyAlignment="1">
      <alignment horizontal="right"/>
    </xf>
    <xf numFmtId="0" fontId="7" fillId="0" borderId="0" xfId="0" applyFont="1" applyFill="1" applyBorder="1" applyAlignment="1">
      <alignment horizontal="left"/>
    </xf>
    <xf numFmtId="3" fontId="7" fillId="0" borderId="2" xfId="0" applyNumberFormat="1" applyFont="1" applyBorder="1" applyAlignment="1">
      <alignment horizontal="left"/>
    </xf>
    <xf numFmtId="0" fontId="17" fillId="0" borderId="0" xfId="0" applyFont="1"/>
    <xf numFmtId="165" fontId="7" fillId="0" borderId="1" xfId="0" applyNumberFormat="1" applyFont="1" applyBorder="1" applyAlignment="1">
      <alignment horizontal="center"/>
    </xf>
    <xf numFmtId="3" fontId="7" fillId="0" borderId="1" xfId="0" applyNumberFormat="1" applyFont="1" applyBorder="1" applyAlignment="1">
      <alignment horizontal="left"/>
    </xf>
    <xf numFmtId="0" fontId="7" fillId="0" borderId="0" xfId="0" applyFont="1" applyFill="1" applyBorder="1"/>
    <xf numFmtId="0" fontId="18" fillId="0" borderId="0" xfId="0" applyFont="1" applyAlignment="1">
      <alignment horizontal="left"/>
    </xf>
    <xf numFmtId="0" fontId="19" fillId="0" borderId="5" xfId="0" applyFont="1" applyBorder="1" applyAlignment="1">
      <alignment horizontal="left"/>
    </xf>
    <xf numFmtId="0" fontId="0" fillId="0" borderId="6" xfId="0" applyBorder="1"/>
    <xf numFmtId="0" fontId="0" fillId="0" borderId="7" xfId="0" applyBorder="1" applyAlignment="1">
      <alignment horizontal="right"/>
    </xf>
    <xf numFmtId="0" fontId="0" fillId="0" borderId="7" xfId="0" applyBorder="1" applyAlignment="1">
      <alignment horizontal="center"/>
    </xf>
    <xf numFmtId="0" fontId="0" fillId="0" borderId="0" xfId="0" applyBorder="1" applyAlignment="1">
      <alignment horizontal="center"/>
    </xf>
    <xf numFmtId="0" fontId="0" fillId="0" borderId="6" xfId="0" applyBorder="1" applyAlignment="1">
      <alignment horizontal="right"/>
    </xf>
    <xf numFmtId="3" fontId="7" fillId="0" borderId="0" xfId="0" applyNumberFormat="1" applyFont="1" applyAlignment="1">
      <alignment horizontal="left"/>
    </xf>
    <xf numFmtId="0" fontId="9" fillId="0" borderId="0" xfId="0" applyFont="1" applyAlignment="1">
      <alignment horizontal="center"/>
    </xf>
    <xf numFmtId="0" fontId="2" fillId="0" borderId="9" xfId="0" applyFont="1" applyBorder="1" applyAlignment="1" applyProtection="1">
      <alignment horizontal="left"/>
    </xf>
    <xf numFmtId="16" fontId="2" fillId="0" borderId="11" xfId="0" quotePrefix="1" applyNumberFormat="1" applyFont="1" applyBorder="1" applyAlignment="1" applyProtection="1">
      <alignment horizontal="left"/>
    </xf>
    <xf numFmtId="0" fontId="2" fillId="0" borderId="11" xfId="0" applyFont="1" applyBorder="1" applyAlignment="1" applyProtection="1">
      <alignment horizontal="left"/>
    </xf>
    <xf numFmtId="0" fontId="2" fillId="0" borderId="13" xfId="0" applyFont="1" applyBorder="1" applyAlignment="1" applyProtection="1">
      <alignment horizontal="left"/>
    </xf>
    <xf numFmtId="0" fontId="2" fillId="0" borderId="8" xfId="0" applyFont="1" applyFill="1" applyBorder="1" applyAlignment="1" applyProtection="1">
      <alignment horizontal="right"/>
    </xf>
    <xf numFmtId="0" fontId="2" fillId="0" borderId="10" xfId="0" applyFont="1" applyFill="1" applyBorder="1" applyAlignment="1" applyProtection="1">
      <alignment horizontal="right"/>
    </xf>
    <xf numFmtId="0" fontId="2" fillId="0" borderId="12" xfId="0" quotePrefix="1" applyFont="1" applyBorder="1" applyAlignment="1" applyProtection="1">
      <alignment horizontal="right"/>
    </xf>
    <xf numFmtId="0" fontId="2" fillId="0" borderId="12" xfId="0" quotePrefix="1" applyFont="1" applyFill="1" applyBorder="1" applyAlignment="1" applyProtection="1">
      <alignment horizontal="right"/>
    </xf>
    <xf numFmtId="0" fontId="2" fillId="0" borderId="8" xfId="0" applyFont="1" applyFill="1" applyBorder="1" applyAlignment="1" applyProtection="1">
      <alignment horizontal="right" vertical="center"/>
    </xf>
    <xf numFmtId="0" fontId="20" fillId="0" borderId="0" xfId="0" applyFont="1" applyAlignment="1">
      <alignment horizontal="left"/>
    </xf>
    <xf numFmtId="0" fontId="17" fillId="0" borderId="0" xfId="0" applyFont="1" applyBorder="1"/>
    <xf numFmtId="165" fontId="7" fillId="0" borderId="0" xfId="0" applyNumberFormat="1" applyFont="1" applyAlignment="1">
      <alignment horizontal="left"/>
    </xf>
    <xf numFmtId="0" fontId="7" fillId="0" borderId="0" xfId="0" applyFont="1" applyBorder="1" applyAlignment="1">
      <alignment horizontal="center"/>
    </xf>
    <xf numFmtId="2" fontId="7" fillId="0" borderId="0" xfId="0" applyNumberFormat="1" applyFont="1" applyBorder="1" applyAlignment="1">
      <alignment horizontal="center"/>
    </xf>
    <xf numFmtId="0" fontId="14" fillId="0" borderId="0" xfId="0" applyFont="1" applyAlignment="1">
      <alignment horizontal="right"/>
    </xf>
    <xf numFmtId="166" fontId="7" fillId="0" borderId="0" xfId="0" applyNumberFormat="1" applyFont="1" applyAlignment="1">
      <alignment horizontal="left"/>
    </xf>
    <xf numFmtId="0" fontId="14" fillId="0" borderId="0" xfId="0" applyFont="1" applyAlignment="1">
      <alignment horizontal="left"/>
    </xf>
    <xf numFmtId="0" fontId="0" fillId="0" borderId="6" xfId="0" applyBorder="1" applyAlignment="1">
      <alignment horizontal="center"/>
    </xf>
    <xf numFmtId="0" fontId="11" fillId="0" borderId="0" xfId="1" applyAlignment="1" applyProtection="1">
      <alignment horizontal="right"/>
    </xf>
    <xf numFmtId="165" fontId="7" fillId="0" borderId="0" xfId="0" applyNumberFormat="1" applyFont="1" applyAlignment="1">
      <alignment horizontal="center"/>
    </xf>
    <xf numFmtId="0" fontId="21" fillId="0" borderId="0" xfId="0" applyFont="1" applyAlignment="1">
      <alignment horizontal="left"/>
    </xf>
    <xf numFmtId="0" fontId="15" fillId="0" borderId="0" xfId="0" applyFont="1"/>
    <xf numFmtId="0" fontId="22" fillId="0" borderId="0" xfId="1" applyFont="1" applyAlignment="1" applyProtection="1"/>
    <xf numFmtId="0" fontId="2" fillId="0" borderId="9" xfId="0" applyFont="1" applyFill="1" applyBorder="1" applyAlignment="1" applyProtection="1">
      <alignment horizontal="left"/>
    </xf>
    <xf numFmtId="0" fontId="2" fillId="0" borderId="10" xfId="0" applyFont="1" applyFill="1" applyBorder="1" applyAlignment="1" applyProtection="1">
      <alignment horizontal="right" vertical="center"/>
    </xf>
    <xf numFmtId="0" fontId="2" fillId="0" borderId="11" xfId="0" applyFont="1" applyFill="1" applyBorder="1" applyProtection="1"/>
    <xf numFmtId="0" fontId="15" fillId="0" borderId="0" xfId="0" applyFont="1" applyFill="1" applyBorder="1" applyAlignment="1">
      <alignment horizontal="left"/>
    </xf>
    <xf numFmtId="0" fontId="19" fillId="0" borderId="4" xfId="0" applyFont="1" applyBorder="1" applyAlignment="1">
      <alignment horizontal="left"/>
    </xf>
    <xf numFmtId="0" fontId="0" fillId="0" borderId="2" xfId="0" applyBorder="1"/>
    <xf numFmtId="0" fontId="7" fillId="0" borderId="2" xfId="0" applyFont="1" applyBorder="1"/>
    <xf numFmtId="0" fontId="7" fillId="0" borderId="4" xfId="0" applyFont="1" applyBorder="1" applyAlignment="1">
      <alignment horizontal="left"/>
    </xf>
    <xf numFmtId="0" fontId="11" fillId="0" borderId="0" xfId="1" applyAlignment="1" applyProtection="1">
      <alignment horizontal="left"/>
    </xf>
    <xf numFmtId="0" fontId="23" fillId="0" borderId="0" xfId="0" applyFont="1" applyAlignment="1">
      <alignment horizontal="left"/>
    </xf>
    <xf numFmtId="0" fontId="5" fillId="0" borderId="0" xfId="0" applyFont="1" applyAlignment="1" applyProtection="1">
      <alignment horizontal="left"/>
    </xf>
    <xf numFmtId="1" fontId="7" fillId="0" borderId="0" xfId="0" applyNumberFormat="1" applyFont="1" applyBorder="1" applyAlignment="1">
      <alignment horizontal="left"/>
    </xf>
    <xf numFmtId="3" fontId="7" fillId="0" borderId="0" xfId="0" applyNumberFormat="1" applyFont="1" applyBorder="1" applyAlignment="1">
      <alignment horizontal="left"/>
    </xf>
    <xf numFmtId="0" fontId="0" fillId="0" borderId="0" xfId="0" applyFill="1" applyAlignment="1">
      <alignment horizontal="right"/>
    </xf>
    <xf numFmtId="0" fontId="0" fillId="0" borderId="0" xfId="0" applyFill="1" applyAlignment="1">
      <alignment horizontal="left"/>
    </xf>
    <xf numFmtId="0" fontId="0" fillId="0" borderId="0" xfId="0" applyFill="1"/>
    <xf numFmtId="0" fontId="24" fillId="0" borderId="0" xfId="1" applyFont="1" applyAlignment="1" applyProtection="1"/>
    <xf numFmtId="2" fontId="7" fillId="0" borderId="0" xfId="0" applyNumberFormat="1" applyFont="1" applyBorder="1" applyAlignment="1">
      <alignment horizontal="left"/>
    </xf>
    <xf numFmtId="165" fontId="10" fillId="0" borderId="0" xfId="0" applyNumberFormat="1" applyFont="1" applyBorder="1" applyAlignment="1">
      <alignment horizontal="left"/>
    </xf>
    <xf numFmtId="3" fontId="7" fillId="0" borderId="1" xfId="0" applyNumberFormat="1" applyFont="1" applyBorder="1" applyAlignment="1" applyProtection="1">
      <alignment horizontal="left"/>
      <protection locked="0"/>
    </xf>
    <xf numFmtId="165" fontId="7" fillId="0" borderId="2" xfId="0" applyNumberFormat="1" applyFont="1" applyBorder="1" applyAlignment="1" applyProtection="1">
      <alignment horizontal="left"/>
      <protection locked="0"/>
    </xf>
    <xf numFmtId="2" fontId="7" fillId="0" borderId="2" xfId="0" applyNumberFormat="1" applyFont="1" applyBorder="1" applyAlignment="1" applyProtection="1">
      <alignment horizontal="left"/>
      <protection locked="0"/>
    </xf>
    <xf numFmtId="3" fontId="7" fillId="0" borderId="3" xfId="0" applyNumberFormat="1" applyFont="1" applyBorder="1" applyAlignment="1" applyProtection="1">
      <alignment horizontal="left"/>
      <protection locked="0"/>
    </xf>
    <xf numFmtId="165" fontId="10" fillId="3" borderId="4" xfId="0" applyNumberFormat="1" applyFont="1" applyFill="1" applyBorder="1" applyAlignment="1" applyProtection="1">
      <alignment horizontal="left"/>
      <protection locked="0"/>
    </xf>
    <xf numFmtId="0" fontId="0" fillId="0" borderId="0" xfId="0" applyProtection="1">
      <protection locked="0"/>
    </xf>
    <xf numFmtId="0" fontId="0" fillId="0" borderId="0" xfId="0" applyAlignment="1" applyProtection="1">
      <alignment horizontal="left"/>
      <protection locked="0"/>
    </xf>
    <xf numFmtId="0" fontId="0" fillId="0" borderId="0" xfId="0" applyAlignment="1" applyProtection="1">
      <alignment horizontal="center"/>
      <protection locked="0"/>
    </xf>
    <xf numFmtId="0" fontId="11" fillId="0" borderId="0" xfId="1" applyAlignment="1" applyProtection="1">
      <protection locked="0"/>
    </xf>
    <xf numFmtId="0" fontId="0" fillId="0" borderId="0" xfId="0" applyAlignment="1" applyProtection="1">
      <alignment horizontal="right"/>
      <protection locked="0"/>
    </xf>
    <xf numFmtId="0" fontId="11" fillId="0" borderId="0" xfId="1" applyAlignment="1" applyProtection="1">
      <alignment horizontal="left"/>
      <protection locked="0"/>
    </xf>
    <xf numFmtId="0" fontId="7" fillId="0" borderId="1" xfId="0" applyFont="1" applyBorder="1" applyAlignment="1" applyProtection="1">
      <alignment horizontal="left"/>
      <protection locked="0"/>
    </xf>
    <xf numFmtId="0" fontId="7" fillId="0" borderId="2" xfId="0" applyFont="1" applyBorder="1" applyAlignment="1" applyProtection="1">
      <alignment horizontal="left"/>
      <protection locked="0"/>
    </xf>
    <xf numFmtId="165" fontId="7" fillId="0" borderId="3" xfId="0" applyNumberFormat="1" applyFont="1" applyBorder="1" applyAlignment="1" applyProtection="1">
      <alignment horizontal="left"/>
      <protection locked="0"/>
    </xf>
    <xf numFmtId="2" fontId="7" fillId="0" borderId="1" xfId="0" applyNumberFormat="1" applyFont="1" applyBorder="1" applyAlignment="1" applyProtection="1">
      <alignment horizontal="left"/>
      <protection locked="0"/>
    </xf>
    <xf numFmtId="164" fontId="7" fillId="0" borderId="2" xfId="0" applyNumberFormat="1" applyFont="1" applyBorder="1" applyAlignment="1" applyProtection="1">
      <alignment horizontal="left"/>
      <protection locked="0"/>
    </xf>
    <xf numFmtId="0" fontId="7" fillId="0" borderId="3" xfId="0" applyFont="1" applyBorder="1" applyAlignment="1" applyProtection="1">
      <alignment horizontal="left"/>
      <protection locked="0"/>
    </xf>
    <xf numFmtId="164" fontId="7" fillId="0" borderId="4" xfId="0" applyNumberFormat="1" applyFont="1" applyBorder="1" applyAlignment="1" applyProtection="1">
      <alignment horizontal="center"/>
      <protection locked="0"/>
    </xf>
    <xf numFmtId="2" fontId="7" fillId="0" borderId="1" xfId="0" applyNumberFormat="1" applyFont="1" applyBorder="1" applyAlignment="1" applyProtection="1">
      <alignment horizontal="center"/>
      <protection locked="0"/>
    </xf>
    <xf numFmtId="2" fontId="7" fillId="0" borderId="4" xfId="0" applyNumberFormat="1" applyFont="1" applyBorder="1" applyAlignment="1" applyProtection="1">
      <alignment horizontal="center"/>
      <protection locked="0"/>
    </xf>
    <xf numFmtId="165" fontId="7" fillId="0" borderId="1" xfId="0" applyNumberFormat="1" applyFont="1" applyBorder="1" applyAlignment="1" applyProtection="1">
      <alignment horizontal="left"/>
      <protection locked="0"/>
    </xf>
    <xf numFmtId="3" fontId="7" fillId="0" borderId="2" xfId="0" applyNumberFormat="1" applyFont="1" applyBorder="1" applyAlignment="1" applyProtection="1">
      <alignment horizontal="left"/>
      <protection locked="0"/>
    </xf>
    <xf numFmtId="165" fontId="7" fillId="0" borderId="4" xfId="0" applyNumberFormat="1" applyFont="1" applyBorder="1" applyAlignment="1" applyProtection="1">
      <alignment horizontal="center"/>
      <protection locked="0"/>
    </xf>
    <xf numFmtId="164" fontId="7" fillId="0" borderId="3" xfId="0" applyNumberFormat="1" applyFont="1" applyBorder="1" applyAlignment="1" applyProtection="1">
      <alignment horizontal="left"/>
      <protection locked="0"/>
    </xf>
    <xf numFmtId="165" fontId="7" fillId="0" borderId="1" xfId="0" applyNumberFormat="1" applyFont="1" applyBorder="1" applyAlignment="1" applyProtection="1">
      <alignment horizontal="center"/>
      <protection locked="0"/>
    </xf>
    <xf numFmtId="165" fontId="7" fillId="0" borderId="4" xfId="0" applyNumberFormat="1" applyFont="1" applyBorder="1" applyAlignment="1" applyProtection="1">
      <alignment horizontal="left"/>
      <protection locked="0"/>
    </xf>
    <xf numFmtId="1" fontId="7" fillId="0" borderId="1" xfId="0" applyNumberFormat="1" applyFont="1" applyBorder="1" applyAlignment="1" applyProtection="1">
      <alignment horizontal="left"/>
      <protection locked="0"/>
    </xf>
    <xf numFmtId="0" fontId="0" fillId="0" borderId="0" xfId="0" applyBorder="1" applyProtection="1">
      <protection locked="0"/>
    </xf>
    <xf numFmtId="0" fontId="2" fillId="0" borderId="0" xfId="0" applyFont="1" applyFill="1" applyBorder="1" applyAlignment="1" applyProtection="1">
      <alignment horizontal="right"/>
      <protection locked="0"/>
    </xf>
    <xf numFmtId="0" fontId="2" fillId="0" borderId="0" xfId="0" applyFont="1" applyBorder="1" applyAlignment="1" applyProtection="1">
      <alignment horizontal="left"/>
      <protection locked="0"/>
    </xf>
    <xf numFmtId="16" fontId="2" fillId="0" borderId="0" xfId="0" quotePrefix="1" applyNumberFormat="1" applyFont="1" applyBorder="1" applyAlignment="1" applyProtection="1">
      <alignment horizontal="left"/>
      <protection locked="0"/>
    </xf>
    <xf numFmtId="0" fontId="2" fillId="0" borderId="0" xfId="0" quotePrefix="1" applyFont="1" applyBorder="1" applyAlignment="1" applyProtection="1">
      <alignment horizontal="right"/>
      <protection locked="0"/>
    </xf>
    <xf numFmtId="0" fontId="2" fillId="0" borderId="0" xfId="0" applyFont="1" applyFill="1" applyBorder="1" applyAlignment="1" applyProtection="1">
      <alignment horizontal="right" vertical="center"/>
      <protection locked="0"/>
    </xf>
    <xf numFmtId="0" fontId="2" fillId="0" borderId="0" xfId="0" applyFont="1" applyFill="1" applyBorder="1" applyAlignment="1" applyProtection="1">
      <alignment horizontal="left"/>
      <protection locked="0"/>
    </xf>
    <xf numFmtId="0" fontId="0" fillId="0" borderId="0" xfId="0" applyBorder="1" applyAlignment="1" applyProtection="1">
      <alignment horizontal="right"/>
      <protection locked="0"/>
    </xf>
    <xf numFmtId="0" fontId="2" fillId="0" borderId="0" xfId="0" applyFont="1" applyBorder="1" applyAlignment="1" applyProtection="1">
      <alignment horizontal="right"/>
      <protection locked="0"/>
    </xf>
    <xf numFmtId="0" fontId="2" fillId="0" borderId="0" xfId="0" applyFont="1" applyFill="1" applyBorder="1" applyProtection="1">
      <protection locked="0"/>
    </xf>
    <xf numFmtId="0" fontId="0" fillId="0" borderId="0" xfId="0" quotePrefix="1" applyBorder="1" applyAlignment="1" applyProtection="1">
      <alignment horizontal="right"/>
      <protection locked="0"/>
    </xf>
    <xf numFmtId="0" fontId="2" fillId="0" borderId="0" xfId="0" quotePrefix="1" applyFont="1" applyFill="1" applyBorder="1" applyAlignment="1" applyProtection="1">
      <alignment horizontal="right"/>
      <protection locked="0"/>
    </xf>
    <xf numFmtId="0" fontId="0" fillId="0" borderId="0" xfId="0" applyBorder="1" applyAlignment="1" applyProtection="1">
      <alignment horizontal="center"/>
      <protection locked="0"/>
    </xf>
    <xf numFmtId="0" fontId="10" fillId="0" borderId="0" xfId="0" applyFont="1" applyProtection="1">
      <protection locked="0"/>
    </xf>
    <xf numFmtId="0" fontId="9" fillId="0" borderId="0" xfId="0" applyFont="1" applyBorder="1" applyAlignment="1" applyProtection="1">
      <alignment horizontal="left"/>
      <protection locked="0"/>
    </xf>
    <xf numFmtId="0" fontId="7" fillId="0" borderId="0" xfId="0" applyFont="1" applyBorder="1" applyAlignment="1" applyProtection="1">
      <alignment horizontal="center"/>
      <protection locked="0"/>
    </xf>
    <xf numFmtId="0" fontId="10" fillId="0" borderId="0" xfId="0" applyFont="1" applyBorder="1" applyAlignment="1" applyProtection="1">
      <alignment horizontal="left"/>
      <protection locked="0"/>
    </xf>
    <xf numFmtId="0" fontId="8" fillId="0" borderId="0" xfId="0" applyFont="1" applyBorder="1" applyAlignment="1" applyProtection="1">
      <alignment horizontal="center"/>
      <protection locked="0"/>
    </xf>
    <xf numFmtId="0" fontId="10" fillId="0" borderId="0" xfId="0" applyFont="1" applyBorder="1" applyAlignment="1" applyProtection="1">
      <alignment horizontal="right"/>
      <protection locked="0"/>
    </xf>
    <xf numFmtId="0" fontId="7" fillId="0" borderId="0" xfId="0" applyFont="1" applyBorder="1" applyAlignment="1" applyProtection="1">
      <alignment horizontal="left"/>
      <protection locked="0"/>
    </xf>
    <xf numFmtId="0" fontId="7" fillId="0" borderId="0" xfId="0" applyFont="1" applyBorder="1" applyProtection="1">
      <protection locked="0"/>
    </xf>
    <xf numFmtId="0" fontId="7" fillId="0" borderId="0" xfId="0" applyFont="1" applyBorder="1" applyAlignment="1" applyProtection="1">
      <alignment horizontal="right"/>
      <protection locked="0"/>
    </xf>
    <xf numFmtId="165" fontId="7" fillId="0" borderId="0" xfId="0" applyNumberFormat="1" applyFont="1" applyBorder="1" applyAlignment="1" applyProtection="1">
      <alignment horizontal="left"/>
      <protection locked="0"/>
    </xf>
    <xf numFmtId="1" fontId="7" fillId="0" borderId="0" xfId="0" applyNumberFormat="1" applyFont="1" applyBorder="1" applyAlignment="1" applyProtection="1">
      <alignment horizontal="left"/>
      <protection locked="0"/>
    </xf>
    <xf numFmtId="3" fontId="7" fillId="0" borderId="0" xfId="0" applyNumberFormat="1" applyFont="1" applyBorder="1" applyAlignment="1" applyProtection="1">
      <alignment horizontal="left"/>
      <protection locked="0"/>
    </xf>
    <xf numFmtId="2" fontId="7" fillId="0" borderId="0" xfId="0" applyNumberFormat="1" applyFont="1" applyBorder="1" applyAlignment="1" applyProtection="1">
      <alignment horizontal="left"/>
      <protection locked="0"/>
    </xf>
    <xf numFmtId="0" fontId="0" fillId="0" borderId="2" xfId="0" applyBorder="1" applyProtection="1">
      <protection locked="0"/>
    </xf>
    <xf numFmtId="0" fontId="7" fillId="0" borderId="2" xfId="0" applyFont="1" applyBorder="1" applyProtection="1">
      <protection locked="0"/>
    </xf>
    <xf numFmtId="0" fontId="7" fillId="0" borderId="4" xfId="0" applyFont="1" applyBorder="1" applyAlignment="1" applyProtection="1">
      <alignment horizontal="left"/>
      <protection locked="0"/>
    </xf>
    <xf numFmtId="0" fontId="2" fillId="0" borderId="8" xfId="0" applyFont="1" applyBorder="1" applyAlignment="1" applyProtection="1">
      <alignment horizontal="right"/>
    </xf>
    <xf numFmtId="0" fontId="2" fillId="0" borderId="10" xfId="0" applyFont="1" applyBorder="1" applyAlignment="1" applyProtection="1">
      <alignment horizontal="right"/>
    </xf>
    <xf numFmtId="0" fontId="0" fillId="0" borderId="12" xfId="0" quotePrefix="1" applyBorder="1" applyAlignment="1" applyProtection="1">
      <alignment horizontal="right"/>
    </xf>
    <xf numFmtId="0" fontId="20" fillId="0" borderId="0" xfId="0" applyFont="1"/>
    <xf numFmtId="0" fontId="0" fillId="0" borderId="0" xfId="0" applyAlignment="1"/>
    <xf numFmtId="0" fontId="7" fillId="0" borderId="0" xfId="0" applyFont="1" applyBorder="1" applyAlignment="1"/>
    <xf numFmtId="164" fontId="7" fillId="0" borderId="0" xfId="0" applyNumberFormat="1" applyFont="1" applyBorder="1" applyAlignment="1"/>
    <xf numFmtId="0" fontId="0" fillId="0" borderId="0" xfId="0" applyBorder="1" applyAlignment="1"/>
    <xf numFmtId="0" fontId="11" fillId="0" borderId="0" xfId="1" applyBorder="1" applyAlignment="1" applyProtection="1"/>
    <xf numFmtId="3" fontId="7" fillId="0" borderId="1" xfId="0" applyNumberFormat="1" applyFont="1" applyBorder="1" applyAlignment="1" applyProtection="1">
      <alignment horizontal="center"/>
    </xf>
    <xf numFmtId="165" fontId="7" fillId="0" borderId="4" xfId="0" applyNumberFormat="1" applyFont="1" applyBorder="1" applyAlignment="1" applyProtection="1">
      <alignment horizontal="center"/>
    </xf>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12" Type="http://schemas.openxmlformats.org/officeDocument/2006/relationships/image" Target="../media/image12.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5" Type="http://schemas.openxmlformats.org/officeDocument/2006/relationships/image" Target="../media/image5.jpeg"/><Relationship Id="rId10" Type="http://schemas.openxmlformats.org/officeDocument/2006/relationships/image" Target="../media/image10.jpeg"/><Relationship Id="rId4" Type="http://schemas.openxmlformats.org/officeDocument/2006/relationships/image" Target="../media/image4.jpeg"/><Relationship Id="rId9" Type="http://schemas.openxmlformats.org/officeDocument/2006/relationships/image" Target="../media/image9.jpeg"/></Relationships>
</file>

<file path=xl/drawings/_rels/drawing2.xml.rels><?xml version="1.0" encoding="UTF-8" standalone="yes"?>
<Relationships xmlns="http://schemas.openxmlformats.org/package/2006/relationships"><Relationship Id="rId8" Type="http://schemas.openxmlformats.org/officeDocument/2006/relationships/image" Target="../media/image20.jpeg"/><Relationship Id="rId13" Type="http://schemas.openxmlformats.org/officeDocument/2006/relationships/image" Target="../media/image25.jpeg"/><Relationship Id="rId3" Type="http://schemas.openxmlformats.org/officeDocument/2006/relationships/image" Target="../media/image15.jpeg"/><Relationship Id="rId7" Type="http://schemas.openxmlformats.org/officeDocument/2006/relationships/image" Target="../media/image19.jpeg"/><Relationship Id="rId12" Type="http://schemas.openxmlformats.org/officeDocument/2006/relationships/image" Target="../media/image24.jpeg"/><Relationship Id="rId2" Type="http://schemas.openxmlformats.org/officeDocument/2006/relationships/image" Target="../media/image14.jpeg"/><Relationship Id="rId1" Type="http://schemas.openxmlformats.org/officeDocument/2006/relationships/image" Target="../media/image13.jpeg"/><Relationship Id="rId6" Type="http://schemas.openxmlformats.org/officeDocument/2006/relationships/image" Target="../media/image18.jpeg"/><Relationship Id="rId11" Type="http://schemas.openxmlformats.org/officeDocument/2006/relationships/image" Target="../media/image23.jpeg"/><Relationship Id="rId5" Type="http://schemas.openxmlformats.org/officeDocument/2006/relationships/image" Target="../media/image17.jpeg"/><Relationship Id="rId10" Type="http://schemas.openxmlformats.org/officeDocument/2006/relationships/image" Target="../media/image22.jpeg"/><Relationship Id="rId4" Type="http://schemas.openxmlformats.org/officeDocument/2006/relationships/image" Target="../media/image16.jpeg"/><Relationship Id="rId9" Type="http://schemas.openxmlformats.org/officeDocument/2006/relationships/image" Target="../media/image21.jpeg"/><Relationship Id="rId14" Type="http://schemas.openxmlformats.org/officeDocument/2006/relationships/image" Target="../media/image26.jpeg"/></Relationships>
</file>

<file path=xl/drawings/_rels/drawing3.xml.rels><?xml version="1.0" encoding="UTF-8" standalone="yes"?>
<Relationships xmlns="http://schemas.openxmlformats.org/package/2006/relationships"><Relationship Id="rId3" Type="http://schemas.openxmlformats.org/officeDocument/2006/relationships/image" Target="../media/image29.jpeg"/><Relationship Id="rId2" Type="http://schemas.openxmlformats.org/officeDocument/2006/relationships/image" Target="../media/image28.jpeg"/><Relationship Id="rId1" Type="http://schemas.openxmlformats.org/officeDocument/2006/relationships/image" Target="../media/image27.jpeg"/><Relationship Id="rId4" Type="http://schemas.openxmlformats.org/officeDocument/2006/relationships/image" Target="../media/image22.jpeg"/></Relationships>
</file>

<file path=xl/drawings/_rels/drawing4.xml.rels><?xml version="1.0" encoding="UTF-8" standalone="yes"?>
<Relationships xmlns="http://schemas.openxmlformats.org/package/2006/relationships"><Relationship Id="rId2" Type="http://schemas.openxmlformats.org/officeDocument/2006/relationships/image" Target="../media/image31.jpeg"/><Relationship Id="rId1" Type="http://schemas.openxmlformats.org/officeDocument/2006/relationships/image" Target="../media/image30.jpeg"/></Relationships>
</file>

<file path=xl/drawings/_rels/drawing5.xml.rels><?xml version="1.0" encoding="UTF-8" standalone="yes"?>
<Relationships xmlns="http://schemas.openxmlformats.org/package/2006/relationships"><Relationship Id="rId3" Type="http://schemas.openxmlformats.org/officeDocument/2006/relationships/image" Target="../media/image34.jpeg"/><Relationship Id="rId2" Type="http://schemas.openxmlformats.org/officeDocument/2006/relationships/image" Target="../media/image33.emf"/><Relationship Id="rId1" Type="http://schemas.openxmlformats.org/officeDocument/2006/relationships/image" Target="../media/image32.emf"/><Relationship Id="rId4" Type="http://schemas.openxmlformats.org/officeDocument/2006/relationships/image" Target="../media/image35.jpeg"/></Relationships>
</file>

<file path=xl/drawings/drawing1.xml><?xml version="1.0" encoding="utf-8"?>
<xdr:wsDr xmlns:xdr="http://schemas.openxmlformats.org/drawingml/2006/spreadsheetDrawing" xmlns:a="http://schemas.openxmlformats.org/drawingml/2006/main">
  <xdr:twoCellAnchor editAs="oneCell">
    <xdr:from>
      <xdr:col>1</xdr:col>
      <xdr:colOff>228600</xdr:colOff>
      <xdr:row>60</xdr:row>
      <xdr:rowOff>165100</xdr:rowOff>
    </xdr:from>
    <xdr:to>
      <xdr:col>5</xdr:col>
      <xdr:colOff>295275</xdr:colOff>
      <xdr:row>77</xdr:row>
      <xdr:rowOff>127000</xdr:rowOff>
    </xdr:to>
    <xdr:pic>
      <xdr:nvPicPr>
        <xdr:cNvPr id="2" name="Picture 1" descr="BOILER-1.jpg"/>
        <xdr:cNvPicPr>
          <a:picLocks noChangeAspect="1"/>
        </xdr:cNvPicPr>
      </xdr:nvPicPr>
      <xdr:blipFill>
        <a:blip xmlns:r="http://schemas.openxmlformats.org/officeDocument/2006/relationships" r:embed="rId1" cstate="print"/>
        <a:stretch>
          <a:fillRect/>
        </a:stretch>
      </xdr:blipFill>
      <xdr:spPr>
        <a:xfrm>
          <a:off x="457200" y="14401800"/>
          <a:ext cx="4752975" cy="3200400"/>
        </a:xfrm>
        <a:prstGeom prst="rect">
          <a:avLst/>
        </a:prstGeom>
      </xdr:spPr>
    </xdr:pic>
    <xdr:clientData/>
  </xdr:twoCellAnchor>
  <xdr:twoCellAnchor editAs="oneCell">
    <xdr:from>
      <xdr:col>1</xdr:col>
      <xdr:colOff>771525</xdr:colOff>
      <xdr:row>106</xdr:row>
      <xdr:rowOff>142875</xdr:rowOff>
    </xdr:from>
    <xdr:to>
      <xdr:col>4</xdr:col>
      <xdr:colOff>514350</xdr:colOff>
      <xdr:row>129</xdr:row>
      <xdr:rowOff>123825</xdr:rowOff>
    </xdr:to>
    <xdr:pic>
      <xdr:nvPicPr>
        <xdr:cNvPr id="5" name="Picture 4" descr="BOILER-4.jpg"/>
        <xdr:cNvPicPr>
          <a:picLocks noChangeAspect="1"/>
        </xdr:cNvPicPr>
      </xdr:nvPicPr>
      <xdr:blipFill>
        <a:blip xmlns:r="http://schemas.openxmlformats.org/officeDocument/2006/relationships" r:embed="rId2" cstate="print"/>
        <a:stretch>
          <a:fillRect/>
        </a:stretch>
      </xdr:blipFill>
      <xdr:spPr>
        <a:xfrm>
          <a:off x="1000125" y="9953625"/>
          <a:ext cx="3819525" cy="4362450"/>
        </a:xfrm>
        <a:prstGeom prst="rect">
          <a:avLst/>
        </a:prstGeom>
      </xdr:spPr>
    </xdr:pic>
    <xdr:clientData/>
  </xdr:twoCellAnchor>
  <xdr:twoCellAnchor editAs="oneCell">
    <xdr:from>
      <xdr:col>1</xdr:col>
      <xdr:colOff>0</xdr:colOff>
      <xdr:row>133</xdr:row>
      <xdr:rowOff>57150</xdr:rowOff>
    </xdr:from>
    <xdr:to>
      <xdr:col>6</xdr:col>
      <xdr:colOff>152400</xdr:colOff>
      <xdr:row>156</xdr:row>
      <xdr:rowOff>180975</xdr:rowOff>
    </xdr:to>
    <xdr:pic>
      <xdr:nvPicPr>
        <xdr:cNvPr id="6" name="Picture 5" descr="BOILER-0.jpg"/>
        <xdr:cNvPicPr>
          <a:picLocks noChangeAspect="1"/>
        </xdr:cNvPicPr>
      </xdr:nvPicPr>
      <xdr:blipFill>
        <a:blip xmlns:r="http://schemas.openxmlformats.org/officeDocument/2006/relationships" r:embed="rId3" cstate="print"/>
        <a:stretch>
          <a:fillRect/>
        </a:stretch>
      </xdr:blipFill>
      <xdr:spPr>
        <a:xfrm>
          <a:off x="228600" y="31823025"/>
          <a:ext cx="5448300" cy="4505325"/>
        </a:xfrm>
        <a:prstGeom prst="rect">
          <a:avLst/>
        </a:prstGeom>
      </xdr:spPr>
    </xdr:pic>
    <xdr:clientData/>
  </xdr:twoCellAnchor>
  <xdr:twoCellAnchor editAs="oneCell">
    <xdr:from>
      <xdr:col>0</xdr:col>
      <xdr:colOff>76200</xdr:colOff>
      <xdr:row>6</xdr:row>
      <xdr:rowOff>76200</xdr:rowOff>
    </xdr:from>
    <xdr:to>
      <xdr:col>6</xdr:col>
      <xdr:colOff>581025</xdr:colOff>
      <xdr:row>26</xdr:row>
      <xdr:rowOff>28575</xdr:rowOff>
    </xdr:to>
    <xdr:pic>
      <xdr:nvPicPr>
        <xdr:cNvPr id="7" name="Picture 6" descr="BOILER-00.jpg"/>
        <xdr:cNvPicPr>
          <a:picLocks noChangeAspect="1"/>
        </xdr:cNvPicPr>
      </xdr:nvPicPr>
      <xdr:blipFill>
        <a:blip xmlns:r="http://schemas.openxmlformats.org/officeDocument/2006/relationships" r:embed="rId4" cstate="print"/>
        <a:stretch>
          <a:fillRect/>
        </a:stretch>
      </xdr:blipFill>
      <xdr:spPr>
        <a:xfrm>
          <a:off x="76200" y="1295400"/>
          <a:ext cx="6029325" cy="3762375"/>
        </a:xfrm>
        <a:prstGeom prst="rect">
          <a:avLst/>
        </a:prstGeom>
      </xdr:spPr>
    </xdr:pic>
    <xdr:clientData/>
  </xdr:twoCellAnchor>
  <xdr:twoCellAnchor editAs="oneCell">
    <xdr:from>
      <xdr:col>1</xdr:col>
      <xdr:colOff>419100</xdr:colOff>
      <xdr:row>81</xdr:row>
      <xdr:rowOff>177800</xdr:rowOff>
    </xdr:from>
    <xdr:to>
      <xdr:col>6</xdr:col>
      <xdr:colOff>76200</xdr:colOff>
      <xdr:row>102</xdr:row>
      <xdr:rowOff>69850</xdr:rowOff>
    </xdr:to>
    <xdr:pic>
      <xdr:nvPicPr>
        <xdr:cNvPr id="10" name="Picture 9" descr="BOILER-16 INTERNAL.jpg"/>
        <xdr:cNvPicPr>
          <a:picLocks noChangeAspect="1"/>
        </xdr:cNvPicPr>
      </xdr:nvPicPr>
      <xdr:blipFill>
        <a:blip xmlns:r="http://schemas.openxmlformats.org/officeDocument/2006/relationships" r:embed="rId5" cstate="print"/>
        <a:stretch>
          <a:fillRect/>
        </a:stretch>
      </xdr:blipFill>
      <xdr:spPr>
        <a:xfrm>
          <a:off x="647700" y="9232900"/>
          <a:ext cx="4953000" cy="3905250"/>
        </a:xfrm>
        <a:prstGeom prst="rect">
          <a:avLst/>
        </a:prstGeom>
      </xdr:spPr>
    </xdr:pic>
    <xdr:clientData/>
  </xdr:twoCellAnchor>
  <xdr:twoCellAnchor>
    <xdr:from>
      <xdr:col>1</xdr:col>
      <xdr:colOff>254000</xdr:colOff>
      <xdr:row>48</xdr:row>
      <xdr:rowOff>152400</xdr:rowOff>
    </xdr:from>
    <xdr:to>
      <xdr:col>5</xdr:col>
      <xdr:colOff>444500</xdr:colOff>
      <xdr:row>57</xdr:row>
      <xdr:rowOff>161925</xdr:rowOff>
    </xdr:to>
    <xdr:sp macro="" textlink="">
      <xdr:nvSpPr>
        <xdr:cNvPr id="8" name="TextBox 7"/>
        <xdr:cNvSpPr txBox="1"/>
      </xdr:nvSpPr>
      <xdr:spPr>
        <a:xfrm>
          <a:off x="482600" y="9436100"/>
          <a:ext cx="4876800" cy="1724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latin typeface="+mn-lt"/>
              <a:ea typeface="+mn-ea"/>
              <a:cs typeface="+mn-cs"/>
            </a:rPr>
            <a:t>DISCLAIMER: The materials contained in the online course are not intended as a representation or warranty on the part of PDH Center or any other person/organization named herein. The materials are for general information only. They are not a substitute for competent professional advice. Application of this information to a specific project should be reviewed by a registered professional engineer. Anyone making use of the information set forth herein does so at their own risk and assumes any and all resulting liability arising therefrom.</a:t>
          </a:r>
        </a:p>
        <a:p>
          <a:endParaRPr lang="en-US" sz="1100"/>
        </a:p>
      </xdr:txBody>
    </xdr:sp>
    <xdr:clientData/>
  </xdr:twoCellAnchor>
  <xdr:twoCellAnchor editAs="oneCell">
    <xdr:from>
      <xdr:col>0</xdr:col>
      <xdr:colOff>139700</xdr:colOff>
      <xdr:row>160</xdr:row>
      <xdr:rowOff>53976</xdr:rowOff>
    </xdr:from>
    <xdr:to>
      <xdr:col>6</xdr:col>
      <xdr:colOff>451533</xdr:colOff>
      <xdr:row>179</xdr:row>
      <xdr:rowOff>180976</xdr:rowOff>
    </xdr:to>
    <xdr:pic>
      <xdr:nvPicPr>
        <xdr:cNvPr id="9" name="Picture 8" descr="FUEL CELL CAR-1.jpg"/>
        <xdr:cNvPicPr>
          <a:picLocks noChangeAspect="1"/>
        </xdr:cNvPicPr>
      </xdr:nvPicPr>
      <xdr:blipFill>
        <a:blip xmlns:r="http://schemas.openxmlformats.org/officeDocument/2006/relationships" r:embed="rId6" cstate="print"/>
        <a:stretch>
          <a:fillRect/>
        </a:stretch>
      </xdr:blipFill>
      <xdr:spPr>
        <a:xfrm>
          <a:off x="6273800" y="39131876"/>
          <a:ext cx="5836333" cy="3746500"/>
        </a:xfrm>
        <a:prstGeom prst="rect">
          <a:avLst/>
        </a:prstGeom>
      </xdr:spPr>
    </xdr:pic>
    <xdr:clientData/>
  </xdr:twoCellAnchor>
  <xdr:twoCellAnchor editAs="oneCell">
    <xdr:from>
      <xdr:col>1</xdr:col>
      <xdr:colOff>282575</xdr:colOff>
      <xdr:row>182</xdr:row>
      <xdr:rowOff>165100</xdr:rowOff>
    </xdr:from>
    <xdr:to>
      <xdr:col>4</xdr:col>
      <xdr:colOff>111125</xdr:colOff>
      <xdr:row>202</xdr:row>
      <xdr:rowOff>3175</xdr:rowOff>
    </xdr:to>
    <xdr:pic>
      <xdr:nvPicPr>
        <xdr:cNvPr id="12" name="Picture 11" descr="FUEL CELL CAR-3.jpg"/>
        <xdr:cNvPicPr>
          <a:picLocks noChangeAspect="1"/>
        </xdr:cNvPicPr>
      </xdr:nvPicPr>
      <xdr:blipFill>
        <a:blip xmlns:r="http://schemas.openxmlformats.org/officeDocument/2006/relationships" r:embed="rId7" cstate="print"/>
        <a:stretch>
          <a:fillRect/>
        </a:stretch>
      </xdr:blipFill>
      <xdr:spPr>
        <a:xfrm>
          <a:off x="6810375" y="43472100"/>
          <a:ext cx="3905250" cy="3648075"/>
        </a:xfrm>
        <a:prstGeom prst="rect">
          <a:avLst/>
        </a:prstGeom>
      </xdr:spPr>
    </xdr:pic>
    <xdr:clientData/>
  </xdr:twoCellAnchor>
  <xdr:twoCellAnchor>
    <xdr:from>
      <xdr:col>1</xdr:col>
      <xdr:colOff>238125</xdr:colOff>
      <xdr:row>27</xdr:row>
      <xdr:rowOff>47625</xdr:rowOff>
    </xdr:from>
    <xdr:to>
      <xdr:col>5</xdr:col>
      <xdr:colOff>447675</xdr:colOff>
      <xdr:row>47</xdr:row>
      <xdr:rowOff>161924</xdr:rowOff>
    </xdr:to>
    <xdr:sp macro="" textlink="">
      <xdr:nvSpPr>
        <xdr:cNvPr id="11" name="TextBox 10"/>
        <xdr:cNvSpPr txBox="1"/>
      </xdr:nvSpPr>
      <xdr:spPr>
        <a:xfrm>
          <a:off x="466725" y="5314950"/>
          <a:ext cx="4895850" cy="39242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baseline="0">
              <a:solidFill>
                <a:schemeClr val="dk1"/>
              </a:solidFill>
              <a:latin typeface="+mn-lt"/>
              <a:ea typeface="+mn-ea"/>
              <a:cs typeface="+mn-cs"/>
            </a:rPr>
            <a:t>PRESSURE VESSELS                                                                                                             </a:t>
          </a:r>
          <a:r>
            <a:rPr lang="en-US" sz="1100" b="1" baseline="0">
              <a:solidFill>
                <a:schemeClr val="dk1"/>
              </a:solidFill>
              <a:latin typeface="+mn-lt"/>
              <a:ea typeface="+mn-ea"/>
              <a:cs typeface="+mn-cs"/>
            </a:rPr>
            <a:t>Pressure vessels used in industry are leak-tight pressure containers, usually cylindrical or spherical in shape, with different head configurations.                     They are usually made from carbon or stainless steel and assembled by welding. Early operation of pressure vessels and boilers resulted in numerous explosions, causing loss of life and considerable property damage.</a:t>
          </a:r>
          <a:endParaRPr lang="en-US"/>
        </a:p>
        <a:p>
          <a:r>
            <a:rPr lang="en-US" sz="1100" b="1" baseline="0">
              <a:solidFill>
                <a:schemeClr val="dk1"/>
              </a:solidFill>
              <a:latin typeface="+mn-lt"/>
              <a:ea typeface="+mn-ea"/>
              <a:cs typeface="+mn-cs"/>
            </a:rPr>
            <a:t>Some 80 years ago, the American Society of Mechanical Engineers formed a committee for the purpose of establishing minimum safety rules of construction for boilers. In 1925 the committee issued a set of rules for the design and construction of unfired pressure vessels.                                                                      The ASME committee rules  is the "Boiler and Pressure Vessel Committee" BPVC Rules.</a:t>
          </a:r>
          <a:endParaRPr lang="en-US"/>
        </a:p>
        <a:p>
          <a:r>
            <a:rPr lang="en-US" sz="1100" b="1" baseline="0">
              <a:solidFill>
                <a:schemeClr val="dk1"/>
              </a:solidFill>
              <a:latin typeface="+mn-lt"/>
              <a:ea typeface="+mn-ea"/>
              <a:cs typeface="+mn-cs"/>
            </a:rPr>
            <a:t>Most states have laws mandating that these Code rules be met. Enforcement of these rules is accomplished via a third party employed by the state or the insurance company.                                                                                                               These Codes are living documents in that they are constantly being revised and updated by committees composed of individuals knowledgeable on the subject. Keeping current requires that the revised Codes be published every three years with addenda's issued every year.                                                                                           This chapter covers a very generalized approach to pressure vessel design based on the ASME Boiler and Pressure Vessel Code, Section VIII, Division 1: Pressure Vessels.</a:t>
          </a:r>
          <a:endParaRPr lang="en-US" sz="1100" b="1">
            <a:solidFill>
              <a:schemeClr val="dk1"/>
            </a:solidFill>
            <a:latin typeface="+mn-lt"/>
            <a:ea typeface="+mn-ea"/>
            <a:cs typeface="+mn-cs"/>
          </a:endParaRPr>
        </a:p>
      </xdr:txBody>
    </xdr:sp>
    <xdr:clientData/>
  </xdr:twoCellAnchor>
  <xdr:twoCellAnchor editAs="oneCell">
    <xdr:from>
      <xdr:col>1</xdr:col>
      <xdr:colOff>0</xdr:colOff>
      <xdr:row>204</xdr:row>
      <xdr:rowOff>47625</xdr:rowOff>
    </xdr:from>
    <xdr:to>
      <xdr:col>3</xdr:col>
      <xdr:colOff>361950</xdr:colOff>
      <xdr:row>217</xdr:row>
      <xdr:rowOff>152400</xdr:rowOff>
    </xdr:to>
    <xdr:pic>
      <xdr:nvPicPr>
        <xdr:cNvPr id="14" name="Picture 13" descr="FUEL-CELL-GM-2.jpg"/>
        <xdr:cNvPicPr>
          <a:picLocks noChangeAspect="1"/>
        </xdr:cNvPicPr>
      </xdr:nvPicPr>
      <xdr:blipFill>
        <a:blip xmlns:r="http://schemas.openxmlformats.org/officeDocument/2006/relationships" r:embed="rId8" cstate="print"/>
        <a:stretch>
          <a:fillRect/>
        </a:stretch>
      </xdr:blipFill>
      <xdr:spPr>
        <a:xfrm>
          <a:off x="6743700" y="10315575"/>
          <a:ext cx="3829050" cy="2581275"/>
        </a:xfrm>
        <a:prstGeom prst="rect">
          <a:avLst/>
        </a:prstGeom>
      </xdr:spPr>
    </xdr:pic>
    <xdr:clientData/>
  </xdr:twoCellAnchor>
  <xdr:twoCellAnchor editAs="oneCell">
    <xdr:from>
      <xdr:col>1</xdr:col>
      <xdr:colOff>19050</xdr:colOff>
      <xdr:row>219</xdr:row>
      <xdr:rowOff>133350</xdr:rowOff>
    </xdr:from>
    <xdr:to>
      <xdr:col>3</xdr:col>
      <xdr:colOff>390525</xdr:colOff>
      <xdr:row>233</xdr:row>
      <xdr:rowOff>19050</xdr:rowOff>
    </xdr:to>
    <xdr:pic>
      <xdr:nvPicPr>
        <xdr:cNvPr id="15" name="Picture 14" descr="FUEL-CELL-GM-3.jpg"/>
        <xdr:cNvPicPr>
          <a:picLocks noChangeAspect="1"/>
        </xdr:cNvPicPr>
      </xdr:nvPicPr>
      <xdr:blipFill>
        <a:blip xmlns:r="http://schemas.openxmlformats.org/officeDocument/2006/relationships" r:embed="rId9" cstate="print"/>
        <a:stretch>
          <a:fillRect/>
        </a:stretch>
      </xdr:blipFill>
      <xdr:spPr>
        <a:xfrm>
          <a:off x="6762750" y="13068300"/>
          <a:ext cx="3838575" cy="2552700"/>
        </a:xfrm>
        <a:prstGeom prst="rect">
          <a:avLst/>
        </a:prstGeom>
      </xdr:spPr>
    </xdr:pic>
    <xdr:clientData/>
  </xdr:twoCellAnchor>
  <xdr:twoCellAnchor>
    <xdr:from>
      <xdr:col>1</xdr:col>
      <xdr:colOff>1</xdr:colOff>
      <xdr:row>233</xdr:row>
      <xdr:rowOff>133350</xdr:rowOff>
    </xdr:from>
    <xdr:to>
      <xdr:col>4</xdr:col>
      <xdr:colOff>323850</xdr:colOff>
      <xdr:row>246</xdr:row>
      <xdr:rowOff>19051</xdr:rowOff>
    </xdr:to>
    <xdr:sp macro="" textlink="">
      <xdr:nvSpPr>
        <xdr:cNvPr id="16" name="TextBox 15"/>
        <xdr:cNvSpPr txBox="1"/>
      </xdr:nvSpPr>
      <xdr:spPr>
        <a:xfrm>
          <a:off x="228601" y="44538900"/>
          <a:ext cx="4400549" cy="23622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solidFill>
                <a:schemeClr val="dk1"/>
              </a:solidFill>
              <a:latin typeface="+mn-lt"/>
              <a:ea typeface="+mn-ea"/>
              <a:cs typeface="+mn-cs"/>
            </a:rPr>
            <a:t>General Motors - Fuel Cell Car                                                                                                                        </a:t>
          </a:r>
          <a:r>
            <a:rPr lang="en-US" sz="1100" b="1">
              <a:solidFill>
                <a:schemeClr val="dk1"/>
              </a:solidFill>
              <a:latin typeface="+mn-lt"/>
              <a:ea typeface="+mn-ea"/>
              <a:cs typeface="+mn-cs"/>
            </a:rPr>
            <a:t>Larry Burns, GM's vice president of research and development and planning, said, "We are driving to have compelling and affordable fuel cell vehicles on the road by the end of the decade.                                              With HY-wire, we have taken the technology as it exists today and packaged it into an innovative drivable vehicle comparable in size and weight to today's luxury automobiles. </a:t>
          </a:r>
          <a:endParaRPr lang="en-US" sz="1100">
            <a:solidFill>
              <a:schemeClr val="dk1"/>
            </a:solidFill>
            <a:latin typeface="+mn-lt"/>
            <a:ea typeface="+mn-ea"/>
            <a:cs typeface="+mn-cs"/>
          </a:endParaRPr>
        </a:p>
        <a:p>
          <a:r>
            <a:rPr lang="en-US" sz="1100" b="1">
              <a:solidFill>
                <a:schemeClr val="dk1"/>
              </a:solidFill>
              <a:latin typeface="+mn-lt"/>
              <a:ea typeface="+mn-ea"/>
              <a:cs typeface="+mn-cs"/>
            </a:rPr>
            <a:t>"All of the touring sedan's propulsion and control systems are contained within an 11-inch-thick skateboard-like chassis, maximizing the interior space for five occupants and their cargo.                                         There is no engine to see over, no pedals to operate - merely a single unit called X-drive that is easily set to either a left or right driving position." </a:t>
          </a:r>
          <a:endParaRPr lang="en-US" sz="1100">
            <a:solidFill>
              <a:schemeClr val="dk1"/>
            </a:solidFill>
            <a:latin typeface="+mn-lt"/>
            <a:ea typeface="+mn-ea"/>
            <a:cs typeface="+mn-cs"/>
          </a:endParaRPr>
        </a:p>
        <a:p>
          <a:endParaRPr lang="en-US" sz="1100"/>
        </a:p>
      </xdr:txBody>
    </xdr:sp>
    <xdr:clientData/>
  </xdr:twoCellAnchor>
  <xdr:twoCellAnchor editAs="oneCell">
    <xdr:from>
      <xdr:col>0</xdr:col>
      <xdr:colOff>542925</xdr:colOff>
      <xdr:row>247</xdr:row>
      <xdr:rowOff>19050</xdr:rowOff>
    </xdr:from>
    <xdr:to>
      <xdr:col>4</xdr:col>
      <xdr:colOff>533400</xdr:colOff>
      <xdr:row>265</xdr:row>
      <xdr:rowOff>47625</xdr:rowOff>
    </xdr:to>
    <xdr:pic>
      <xdr:nvPicPr>
        <xdr:cNvPr id="17" name="Picture 16" descr="FUEL-CELL-HONDA.jpg"/>
        <xdr:cNvPicPr>
          <a:picLocks noChangeAspect="1"/>
        </xdr:cNvPicPr>
      </xdr:nvPicPr>
      <xdr:blipFill>
        <a:blip xmlns:r="http://schemas.openxmlformats.org/officeDocument/2006/relationships" r:embed="rId10" cstate="print"/>
        <a:stretch>
          <a:fillRect/>
        </a:stretch>
      </xdr:blipFill>
      <xdr:spPr>
        <a:xfrm>
          <a:off x="6677025" y="18354675"/>
          <a:ext cx="4610100" cy="3457575"/>
        </a:xfrm>
        <a:prstGeom prst="rect">
          <a:avLst/>
        </a:prstGeom>
      </xdr:spPr>
    </xdr:pic>
    <xdr:clientData/>
  </xdr:twoCellAnchor>
  <xdr:twoCellAnchor editAs="oneCell">
    <xdr:from>
      <xdr:col>1</xdr:col>
      <xdr:colOff>9525</xdr:colOff>
      <xdr:row>266</xdr:row>
      <xdr:rowOff>114775</xdr:rowOff>
    </xdr:from>
    <xdr:to>
      <xdr:col>3</xdr:col>
      <xdr:colOff>9525</xdr:colOff>
      <xdr:row>279</xdr:row>
      <xdr:rowOff>50799</xdr:rowOff>
    </xdr:to>
    <xdr:pic>
      <xdr:nvPicPr>
        <xdr:cNvPr id="18" name="Picture 17" descr="FUEL CELL IN HAND"/>
        <xdr:cNvPicPr>
          <a:picLocks noChangeAspect="1" noChangeArrowheads="1"/>
        </xdr:cNvPicPr>
      </xdr:nvPicPr>
      <xdr:blipFill>
        <a:blip xmlns:r="http://schemas.openxmlformats.org/officeDocument/2006/relationships" r:embed="rId11" cstate="print"/>
        <a:srcRect/>
        <a:stretch>
          <a:fillRect/>
        </a:stretch>
      </xdr:blipFill>
      <xdr:spPr bwMode="auto">
        <a:xfrm>
          <a:off x="6753225" y="22327075"/>
          <a:ext cx="3467100" cy="2412524"/>
        </a:xfrm>
        <a:prstGeom prst="rect">
          <a:avLst/>
        </a:prstGeom>
        <a:noFill/>
      </xdr:spPr>
    </xdr:pic>
    <xdr:clientData/>
  </xdr:twoCellAnchor>
  <xdr:twoCellAnchor editAs="oneCell">
    <xdr:from>
      <xdr:col>1</xdr:col>
      <xdr:colOff>9525</xdr:colOff>
      <xdr:row>281</xdr:row>
      <xdr:rowOff>19050</xdr:rowOff>
    </xdr:from>
    <xdr:to>
      <xdr:col>4</xdr:col>
      <xdr:colOff>127000</xdr:colOff>
      <xdr:row>311</xdr:row>
      <xdr:rowOff>125413</xdr:rowOff>
    </xdr:to>
    <xdr:pic>
      <xdr:nvPicPr>
        <xdr:cNvPr id="19" name="Picture 18" descr="FUEL CELL SCHEMATIC"/>
        <xdr:cNvPicPr>
          <a:picLocks noChangeAspect="1" noChangeArrowheads="1"/>
        </xdr:cNvPicPr>
      </xdr:nvPicPr>
      <xdr:blipFill>
        <a:blip xmlns:r="http://schemas.openxmlformats.org/officeDocument/2006/relationships" r:embed="rId12" cstate="print"/>
        <a:srcRect/>
        <a:stretch>
          <a:fillRect/>
        </a:stretch>
      </xdr:blipFill>
      <xdr:spPr bwMode="auto">
        <a:xfrm>
          <a:off x="6753225" y="25088850"/>
          <a:ext cx="4194175" cy="5821363"/>
        </a:xfrm>
        <a:prstGeom prst="rect">
          <a:avLst/>
        </a:prstGeom>
        <a:noFill/>
        <a:ln w="9525">
          <a:noFill/>
          <a:miter lim="800000"/>
          <a:headEnd/>
          <a:tailEnd/>
        </a:ln>
        <a:effectLst/>
      </xdr:spPr>
    </xdr:pic>
    <xdr:clientData/>
  </xdr:twoCellAnchor>
  <xdr:twoCellAnchor>
    <xdr:from>
      <xdr:col>1</xdr:col>
      <xdr:colOff>76200</xdr:colOff>
      <xdr:row>319</xdr:row>
      <xdr:rowOff>57150</xdr:rowOff>
    </xdr:from>
    <xdr:to>
      <xdr:col>5</xdr:col>
      <xdr:colOff>66675</xdr:colOff>
      <xdr:row>329</xdr:row>
      <xdr:rowOff>57150</xdr:rowOff>
    </xdr:to>
    <xdr:sp macro="" textlink="">
      <xdr:nvSpPr>
        <xdr:cNvPr id="20" name="TextBox 19"/>
        <xdr:cNvSpPr txBox="1"/>
      </xdr:nvSpPr>
      <xdr:spPr>
        <a:xfrm>
          <a:off x="304800" y="61236225"/>
          <a:ext cx="4676775" cy="1905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a:solidFill>
                <a:schemeClr val="dk1"/>
              </a:solidFill>
              <a:latin typeface="+mn-lt"/>
              <a:ea typeface="+mn-ea"/>
              <a:cs typeface="+mn-cs"/>
            </a:rPr>
            <a:t>Pressure Vessel Engineering  Inc.                                                                       "</a:t>
          </a:r>
          <a:r>
            <a:rPr lang="en-US" sz="1100" b="0">
              <a:solidFill>
                <a:schemeClr val="dk1"/>
              </a:solidFill>
              <a:latin typeface="+mn-lt"/>
              <a:ea typeface="+mn-ea"/>
              <a:cs typeface="+mn-cs"/>
            </a:rPr>
            <a:t>S</a:t>
          </a:r>
          <a:r>
            <a:rPr lang="en-US" sz="1100">
              <a:solidFill>
                <a:schemeClr val="dk1"/>
              </a:solidFill>
              <a:latin typeface="+mn-lt"/>
              <a:ea typeface="+mn-ea"/>
              <a:cs typeface="+mn-cs"/>
            </a:rPr>
            <a:t>pecializes in providing Finite Element Analysis (FEA), ASME code calculations, Canadian Registration (CRN) assistance, and solid modeling and drafting for the pressure equipment industry.</a:t>
          </a:r>
        </a:p>
        <a:p>
          <a:r>
            <a:rPr lang="en-US" sz="1100">
              <a:solidFill>
                <a:schemeClr val="dk1"/>
              </a:solidFill>
              <a:latin typeface="+mn-lt"/>
              <a:ea typeface="+mn-ea"/>
              <a:cs typeface="+mn-cs"/>
            </a:rPr>
            <a:t>Established in 1999 we have grown to be an industry leader serving a global customer base.                                                                                             We have completed thousands of unique projects and have successfully completed more CRN submissions than any other company."</a:t>
          </a:r>
        </a:p>
        <a:p>
          <a:pPr eaLnBrk="1" fontAlgn="auto" latinLnBrk="0" hangingPunct="1"/>
          <a:r>
            <a:rPr lang="en-US" sz="1100">
              <a:solidFill>
                <a:schemeClr val="dk1"/>
              </a:solidFill>
              <a:latin typeface="+mn-lt"/>
              <a:ea typeface="+mn-ea"/>
              <a:cs typeface="+mn-cs"/>
            </a:rPr>
            <a:t>Tel: 519-880-9808</a:t>
          </a:r>
          <a:br>
            <a:rPr lang="en-US" sz="1100">
              <a:solidFill>
                <a:schemeClr val="dk1"/>
              </a:solidFill>
              <a:latin typeface="+mn-lt"/>
              <a:ea typeface="+mn-ea"/>
              <a:cs typeface="+mn-cs"/>
            </a:rPr>
          </a:br>
          <a:r>
            <a:rPr lang="en-US" sz="1100">
              <a:solidFill>
                <a:schemeClr val="dk1"/>
              </a:solidFill>
              <a:latin typeface="+mn-lt"/>
              <a:ea typeface="+mn-ea"/>
              <a:cs typeface="+mn-cs"/>
            </a:rPr>
            <a:t>Email:</a:t>
          </a:r>
          <a:r>
            <a:rPr lang="en-US" sz="1100" baseline="0">
              <a:solidFill>
                <a:schemeClr val="dk1"/>
              </a:solidFill>
              <a:latin typeface="+mn-lt"/>
              <a:ea typeface="+mn-ea"/>
              <a:cs typeface="+mn-cs"/>
            </a:rPr>
            <a:t> </a:t>
          </a:r>
          <a:r>
            <a:rPr lang="en-US" sz="1100">
              <a:solidFill>
                <a:schemeClr val="dk1"/>
              </a:solidFill>
              <a:latin typeface="+mn-lt"/>
              <a:ea typeface="+mn-ea"/>
              <a:cs typeface="+mn-cs"/>
            </a:rPr>
            <a:t>info@pveng.com </a:t>
          </a:r>
        </a:p>
        <a:p>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156</xdr:row>
      <xdr:rowOff>95250</xdr:rowOff>
    </xdr:from>
    <xdr:to>
      <xdr:col>2</xdr:col>
      <xdr:colOff>57150</xdr:colOff>
      <xdr:row>167</xdr:row>
      <xdr:rowOff>114300</xdr:rowOff>
    </xdr:to>
    <xdr:pic>
      <xdr:nvPicPr>
        <xdr:cNvPr id="21" name="Picture 20" descr="4 Types of Weld.jpg"/>
        <xdr:cNvPicPr>
          <a:picLocks noChangeAspect="1"/>
        </xdr:cNvPicPr>
      </xdr:nvPicPr>
      <xdr:blipFill>
        <a:blip xmlns:r="http://schemas.openxmlformats.org/officeDocument/2006/relationships" r:embed="rId1" cstate="print"/>
        <a:stretch>
          <a:fillRect/>
        </a:stretch>
      </xdr:blipFill>
      <xdr:spPr>
        <a:xfrm>
          <a:off x="266700" y="21821775"/>
          <a:ext cx="3886200" cy="2114550"/>
        </a:xfrm>
        <a:prstGeom prst="rect">
          <a:avLst/>
        </a:prstGeom>
      </xdr:spPr>
    </xdr:pic>
    <xdr:clientData/>
  </xdr:twoCellAnchor>
  <xdr:twoCellAnchor>
    <xdr:from>
      <xdr:col>1</xdr:col>
      <xdr:colOff>19050</xdr:colOff>
      <xdr:row>84</xdr:row>
      <xdr:rowOff>104775</xdr:rowOff>
    </xdr:from>
    <xdr:to>
      <xdr:col>3</xdr:col>
      <xdr:colOff>19050</xdr:colOff>
      <xdr:row>99</xdr:row>
      <xdr:rowOff>152400</xdr:rowOff>
    </xdr:to>
    <xdr:sp macro="" textlink="">
      <xdr:nvSpPr>
        <xdr:cNvPr id="2" name="TextBox 1"/>
        <xdr:cNvSpPr txBox="1"/>
      </xdr:nvSpPr>
      <xdr:spPr>
        <a:xfrm>
          <a:off x="247650" y="7820025"/>
          <a:ext cx="4933950" cy="2905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baseline="0" smtClean="0">
              <a:solidFill>
                <a:schemeClr val="dk1"/>
              </a:solidFill>
              <a:latin typeface="+mn-lt"/>
              <a:ea typeface="+mn-ea"/>
              <a:cs typeface="+mn-cs"/>
            </a:rPr>
            <a:t>ASME Paragraph UG-27:                                                                                               Thickness of shells under internal pressure                                                         </a:t>
          </a:r>
          <a:r>
            <a:rPr lang="en-US" sz="1100" b="1" baseline="0" smtClean="0">
              <a:solidFill>
                <a:schemeClr val="dk1"/>
              </a:solidFill>
              <a:latin typeface="+mn-lt"/>
              <a:ea typeface="+mn-ea"/>
              <a:cs typeface="+mn-cs"/>
            </a:rPr>
            <a:t>The formulae in this section are used to determine the minimum required thickness of shells when the maximum allowable working pressure (MAWP) is known. The symbols used in the formulae are found in paragraph UG-27 (b) and are defined as follows:</a:t>
          </a:r>
        </a:p>
        <a:p>
          <a:r>
            <a:rPr lang="en-US" sz="1100" b="1" i="0" baseline="0" smtClean="0">
              <a:solidFill>
                <a:schemeClr val="dk1"/>
              </a:solidFill>
              <a:latin typeface="+mn-lt"/>
              <a:ea typeface="+mn-ea"/>
              <a:cs typeface="+mn-cs"/>
            </a:rPr>
            <a:t>t = Minimum required thickness (mm, inches)</a:t>
          </a:r>
        </a:p>
        <a:p>
          <a:r>
            <a:rPr lang="en-US" sz="1100" b="1" i="0" baseline="0" smtClean="0">
              <a:solidFill>
                <a:schemeClr val="dk1"/>
              </a:solidFill>
              <a:latin typeface="+mn-lt"/>
              <a:ea typeface="+mn-ea"/>
              <a:cs typeface="+mn-cs"/>
            </a:rPr>
            <a:t>P = Internal design pressure (MPa, Kg/cm², psi) refers to gauge pressure</a:t>
          </a:r>
        </a:p>
        <a:p>
          <a:r>
            <a:rPr lang="en-US" sz="1100" b="1" i="0" baseline="0" smtClean="0">
              <a:solidFill>
                <a:schemeClr val="dk1"/>
              </a:solidFill>
              <a:latin typeface="+mn-lt"/>
              <a:ea typeface="+mn-ea"/>
              <a:cs typeface="+mn-cs"/>
            </a:rPr>
            <a:t>R = Inside radius of shell course under consideration (mm, inches)</a:t>
          </a:r>
        </a:p>
        <a:p>
          <a:r>
            <a:rPr lang="en-US" sz="1100" b="1" i="0" baseline="0" smtClean="0">
              <a:solidFill>
                <a:schemeClr val="dk1"/>
              </a:solidFill>
              <a:latin typeface="+mn-lt"/>
              <a:ea typeface="+mn-ea"/>
              <a:cs typeface="+mn-cs"/>
            </a:rPr>
            <a:t>S = Maximum allowable stress value at the operating temperature (MPa, Kg/cm², psi)</a:t>
          </a:r>
        </a:p>
        <a:p>
          <a:r>
            <a:rPr lang="en-US" sz="1100" b="1" i="0" baseline="0" smtClean="0">
              <a:solidFill>
                <a:schemeClr val="dk1"/>
              </a:solidFill>
              <a:latin typeface="+mn-lt"/>
              <a:ea typeface="+mn-ea"/>
              <a:cs typeface="+mn-cs"/>
            </a:rPr>
            <a:t>E = Efficiency of longitudinal welded joints.                                                                                   A fully radio graphed major longitudinal butt-welded joint in a cylindrical shell </a:t>
          </a:r>
          <a:r>
            <a:rPr lang="en-US" sz="1100" b="1" baseline="0" smtClean="0">
              <a:solidFill>
                <a:schemeClr val="dk1"/>
              </a:solidFill>
              <a:latin typeface="+mn-lt"/>
              <a:ea typeface="+mn-ea"/>
              <a:cs typeface="+mn-cs"/>
            </a:rPr>
            <a:t>would have a joint efficiency factor  E of 1.0.                                                                                  Non radio graphed longitudinal butt-welded joints have a joint efficiency factor     E of 0.7. In general the factor used is E = 0.85.</a:t>
          </a:r>
          <a:endParaRPr lang="en-US" sz="1100" b="1"/>
        </a:p>
      </xdr:txBody>
    </xdr:sp>
    <xdr:clientData/>
  </xdr:twoCellAnchor>
  <xdr:twoCellAnchor>
    <xdr:from>
      <xdr:col>0</xdr:col>
      <xdr:colOff>161926</xdr:colOff>
      <xdr:row>100</xdr:row>
      <xdr:rowOff>57148</xdr:rowOff>
    </xdr:from>
    <xdr:to>
      <xdr:col>2</xdr:col>
      <xdr:colOff>1028700</xdr:colOff>
      <xdr:row>128</xdr:row>
      <xdr:rowOff>76200</xdr:rowOff>
    </xdr:to>
    <xdr:sp macro="" textlink="">
      <xdr:nvSpPr>
        <xdr:cNvPr id="8" name="TextBox 7"/>
        <xdr:cNvSpPr txBox="1"/>
      </xdr:nvSpPr>
      <xdr:spPr>
        <a:xfrm>
          <a:off x="161926" y="18954748"/>
          <a:ext cx="4962524" cy="5448302"/>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baseline="0" smtClean="0">
              <a:solidFill>
                <a:schemeClr val="dk1"/>
              </a:solidFill>
              <a:latin typeface="+mn-lt"/>
              <a:ea typeface="+mn-ea"/>
              <a:cs typeface="+mn-cs"/>
            </a:rPr>
            <a:t>Thin Cylindrical Components under Internal Pressure.       </a:t>
          </a:r>
          <a:r>
            <a:rPr lang="en-US" sz="1400" b="1" baseline="0">
              <a:solidFill>
                <a:schemeClr val="dk1"/>
              </a:solidFill>
              <a:latin typeface="+mn-lt"/>
              <a:ea typeface="+mn-ea"/>
              <a:cs typeface="+mn-cs"/>
            </a:rPr>
            <a:t>Longitudinal Joint Circumferential Stress</a:t>
          </a:r>
          <a:r>
            <a:rPr lang="en-US" sz="1800" b="1" baseline="0">
              <a:solidFill>
                <a:schemeClr val="dk1"/>
              </a:solidFill>
              <a:latin typeface="+mn-lt"/>
              <a:ea typeface="+mn-ea"/>
              <a:cs typeface="+mn-cs"/>
            </a:rPr>
            <a:t> </a:t>
          </a:r>
          <a:r>
            <a:rPr lang="en-US" sz="1400" b="1" baseline="0">
              <a:solidFill>
                <a:schemeClr val="dk1"/>
              </a:solidFill>
              <a:latin typeface="+mn-lt"/>
              <a:ea typeface="+mn-ea"/>
              <a:cs typeface="+mn-cs"/>
            </a:rPr>
            <a:t>- R = Inside Radius</a:t>
          </a:r>
          <a:r>
            <a:rPr lang="en-US" sz="1800" b="1" baseline="0" smtClean="0">
              <a:solidFill>
                <a:schemeClr val="dk1"/>
              </a:solidFill>
              <a:latin typeface="+mn-lt"/>
              <a:ea typeface="+mn-ea"/>
              <a:cs typeface="+mn-cs"/>
            </a:rPr>
            <a:t>                                                             </a:t>
          </a:r>
          <a:endParaRPr lang="en-US"/>
        </a:p>
        <a:p>
          <a:r>
            <a:rPr lang="en-US" sz="1100" b="1" baseline="0">
              <a:solidFill>
                <a:schemeClr val="dk1"/>
              </a:solidFill>
              <a:latin typeface="+mn-lt"/>
              <a:ea typeface="+mn-ea"/>
              <a:cs typeface="+mn-cs"/>
            </a:rPr>
            <a:t>Formula for minimum required cylinder thickness :                                                                                                            t = P*R / (S*E - 0.6*P) ...........................................................................1    </a:t>
          </a:r>
          <a:endParaRPr lang="en-US"/>
        </a:p>
        <a:p>
          <a:r>
            <a:rPr lang="en-US" sz="1100" b="1" baseline="0">
              <a:solidFill>
                <a:schemeClr val="dk1"/>
              </a:solidFill>
              <a:latin typeface="+mn-lt"/>
              <a:ea typeface="+mn-ea"/>
              <a:cs typeface="+mn-cs"/>
            </a:rPr>
            <a:t>Formula for gauge maximum allowable working pressure (MAWP):                                             P = S*E*t  / (R + 0.6*t) ...................................................................... 2                            P &lt;= 0.385*S*E ,  t &lt; 0.5*R                                                                                                                                                   </a:t>
          </a:r>
          <a:r>
            <a:rPr lang="en-US" sz="1400" b="1" baseline="0">
              <a:solidFill>
                <a:schemeClr val="dk1"/>
              </a:solidFill>
              <a:latin typeface="+mn-lt"/>
              <a:ea typeface="+mn-ea"/>
              <a:cs typeface="+mn-cs"/>
            </a:rPr>
            <a:t>Circumferential Joint Circumferential Stress - R = Inside Radius                                                             </a:t>
          </a:r>
          <a:endParaRPr lang="en-US" sz="1100">
            <a:solidFill>
              <a:schemeClr val="dk1"/>
            </a:solidFill>
            <a:latin typeface="+mn-lt"/>
            <a:ea typeface="+mn-ea"/>
            <a:cs typeface="+mn-cs"/>
          </a:endParaRPr>
        </a:p>
        <a:p>
          <a:r>
            <a:rPr lang="en-US" sz="1100" b="1" baseline="0">
              <a:solidFill>
                <a:schemeClr val="dk1"/>
              </a:solidFill>
              <a:latin typeface="+mn-lt"/>
              <a:ea typeface="+mn-ea"/>
              <a:cs typeface="+mn-cs"/>
            </a:rPr>
            <a:t>Formula for minimum required thickness :                                                                                                            t = P*R / (2*S*E + 0.4*P) ...........................................................................3   </a:t>
          </a:r>
          <a:endParaRPr lang="en-US" sz="1100">
            <a:solidFill>
              <a:schemeClr val="dk1"/>
            </a:solidFill>
            <a:latin typeface="+mn-lt"/>
            <a:ea typeface="+mn-ea"/>
            <a:cs typeface="+mn-cs"/>
          </a:endParaRPr>
        </a:p>
        <a:p>
          <a:r>
            <a:rPr lang="en-US" sz="1100" b="1" baseline="0">
              <a:solidFill>
                <a:schemeClr val="dk1"/>
              </a:solidFill>
              <a:latin typeface="+mn-lt"/>
              <a:ea typeface="+mn-ea"/>
              <a:cs typeface="+mn-cs"/>
            </a:rPr>
            <a:t>Formula for gauge maximum allowable working pressure (MAWP):                                             P = 2*S*E*t  / (R - 0.4*t) .......................................................................... 4                           </a:t>
          </a:r>
          <a:endParaRPr lang="en-US" sz="1100">
            <a:solidFill>
              <a:schemeClr val="dk1"/>
            </a:solidFill>
            <a:latin typeface="+mn-lt"/>
            <a:ea typeface="+mn-ea"/>
            <a:cs typeface="+mn-cs"/>
          </a:endParaRPr>
        </a:p>
        <a:p>
          <a:r>
            <a:rPr lang="en-US" sz="1100" b="1" baseline="0">
              <a:solidFill>
                <a:schemeClr val="dk1"/>
              </a:solidFill>
              <a:latin typeface="+mn-lt"/>
              <a:ea typeface="+mn-ea"/>
              <a:cs typeface="+mn-cs"/>
            </a:rPr>
            <a:t> P &lt; 1.25*S*E ,  t &lt; 0.5*R                                                                                                                                                                                                                                                                                                      </a:t>
          </a:r>
          <a:r>
            <a:rPr lang="en-US" sz="1400" b="1" baseline="0">
              <a:solidFill>
                <a:schemeClr val="dk1"/>
              </a:solidFill>
              <a:latin typeface="+mn-lt"/>
              <a:ea typeface="+mn-ea"/>
              <a:cs typeface="+mn-cs"/>
            </a:rPr>
            <a:t>Example: Section I - Boiler Tube:</a:t>
          </a:r>
          <a:endParaRPr lang="en-US"/>
        </a:p>
        <a:p>
          <a:r>
            <a:rPr lang="en-US" sz="1100" b="1" baseline="0">
              <a:solidFill>
                <a:schemeClr val="dk1"/>
              </a:solidFill>
              <a:latin typeface="+mn-lt"/>
              <a:ea typeface="+mn-ea"/>
              <a:cs typeface="+mn-cs"/>
            </a:rPr>
            <a:t>Calculate the minimum required wall thickness of a water tube boiler 70 mm (2.75 in) O.D. that is strength welded (e = 0) into place in a boiler.                                                                                                                      The tube is located in the furnace area of the boiler and has an average wall temperature of 350°C (650°F).                                                                                                                                                          The maximum allowable working pressure is 4000 kPa (580 psi) gauge.               Material is carbon steel SA-192.</a:t>
          </a:r>
          <a:endParaRPr lang="en-US"/>
        </a:p>
        <a:p>
          <a:r>
            <a:rPr lang="en-US" sz="1100" b="1" baseline="0">
              <a:solidFill>
                <a:schemeClr val="dk1"/>
              </a:solidFill>
              <a:latin typeface="+mn-lt"/>
              <a:ea typeface="+mn-ea"/>
              <a:cs typeface="+mn-cs"/>
            </a:rPr>
            <a:t>Note: See PG-6 for plate materials and PG-9 for boiler tube materials before starting calculations to check the correct stress table in ASME Section II, Part D if the metal is carbon steel or alloy steel.                                                                           </a:t>
          </a:r>
          <a:r>
            <a:rPr lang="en-US" sz="1400" b="1" baseline="0">
              <a:solidFill>
                <a:schemeClr val="dk1"/>
              </a:solidFill>
              <a:latin typeface="+mn-lt"/>
              <a:ea typeface="+mn-ea"/>
              <a:cs typeface="+mn-cs"/>
            </a:rPr>
            <a:t>Solution:</a:t>
          </a:r>
          <a:endParaRPr lang="en-US"/>
        </a:p>
        <a:p>
          <a:r>
            <a:rPr lang="en-US" sz="1100" b="1" baseline="0">
              <a:solidFill>
                <a:schemeClr val="dk1"/>
              </a:solidFill>
              <a:latin typeface="+mn-lt"/>
              <a:ea typeface="+mn-ea"/>
              <a:cs typeface="+mn-cs"/>
            </a:rPr>
            <a:t>For tubing up to and including 125 mm [5 in] O.D. use equation 1.1 above.</a:t>
          </a:r>
          <a:endParaRPr lang="en-US"/>
        </a:p>
        <a:p>
          <a:r>
            <a:rPr lang="en-US" sz="1100" b="1" i="0" baseline="0">
              <a:solidFill>
                <a:schemeClr val="dk1"/>
              </a:solidFill>
              <a:latin typeface="+mn-lt"/>
              <a:ea typeface="+mn-ea"/>
              <a:cs typeface="+mn-cs"/>
            </a:rPr>
            <a:t>P = 4000 kPa = 4.0 MPa [580 psi]</a:t>
          </a:r>
          <a:endParaRPr lang="en-US" i="0"/>
        </a:p>
        <a:p>
          <a:r>
            <a:rPr lang="en-US" sz="1100" b="1" i="0" baseline="0">
              <a:solidFill>
                <a:schemeClr val="dk1"/>
              </a:solidFill>
              <a:latin typeface="+mn-lt"/>
              <a:ea typeface="+mn-ea"/>
              <a:cs typeface="+mn-cs"/>
            </a:rPr>
            <a:t>D = 70 mm [2.75 in]</a:t>
          </a:r>
          <a:endParaRPr lang="en-US" i="0"/>
        </a:p>
        <a:p>
          <a:r>
            <a:rPr lang="en-US" sz="1100" b="1" i="0" baseline="0">
              <a:solidFill>
                <a:schemeClr val="dk1"/>
              </a:solidFill>
              <a:latin typeface="+mn-lt"/>
              <a:ea typeface="+mn-ea"/>
              <a:cs typeface="+mn-cs"/>
            </a:rPr>
            <a:t>E = 85% (strength welded)</a:t>
          </a:r>
          <a:endParaRPr lang="en-US" i="0"/>
        </a:p>
        <a:p>
          <a:r>
            <a:rPr lang="en-US" sz="1100" b="1" i="0" baseline="0">
              <a:solidFill>
                <a:schemeClr val="dk1"/>
              </a:solidFill>
              <a:latin typeface="+mn-lt"/>
              <a:ea typeface="+mn-ea"/>
              <a:cs typeface="+mn-cs"/>
            </a:rPr>
            <a:t>S = 87.8 MPa [~12700 psi] - SA-192 at 350°C [~650°F]).</a:t>
          </a:r>
          <a:endParaRPr lang="en-US" sz="1100" b="1" i="0">
            <a:solidFill>
              <a:schemeClr val="dk1"/>
            </a:solidFill>
            <a:latin typeface="+mn-lt"/>
            <a:ea typeface="+mn-ea"/>
            <a:cs typeface="+mn-cs"/>
          </a:endParaRPr>
        </a:p>
        <a:p>
          <a:endParaRPr lang="en-US"/>
        </a:p>
        <a:p>
          <a:endParaRPr lang="en-US" sz="1100"/>
        </a:p>
      </xdr:txBody>
    </xdr:sp>
    <xdr:clientData/>
  </xdr:twoCellAnchor>
  <xdr:twoCellAnchor>
    <xdr:from>
      <xdr:col>1</xdr:col>
      <xdr:colOff>72536</xdr:colOff>
      <xdr:row>172</xdr:row>
      <xdr:rowOff>153132</xdr:rowOff>
    </xdr:from>
    <xdr:to>
      <xdr:col>2</xdr:col>
      <xdr:colOff>832339</xdr:colOff>
      <xdr:row>186</xdr:row>
      <xdr:rowOff>175113</xdr:rowOff>
    </xdr:to>
    <xdr:sp macro="" textlink="">
      <xdr:nvSpPr>
        <xdr:cNvPr id="10" name="TextBox 9"/>
        <xdr:cNvSpPr txBox="1"/>
      </xdr:nvSpPr>
      <xdr:spPr>
        <a:xfrm>
          <a:off x="301136" y="33719232"/>
          <a:ext cx="4626953" cy="268898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baseline="0" smtClean="0">
              <a:solidFill>
                <a:schemeClr val="dk1"/>
              </a:solidFill>
              <a:latin typeface="+mn-lt"/>
              <a:ea typeface="+mn-ea"/>
              <a:cs typeface="+mn-cs"/>
            </a:rPr>
            <a:t>Example: Section I – Superheater Tube- continued</a:t>
          </a:r>
        </a:p>
        <a:p>
          <a:r>
            <a:rPr lang="en-US" sz="1100" b="1" baseline="0" smtClean="0">
              <a:solidFill>
                <a:schemeClr val="dk1"/>
              </a:solidFill>
              <a:latin typeface="+mn-lt"/>
              <a:ea typeface="+mn-ea"/>
              <a:cs typeface="+mn-cs"/>
            </a:rPr>
            <a:t>Calculate the maximum allowable working pressure for a 75 mm [2.95 in] O.D. and 4.75 mm [0.19 in]</a:t>
          </a:r>
        </a:p>
        <a:p>
          <a:r>
            <a:rPr lang="en-US" sz="1100" b="1" baseline="0" smtClean="0">
              <a:solidFill>
                <a:schemeClr val="dk1"/>
              </a:solidFill>
              <a:latin typeface="+mn-lt"/>
              <a:ea typeface="+mn-ea"/>
              <a:cs typeface="+mn-cs"/>
            </a:rPr>
            <a:t>minimum thickness superheater tube connected to a header by strength welding. The average tube</a:t>
          </a:r>
        </a:p>
        <a:p>
          <a:r>
            <a:rPr lang="en-US" sz="1100" b="1" baseline="0" smtClean="0">
              <a:solidFill>
                <a:schemeClr val="dk1"/>
              </a:solidFill>
              <a:latin typeface="+mn-lt"/>
              <a:ea typeface="+mn-ea"/>
              <a:cs typeface="+mn-cs"/>
            </a:rPr>
            <a:t>temperature is 400°C [~750° F]. The tube material is SA-213-T11.</a:t>
          </a:r>
        </a:p>
        <a:p>
          <a:r>
            <a:rPr lang="en-US" sz="1100" b="1" baseline="0" smtClean="0">
              <a:solidFill>
                <a:schemeClr val="dk1"/>
              </a:solidFill>
              <a:latin typeface="+mn-lt"/>
              <a:ea typeface="+mn-ea"/>
              <a:cs typeface="+mn-cs"/>
            </a:rPr>
            <a:t>Note: According to table in ASME Section II, Part D, SA-213-T11 alloy steel is 102 MPa (~15000 psi).</a:t>
          </a:r>
        </a:p>
        <a:p>
          <a:r>
            <a:rPr lang="en-US" sz="1100" b="1" baseline="0" smtClean="0">
              <a:solidFill>
                <a:schemeClr val="dk1"/>
              </a:solidFill>
              <a:latin typeface="+mn-lt"/>
              <a:ea typeface="+mn-ea"/>
              <a:cs typeface="+mn-cs"/>
            </a:rPr>
            <a:t>Solution:</a:t>
          </a:r>
        </a:p>
        <a:p>
          <a:r>
            <a:rPr lang="en-US" sz="1100" b="1" baseline="0" smtClean="0">
              <a:solidFill>
                <a:schemeClr val="dk1"/>
              </a:solidFill>
              <a:latin typeface="+mn-lt"/>
              <a:ea typeface="+mn-ea"/>
              <a:cs typeface="+mn-cs"/>
            </a:rPr>
            <a:t>For tubing up to and including 125 mm [~5 in] O.D. Use equation 1.2 above.</a:t>
          </a:r>
        </a:p>
        <a:p>
          <a:r>
            <a:rPr lang="en-US" sz="1100" b="1" i="0" baseline="0" smtClean="0">
              <a:solidFill>
                <a:schemeClr val="dk1"/>
              </a:solidFill>
              <a:latin typeface="+mn-lt"/>
              <a:ea typeface="+mn-ea"/>
              <a:cs typeface="+mn-cs"/>
            </a:rPr>
            <a:t>t = 4.75 mm [0.19 in]</a:t>
          </a:r>
        </a:p>
        <a:p>
          <a:r>
            <a:rPr lang="en-US" sz="1100" b="1" i="0" baseline="0" smtClean="0">
              <a:solidFill>
                <a:schemeClr val="dk1"/>
              </a:solidFill>
              <a:latin typeface="+mn-lt"/>
              <a:ea typeface="+mn-ea"/>
              <a:cs typeface="+mn-cs"/>
            </a:rPr>
            <a:t>D = 75 mm [2.95 in]</a:t>
          </a:r>
        </a:p>
        <a:p>
          <a:r>
            <a:rPr lang="en-US" sz="1100" b="1" i="0" baseline="0" smtClean="0">
              <a:solidFill>
                <a:schemeClr val="dk1"/>
              </a:solidFill>
              <a:latin typeface="+mn-lt"/>
              <a:ea typeface="+mn-ea"/>
              <a:cs typeface="+mn-cs"/>
            </a:rPr>
            <a:t>e = 0 (strength welded.)</a:t>
          </a:r>
        </a:p>
        <a:p>
          <a:r>
            <a:rPr lang="en-US" sz="1100" b="1" i="0" baseline="0" smtClean="0">
              <a:solidFill>
                <a:schemeClr val="dk1"/>
              </a:solidFill>
              <a:latin typeface="+mn-lt"/>
              <a:ea typeface="+mn-ea"/>
              <a:cs typeface="+mn-cs"/>
            </a:rPr>
            <a:t>S = 102 MPa [~15000 psi] - (SA-213-T11 at 400°C ~750° F)</a:t>
          </a:r>
          <a:endParaRPr lang="en-US" sz="1100" b="1" i="0"/>
        </a:p>
      </xdr:txBody>
    </xdr:sp>
    <xdr:clientData/>
  </xdr:twoCellAnchor>
  <xdr:twoCellAnchor>
    <xdr:from>
      <xdr:col>1</xdr:col>
      <xdr:colOff>2205991</xdr:colOff>
      <xdr:row>167</xdr:row>
      <xdr:rowOff>129539</xdr:rowOff>
    </xdr:from>
    <xdr:to>
      <xdr:col>2</xdr:col>
      <xdr:colOff>581025</xdr:colOff>
      <xdr:row>172</xdr:row>
      <xdr:rowOff>152400</xdr:rowOff>
    </xdr:to>
    <xdr:sp macro="" textlink="">
      <xdr:nvSpPr>
        <xdr:cNvPr id="13" name="TextBox 12"/>
        <xdr:cNvSpPr txBox="1"/>
      </xdr:nvSpPr>
      <xdr:spPr>
        <a:xfrm>
          <a:off x="2434591" y="32743139"/>
          <a:ext cx="2242184" cy="97536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eaLnBrk="1" fontAlgn="auto" latinLnBrk="0" hangingPunct="1"/>
          <a:r>
            <a:rPr lang="en-US" sz="1200" b="1">
              <a:solidFill>
                <a:schemeClr val="dk1"/>
              </a:solidFill>
              <a:latin typeface="+mn-lt"/>
              <a:ea typeface="+mn-ea"/>
              <a:cs typeface="+mn-cs"/>
            </a:rPr>
            <a:t>4 Types of Pressure Vessel</a:t>
          </a:r>
          <a:r>
            <a:rPr lang="en-US" sz="1200" b="1" baseline="0">
              <a:solidFill>
                <a:schemeClr val="dk1"/>
              </a:solidFill>
              <a:latin typeface="+mn-lt"/>
              <a:ea typeface="+mn-ea"/>
              <a:cs typeface="+mn-cs"/>
            </a:rPr>
            <a:t> </a:t>
          </a:r>
          <a:r>
            <a:rPr lang="en-US" sz="1200" b="1">
              <a:solidFill>
                <a:schemeClr val="dk1"/>
              </a:solidFill>
              <a:latin typeface="+mn-lt"/>
              <a:ea typeface="+mn-ea"/>
              <a:cs typeface="+mn-cs"/>
            </a:rPr>
            <a:t>Weld                                                                        </a:t>
          </a:r>
          <a:r>
            <a:rPr lang="en-US" sz="1100" b="1">
              <a:solidFill>
                <a:schemeClr val="dk1"/>
              </a:solidFill>
              <a:latin typeface="+mn-lt"/>
              <a:ea typeface="+mn-ea"/>
              <a:cs typeface="+mn-cs"/>
            </a:rPr>
            <a:t>a -Welded Longitudinal Joints                                                                                               b -Wedded</a:t>
          </a:r>
          <a:r>
            <a:rPr lang="en-US" sz="1100" b="1" baseline="0">
              <a:solidFill>
                <a:schemeClr val="dk1"/>
              </a:solidFill>
              <a:latin typeface="+mn-lt"/>
              <a:ea typeface="+mn-ea"/>
              <a:cs typeface="+mn-cs"/>
            </a:rPr>
            <a:t> Circumferential joints                                                                       c- Welded Flanges                                                                                                  d-Welded Nozzles</a:t>
          </a:r>
          <a:endParaRPr lang="en-US" sz="1100" b="1">
            <a:solidFill>
              <a:schemeClr val="dk1"/>
            </a:solidFill>
            <a:latin typeface="+mn-lt"/>
            <a:ea typeface="+mn-ea"/>
            <a:cs typeface="+mn-cs"/>
          </a:endParaRPr>
        </a:p>
      </xdr:txBody>
    </xdr:sp>
    <xdr:clientData/>
  </xdr:twoCellAnchor>
  <xdr:twoCellAnchor>
    <xdr:from>
      <xdr:col>1</xdr:col>
      <xdr:colOff>200025</xdr:colOff>
      <xdr:row>216</xdr:row>
      <xdr:rowOff>125730</xdr:rowOff>
    </xdr:from>
    <xdr:to>
      <xdr:col>2</xdr:col>
      <xdr:colOff>1057275</xdr:colOff>
      <xdr:row>226</xdr:row>
      <xdr:rowOff>57150</xdr:rowOff>
    </xdr:to>
    <xdr:sp macro="" textlink="">
      <xdr:nvSpPr>
        <xdr:cNvPr id="12" name="TextBox 11"/>
        <xdr:cNvSpPr txBox="1"/>
      </xdr:nvSpPr>
      <xdr:spPr>
        <a:xfrm>
          <a:off x="428625" y="41769030"/>
          <a:ext cx="4724400" cy="18364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baseline="0" smtClean="0">
              <a:solidFill>
                <a:schemeClr val="dk1"/>
              </a:solidFill>
              <a:latin typeface="+mn-lt"/>
              <a:ea typeface="+mn-ea"/>
              <a:cs typeface="+mn-cs"/>
            </a:rPr>
            <a:t>3.2 – Formulae for Thick Cylindrical Shells                                                 </a:t>
          </a:r>
          <a:r>
            <a:rPr lang="en-US" sz="1100" b="1" baseline="0" smtClean="0">
              <a:solidFill>
                <a:schemeClr val="dk1"/>
              </a:solidFill>
              <a:latin typeface="+mn-lt"/>
              <a:ea typeface="+mn-ea"/>
              <a:cs typeface="+mn-cs"/>
            </a:rPr>
            <a:t>Thick cylindrical shells when P &gt; 0.385*S*E </a:t>
          </a:r>
          <a:endParaRPr lang="en-US" sz="14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As internal pressures increase higher than 20.6 MPa (~3000 psi), special considerations must be given to the construction of the vessel as specified in paragraph U-1 (d).                                                                                                                       As the ratio of t/R increases beyond 0.5, a more accurate equation is required to determine the thickness.</a:t>
          </a:r>
        </a:p>
        <a:p>
          <a:r>
            <a:rPr lang="en-US" sz="1100" b="1" baseline="0" smtClean="0">
              <a:solidFill>
                <a:schemeClr val="dk1"/>
              </a:solidFill>
              <a:latin typeface="+mn-lt"/>
              <a:ea typeface="+mn-ea"/>
              <a:cs typeface="+mn-cs"/>
            </a:rPr>
            <a:t>The formulae for thick walled vessels are listed in ASME Appendix 1, Supplementary Design Formulas 1.1 to 1.3.                                                                                                                                                          </a:t>
          </a:r>
          <a:endParaRPr lang="en-US" sz="1100" b="1"/>
        </a:p>
      </xdr:txBody>
    </xdr:sp>
    <xdr:clientData/>
  </xdr:twoCellAnchor>
  <xdr:twoCellAnchor>
    <xdr:from>
      <xdr:col>1</xdr:col>
      <xdr:colOff>236220</xdr:colOff>
      <xdr:row>378</xdr:row>
      <xdr:rowOff>99060</xdr:rowOff>
    </xdr:from>
    <xdr:to>
      <xdr:col>2</xdr:col>
      <xdr:colOff>1066800</xdr:colOff>
      <xdr:row>388</xdr:row>
      <xdr:rowOff>91440</xdr:rowOff>
    </xdr:to>
    <xdr:sp macro="" textlink="">
      <xdr:nvSpPr>
        <xdr:cNvPr id="18" name="TextBox 17"/>
        <xdr:cNvSpPr txBox="1"/>
      </xdr:nvSpPr>
      <xdr:spPr>
        <a:xfrm>
          <a:off x="464820" y="51838860"/>
          <a:ext cx="4785360" cy="18973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smtClean="0">
              <a:solidFill>
                <a:schemeClr val="dk1"/>
              </a:solidFill>
              <a:latin typeface="+mn-lt"/>
              <a:ea typeface="+mn-ea"/>
              <a:cs typeface="+mn-cs"/>
            </a:rPr>
            <a:t>3.3 – Formula for Spherical Shells:     t = PR / (</a:t>
          </a:r>
          <a:r>
            <a:rPr lang="en-US" sz="1100" b="1" baseline="0">
              <a:solidFill>
                <a:schemeClr val="dk1"/>
              </a:solidFill>
              <a:latin typeface="+mn-lt"/>
              <a:ea typeface="+mn-ea"/>
              <a:cs typeface="+mn-cs"/>
            </a:rPr>
            <a:t>2SE + 0.2P) + C                                                                                  </a:t>
          </a:r>
          <a:endParaRPr lang="en-US" sz="1100" b="1" baseline="0" smtClean="0">
            <a:solidFill>
              <a:schemeClr val="dk1"/>
            </a:solidFill>
            <a:latin typeface="+mn-lt"/>
            <a:ea typeface="+mn-ea"/>
            <a:cs typeface="+mn-cs"/>
          </a:endParaRPr>
        </a:p>
        <a:p>
          <a:r>
            <a:rPr lang="en-US" sz="1100" b="1" baseline="0" smtClean="0">
              <a:solidFill>
                <a:schemeClr val="dk1"/>
              </a:solidFill>
              <a:latin typeface="+mn-lt"/>
              <a:ea typeface="+mn-ea"/>
              <a:cs typeface="+mn-cs"/>
            </a:rPr>
            <a:t>3.4 – Example: Thin Cylindrical Shells when P &lt; 0.385SE, or, 0.385SE &gt; P</a:t>
          </a:r>
        </a:p>
        <a:p>
          <a:r>
            <a:rPr lang="en-US" sz="1100" b="1" baseline="0" smtClean="0">
              <a:solidFill>
                <a:schemeClr val="dk1"/>
              </a:solidFill>
              <a:latin typeface="+mn-lt"/>
              <a:ea typeface="+mn-ea"/>
              <a:cs typeface="+mn-cs"/>
            </a:rPr>
            <a:t>A vertical boiler is constructed of SA-515-60 material in accordance with the requirements of Section VIII-1.</a:t>
          </a:r>
        </a:p>
        <a:p>
          <a:r>
            <a:rPr lang="en-US" sz="1100" b="1" baseline="0" smtClean="0">
              <a:solidFill>
                <a:schemeClr val="dk1"/>
              </a:solidFill>
              <a:latin typeface="+mn-lt"/>
              <a:ea typeface="+mn-ea"/>
              <a:cs typeface="+mn-cs"/>
            </a:rPr>
            <a:t>The inside diameter is 2440 mm [96 in]</a:t>
          </a:r>
        </a:p>
        <a:p>
          <a:r>
            <a:rPr lang="en-US" sz="1100" b="1" baseline="0" smtClean="0">
              <a:solidFill>
                <a:schemeClr val="dk1"/>
              </a:solidFill>
              <a:latin typeface="+mn-lt"/>
              <a:ea typeface="+mn-ea"/>
              <a:cs typeface="+mn-cs"/>
            </a:rPr>
            <a:t>The internal design pressure is 0.69 Mpa = [~100 psi] at 230°C [446 F°].</a:t>
          </a:r>
        </a:p>
        <a:p>
          <a:r>
            <a:rPr lang="en-US" sz="1100" b="1" baseline="0" smtClean="0">
              <a:solidFill>
                <a:schemeClr val="dk1"/>
              </a:solidFill>
              <a:latin typeface="+mn-lt"/>
              <a:ea typeface="+mn-ea"/>
              <a:cs typeface="+mn-cs"/>
            </a:rPr>
            <a:t>The corrosion allowance is 3 mm (0.125 in)</a:t>
          </a:r>
        </a:p>
        <a:p>
          <a:r>
            <a:rPr lang="en-US" sz="1100" b="1" baseline="0" smtClean="0">
              <a:solidFill>
                <a:schemeClr val="dk1"/>
              </a:solidFill>
              <a:latin typeface="+mn-lt"/>
              <a:ea typeface="+mn-ea"/>
              <a:cs typeface="+mn-cs"/>
            </a:rPr>
            <a:t>The joint welding efficiency is 0.85</a:t>
          </a:r>
        </a:p>
        <a:p>
          <a:r>
            <a:rPr lang="en-US" sz="1100" b="1" baseline="0" smtClean="0">
              <a:solidFill>
                <a:schemeClr val="dk1"/>
              </a:solidFill>
              <a:latin typeface="+mn-lt"/>
              <a:ea typeface="+mn-ea"/>
              <a:cs typeface="+mn-cs"/>
            </a:rPr>
            <a:t>Calculate the required thickness of the shell if the allowable stress is 138 MPa [20,000 psi].</a:t>
          </a:r>
          <a:endParaRPr lang="en-US" sz="1100" b="1"/>
        </a:p>
      </xdr:txBody>
    </xdr:sp>
    <xdr:clientData/>
  </xdr:twoCellAnchor>
  <xdr:twoCellAnchor>
    <xdr:from>
      <xdr:col>1</xdr:col>
      <xdr:colOff>190500</xdr:colOff>
      <xdr:row>231</xdr:row>
      <xdr:rowOff>28575</xdr:rowOff>
    </xdr:from>
    <xdr:to>
      <xdr:col>3</xdr:col>
      <xdr:colOff>171450</xdr:colOff>
      <xdr:row>257</xdr:row>
      <xdr:rowOff>9525</xdr:rowOff>
    </xdr:to>
    <xdr:sp macro="" textlink="">
      <xdr:nvSpPr>
        <xdr:cNvPr id="19" name="TextBox 18"/>
        <xdr:cNvSpPr txBox="1"/>
      </xdr:nvSpPr>
      <xdr:spPr>
        <a:xfrm>
          <a:off x="419100" y="44529375"/>
          <a:ext cx="4933950" cy="5038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400" b="1" baseline="0" smtClean="0">
              <a:solidFill>
                <a:schemeClr val="dk1"/>
              </a:solidFill>
              <a:latin typeface="+mn-lt"/>
              <a:ea typeface="+mn-ea"/>
              <a:cs typeface="+mn-cs"/>
            </a:rPr>
            <a:t>Example: Drum - Using the Inside Radius </a:t>
          </a:r>
        </a:p>
        <a:p>
          <a:r>
            <a:rPr lang="en-US" sz="1100" b="1" baseline="0" smtClean="0">
              <a:solidFill>
                <a:schemeClr val="dk1"/>
              </a:solidFill>
              <a:latin typeface="+mn-lt"/>
              <a:ea typeface="+mn-ea"/>
              <a:cs typeface="+mn-cs"/>
            </a:rPr>
            <a:t>A welded water tube boiler drum of SA-515-60 material is fabricated to an inside radius of 475 mm [18.7 in] on the tube sheet and 500 mm [19.68 in] on the drum. The plate thickness of the tube sheet and drum are 59.5 mm [2.34 in] and 38 mm [1.49 in] respectively.</a:t>
          </a:r>
        </a:p>
        <a:p>
          <a:r>
            <a:rPr lang="en-US" sz="1100" b="1" baseline="0" smtClean="0">
              <a:solidFill>
                <a:schemeClr val="dk1"/>
              </a:solidFill>
              <a:latin typeface="+mn-lt"/>
              <a:ea typeface="+mn-ea"/>
              <a:cs typeface="+mn-cs"/>
            </a:rPr>
            <a:t>The longitudinal joint efficiency is 100%, and the ligament efficiencies are 56% horizontal and 30% circumferential.                                                                                                       The operating temperature is not to exceed 300°C [572°F]. Determine the maximum allowable working pressure (MAWP) based on the Welded Water Tube </a:t>
          </a:r>
          <a:r>
            <a:rPr lang="en-US" sz="1200" b="1" baseline="0" smtClean="0">
              <a:solidFill>
                <a:schemeClr val="dk1"/>
              </a:solidFill>
              <a:latin typeface="+mn-lt"/>
              <a:ea typeface="+mn-ea"/>
              <a:cs typeface="+mn-cs"/>
            </a:rPr>
            <a:t>Boiler Drum shown below.                                                                                            </a:t>
          </a:r>
          <a:r>
            <a:rPr lang="en-US" sz="1100" b="1" baseline="0" smtClean="0">
              <a:solidFill>
                <a:schemeClr val="dk1"/>
              </a:solidFill>
              <a:latin typeface="+mn-lt"/>
              <a:ea typeface="+mn-ea"/>
              <a:cs typeface="+mn-cs"/>
            </a:rPr>
            <a:t>Note:</a:t>
          </a:r>
        </a:p>
        <a:p>
          <a:r>
            <a:rPr lang="en-US" sz="1100" b="1" u="sng" baseline="0" smtClean="0">
              <a:solidFill>
                <a:schemeClr val="dk1"/>
              </a:solidFill>
              <a:latin typeface="+mn-lt"/>
              <a:ea typeface="+mn-ea"/>
              <a:cs typeface="+mn-cs"/>
            </a:rPr>
            <a:t>This is a common example of a water tube drum fabricated from two plates of different thickness.                                                                                                                                  </a:t>
          </a:r>
          <a:r>
            <a:rPr lang="en-US" sz="1100" b="1" baseline="0" smtClean="0">
              <a:solidFill>
                <a:schemeClr val="dk1"/>
              </a:solidFill>
              <a:latin typeface="+mn-lt"/>
              <a:ea typeface="+mn-ea"/>
              <a:cs typeface="+mn-cs"/>
            </a:rPr>
            <a:t>The material SA-515-60 is carbon steel plate.</a:t>
          </a:r>
        </a:p>
        <a:p>
          <a:r>
            <a:rPr lang="en-US" sz="1100" b="1" baseline="0" smtClean="0">
              <a:solidFill>
                <a:schemeClr val="dk1"/>
              </a:solidFill>
              <a:latin typeface="+mn-lt"/>
              <a:ea typeface="+mn-ea"/>
              <a:cs typeface="+mn-cs"/>
            </a:rPr>
            <a:t>Solution:</a:t>
          </a:r>
        </a:p>
        <a:p>
          <a:r>
            <a:rPr lang="en-US" sz="1100" b="1" baseline="0" smtClean="0">
              <a:solidFill>
                <a:schemeClr val="dk1"/>
              </a:solidFill>
              <a:latin typeface="+mn-lt"/>
              <a:ea typeface="+mn-ea"/>
              <a:cs typeface="+mn-cs"/>
            </a:rPr>
            <a:t>This example has two parts:</a:t>
          </a:r>
        </a:p>
        <a:p>
          <a:r>
            <a:rPr lang="en-US" sz="1200" b="1" baseline="0" smtClean="0">
              <a:solidFill>
                <a:schemeClr val="dk1"/>
              </a:solidFill>
              <a:latin typeface="+mn-lt"/>
              <a:ea typeface="+mn-ea"/>
              <a:cs typeface="+mn-cs"/>
            </a:rPr>
            <a:t>a)  </a:t>
          </a:r>
          <a:r>
            <a:rPr lang="en-US" sz="1200" b="1" u="sng" baseline="0" smtClean="0">
              <a:solidFill>
                <a:schemeClr val="dk1"/>
              </a:solidFill>
              <a:latin typeface="+mn-lt"/>
              <a:ea typeface="+mn-ea"/>
              <a:cs typeface="+mn-cs"/>
            </a:rPr>
            <a:t>The drum - consider the drum to be plain with no penetrations.      </a:t>
          </a:r>
          <a:r>
            <a:rPr lang="en-US" sz="1200" b="1" baseline="0" smtClean="0">
              <a:solidFill>
                <a:schemeClr val="dk1"/>
              </a:solidFill>
              <a:latin typeface="+mn-lt"/>
              <a:ea typeface="+mn-ea"/>
              <a:cs typeface="+mn-cs"/>
            </a:rPr>
            <a:t>                           </a:t>
          </a:r>
          <a:r>
            <a:rPr lang="en-US" sz="1100" b="1" baseline="0" smtClean="0">
              <a:solidFill>
                <a:schemeClr val="dk1"/>
              </a:solidFill>
              <a:latin typeface="+mn-lt"/>
              <a:ea typeface="+mn-ea"/>
              <a:cs typeface="+mn-cs"/>
            </a:rPr>
            <a:t>Use equation 2.4 (inside radius R).                                                                                         </a:t>
          </a:r>
          <a:r>
            <a:rPr lang="en-US" sz="1100" b="1" i="0" baseline="0" smtClean="0">
              <a:solidFill>
                <a:schemeClr val="dk1"/>
              </a:solidFill>
              <a:latin typeface="+mn-lt"/>
              <a:ea typeface="+mn-ea"/>
              <a:cs typeface="+mn-cs"/>
            </a:rPr>
            <a:t>Drum P = SE (t - C) /  (( R + (1 - y) (t - C))                                                                           </a:t>
          </a:r>
          <a:r>
            <a:rPr lang="en-US" sz="1100" b="1" baseline="0" smtClean="0">
              <a:solidFill>
                <a:schemeClr val="dk1"/>
              </a:solidFill>
              <a:latin typeface="+mn-lt"/>
              <a:ea typeface="+mn-ea"/>
              <a:cs typeface="+mn-cs"/>
            </a:rPr>
            <a:t>Where:</a:t>
          </a:r>
        </a:p>
        <a:p>
          <a:r>
            <a:rPr lang="en-US" sz="1100" b="1" baseline="0" smtClean="0">
              <a:solidFill>
                <a:schemeClr val="dk1"/>
              </a:solidFill>
              <a:latin typeface="+mn-lt"/>
              <a:ea typeface="+mn-ea"/>
              <a:cs typeface="+mn-cs"/>
            </a:rPr>
            <a:t>S = 115 MPa [16600 psi] - SA-515-60 at 300°C [572°F])</a:t>
          </a:r>
        </a:p>
        <a:p>
          <a:r>
            <a:rPr lang="en-US" sz="1100" b="1" i="1" baseline="0" smtClean="0">
              <a:solidFill>
                <a:schemeClr val="dk1"/>
              </a:solidFill>
              <a:latin typeface="+mn-lt"/>
              <a:ea typeface="+mn-ea"/>
              <a:cs typeface="+mn-cs"/>
            </a:rPr>
            <a:t>E = 1.0</a:t>
          </a:r>
        </a:p>
        <a:p>
          <a:r>
            <a:rPr lang="en-US" sz="1100" b="1" i="1" baseline="0" smtClean="0">
              <a:solidFill>
                <a:schemeClr val="dk1"/>
              </a:solidFill>
              <a:latin typeface="+mn-lt"/>
              <a:ea typeface="+mn-ea"/>
              <a:cs typeface="+mn-cs"/>
            </a:rPr>
            <a:t>t = 38 mm [1.49 in]</a:t>
          </a:r>
        </a:p>
        <a:p>
          <a:r>
            <a:rPr lang="en-US" sz="1100" b="1" baseline="0" smtClean="0">
              <a:solidFill>
                <a:schemeClr val="dk1"/>
              </a:solidFill>
              <a:latin typeface="+mn-lt"/>
              <a:ea typeface="+mn-ea"/>
              <a:cs typeface="+mn-cs"/>
            </a:rPr>
            <a:t>C = 0</a:t>
          </a:r>
        </a:p>
        <a:p>
          <a:r>
            <a:rPr lang="en-US" sz="1100" b="1" baseline="0" smtClean="0">
              <a:solidFill>
                <a:schemeClr val="dk1"/>
              </a:solidFill>
              <a:latin typeface="+mn-lt"/>
              <a:ea typeface="+mn-ea"/>
              <a:cs typeface="+mn-cs"/>
            </a:rPr>
            <a:t>R = 500 mm [19.68 in] (Drum)</a:t>
          </a:r>
        </a:p>
        <a:p>
          <a:r>
            <a:rPr lang="en-US" sz="1100" b="1" baseline="0" smtClean="0">
              <a:solidFill>
                <a:schemeClr val="dk1"/>
              </a:solidFill>
              <a:latin typeface="+mn-lt"/>
              <a:ea typeface="+mn-ea"/>
              <a:cs typeface="+mn-cs"/>
            </a:rPr>
            <a:t>y = 0.4 (ferritic steel less than 480° C [896°F])       </a:t>
          </a:r>
          <a:r>
            <a:rPr lang="en-US" sz="1100" baseline="0" smtClean="0">
              <a:solidFill>
                <a:schemeClr val="dk1"/>
              </a:solidFill>
              <a:latin typeface="+mn-lt"/>
              <a:ea typeface="+mn-ea"/>
              <a:cs typeface="+mn-cs"/>
            </a:rPr>
            <a:t>                                                                               </a:t>
          </a:r>
          <a:r>
            <a:rPr lang="en-US" sz="1100" b="1" baseline="0" smtClean="0">
              <a:solidFill>
                <a:schemeClr val="dk1"/>
              </a:solidFill>
              <a:latin typeface="+mn-lt"/>
              <a:ea typeface="+mn-ea"/>
              <a:cs typeface="+mn-cs"/>
            </a:rPr>
            <a:t>Note: In cylindrical vessels, the stress set up by the pressure on the longitudinal joints is equal to twice the stress on the circumferential joints.</a:t>
          </a:r>
        </a:p>
      </xdr:txBody>
    </xdr:sp>
    <xdr:clientData/>
  </xdr:twoCellAnchor>
  <xdr:twoCellAnchor editAs="oneCell">
    <xdr:from>
      <xdr:col>1</xdr:col>
      <xdr:colOff>1352550</xdr:colOff>
      <xdr:row>257</xdr:row>
      <xdr:rowOff>180975</xdr:rowOff>
    </xdr:from>
    <xdr:to>
      <xdr:col>2</xdr:col>
      <xdr:colOff>142875</xdr:colOff>
      <xdr:row>271</xdr:row>
      <xdr:rowOff>131445</xdr:rowOff>
    </xdr:to>
    <xdr:pic>
      <xdr:nvPicPr>
        <xdr:cNvPr id="23" name="Picture 22" descr="DRUM-Tubesheet.jpg"/>
        <xdr:cNvPicPr>
          <a:picLocks noChangeAspect="1"/>
        </xdr:cNvPicPr>
      </xdr:nvPicPr>
      <xdr:blipFill>
        <a:blip xmlns:r="http://schemas.openxmlformats.org/officeDocument/2006/relationships" r:embed="rId2" cstate="print"/>
        <a:stretch>
          <a:fillRect/>
        </a:stretch>
      </xdr:blipFill>
      <xdr:spPr>
        <a:xfrm>
          <a:off x="1581150" y="62083950"/>
          <a:ext cx="2657475" cy="2619375"/>
        </a:xfrm>
        <a:prstGeom prst="rect">
          <a:avLst/>
        </a:prstGeom>
      </xdr:spPr>
    </xdr:pic>
    <xdr:clientData/>
  </xdr:twoCellAnchor>
  <xdr:twoCellAnchor>
    <xdr:from>
      <xdr:col>1</xdr:col>
      <xdr:colOff>219075</xdr:colOff>
      <xdr:row>292</xdr:row>
      <xdr:rowOff>66675</xdr:rowOff>
    </xdr:from>
    <xdr:to>
      <xdr:col>2</xdr:col>
      <xdr:colOff>1076325</xdr:colOff>
      <xdr:row>305</xdr:row>
      <xdr:rowOff>38100</xdr:rowOff>
    </xdr:to>
    <xdr:sp macro="" textlink="">
      <xdr:nvSpPr>
        <xdr:cNvPr id="24" name="TextBox 23"/>
        <xdr:cNvSpPr txBox="1"/>
      </xdr:nvSpPr>
      <xdr:spPr>
        <a:xfrm>
          <a:off x="447675" y="68770500"/>
          <a:ext cx="4810125" cy="2447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baseline="0">
              <a:solidFill>
                <a:schemeClr val="dk1"/>
              </a:solidFill>
              <a:latin typeface="+mn-lt"/>
              <a:ea typeface="+mn-ea"/>
              <a:cs typeface="+mn-cs"/>
            </a:rPr>
            <a:t>b) </a:t>
          </a:r>
          <a:r>
            <a:rPr lang="en-US" sz="1200" b="1" i="0" u="sng" baseline="0">
              <a:solidFill>
                <a:schemeClr val="dk1"/>
              </a:solidFill>
              <a:latin typeface="+mn-lt"/>
              <a:ea typeface="+mn-ea"/>
              <a:cs typeface="+mn-cs"/>
            </a:rPr>
            <a:t>The tube sheet - consider the drum to have penetrations for boiler tubes.</a:t>
          </a:r>
          <a:endParaRPr lang="en-US" sz="1200"/>
        </a:p>
        <a:p>
          <a:r>
            <a:rPr lang="en-US" sz="1100" b="1" i="0" baseline="0">
              <a:solidFill>
                <a:schemeClr val="dk1"/>
              </a:solidFill>
              <a:latin typeface="+mn-lt"/>
              <a:ea typeface="+mn-ea"/>
              <a:cs typeface="+mn-cs"/>
            </a:rPr>
            <a:t>Use equation 2.4 (inside radius R).                                                                                                P = S*E*(t -C) / ((R + (1 - y)*(t - C))                                                                                           Where:</a:t>
          </a:r>
          <a:endParaRPr lang="en-US"/>
        </a:p>
        <a:p>
          <a:r>
            <a:rPr lang="en-US" sz="1100" b="1" i="0" baseline="0">
              <a:solidFill>
                <a:schemeClr val="dk1"/>
              </a:solidFill>
              <a:latin typeface="+mn-lt"/>
              <a:ea typeface="+mn-ea"/>
              <a:cs typeface="+mn-cs"/>
            </a:rPr>
            <a:t>S = 115 MPa [16600 psi] - SA-515-60 at 300°C [572°F])</a:t>
          </a:r>
          <a:endParaRPr lang="en-US"/>
        </a:p>
        <a:p>
          <a:r>
            <a:rPr lang="en-US" sz="1100" b="1" i="0" baseline="0">
              <a:solidFill>
                <a:schemeClr val="dk1"/>
              </a:solidFill>
              <a:latin typeface="+mn-lt"/>
              <a:ea typeface="+mn-ea"/>
              <a:cs typeface="+mn-cs"/>
            </a:rPr>
            <a:t>E = 0.56 (circumferential stress = 30% and longitudinal stress = 56%; therefore, 0.56 &lt; 2 x 0.30)</a:t>
          </a:r>
          <a:endParaRPr lang="en-US"/>
        </a:p>
        <a:p>
          <a:r>
            <a:rPr lang="en-US" sz="1100" b="1" i="0" baseline="0">
              <a:solidFill>
                <a:schemeClr val="dk1"/>
              </a:solidFill>
              <a:latin typeface="+mn-lt"/>
              <a:ea typeface="+mn-ea"/>
              <a:cs typeface="+mn-cs"/>
            </a:rPr>
            <a:t>T = 59.5 mm [2.34 in]</a:t>
          </a:r>
          <a:endParaRPr lang="en-US"/>
        </a:p>
        <a:p>
          <a:r>
            <a:rPr lang="en-US" sz="1100" b="1" i="0" baseline="0">
              <a:solidFill>
                <a:schemeClr val="dk1"/>
              </a:solidFill>
              <a:latin typeface="+mn-lt"/>
              <a:ea typeface="+mn-ea"/>
              <a:cs typeface="+mn-cs"/>
            </a:rPr>
            <a:t>C = 0</a:t>
          </a:r>
          <a:endParaRPr lang="en-US"/>
        </a:p>
        <a:p>
          <a:r>
            <a:rPr lang="en-US" sz="1100" b="1" i="0" baseline="0">
              <a:solidFill>
                <a:schemeClr val="dk1"/>
              </a:solidFill>
              <a:latin typeface="+mn-lt"/>
              <a:ea typeface="+mn-ea"/>
              <a:cs typeface="+mn-cs"/>
            </a:rPr>
            <a:t>R = 475 mm [18.7 in] (for the tube sheet).</a:t>
          </a:r>
          <a:endParaRPr lang="en-US"/>
        </a:p>
        <a:p>
          <a:r>
            <a:rPr lang="en-US" sz="1100" b="1" i="0" baseline="0">
              <a:solidFill>
                <a:schemeClr val="dk1"/>
              </a:solidFill>
              <a:latin typeface="+mn-lt"/>
              <a:ea typeface="+mn-ea"/>
              <a:cs typeface="+mn-cs"/>
            </a:rPr>
            <a:t>y = 0.4 [ferritic steel less than 480°C (896°F)]     See table right.                                                                              </a:t>
          </a:r>
          <a:r>
            <a:rPr lang="en-US" sz="1100" b="1" baseline="0">
              <a:solidFill>
                <a:schemeClr val="dk1"/>
              </a:solidFill>
              <a:latin typeface="+mn-lt"/>
              <a:ea typeface="+mn-ea"/>
              <a:cs typeface="+mn-cs"/>
            </a:rPr>
            <a:t>Note: The maximum allowable working pressure (MAWP) is based on the lowest number.</a:t>
          </a:r>
          <a:endParaRPr lang="en-US" sz="1100" b="1" i="0">
            <a:solidFill>
              <a:schemeClr val="dk1"/>
            </a:solidFill>
            <a:latin typeface="+mn-lt"/>
            <a:ea typeface="+mn-ea"/>
            <a:cs typeface="+mn-cs"/>
          </a:endParaRPr>
        </a:p>
      </xdr:txBody>
    </xdr:sp>
    <xdr:clientData/>
  </xdr:twoCellAnchor>
  <xdr:twoCellAnchor>
    <xdr:from>
      <xdr:col>1</xdr:col>
      <xdr:colOff>219075</xdr:colOff>
      <xdr:row>342</xdr:row>
      <xdr:rowOff>66675</xdr:rowOff>
    </xdr:from>
    <xdr:to>
      <xdr:col>2</xdr:col>
      <xdr:colOff>1076325</xdr:colOff>
      <xdr:row>355</xdr:row>
      <xdr:rowOff>38100</xdr:rowOff>
    </xdr:to>
    <xdr:sp macro="" textlink="">
      <xdr:nvSpPr>
        <xdr:cNvPr id="25" name="TextBox 24"/>
        <xdr:cNvSpPr txBox="1"/>
      </xdr:nvSpPr>
      <xdr:spPr>
        <a:xfrm>
          <a:off x="447675" y="68770500"/>
          <a:ext cx="4714875" cy="24479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i="0" baseline="0">
              <a:solidFill>
                <a:schemeClr val="dk1"/>
              </a:solidFill>
              <a:latin typeface="+mn-lt"/>
              <a:ea typeface="+mn-ea"/>
              <a:cs typeface="+mn-cs"/>
            </a:rPr>
            <a:t>b) </a:t>
          </a:r>
          <a:r>
            <a:rPr lang="en-US" sz="1200" b="1" i="0" u="sng" baseline="0">
              <a:solidFill>
                <a:schemeClr val="dk1"/>
              </a:solidFill>
              <a:latin typeface="+mn-lt"/>
              <a:ea typeface="+mn-ea"/>
              <a:cs typeface="+mn-cs"/>
            </a:rPr>
            <a:t>The tube sheet - consider the drum to have penetrations for boiler tubes.</a:t>
          </a:r>
          <a:endParaRPr lang="en-US" sz="1200"/>
        </a:p>
        <a:p>
          <a:r>
            <a:rPr lang="en-US" sz="1100" b="1" i="0" baseline="0">
              <a:solidFill>
                <a:schemeClr val="dk1"/>
              </a:solidFill>
              <a:latin typeface="+mn-lt"/>
              <a:ea typeface="+mn-ea"/>
              <a:cs typeface="+mn-cs"/>
            </a:rPr>
            <a:t>Use equation 2.4 (inside radius R).                                                                                                P = S*E*(t -C) / ((R + (1 - y)*(t - C))                                                                                           Where:</a:t>
          </a:r>
          <a:endParaRPr lang="en-US"/>
        </a:p>
        <a:p>
          <a:r>
            <a:rPr lang="en-US" sz="1100" b="1" i="0" baseline="0">
              <a:solidFill>
                <a:schemeClr val="dk1"/>
              </a:solidFill>
              <a:latin typeface="+mn-lt"/>
              <a:ea typeface="+mn-ea"/>
              <a:cs typeface="+mn-cs"/>
            </a:rPr>
            <a:t>S = 115 MPa [16600 psi] - SA-515-60 at 300°C [572°F])</a:t>
          </a:r>
          <a:endParaRPr lang="en-US"/>
        </a:p>
        <a:p>
          <a:r>
            <a:rPr lang="en-US" sz="1100" b="1" i="0" baseline="0">
              <a:solidFill>
                <a:schemeClr val="dk1"/>
              </a:solidFill>
              <a:latin typeface="+mn-lt"/>
              <a:ea typeface="+mn-ea"/>
              <a:cs typeface="+mn-cs"/>
            </a:rPr>
            <a:t>E = 0.56 (circumferential stress = 30% and longitudinal stress = 56%; therefore, 0.56 &lt; 2 x 0.30)</a:t>
          </a:r>
          <a:endParaRPr lang="en-US"/>
        </a:p>
        <a:p>
          <a:r>
            <a:rPr lang="en-US" sz="1100" b="1" i="0" baseline="0">
              <a:solidFill>
                <a:schemeClr val="dk1"/>
              </a:solidFill>
              <a:latin typeface="+mn-lt"/>
              <a:ea typeface="+mn-ea"/>
              <a:cs typeface="+mn-cs"/>
            </a:rPr>
            <a:t>T = 59.5 mm [2.34 in]</a:t>
          </a:r>
          <a:endParaRPr lang="en-US"/>
        </a:p>
        <a:p>
          <a:r>
            <a:rPr lang="en-US" sz="1100" b="1" i="0" baseline="0">
              <a:solidFill>
                <a:schemeClr val="dk1"/>
              </a:solidFill>
              <a:latin typeface="+mn-lt"/>
              <a:ea typeface="+mn-ea"/>
              <a:cs typeface="+mn-cs"/>
            </a:rPr>
            <a:t>C = 0</a:t>
          </a:r>
          <a:endParaRPr lang="en-US"/>
        </a:p>
        <a:p>
          <a:r>
            <a:rPr lang="en-US" sz="1100" b="1" i="0" baseline="0">
              <a:solidFill>
                <a:schemeClr val="dk1"/>
              </a:solidFill>
              <a:latin typeface="+mn-lt"/>
              <a:ea typeface="+mn-ea"/>
              <a:cs typeface="+mn-cs"/>
            </a:rPr>
            <a:t>R = 475 mm [18.7 in] (for the tube sheet).</a:t>
          </a:r>
          <a:endParaRPr lang="en-US"/>
        </a:p>
        <a:p>
          <a:r>
            <a:rPr lang="en-US" sz="1100" b="1" i="0" baseline="0">
              <a:solidFill>
                <a:schemeClr val="dk1"/>
              </a:solidFill>
              <a:latin typeface="+mn-lt"/>
              <a:ea typeface="+mn-ea"/>
              <a:cs typeface="+mn-cs"/>
            </a:rPr>
            <a:t>y = 0.4 [ferritic steel less than 480°C (896°F)]                                                                                   </a:t>
          </a:r>
          <a:r>
            <a:rPr lang="en-US" sz="1100" b="1" baseline="0">
              <a:solidFill>
                <a:schemeClr val="dk1"/>
              </a:solidFill>
              <a:latin typeface="+mn-lt"/>
              <a:ea typeface="+mn-ea"/>
              <a:cs typeface="+mn-cs"/>
            </a:rPr>
            <a:t>Note: The maximum allowable working pressure (MAWP) is based on the lowest number.</a:t>
          </a:r>
          <a:endParaRPr lang="en-US" sz="1100" b="1" i="0">
            <a:solidFill>
              <a:schemeClr val="dk1"/>
            </a:solidFill>
            <a:latin typeface="+mn-lt"/>
            <a:ea typeface="+mn-ea"/>
            <a:cs typeface="+mn-cs"/>
          </a:endParaRPr>
        </a:p>
      </xdr:txBody>
    </xdr:sp>
    <xdr:clientData/>
  </xdr:twoCellAnchor>
  <xdr:twoCellAnchor>
    <xdr:from>
      <xdr:col>0</xdr:col>
      <xdr:colOff>209550</xdr:colOff>
      <xdr:row>445</xdr:row>
      <xdr:rowOff>133349</xdr:rowOff>
    </xdr:from>
    <xdr:to>
      <xdr:col>3</xdr:col>
      <xdr:colOff>9525</xdr:colOff>
      <xdr:row>455</xdr:row>
      <xdr:rowOff>57150</xdr:rowOff>
    </xdr:to>
    <xdr:sp macro="" textlink="">
      <xdr:nvSpPr>
        <xdr:cNvPr id="37" name="TextBox 36"/>
        <xdr:cNvSpPr txBox="1"/>
      </xdr:nvSpPr>
      <xdr:spPr>
        <a:xfrm>
          <a:off x="209550" y="98297999"/>
          <a:ext cx="4962525" cy="18288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baseline="0" smtClean="0">
              <a:solidFill>
                <a:schemeClr val="dk1"/>
              </a:solidFill>
              <a:latin typeface="+mn-lt"/>
              <a:ea typeface="+mn-ea"/>
              <a:cs typeface="+mn-cs"/>
            </a:rPr>
            <a:t>6.2 – Elliptical or Ellipsoidal Heads</a:t>
          </a:r>
        </a:p>
        <a:p>
          <a:r>
            <a:rPr lang="en-US" sz="1100" b="1" baseline="0" smtClean="0">
              <a:solidFill>
                <a:schemeClr val="dk1"/>
              </a:solidFill>
              <a:latin typeface="+mn-lt"/>
              <a:ea typeface="+mn-ea"/>
              <a:cs typeface="+mn-cs"/>
            </a:rPr>
            <a:t>The commonly used ellipsoidal head has a ratio of base radius to depth of 2:1 (shown below).                                                                                                                         The actual shape can be approximated by a spherical radius of 0.9D and a knuckle radius of 0.17D (shown in Fig. 2b.)                                                                                         The required thickness of 2:1 heads with pressure on the concave side is given in paragraph UG-32 (d).</a:t>
          </a:r>
        </a:p>
        <a:p>
          <a:r>
            <a:rPr lang="en-US" sz="1100" b="1" baseline="0" smtClean="0">
              <a:solidFill>
                <a:schemeClr val="dk1"/>
              </a:solidFill>
              <a:latin typeface="+mn-lt"/>
              <a:ea typeface="+mn-ea"/>
              <a:cs typeface="+mn-cs"/>
            </a:rPr>
            <a:t>Semi-Elliptical or Semi-Ellipsoidal Heads – 2:1                                                                             D / 2*H = 2</a:t>
          </a:r>
          <a:endParaRPr lang="en-US" sz="1100" b="1"/>
        </a:p>
      </xdr:txBody>
    </xdr:sp>
    <xdr:clientData/>
  </xdr:twoCellAnchor>
  <xdr:twoCellAnchor>
    <xdr:from>
      <xdr:col>1</xdr:col>
      <xdr:colOff>0</xdr:colOff>
      <xdr:row>484</xdr:row>
      <xdr:rowOff>171451</xdr:rowOff>
    </xdr:from>
    <xdr:to>
      <xdr:col>3</xdr:col>
      <xdr:colOff>0</xdr:colOff>
      <xdr:row>490</xdr:row>
      <xdr:rowOff>171451</xdr:rowOff>
    </xdr:to>
    <xdr:sp macro="" textlink="">
      <xdr:nvSpPr>
        <xdr:cNvPr id="41" name="TextBox 40"/>
        <xdr:cNvSpPr txBox="1"/>
      </xdr:nvSpPr>
      <xdr:spPr>
        <a:xfrm>
          <a:off x="228600" y="92811601"/>
          <a:ext cx="5038725" cy="1143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baseline="0" smtClean="0">
              <a:solidFill>
                <a:schemeClr val="dk1"/>
              </a:solidFill>
              <a:latin typeface="+mn-lt"/>
              <a:ea typeface="+mn-ea"/>
              <a:cs typeface="+mn-cs"/>
            </a:rPr>
            <a:t>Note: Ellipsoidal heads designed under K &gt; 1.0 and all torispherical heads made of materials having a specified min. tensile strength &gt; 80 000 psi shall be designed using a value of S = 20 000 psi at room temperature and reduced in proportion to the reduction in max. allowable stress values at temperature for the material as shown in the appropriate table (see UG-23).</a:t>
          </a:r>
          <a:endParaRPr lang="en-US" sz="1200" b="1"/>
        </a:p>
      </xdr:txBody>
    </xdr:sp>
    <xdr:clientData/>
  </xdr:twoCellAnchor>
  <xdr:twoCellAnchor>
    <xdr:from>
      <xdr:col>1</xdr:col>
      <xdr:colOff>361950</xdr:colOff>
      <xdr:row>71</xdr:row>
      <xdr:rowOff>104775</xdr:rowOff>
    </xdr:from>
    <xdr:to>
      <xdr:col>2</xdr:col>
      <xdr:colOff>762000</xdr:colOff>
      <xdr:row>82</xdr:row>
      <xdr:rowOff>9525</xdr:rowOff>
    </xdr:to>
    <xdr:sp macro="" textlink="">
      <xdr:nvSpPr>
        <xdr:cNvPr id="43" name="TextBox 42"/>
        <xdr:cNvSpPr txBox="1"/>
      </xdr:nvSpPr>
      <xdr:spPr>
        <a:xfrm>
          <a:off x="590550" y="5343525"/>
          <a:ext cx="4352925" cy="2000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latin typeface="+mn-lt"/>
              <a:ea typeface="+mn-ea"/>
              <a:cs typeface="+mn-cs"/>
            </a:rPr>
            <a:t>DISCLAIMER: The materials contained in the online course are not intended as a representation or warranty on the part of PDH Center or any other person/organization named herein. The materials are for general information only. They are not a substitute for competent professional advice. Application of this information to a specific project should be reviewed by a registered architect and/or professional engineer/surveyor. Anyone making use of the information set forth herein does so at their own risk and assumes any and all resulting liability arising there from.</a:t>
          </a:r>
        </a:p>
      </xdr:txBody>
    </xdr:sp>
    <xdr:clientData/>
  </xdr:twoCellAnchor>
  <xdr:twoCellAnchor editAs="oneCell">
    <xdr:from>
      <xdr:col>1</xdr:col>
      <xdr:colOff>952500</xdr:colOff>
      <xdr:row>456</xdr:row>
      <xdr:rowOff>19050</xdr:rowOff>
    </xdr:from>
    <xdr:to>
      <xdr:col>2</xdr:col>
      <xdr:colOff>428625</xdr:colOff>
      <xdr:row>463</xdr:row>
      <xdr:rowOff>152400</xdr:rowOff>
    </xdr:to>
    <xdr:pic>
      <xdr:nvPicPr>
        <xdr:cNvPr id="29" name="Picture 28" descr="Ellipsoidal Head.jpg"/>
        <xdr:cNvPicPr>
          <a:picLocks noChangeAspect="1"/>
        </xdr:cNvPicPr>
      </xdr:nvPicPr>
      <xdr:blipFill>
        <a:blip xmlns:r="http://schemas.openxmlformats.org/officeDocument/2006/relationships" r:embed="rId3" cstate="print"/>
        <a:stretch>
          <a:fillRect/>
        </a:stretch>
      </xdr:blipFill>
      <xdr:spPr>
        <a:xfrm>
          <a:off x="1181100" y="82953225"/>
          <a:ext cx="3343275" cy="1466850"/>
        </a:xfrm>
        <a:prstGeom prst="rect">
          <a:avLst/>
        </a:prstGeom>
      </xdr:spPr>
    </xdr:pic>
    <xdr:clientData/>
  </xdr:twoCellAnchor>
  <xdr:twoCellAnchor editAs="oneCell">
    <xdr:from>
      <xdr:col>1</xdr:col>
      <xdr:colOff>866775</xdr:colOff>
      <xdr:row>388</xdr:row>
      <xdr:rowOff>152400</xdr:rowOff>
    </xdr:from>
    <xdr:to>
      <xdr:col>1</xdr:col>
      <xdr:colOff>3695700</xdr:colOff>
      <xdr:row>397</xdr:row>
      <xdr:rowOff>171450</xdr:rowOff>
    </xdr:to>
    <xdr:pic>
      <xdr:nvPicPr>
        <xdr:cNvPr id="31" name="Picture 30" descr="Hemispherical Head.jpg"/>
        <xdr:cNvPicPr>
          <a:picLocks noChangeAspect="1"/>
        </xdr:cNvPicPr>
      </xdr:nvPicPr>
      <xdr:blipFill>
        <a:blip xmlns:r="http://schemas.openxmlformats.org/officeDocument/2006/relationships" r:embed="rId4" cstate="print"/>
        <a:stretch>
          <a:fillRect/>
        </a:stretch>
      </xdr:blipFill>
      <xdr:spPr>
        <a:xfrm>
          <a:off x="1095375" y="66722625"/>
          <a:ext cx="2828925" cy="1733550"/>
        </a:xfrm>
        <a:prstGeom prst="rect">
          <a:avLst/>
        </a:prstGeom>
      </xdr:spPr>
    </xdr:pic>
    <xdr:clientData/>
  </xdr:twoCellAnchor>
  <xdr:twoCellAnchor editAs="oneCell">
    <xdr:from>
      <xdr:col>1</xdr:col>
      <xdr:colOff>781050</xdr:colOff>
      <xdr:row>496</xdr:row>
      <xdr:rowOff>104775</xdr:rowOff>
    </xdr:from>
    <xdr:to>
      <xdr:col>1</xdr:col>
      <xdr:colOff>3657600</xdr:colOff>
      <xdr:row>510</xdr:row>
      <xdr:rowOff>152400</xdr:rowOff>
    </xdr:to>
    <xdr:pic>
      <xdr:nvPicPr>
        <xdr:cNvPr id="26" name="Picture 25" descr="Torispherical Head.jpg"/>
        <xdr:cNvPicPr>
          <a:picLocks noChangeAspect="1"/>
        </xdr:cNvPicPr>
      </xdr:nvPicPr>
      <xdr:blipFill>
        <a:blip xmlns:r="http://schemas.openxmlformats.org/officeDocument/2006/relationships" r:embed="rId5" cstate="print"/>
        <a:stretch>
          <a:fillRect/>
        </a:stretch>
      </xdr:blipFill>
      <xdr:spPr>
        <a:xfrm>
          <a:off x="1009650" y="90906600"/>
          <a:ext cx="2876550" cy="2714625"/>
        </a:xfrm>
        <a:prstGeom prst="rect">
          <a:avLst/>
        </a:prstGeom>
      </xdr:spPr>
    </xdr:pic>
    <xdr:clientData/>
  </xdr:twoCellAnchor>
  <xdr:twoCellAnchor editAs="oneCell">
    <xdr:from>
      <xdr:col>1</xdr:col>
      <xdr:colOff>1076325</xdr:colOff>
      <xdr:row>539</xdr:row>
      <xdr:rowOff>85725</xdr:rowOff>
    </xdr:from>
    <xdr:to>
      <xdr:col>1</xdr:col>
      <xdr:colOff>3781425</xdr:colOff>
      <xdr:row>554</xdr:row>
      <xdr:rowOff>38100</xdr:rowOff>
    </xdr:to>
    <xdr:pic>
      <xdr:nvPicPr>
        <xdr:cNvPr id="27" name="Picture 26" descr="Conical Head.jpg"/>
        <xdr:cNvPicPr>
          <a:picLocks noChangeAspect="1"/>
        </xdr:cNvPicPr>
      </xdr:nvPicPr>
      <xdr:blipFill>
        <a:blip xmlns:r="http://schemas.openxmlformats.org/officeDocument/2006/relationships" r:embed="rId6" cstate="print"/>
        <a:stretch>
          <a:fillRect/>
        </a:stretch>
      </xdr:blipFill>
      <xdr:spPr>
        <a:xfrm>
          <a:off x="1304925" y="99260025"/>
          <a:ext cx="2705100" cy="2809875"/>
        </a:xfrm>
        <a:prstGeom prst="rect">
          <a:avLst/>
        </a:prstGeom>
      </xdr:spPr>
    </xdr:pic>
    <xdr:clientData/>
  </xdr:twoCellAnchor>
  <xdr:twoCellAnchor editAs="oneCell">
    <xdr:from>
      <xdr:col>0</xdr:col>
      <xdr:colOff>95250</xdr:colOff>
      <xdr:row>4</xdr:row>
      <xdr:rowOff>228600</xdr:rowOff>
    </xdr:from>
    <xdr:to>
      <xdr:col>1</xdr:col>
      <xdr:colOff>3752850</xdr:colOff>
      <xdr:row>16</xdr:row>
      <xdr:rowOff>9525</xdr:rowOff>
    </xdr:to>
    <xdr:pic>
      <xdr:nvPicPr>
        <xdr:cNvPr id="28" name="Picture 27" descr="4 Types of Weld.jpg"/>
        <xdr:cNvPicPr>
          <a:picLocks noChangeAspect="1"/>
        </xdr:cNvPicPr>
      </xdr:nvPicPr>
      <xdr:blipFill>
        <a:blip xmlns:r="http://schemas.openxmlformats.org/officeDocument/2006/relationships" r:embed="rId1" cstate="print"/>
        <a:stretch>
          <a:fillRect/>
        </a:stretch>
      </xdr:blipFill>
      <xdr:spPr>
        <a:xfrm>
          <a:off x="95250" y="1076325"/>
          <a:ext cx="3886200" cy="2114550"/>
        </a:xfrm>
        <a:prstGeom prst="rect">
          <a:avLst/>
        </a:prstGeom>
      </xdr:spPr>
    </xdr:pic>
    <xdr:clientData/>
  </xdr:twoCellAnchor>
  <xdr:twoCellAnchor>
    <xdr:from>
      <xdr:col>1</xdr:col>
      <xdr:colOff>3171825</xdr:colOff>
      <xdr:row>13</xdr:row>
      <xdr:rowOff>85726</xdr:rowOff>
    </xdr:from>
    <xdr:to>
      <xdr:col>4</xdr:col>
      <xdr:colOff>57150</xdr:colOff>
      <xdr:row>18</xdr:row>
      <xdr:rowOff>142876</xdr:rowOff>
    </xdr:to>
    <xdr:sp macro="" textlink="">
      <xdr:nvSpPr>
        <xdr:cNvPr id="32" name="TextBox 31"/>
        <xdr:cNvSpPr txBox="1"/>
      </xdr:nvSpPr>
      <xdr:spPr>
        <a:xfrm>
          <a:off x="3400425" y="2695576"/>
          <a:ext cx="2219325" cy="10096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defRPr/>
          </a:pPr>
          <a:r>
            <a:rPr lang="en-US" sz="1200" b="1">
              <a:solidFill>
                <a:schemeClr val="dk1"/>
              </a:solidFill>
              <a:latin typeface="+mn-lt"/>
              <a:ea typeface="+mn-ea"/>
              <a:cs typeface="+mn-cs"/>
            </a:rPr>
            <a:t>4 Types of Pressure Vessel</a:t>
          </a:r>
          <a:r>
            <a:rPr lang="en-US" sz="1200" b="1" baseline="0">
              <a:solidFill>
                <a:schemeClr val="dk1"/>
              </a:solidFill>
              <a:latin typeface="+mn-lt"/>
              <a:ea typeface="+mn-ea"/>
              <a:cs typeface="+mn-cs"/>
            </a:rPr>
            <a:t> </a:t>
          </a:r>
          <a:r>
            <a:rPr lang="en-US" sz="1200" b="1">
              <a:solidFill>
                <a:schemeClr val="dk1"/>
              </a:solidFill>
              <a:latin typeface="+mn-lt"/>
              <a:ea typeface="+mn-ea"/>
              <a:cs typeface="+mn-cs"/>
            </a:rPr>
            <a:t>Weld                                                                        </a:t>
          </a:r>
          <a:r>
            <a:rPr lang="en-US" sz="1100" b="1">
              <a:solidFill>
                <a:schemeClr val="dk1"/>
              </a:solidFill>
              <a:latin typeface="+mn-lt"/>
              <a:ea typeface="+mn-ea"/>
              <a:cs typeface="+mn-cs"/>
            </a:rPr>
            <a:t>a -Welded Longitudinal Joints                                                                                               b -Welded</a:t>
          </a:r>
          <a:r>
            <a:rPr lang="en-US" sz="1100" b="1" baseline="0">
              <a:solidFill>
                <a:schemeClr val="dk1"/>
              </a:solidFill>
              <a:latin typeface="+mn-lt"/>
              <a:ea typeface="+mn-ea"/>
              <a:cs typeface="+mn-cs"/>
            </a:rPr>
            <a:t> Circumferential joints                                                                       c- Welded Flanges                                                                                                  d-Welded Nozzles</a:t>
          </a:r>
          <a:endParaRPr lang="en-US" sz="1100" b="1">
            <a:solidFill>
              <a:schemeClr val="dk1"/>
            </a:solidFill>
            <a:latin typeface="+mn-lt"/>
            <a:ea typeface="+mn-ea"/>
            <a:cs typeface="+mn-cs"/>
          </a:endParaRPr>
        </a:p>
      </xdr:txBody>
    </xdr:sp>
    <xdr:clientData/>
  </xdr:twoCellAnchor>
  <xdr:twoCellAnchor>
    <xdr:from>
      <xdr:col>0</xdr:col>
      <xdr:colOff>209550</xdr:colOff>
      <xdr:row>46</xdr:row>
      <xdr:rowOff>47626</xdr:rowOff>
    </xdr:from>
    <xdr:to>
      <xdr:col>2</xdr:col>
      <xdr:colOff>561975</xdr:colOff>
      <xdr:row>62</xdr:row>
      <xdr:rowOff>28575</xdr:rowOff>
    </xdr:to>
    <xdr:sp macro="" textlink="">
      <xdr:nvSpPr>
        <xdr:cNvPr id="33" name="TextBox 32"/>
        <xdr:cNvSpPr txBox="1"/>
      </xdr:nvSpPr>
      <xdr:spPr>
        <a:xfrm>
          <a:off x="209550" y="8601076"/>
          <a:ext cx="4448175" cy="30289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baseline="0" smtClean="0">
              <a:solidFill>
                <a:schemeClr val="dk1"/>
              </a:solidFill>
              <a:latin typeface="+mn-lt"/>
              <a:ea typeface="+mn-ea"/>
              <a:cs typeface="+mn-cs"/>
            </a:rPr>
            <a:t>PRESSURE VESSELS                                                                                                             </a:t>
          </a:r>
          <a:r>
            <a:rPr lang="en-US" sz="1100" b="1" baseline="0" smtClean="0">
              <a:solidFill>
                <a:schemeClr val="dk1"/>
              </a:solidFill>
              <a:latin typeface="+mn-lt"/>
              <a:ea typeface="+mn-ea"/>
              <a:cs typeface="+mn-cs"/>
            </a:rPr>
            <a:t>Pressure vessels used in industry are leak-tight pressure containers, usually cylindrical or spherical in shape, with different head configurations.                     They are usually made from carbon or stainless steel and assembled by welding. Early operation of pressure vessels and boilers resulted in numerous explosions, causing loss of life and considerable property damage.</a:t>
          </a:r>
        </a:p>
        <a:p>
          <a:r>
            <a:rPr lang="en-US" sz="1100" b="1" baseline="0" smtClean="0">
              <a:solidFill>
                <a:schemeClr val="dk1"/>
              </a:solidFill>
              <a:latin typeface="+mn-lt"/>
              <a:ea typeface="+mn-ea"/>
              <a:cs typeface="+mn-cs"/>
            </a:rPr>
            <a:t>Some 80 years ago, the American Society of Mechanical Engineers formed a committee for the purpose of establishing minimum safety rules of construction for boilers. In 1925 the committee issued a set of rules for the design and construction of unfired pressure vessels.</a:t>
          </a:r>
        </a:p>
        <a:p>
          <a:r>
            <a:rPr lang="en-US" sz="1100" b="1" baseline="0" smtClean="0">
              <a:solidFill>
                <a:schemeClr val="dk1"/>
              </a:solidFill>
              <a:latin typeface="+mn-lt"/>
              <a:ea typeface="+mn-ea"/>
              <a:cs typeface="+mn-cs"/>
            </a:rPr>
            <a:t>Most states have laws mandating that these Code rules be met. Enforcement of these rules is accomplished via a third party employed by the state or the insurance company.                                                                                                               These Codes are living documents in that they are constantly being revised and updated by committees composed of individuals knowledgeable on the subject. Keeping current requires that the revised Codes be published every three years with addenda's issued every year.                                                                                           This chapter covers a very generalized approach to pressure vessel design based on the ASME Boiler and Pressure Vessel Code, Section VIII, Division 1: Pressure Vessels.</a:t>
          </a:r>
          <a:endParaRPr lang="en-US" sz="1100" b="1"/>
        </a:p>
      </xdr:txBody>
    </xdr:sp>
    <xdr:clientData/>
  </xdr:twoCellAnchor>
  <xdr:twoCellAnchor editAs="oneCell">
    <xdr:from>
      <xdr:col>0</xdr:col>
      <xdr:colOff>161925</xdr:colOff>
      <xdr:row>578</xdr:row>
      <xdr:rowOff>133350</xdr:rowOff>
    </xdr:from>
    <xdr:to>
      <xdr:col>4</xdr:col>
      <xdr:colOff>28575</xdr:colOff>
      <xdr:row>610</xdr:row>
      <xdr:rowOff>171450</xdr:rowOff>
    </xdr:to>
    <xdr:pic>
      <xdr:nvPicPr>
        <xdr:cNvPr id="34" name="Picture 33" descr="HEAD-SHELL.jpg"/>
        <xdr:cNvPicPr>
          <a:picLocks noChangeAspect="1"/>
        </xdr:cNvPicPr>
      </xdr:nvPicPr>
      <xdr:blipFill>
        <a:blip xmlns:r="http://schemas.openxmlformats.org/officeDocument/2006/relationships" r:embed="rId7" cstate="print"/>
        <a:stretch>
          <a:fillRect/>
        </a:stretch>
      </xdr:blipFill>
      <xdr:spPr>
        <a:xfrm>
          <a:off x="161925" y="116004975"/>
          <a:ext cx="5429250" cy="6134100"/>
        </a:xfrm>
        <a:prstGeom prst="rect">
          <a:avLst/>
        </a:prstGeom>
      </xdr:spPr>
    </xdr:pic>
    <xdr:clientData/>
  </xdr:twoCellAnchor>
  <xdr:twoCellAnchor>
    <xdr:from>
      <xdr:col>1</xdr:col>
      <xdr:colOff>0</xdr:colOff>
      <xdr:row>30</xdr:row>
      <xdr:rowOff>238125</xdr:rowOff>
    </xdr:from>
    <xdr:to>
      <xdr:col>1</xdr:col>
      <xdr:colOff>1781175</xdr:colOff>
      <xdr:row>40</xdr:row>
      <xdr:rowOff>219075</xdr:rowOff>
    </xdr:to>
    <xdr:sp macro="" textlink="">
      <xdr:nvSpPr>
        <xdr:cNvPr id="38" name="TextBox 37"/>
        <xdr:cNvSpPr txBox="1"/>
      </xdr:nvSpPr>
      <xdr:spPr>
        <a:xfrm>
          <a:off x="228600" y="6134100"/>
          <a:ext cx="1781175" cy="2028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Shell Longitudinal</a:t>
          </a:r>
          <a:r>
            <a:rPr lang="en-US" sz="1200" b="1" baseline="0"/>
            <a:t> Joint                    </a:t>
          </a:r>
          <a:r>
            <a:rPr lang="en-US" sz="1100" b="1"/>
            <a:t>Equating </a:t>
          </a:r>
          <a:r>
            <a:rPr lang="en-US" sz="1100" b="1" baseline="0"/>
            <a:t> internal pressure force and shell stress force:                             P*D*L = </a:t>
          </a:r>
          <a:r>
            <a:rPr lang="en-US" sz="1100" b="1" baseline="0">
              <a:latin typeface="+mn-lt"/>
            </a:rPr>
            <a:t>  S</a:t>
          </a:r>
          <a:r>
            <a:rPr lang="en-US" sz="800" b="1" baseline="0">
              <a:latin typeface="+mn-lt"/>
            </a:rPr>
            <a:t>L</a:t>
          </a:r>
          <a:r>
            <a:rPr lang="en-US" sz="1100" b="1" baseline="0">
              <a:latin typeface="+mn-lt"/>
            </a:rPr>
            <a:t>*2*t*L                       S</a:t>
          </a:r>
          <a:r>
            <a:rPr lang="en-US" sz="800" b="1" baseline="0">
              <a:latin typeface="+mn-lt"/>
            </a:rPr>
            <a:t>L</a:t>
          </a:r>
          <a:r>
            <a:rPr lang="en-US" sz="1100" b="1" baseline="0">
              <a:latin typeface="+mn-lt"/>
            </a:rPr>
            <a:t>=  P*D / 2*t = P*R / t             </a:t>
          </a:r>
          <a:r>
            <a:rPr lang="en-US" sz="1100" b="1">
              <a:solidFill>
                <a:schemeClr val="dk1"/>
              </a:solidFill>
              <a:latin typeface="+mn-lt"/>
              <a:ea typeface="+mn-ea"/>
              <a:cs typeface="+mn-cs"/>
            </a:rPr>
            <a:t>Shell Circumferential</a:t>
          </a:r>
          <a:r>
            <a:rPr lang="en-US" sz="1100" b="1" baseline="0">
              <a:solidFill>
                <a:schemeClr val="dk1"/>
              </a:solidFill>
              <a:latin typeface="+mn-lt"/>
              <a:ea typeface="+mn-ea"/>
              <a:cs typeface="+mn-cs"/>
            </a:rPr>
            <a:t> Joint                    </a:t>
          </a:r>
          <a:r>
            <a:rPr lang="en-US" sz="1100" b="1" baseline="0">
              <a:latin typeface="+mn-lt"/>
            </a:rPr>
            <a:t>P*</a:t>
          </a:r>
          <a:r>
            <a:rPr lang="el-GR" sz="1100" b="1" baseline="0">
              <a:latin typeface="+mn-lt"/>
              <a:cs typeface="Arial"/>
            </a:rPr>
            <a:t>π</a:t>
          </a:r>
          <a:r>
            <a:rPr lang="en-US" sz="1100" b="1" baseline="0">
              <a:latin typeface="+mn-lt"/>
              <a:cs typeface="Arial"/>
            </a:rPr>
            <a:t>*R^2 = S</a:t>
          </a:r>
          <a:r>
            <a:rPr lang="en-US" sz="800" b="1" baseline="0">
              <a:latin typeface="+mn-lt"/>
              <a:cs typeface="Arial"/>
            </a:rPr>
            <a:t>C</a:t>
          </a:r>
          <a:r>
            <a:rPr lang="en-US" sz="1100" b="1" baseline="0">
              <a:latin typeface="+mn-lt"/>
              <a:cs typeface="Arial"/>
            </a:rPr>
            <a:t>*t*2*</a:t>
          </a:r>
          <a:r>
            <a:rPr lang="el-GR" sz="1100" b="1" baseline="0">
              <a:latin typeface="+mn-lt"/>
              <a:cs typeface="Arial"/>
            </a:rPr>
            <a:t>π</a:t>
          </a:r>
          <a:r>
            <a:rPr lang="en-US" sz="1100" b="1" baseline="0">
              <a:latin typeface="+mn-lt"/>
              <a:cs typeface="Arial"/>
            </a:rPr>
            <a:t>*R     S</a:t>
          </a:r>
          <a:r>
            <a:rPr lang="en-US" sz="800" b="1" baseline="0">
              <a:latin typeface="+mn-lt"/>
              <a:cs typeface="Arial"/>
            </a:rPr>
            <a:t>C</a:t>
          </a:r>
          <a:r>
            <a:rPr lang="en-US" sz="1100" b="1" baseline="0">
              <a:latin typeface="+mn-lt"/>
              <a:cs typeface="Arial"/>
            </a:rPr>
            <a:t> = P*R / t                       Head</a:t>
          </a:r>
          <a:r>
            <a:rPr lang="en-US" sz="1100" b="1">
              <a:solidFill>
                <a:schemeClr val="dk1"/>
              </a:solidFill>
              <a:latin typeface="+mn-lt"/>
              <a:ea typeface="+mn-ea"/>
              <a:cs typeface="+mn-cs"/>
            </a:rPr>
            <a:t> Circumferential</a:t>
          </a:r>
          <a:r>
            <a:rPr lang="en-US" sz="1100" b="1" baseline="0">
              <a:solidFill>
                <a:schemeClr val="dk1"/>
              </a:solidFill>
              <a:latin typeface="+mn-lt"/>
              <a:ea typeface="+mn-ea"/>
              <a:cs typeface="+mn-cs"/>
            </a:rPr>
            <a:t> Joint                    P*</a:t>
          </a:r>
          <a:r>
            <a:rPr lang="el-GR" sz="1100" b="1" baseline="0">
              <a:solidFill>
                <a:schemeClr val="dk1"/>
              </a:solidFill>
              <a:latin typeface="+mn-lt"/>
              <a:ea typeface="+mn-ea"/>
              <a:cs typeface="+mn-cs"/>
            </a:rPr>
            <a:t>π</a:t>
          </a:r>
          <a:r>
            <a:rPr lang="en-US" sz="1100" b="1" baseline="0">
              <a:solidFill>
                <a:schemeClr val="dk1"/>
              </a:solidFill>
              <a:latin typeface="+mn-lt"/>
              <a:ea typeface="+mn-ea"/>
              <a:cs typeface="+mn-cs"/>
            </a:rPr>
            <a:t>*R^2 = SC*t*2*</a:t>
          </a:r>
          <a:r>
            <a:rPr lang="el-GR" sz="1100" b="1" baseline="0">
              <a:solidFill>
                <a:schemeClr val="dk1"/>
              </a:solidFill>
              <a:latin typeface="+mn-lt"/>
              <a:ea typeface="+mn-ea"/>
              <a:cs typeface="+mn-cs"/>
            </a:rPr>
            <a:t>π</a:t>
          </a:r>
          <a:r>
            <a:rPr lang="en-US" sz="1100" b="1" baseline="0">
              <a:solidFill>
                <a:schemeClr val="dk1"/>
              </a:solidFill>
              <a:latin typeface="+mn-lt"/>
              <a:ea typeface="+mn-ea"/>
              <a:cs typeface="+mn-cs"/>
            </a:rPr>
            <a:t>*R     S</a:t>
          </a:r>
          <a:r>
            <a:rPr lang="en-US" sz="800" b="1" baseline="0">
              <a:solidFill>
                <a:schemeClr val="dk1"/>
              </a:solidFill>
              <a:latin typeface="+mn-lt"/>
              <a:ea typeface="+mn-ea"/>
              <a:cs typeface="+mn-cs"/>
            </a:rPr>
            <a:t>C</a:t>
          </a:r>
          <a:r>
            <a:rPr lang="en-US" sz="1100" b="1" baseline="0">
              <a:solidFill>
                <a:schemeClr val="dk1"/>
              </a:solidFill>
              <a:latin typeface="+mn-lt"/>
              <a:ea typeface="+mn-ea"/>
              <a:cs typeface="+mn-cs"/>
            </a:rPr>
            <a:t> = P*R / t</a:t>
          </a:r>
          <a:endParaRPr lang="en-US" sz="1100" b="1">
            <a:latin typeface="+mn-lt"/>
          </a:endParaRPr>
        </a:p>
      </xdr:txBody>
    </xdr:sp>
    <xdr:clientData/>
  </xdr:twoCellAnchor>
  <xdr:twoCellAnchor editAs="oneCell">
    <xdr:from>
      <xdr:col>1</xdr:col>
      <xdr:colOff>0</xdr:colOff>
      <xdr:row>20</xdr:row>
      <xdr:rowOff>9525</xdr:rowOff>
    </xdr:from>
    <xdr:to>
      <xdr:col>4</xdr:col>
      <xdr:colOff>76200</xdr:colOff>
      <xdr:row>28</xdr:row>
      <xdr:rowOff>142875</xdr:rowOff>
    </xdr:to>
    <xdr:pic>
      <xdr:nvPicPr>
        <xdr:cNvPr id="39" name="Picture 38" descr="Internal Pressure.jpg"/>
        <xdr:cNvPicPr>
          <a:picLocks noChangeAspect="1"/>
        </xdr:cNvPicPr>
      </xdr:nvPicPr>
      <xdr:blipFill>
        <a:blip xmlns:r="http://schemas.openxmlformats.org/officeDocument/2006/relationships" r:embed="rId8" cstate="print"/>
        <a:stretch>
          <a:fillRect/>
        </a:stretch>
      </xdr:blipFill>
      <xdr:spPr>
        <a:xfrm>
          <a:off x="228600" y="3952875"/>
          <a:ext cx="5410200" cy="1657350"/>
        </a:xfrm>
        <a:prstGeom prst="rect">
          <a:avLst/>
        </a:prstGeom>
      </xdr:spPr>
    </xdr:pic>
    <xdr:clientData/>
  </xdr:twoCellAnchor>
  <xdr:twoCellAnchor editAs="oneCell">
    <xdr:from>
      <xdr:col>5</xdr:col>
      <xdr:colOff>285750</xdr:colOff>
      <xdr:row>335</xdr:row>
      <xdr:rowOff>161925</xdr:rowOff>
    </xdr:from>
    <xdr:to>
      <xdr:col>12</xdr:col>
      <xdr:colOff>476250</xdr:colOff>
      <xdr:row>344</xdr:row>
      <xdr:rowOff>76200</xdr:rowOff>
    </xdr:to>
    <xdr:pic>
      <xdr:nvPicPr>
        <xdr:cNvPr id="40" name="Picture 39" descr="y VALUE-1.jpg"/>
        <xdr:cNvPicPr>
          <a:picLocks noChangeAspect="1"/>
        </xdr:cNvPicPr>
      </xdr:nvPicPr>
      <xdr:blipFill>
        <a:blip xmlns:r="http://schemas.openxmlformats.org/officeDocument/2006/relationships" r:embed="rId9" cstate="print"/>
        <a:stretch>
          <a:fillRect/>
        </a:stretch>
      </xdr:blipFill>
      <xdr:spPr>
        <a:xfrm>
          <a:off x="6353175" y="65598675"/>
          <a:ext cx="3952875" cy="1628775"/>
        </a:xfrm>
        <a:prstGeom prst="rect">
          <a:avLst/>
        </a:prstGeom>
      </xdr:spPr>
    </xdr:pic>
    <xdr:clientData/>
  </xdr:twoCellAnchor>
  <xdr:twoCellAnchor editAs="oneCell">
    <xdr:from>
      <xdr:col>5</xdr:col>
      <xdr:colOff>47625</xdr:colOff>
      <xdr:row>285</xdr:row>
      <xdr:rowOff>95250</xdr:rowOff>
    </xdr:from>
    <xdr:to>
      <xdr:col>15</xdr:col>
      <xdr:colOff>209550</xdr:colOff>
      <xdr:row>306</xdr:row>
      <xdr:rowOff>219075</xdr:rowOff>
    </xdr:to>
    <xdr:pic>
      <xdr:nvPicPr>
        <xdr:cNvPr id="42" name="Picture 41" descr="y VALUE-2.jpg"/>
        <xdr:cNvPicPr>
          <a:picLocks noChangeAspect="1"/>
        </xdr:cNvPicPr>
      </xdr:nvPicPr>
      <xdr:blipFill>
        <a:blip xmlns:r="http://schemas.openxmlformats.org/officeDocument/2006/relationships" r:embed="rId10" cstate="print"/>
        <a:stretch>
          <a:fillRect/>
        </a:stretch>
      </xdr:blipFill>
      <xdr:spPr>
        <a:xfrm>
          <a:off x="6115050" y="55149750"/>
          <a:ext cx="5781675" cy="4124325"/>
        </a:xfrm>
        <a:prstGeom prst="rect">
          <a:avLst/>
        </a:prstGeom>
      </xdr:spPr>
    </xdr:pic>
    <xdr:clientData/>
  </xdr:twoCellAnchor>
  <xdr:twoCellAnchor editAs="oneCell">
    <xdr:from>
      <xdr:col>7</xdr:col>
      <xdr:colOff>523875</xdr:colOff>
      <xdr:row>7</xdr:row>
      <xdr:rowOff>66675</xdr:rowOff>
    </xdr:from>
    <xdr:to>
      <xdr:col>14</xdr:col>
      <xdr:colOff>114300</xdr:colOff>
      <xdr:row>20</xdr:row>
      <xdr:rowOff>152400</xdr:rowOff>
    </xdr:to>
    <xdr:pic>
      <xdr:nvPicPr>
        <xdr:cNvPr id="44" name="Picture 43" descr="TEMPERATURE CYCLE STRESS FACTOR-1.jpg"/>
        <xdr:cNvPicPr>
          <a:picLocks noChangeAspect="1"/>
        </xdr:cNvPicPr>
      </xdr:nvPicPr>
      <xdr:blipFill>
        <a:blip xmlns:r="http://schemas.openxmlformats.org/officeDocument/2006/relationships" r:embed="rId11" cstate="print"/>
        <a:stretch>
          <a:fillRect/>
        </a:stretch>
      </xdr:blipFill>
      <xdr:spPr>
        <a:xfrm>
          <a:off x="7277100" y="1533525"/>
          <a:ext cx="3562350" cy="2562225"/>
        </a:xfrm>
        <a:prstGeom prst="rect">
          <a:avLst/>
        </a:prstGeom>
      </xdr:spPr>
    </xdr:pic>
    <xdr:clientData/>
  </xdr:twoCellAnchor>
  <xdr:twoCellAnchor editAs="oneCell">
    <xdr:from>
      <xdr:col>5</xdr:col>
      <xdr:colOff>352425</xdr:colOff>
      <xdr:row>21</xdr:row>
      <xdr:rowOff>76200</xdr:rowOff>
    </xdr:from>
    <xdr:to>
      <xdr:col>18</xdr:col>
      <xdr:colOff>457200</xdr:colOff>
      <xdr:row>45</xdr:row>
      <xdr:rowOff>28575</xdr:rowOff>
    </xdr:to>
    <xdr:pic>
      <xdr:nvPicPr>
        <xdr:cNvPr id="45" name="Picture 44" descr="ASME WELD EFFICIENCY-1.jpg"/>
        <xdr:cNvPicPr>
          <a:picLocks noChangeAspect="1"/>
        </xdr:cNvPicPr>
      </xdr:nvPicPr>
      <xdr:blipFill>
        <a:blip xmlns:r="http://schemas.openxmlformats.org/officeDocument/2006/relationships" r:embed="rId12" cstate="print"/>
        <a:stretch>
          <a:fillRect/>
        </a:stretch>
      </xdr:blipFill>
      <xdr:spPr>
        <a:xfrm>
          <a:off x="6419850" y="4210050"/>
          <a:ext cx="7553325" cy="4752975"/>
        </a:xfrm>
        <a:prstGeom prst="rect">
          <a:avLst/>
        </a:prstGeom>
      </xdr:spPr>
    </xdr:pic>
    <xdr:clientData/>
  </xdr:twoCellAnchor>
  <xdr:twoCellAnchor editAs="oneCell">
    <xdr:from>
      <xdr:col>6</xdr:col>
      <xdr:colOff>180975</xdr:colOff>
      <xdr:row>45</xdr:row>
      <xdr:rowOff>28575</xdr:rowOff>
    </xdr:from>
    <xdr:to>
      <xdr:col>18</xdr:col>
      <xdr:colOff>400050</xdr:colOff>
      <xdr:row>49</xdr:row>
      <xdr:rowOff>114300</xdr:rowOff>
    </xdr:to>
    <xdr:pic>
      <xdr:nvPicPr>
        <xdr:cNvPr id="47" name="Picture 46" descr="ASME WELD EFFICIENCY-2.jpg"/>
        <xdr:cNvPicPr>
          <a:picLocks noChangeAspect="1"/>
        </xdr:cNvPicPr>
      </xdr:nvPicPr>
      <xdr:blipFill>
        <a:blip xmlns:r="http://schemas.openxmlformats.org/officeDocument/2006/relationships" r:embed="rId13" cstate="print"/>
        <a:stretch>
          <a:fillRect/>
        </a:stretch>
      </xdr:blipFill>
      <xdr:spPr>
        <a:xfrm>
          <a:off x="6762750" y="8963025"/>
          <a:ext cx="7153275" cy="895350"/>
        </a:xfrm>
        <a:prstGeom prst="rect">
          <a:avLst/>
        </a:prstGeom>
      </xdr:spPr>
    </xdr:pic>
    <xdr:clientData/>
  </xdr:twoCellAnchor>
  <xdr:twoCellAnchor editAs="oneCell">
    <xdr:from>
      <xdr:col>5</xdr:col>
      <xdr:colOff>266700</xdr:colOff>
      <xdr:row>326</xdr:row>
      <xdr:rowOff>219075</xdr:rowOff>
    </xdr:from>
    <xdr:to>
      <xdr:col>9</xdr:col>
      <xdr:colOff>581025</xdr:colOff>
      <xdr:row>334</xdr:row>
      <xdr:rowOff>104775</xdr:rowOff>
    </xdr:to>
    <xdr:pic>
      <xdr:nvPicPr>
        <xdr:cNvPr id="35" name="Picture 34" descr="1-TUBE-WALL-THICKNESS.jpg"/>
        <xdr:cNvPicPr>
          <a:picLocks noChangeAspect="1"/>
        </xdr:cNvPicPr>
      </xdr:nvPicPr>
      <xdr:blipFill>
        <a:blip xmlns:r="http://schemas.openxmlformats.org/officeDocument/2006/relationships" r:embed="rId14" cstate="print"/>
        <a:stretch>
          <a:fillRect/>
        </a:stretch>
      </xdr:blipFill>
      <xdr:spPr>
        <a:xfrm>
          <a:off x="6334125" y="63874650"/>
          <a:ext cx="2143125" cy="1476375"/>
        </a:xfrm>
        <a:prstGeom prst="rect">
          <a:avLst/>
        </a:prstGeom>
      </xdr:spPr>
    </xdr:pic>
    <xdr:clientData/>
  </xdr:twoCellAnchor>
  <xdr:twoCellAnchor>
    <xdr:from>
      <xdr:col>1</xdr:col>
      <xdr:colOff>0</xdr:colOff>
      <xdr:row>30</xdr:row>
      <xdr:rowOff>238125</xdr:rowOff>
    </xdr:from>
    <xdr:to>
      <xdr:col>1</xdr:col>
      <xdr:colOff>1781175</xdr:colOff>
      <xdr:row>40</xdr:row>
      <xdr:rowOff>219075</xdr:rowOff>
    </xdr:to>
    <xdr:sp macro="" textlink="">
      <xdr:nvSpPr>
        <xdr:cNvPr id="36" name="TextBox 35"/>
        <xdr:cNvSpPr txBox="1"/>
      </xdr:nvSpPr>
      <xdr:spPr>
        <a:xfrm>
          <a:off x="228600" y="6134100"/>
          <a:ext cx="1781175" cy="2028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200" b="1"/>
            <a:t>Shell Longitudinal</a:t>
          </a:r>
          <a:r>
            <a:rPr lang="en-US" sz="1200" b="1" baseline="0"/>
            <a:t> Joint                    </a:t>
          </a:r>
          <a:r>
            <a:rPr lang="en-US" sz="1100" b="1"/>
            <a:t>Equating </a:t>
          </a:r>
          <a:r>
            <a:rPr lang="en-US" sz="1100" b="1" baseline="0"/>
            <a:t> internal pressure force and shell stress force:                             P*D*L = </a:t>
          </a:r>
          <a:r>
            <a:rPr lang="en-US" sz="1100" b="1" baseline="0">
              <a:latin typeface="+mn-lt"/>
            </a:rPr>
            <a:t>  S</a:t>
          </a:r>
          <a:r>
            <a:rPr lang="en-US" sz="800" b="1" baseline="0">
              <a:latin typeface="+mn-lt"/>
            </a:rPr>
            <a:t>L</a:t>
          </a:r>
          <a:r>
            <a:rPr lang="en-US" sz="1100" b="1" baseline="0">
              <a:latin typeface="+mn-lt"/>
            </a:rPr>
            <a:t>*2*t*L                       S</a:t>
          </a:r>
          <a:r>
            <a:rPr lang="en-US" sz="800" b="1" baseline="0">
              <a:latin typeface="+mn-lt"/>
            </a:rPr>
            <a:t>L</a:t>
          </a:r>
          <a:r>
            <a:rPr lang="en-US" sz="1100" b="1" baseline="0">
              <a:latin typeface="+mn-lt"/>
            </a:rPr>
            <a:t>=  P*D / 2*t = P*R / t             </a:t>
          </a:r>
          <a:r>
            <a:rPr lang="en-US" sz="1100" b="1">
              <a:solidFill>
                <a:schemeClr val="dk1"/>
              </a:solidFill>
              <a:latin typeface="+mn-lt"/>
              <a:ea typeface="+mn-ea"/>
              <a:cs typeface="+mn-cs"/>
            </a:rPr>
            <a:t>Shell Circumferential</a:t>
          </a:r>
          <a:r>
            <a:rPr lang="en-US" sz="1100" b="1" baseline="0">
              <a:solidFill>
                <a:schemeClr val="dk1"/>
              </a:solidFill>
              <a:latin typeface="+mn-lt"/>
              <a:ea typeface="+mn-ea"/>
              <a:cs typeface="+mn-cs"/>
            </a:rPr>
            <a:t> Joint                    </a:t>
          </a:r>
          <a:r>
            <a:rPr lang="en-US" sz="1100" b="1" baseline="0">
              <a:latin typeface="+mn-lt"/>
            </a:rPr>
            <a:t>P*</a:t>
          </a:r>
          <a:r>
            <a:rPr lang="el-GR" sz="1100" b="1" baseline="0">
              <a:latin typeface="+mn-lt"/>
              <a:cs typeface="Arial"/>
            </a:rPr>
            <a:t>π</a:t>
          </a:r>
          <a:r>
            <a:rPr lang="en-US" sz="1100" b="1" baseline="0">
              <a:latin typeface="+mn-lt"/>
              <a:cs typeface="Arial"/>
            </a:rPr>
            <a:t>*R^2 = S</a:t>
          </a:r>
          <a:r>
            <a:rPr lang="en-US" sz="800" b="1" baseline="0">
              <a:latin typeface="+mn-lt"/>
              <a:cs typeface="Arial"/>
            </a:rPr>
            <a:t>C</a:t>
          </a:r>
          <a:r>
            <a:rPr lang="en-US" sz="1100" b="1" baseline="0">
              <a:latin typeface="+mn-lt"/>
              <a:cs typeface="Arial"/>
            </a:rPr>
            <a:t>*t*2*</a:t>
          </a:r>
          <a:r>
            <a:rPr lang="el-GR" sz="1100" b="1" baseline="0">
              <a:latin typeface="+mn-lt"/>
              <a:cs typeface="Arial"/>
            </a:rPr>
            <a:t>π</a:t>
          </a:r>
          <a:r>
            <a:rPr lang="en-US" sz="1100" b="1" baseline="0">
              <a:latin typeface="+mn-lt"/>
              <a:cs typeface="Arial"/>
            </a:rPr>
            <a:t>*R     S</a:t>
          </a:r>
          <a:r>
            <a:rPr lang="en-US" sz="800" b="1" baseline="0">
              <a:latin typeface="+mn-lt"/>
              <a:cs typeface="Arial"/>
            </a:rPr>
            <a:t>C</a:t>
          </a:r>
          <a:r>
            <a:rPr lang="en-US" sz="1100" b="1" baseline="0">
              <a:latin typeface="+mn-lt"/>
              <a:cs typeface="Arial"/>
            </a:rPr>
            <a:t> = P*R / t                       Head</a:t>
          </a:r>
          <a:r>
            <a:rPr lang="en-US" sz="1100" b="1">
              <a:solidFill>
                <a:schemeClr val="dk1"/>
              </a:solidFill>
              <a:latin typeface="+mn-lt"/>
              <a:ea typeface="+mn-ea"/>
              <a:cs typeface="+mn-cs"/>
            </a:rPr>
            <a:t> Circumferential</a:t>
          </a:r>
          <a:r>
            <a:rPr lang="en-US" sz="1100" b="1" baseline="0">
              <a:solidFill>
                <a:schemeClr val="dk1"/>
              </a:solidFill>
              <a:latin typeface="+mn-lt"/>
              <a:ea typeface="+mn-ea"/>
              <a:cs typeface="+mn-cs"/>
            </a:rPr>
            <a:t> Joint                    P*</a:t>
          </a:r>
          <a:r>
            <a:rPr lang="el-GR" sz="1100" b="1" baseline="0">
              <a:solidFill>
                <a:schemeClr val="dk1"/>
              </a:solidFill>
              <a:latin typeface="+mn-lt"/>
              <a:ea typeface="+mn-ea"/>
              <a:cs typeface="+mn-cs"/>
            </a:rPr>
            <a:t>π</a:t>
          </a:r>
          <a:r>
            <a:rPr lang="en-US" sz="1100" b="1" baseline="0">
              <a:solidFill>
                <a:schemeClr val="dk1"/>
              </a:solidFill>
              <a:latin typeface="+mn-lt"/>
              <a:ea typeface="+mn-ea"/>
              <a:cs typeface="+mn-cs"/>
            </a:rPr>
            <a:t>*R^2 = SC*t*2*</a:t>
          </a:r>
          <a:r>
            <a:rPr lang="el-GR" sz="1100" b="1" baseline="0">
              <a:solidFill>
                <a:schemeClr val="dk1"/>
              </a:solidFill>
              <a:latin typeface="+mn-lt"/>
              <a:ea typeface="+mn-ea"/>
              <a:cs typeface="+mn-cs"/>
            </a:rPr>
            <a:t>π</a:t>
          </a:r>
          <a:r>
            <a:rPr lang="en-US" sz="1100" b="1" baseline="0">
              <a:solidFill>
                <a:schemeClr val="dk1"/>
              </a:solidFill>
              <a:latin typeface="+mn-lt"/>
              <a:ea typeface="+mn-ea"/>
              <a:cs typeface="+mn-cs"/>
            </a:rPr>
            <a:t>*R     S</a:t>
          </a:r>
          <a:r>
            <a:rPr lang="en-US" sz="800" b="1" baseline="0">
              <a:solidFill>
                <a:schemeClr val="dk1"/>
              </a:solidFill>
              <a:latin typeface="+mn-lt"/>
              <a:ea typeface="+mn-ea"/>
              <a:cs typeface="+mn-cs"/>
            </a:rPr>
            <a:t>C</a:t>
          </a:r>
          <a:r>
            <a:rPr lang="en-US" sz="1100" b="1" baseline="0">
              <a:solidFill>
                <a:schemeClr val="dk1"/>
              </a:solidFill>
              <a:latin typeface="+mn-lt"/>
              <a:ea typeface="+mn-ea"/>
              <a:cs typeface="+mn-cs"/>
            </a:rPr>
            <a:t> = P*R / t</a:t>
          </a:r>
          <a:endParaRPr lang="en-US" sz="1100" b="1">
            <a:latin typeface="+mn-lt"/>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228600</xdr:colOff>
      <xdr:row>4</xdr:row>
      <xdr:rowOff>47625</xdr:rowOff>
    </xdr:from>
    <xdr:to>
      <xdr:col>2</xdr:col>
      <xdr:colOff>1000125</xdr:colOff>
      <xdr:row>23</xdr:row>
      <xdr:rowOff>9525</xdr:rowOff>
    </xdr:to>
    <xdr:sp macro="" textlink="">
      <xdr:nvSpPr>
        <xdr:cNvPr id="9" name="TextBox 8"/>
        <xdr:cNvSpPr txBox="1"/>
      </xdr:nvSpPr>
      <xdr:spPr>
        <a:xfrm>
          <a:off x="476250" y="904875"/>
          <a:ext cx="3838575" cy="35814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b="1" baseline="0" smtClean="0">
              <a:solidFill>
                <a:schemeClr val="dk1"/>
              </a:solidFill>
              <a:latin typeface="+mn-lt"/>
              <a:ea typeface="+mn-ea"/>
              <a:cs typeface="+mn-cs"/>
            </a:rPr>
            <a:t>NOZZEL  DESIGN                                                                                                                            Vessels are weakened when material is removed to provide openings for nozzles or access.                                                                                                                           High stress concentrations exist at the opening edge and decrease radially outward from the opening, becoming negligible beyond twice the diameter from the center of the opening.                                                                                                             To avoid failure in the opening area, compensation or reinforcement may be required.                                                                                                                          Some ways in which this can be accomplished are: (a) increase the vessel wall thickness, (b) increase the wall thickness of the nozzle, or (c) use a combination of extra shell and nozzle thickness .  (d) </a:t>
          </a:r>
          <a:r>
            <a:rPr lang="en-US" sz="1100" b="1" u="sng" baseline="0" smtClean="0">
              <a:solidFill>
                <a:schemeClr val="dk1"/>
              </a:solidFill>
              <a:latin typeface="+mn-lt"/>
              <a:ea typeface="+mn-ea"/>
              <a:cs typeface="+mn-cs"/>
            </a:rPr>
            <a:t>add a reinforcing ring </a:t>
          </a:r>
          <a:r>
            <a:rPr lang="en-US" sz="1100" b="1" u="sng" baseline="0">
              <a:solidFill>
                <a:schemeClr val="dk1"/>
              </a:solidFill>
              <a:latin typeface="+mn-lt"/>
              <a:ea typeface="+mn-ea"/>
              <a:cs typeface="+mn-cs"/>
            </a:rPr>
            <a:t>if pressure is low to moderate.</a:t>
          </a:r>
          <a:r>
            <a:rPr lang="en-US" sz="1100" b="1" u="sng" baseline="0" smtClean="0">
              <a:solidFill>
                <a:schemeClr val="dk1"/>
              </a:solidFill>
              <a:latin typeface="+mn-lt"/>
              <a:ea typeface="+mn-ea"/>
              <a:cs typeface="+mn-cs"/>
            </a:rPr>
            <a:t>                                                                                             </a:t>
          </a:r>
          <a:r>
            <a:rPr lang="en-US" sz="1100" b="1" baseline="0" smtClean="0">
              <a:solidFill>
                <a:schemeClr val="dk1"/>
              </a:solidFill>
              <a:latin typeface="+mn-lt"/>
              <a:ea typeface="+mn-ea"/>
              <a:cs typeface="+mn-cs"/>
            </a:rPr>
            <a:t>The Code procedure is to relocate the removed material to an area within an effective boundary around the opening.                                          Figure 9.1 shows the steps necessary to reinforce an opening in a pressure vessel.                                                                                                       Numerous assumptions have been made with the intent of simplifying the general approach.</a:t>
          </a:r>
          <a:endParaRPr lang="en-US" sz="1100" b="1"/>
        </a:p>
      </xdr:txBody>
    </xdr:sp>
    <xdr:clientData/>
  </xdr:twoCellAnchor>
  <xdr:twoCellAnchor editAs="oneCell">
    <xdr:from>
      <xdr:col>1</xdr:col>
      <xdr:colOff>38100</xdr:colOff>
      <xdr:row>24</xdr:row>
      <xdr:rowOff>133350</xdr:rowOff>
    </xdr:from>
    <xdr:to>
      <xdr:col>4</xdr:col>
      <xdr:colOff>409575</xdr:colOff>
      <xdr:row>42</xdr:row>
      <xdr:rowOff>57150</xdr:rowOff>
    </xdr:to>
    <xdr:pic>
      <xdr:nvPicPr>
        <xdr:cNvPr id="15" name="Picture 14" descr="NOZZEL-60.jpg"/>
        <xdr:cNvPicPr>
          <a:picLocks noChangeAspect="1"/>
        </xdr:cNvPicPr>
      </xdr:nvPicPr>
      <xdr:blipFill>
        <a:blip xmlns:r="http://schemas.openxmlformats.org/officeDocument/2006/relationships" r:embed="rId1" cstate="print"/>
        <a:stretch>
          <a:fillRect/>
        </a:stretch>
      </xdr:blipFill>
      <xdr:spPr>
        <a:xfrm>
          <a:off x="285750" y="990600"/>
          <a:ext cx="5286375" cy="3352800"/>
        </a:xfrm>
        <a:prstGeom prst="rect">
          <a:avLst/>
        </a:prstGeom>
      </xdr:spPr>
    </xdr:pic>
    <xdr:clientData/>
  </xdr:twoCellAnchor>
  <xdr:twoCellAnchor editAs="oneCell">
    <xdr:from>
      <xdr:col>1</xdr:col>
      <xdr:colOff>390525</xdr:colOff>
      <xdr:row>46</xdr:row>
      <xdr:rowOff>76200</xdr:rowOff>
    </xdr:from>
    <xdr:to>
      <xdr:col>4</xdr:col>
      <xdr:colOff>209550</xdr:colOff>
      <xdr:row>67</xdr:row>
      <xdr:rowOff>133350</xdr:rowOff>
    </xdr:to>
    <xdr:pic>
      <xdr:nvPicPr>
        <xdr:cNvPr id="16" name="Picture 15" descr="Weld Detail.jpg"/>
        <xdr:cNvPicPr>
          <a:picLocks noChangeAspect="1"/>
        </xdr:cNvPicPr>
      </xdr:nvPicPr>
      <xdr:blipFill>
        <a:blip xmlns:r="http://schemas.openxmlformats.org/officeDocument/2006/relationships" r:embed="rId2" cstate="print"/>
        <a:stretch>
          <a:fillRect/>
        </a:stretch>
      </xdr:blipFill>
      <xdr:spPr>
        <a:xfrm>
          <a:off x="638175" y="5124450"/>
          <a:ext cx="4733925" cy="4057650"/>
        </a:xfrm>
        <a:prstGeom prst="rect">
          <a:avLst/>
        </a:prstGeom>
      </xdr:spPr>
    </xdr:pic>
    <xdr:clientData/>
  </xdr:twoCellAnchor>
  <xdr:twoCellAnchor editAs="oneCell">
    <xdr:from>
      <xdr:col>1</xdr:col>
      <xdr:colOff>371475</xdr:colOff>
      <xdr:row>164</xdr:row>
      <xdr:rowOff>38100</xdr:rowOff>
    </xdr:from>
    <xdr:to>
      <xdr:col>4</xdr:col>
      <xdr:colOff>190500</xdr:colOff>
      <xdr:row>185</xdr:row>
      <xdr:rowOff>95250</xdr:rowOff>
    </xdr:to>
    <xdr:pic>
      <xdr:nvPicPr>
        <xdr:cNvPr id="17" name="Picture 16" descr="Weld Detail.jpg"/>
        <xdr:cNvPicPr>
          <a:picLocks noChangeAspect="1"/>
        </xdr:cNvPicPr>
      </xdr:nvPicPr>
      <xdr:blipFill>
        <a:blip xmlns:r="http://schemas.openxmlformats.org/officeDocument/2006/relationships" r:embed="rId2" cstate="print"/>
        <a:stretch>
          <a:fillRect/>
        </a:stretch>
      </xdr:blipFill>
      <xdr:spPr>
        <a:xfrm>
          <a:off x="619125" y="27593925"/>
          <a:ext cx="4733925" cy="4057650"/>
        </a:xfrm>
        <a:prstGeom prst="rect">
          <a:avLst/>
        </a:prstGeom>
      </xdr:spPr>
    </xdr:pic>
    <xdr:clientData/>
  </xdr:twoCellAnchor>
  <xdr:twoCellAnchor editAs="oneCell">
    <xdr:from>
      <xdr:col>6</xdr:col>
      <xdr:colOff>0</xdr:colOff>
      <xdr:row>9</xdr:row>
      <xdr:rowOff>0</xdr:rowOff>
    </xdr:from>
    <xdr:to>
      <xdr:col>7</xdr:col>
      <xdr:colOff>981075</xdr:colOff>
      <xdr:row>33</xdr:row>
      <xdr:rowOff>66675</xdr:rowOff>
    </xdr:to>
    <xdr:pic>
      <xdr:nvPicPr>
        <xdr:cNvPr id="6" name="Picture 5" descr="ASME PIPE MIN THICKNESS-1.jpg"/>
        <xdr:cNvPicPr>
          <a:picLocks noChangeAspect="1"/>
        </xdr:cNvPicPr>
      </xdr:nvPicPr>
      <xdr:blipFill>
        <a:blip xmlns:r="http://schemas.openxmlformats.org/officeDocument/2006/relationships" r:embed="rId3" cstate="print"/>
        <a:stretch>
          <a:fillRect/>
        </a:stretch>
      </xdr:blipFill>
      <xdr:spPr>
        <a:xfrm>
          <a:off x="6200775" y="1809750"/>
          <a:ext cx="3819525" cy="4686300"/>
        </a:xfrm>
        <a:prstGeom prst="rect">
          <a:avLst/>
        </a:prstGeom>
      </xdr:spPr>
    </xdr:pic>
    <xdr:clientData/>
  </xdr:twoCellAnchor>
  <xdr:twoCellAnchor editAs="oneCell">
    <xdr:from>
      <xdr:col>6</xdr:col>
      <xdr:colOff>0</xdr:colOff>
      <xdr:row>36</xdr:row>
      <xdr:rowOff>0</xdr:rowOff>
    </xdr:from>
    <xdr:to>
      <xdr:col>10</xdr:col>
      <xdr:colOff>581025</xdr:colOff>
      <xdr:row>57</xdr:row>
      <xdr:rowOff>123825</xdr:rowOff>
    </xdr:to>
    <xdr:pic>
      <xdr:nvPicPr>
        <xdr:cNvPr id="7" name="Picture 6" descr="y VALUE-2.jpg"/>
        <xdr:cNvPicPr>
          <a:picLocks noChangeAspect="1"/>
        </xdr:cNvPicPr>
      </xdr:nvPicPr>
      <xdr:blipFill>
        <a:blip xmlns:r="http://schemas.openxmlformats.org/officeDocument/2006/relationships" r:embed="rId4" cstate="print"/>
        <a:stretch>
          <a:fillRect/>
        </a:stretch>
      </xdr:blipFill>
      <xdr:spPr>
        <a:xfrm>
          <a:off x="6200775" y="7000875"/>
          <a:ext cx="5781675" cy="41243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276225</xdr:colOff>
      <xdr:row>15</xdr:row>
      <xdr:rowOff>9525</xdr:rowOff>
    </xdr:from>
    <xdr:to>
      <xdr:col>4</xdr:col>
      <xdr:colOff>323850</xdr:colOff>
      <xdr:row>27</xdr:row>
      <xdr:rowOff>9525</xdr:rowOff>
    </xdr:to>
    <xdr:sp macro="" textlink="">
      <xdr:nvSpPr>
        <xdr:cNvPr id="4" name="TextBox 3"/>
        <xdr:cNvSpPr txBox="1"/>
      </xdr:nvSpPr>
      <xdr:spPr>
        <a:xfrm>
          <a:off x="276225" y="3009900"/>
          <a:ext cx="4219575" cy="22860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a:solidFill>
                <a:schemeClr val="dk1"/>
              </a:solidFill>
              <a:latin typeface="+mn-lt"/>
              <a:ea typeface="+mn-ea"/>
              <a:cs typeface="+mn-cs"/>
            </a:rPr>
            <a:t>Spread Sheet Method: Excel</a:t>
          </a:r>
          <a:r>
            <a:rPr lang="en-US" sz="1100" b="1" i="0" baseline="0">
              <a:solidFill>
                <a:schemeClr val="dk1"/>
              </a:solidFill>
              <a:latin typeface="+mn-lt"/>
              <a:ea typeface="+mn-ea"/>
              <a:cs typeface="+mn-cs"/>
            </a:rPr>
            <a:t> Worksheet - New Version</a:t>
          </a:r>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1. Type in values for the Input Data.</a:t>
          </a:r>
          <a:endParaRPr lang="en-US" sz="1100" b="1">
            <a:solidFill>
              <a:schemeClr val="dk1"/>
            </a:solidFill>
            <a:latin typeface="+mn-lt"/>
            <a:ea typeface="+mn-ea"/>
            <a:cs typeface="+mn-cs"/>
          </a:endParaRPr>
        </a:p>
        <a:p>
          <a:pPr rtl="0"/>
          <a:r>
            <a:rPr lang="en-US" sz="1100" b="1" i="0">
              <a:solidFill>
                <a:schemeClr val="dk1"/>
              </a:solidFill>
              <a:latin typeface="+mn-lt"/>
              <a:ea typeface="+mn-ea"/>
              <a:cs typeface="+mn-cs"/>
            </a:rPr>
            <a:t>2. Excel will make the Calculations.</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Excel's GOAL SEEK </a:t>
          </a:r>
          <a:endParaRPr lang="en-US"/>
        </a:p>
        <a:p>
          <a:pPr rtl="0"/>
          <a:r>
            <a:rPr lang="en-US" sz="1100" b="1" i="0">
              <a:solidFill>
                <a:schemeClr val="dk1"/>
              </a:solidFill>
              <a:latin typeface="+mn-lt"/>
              <a:ea typeface="+mn-ea"/>
              <a:cs typeface="+mn-cs"/>
            </a:rPr>
            <a:t>Excel's, "Goal Seek" adjusts one Input value to cause a Calculated formula cell to equal a given value.</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using Excel's Goal Seek, unprotect the spread sheet by selecting: Drop down menu:  Home &gt; Format &gt; Unprotect Sheet &gt; OK </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Excel's Goal Seek is not needed, restore protection with:</a:t>
          </a:r>
          <a:endParaRPr lang="en-US" sz="1100" b="1">
            <a:solidFill>
              <a:schemeClr val="dk1"/>
            </a:solidFill>
            <a:latin typeface="+mn-lt"/>
            <a:ea typeface="+mn-ea"/>
            <a:cs typeface="+mn-cs"/>
          </a:endParaRPr>
        </a:p>
        <a:p>
          <a:r>
            <a:rPr lang="en-US" sz="1100" b="1" i="0">
              <a:solidFill>
                <a:schemeClr val="dk1"/>
              </a:solidFill>
              <a:latin typeface="+mn-lt"/>
              <a:ea typeface="+mn-ea"/>
              <a:cs typeface="+mn-cs"/>
            </a:rPr>
            <a:t>Drop down menu:  Home &gt; Format &gt; Protect Sheet &gt; OK </a:t>
          </a:r>
          <a:endParaRPr lang="en-US" sz="1100" b="1">
            <a:solidFill>
              <a:schemeClr val="dk1"/>
            </a:solidFill>
            <a:latin typeface="+mn-lt"/>
            <a:ea typeface="+mn-ea"/>
            <a:cs typeface="+mn-cs"/>
          </a:endParaRPr>
        </a:p>
        <a:p>
          <a:endParaRPr lang="en-US" sz="1100"/>
        </a:p>
      </xdr:txBody>
    </xdr:sp>
    <xdr:clientData/>
  </xdr:twoCellAnchor>
  <xdr:twoCellAnchor>
    <xdr:from>
      <xdr:col>8</xdr:col>
      <xdr:colOff>19050</xdr:colOff>
      <xdr:row>15</xdr:row>
      <xdr:rowOff>19050</xdr:rowOff>
    </xdr:from>
    <xdr:to>
      <xdr:col>11</xdr:col>
      <xdr:colOff>571500</xdr:colOff>
      <xdr:row>28</xdr:row>
      <xdr:rowOff>85725</xdr:rowOff>
    </xdr:to>
    <xdr:sp macro="" textlink="">
      <xdr:nvSpPr>
        <xdr:cNvPr id="5" name="TextBox 4"/>
        <xdr:cNvSpPr txBox="1"/>
      </xdr:nvSpPr>
      <xdr:spPr>
        <a:xfrm>
          <a:off x="6315075" y="3019425"/>
          <a:ext cx="4171950" cy="2543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rtl="0"/>
          <a:r>
            <a:rPr lang="en-US" sz="1100" b="1" i="0">
              <a:solidFill>
                <a:schemeClr val="dk1"/>
              </a:solidFill>
              <a:latin typeface="+mn-lt"/>
              <a:ea typeface="+mn-ea"/>
              <a:cs typeface="+mn-cs"/>
            </a:rPr>
            <a:t>Spread Sheet Method: Excel-97 2003 - Old Version</a:t>
          </a:r>
          <a:endParaRPr lang="en-US"/>
        </a:p>
        <a:p>
          <a:pPr rtl="0"/>
          <a:r>
            <a:rPr lang="en-US" sz="1100" b="1" i="0">
              <a:solidFill>
                <a:schemeClr val="dk1"/>
              </a:solidFill>
              <a:latin typeface="+mn-lt"/>
              <a:ea typeface="+mn-ea"/>
              <a:cs typeface="+mn-cs"/>
            </a:rPr>
            <a:t>1. Type in values for the input data.</a:t>
          </a:r>
          <a:endParaRPr lang="en-US" sz="1100" b="1">
            <a:solidFill>
              <a:schemeClr val="dk1"/>
            </a:solidFill>
            <a:latin typeface="+mn-lt"/>
            <a:ea typeface="+mn-ea"/>
            <a:cs typeface="+mn-cs"/>
          </a:endParaRPr>
        </a:p>
        <a:p>
          <a:pPr rtl="0"/>
          <a:r>
            <a:rPr lang="en-US" sz="1100" b="1" i="0">
              <a:solidFill>
                <a:schemeClr val="dk1"/>
              </a:solidFill>
              <a:latin typeface="+mn-lt"/>
              <a:ea typeface="+mn-ea"/>
              <a:cs typeface="+mn-cs"/>
            </a:rPr>
            <a:t>2. Excel will make the calculations.</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Excel's GOAL SEEK </a:t>
          </a:r>
          <a:endParaRPr lang="en-US"/>
        </a:p>
        <a:p>
          <a:pPr rtl="0"/>
          <a:r>
            <a:rPr lang="en-US" sz="1100" b="1" i="0">
              <a:solidFill>
                <a:schemeClr val="dk1"/>
              </a:solidFill>
              <a:latin typeface="+mn-lt"/>
              <a:ea typeface="+mn-ea"/>
              <a:cs typeface="+mn-cs"/>
            </a:rPr>
            <a:t>Excel's, "Goal Seek" adjusts one Input value to cause a Calculated formula cell to equal a given value.</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using Excel's Goal Seek, unprotect the spread sheet by selecting: Drop down menu: Tools &gt; Protection &gt; Unprotect Sheet &gt; OK </a:t>
          </a:r>
          <a:endParaRPr lang="en-US" sz="1100" b="1">
            <a:solidFill>
              <a:schemeClr val="dk1"/>
            </a:solidFill>
            <a:latin typeface="+mn-lt"/>
            <a:ea typeface="+mn-ea"/>
            <a:cs typeface="+mn-cs"/>
          </a:endParaRPr>
        </a:p>
        <a:p>
          <a:pPr rtl="0"/>
          <a:endParaRPr lang="en-US" sz="1100" b="1" i="0">
            <a:solidFill>
              <a:schemeClr val="dk1"/>
            </a:solidFill>
            <a:latin typeface="+mn-lt"/>
            <a:ea typeface="+mn-ea"/>
            <a:cs typeface="+mn-cs"/>
          </a:endParaRPr>
        </a:p>
        <a:p>
          <a:pPr rtl="0"/>
          <a:r>
            <a:rPr lang="en-US" sz="1100" b="1" i="0">
              <a:solidFill>
                <a:schemeClr val="dk1"/>
              </a:solidFill>
              <a:latin typeface="+mn-lt"/>
              <a:ea typeface="+mn-ea"/>
              <a:cs typeface="+mn-cs"/>
            </a:rPr>
            <a:t>When Excel's Goal Seek is not needed, restore protection with:</a:t>
          </a:r>
          <a:endParaRPr lang="en-US" sz="1100" b="1">
            <a:solidFill>
              <a:schemeClr val="dk1"/>
            </a:solidFill>
            <a:latin typeface="+mn-lt"/>
            <a:ea typeface="+mn-ea"/>
            <a:cs typeface="+mn-cs"/>
          </a:endParaRPr>
        </a:p>
        <a:p>
          <a:r>
            <a:rPr lang="en-US" sz="1100" b="1" i="0">
              <a:solidFill>
                <a:schemeClr val="dk1"/>
              </a:solidFill>
              <a:latin typeface="+mn-lt"/>
              <a:ea typeface="+mn-ea"/>
              <a:cs typeface="+mn-cs"/>
            </a:rPr>
            <a:t>Drop down menu: Tools &gt; Protection &gt; Protect Sheet &gt; OK </a:t>
          </a:r>
          <a:endParaRPr lang="en-US" sz="1100" b="1">
            <a:solidFill>
              <a:schemeClr val="dk1"/>
            </a:solidFill>
            <a:latin typeface="+mn-lt"/>
            <a:ea typeface="+mn-ea"/>
            <a:cs typeface="+mn-cs"/>
          </a:endParaRPr>
        </a:p>
        <a:p>
          <a:endParaRPr lang="en-US" sz="1100"/>
        </a:p>
      </xdr:txBody>
    </xdr:sp>
    <xdr:clientData/>
  </xdr:twoCellAnchor>
  <xdr:twoCellAnchor editAs="oneCell">
    <xdr:from>
      <xdr:col>6</xdr:col>
      <xdr:colOff>95250</xdr:colOff>
      <xdr:row>67</xdr:row>
      <xdr:rowOff>76200</xdr:rowOff>
    </xdr:from>
    <xdr:to>
      <xdr:col>8</xdr:col>
      <xdr:colOff>2133600</xdr:colOff>
      <xdr:row>77</xdr:row>
      <xdr:rowOff>47625</xdr:rowOff>
    </xdr:to>
    <xdr:pic>
      <xdr:nvPicPr>
        <xdr:cNvPr id="7" name="Picture 6" descr="GOAL SEEK-1.jpg"/>
        <xdr:cNvPicPr>
          <a:picLocks noChangeAspect="1"/>
        </xdr:cNvPicPr>
      </xdr:nvPicPr>
      <xdr:blipFill>
        <a:blip xmlns:r="http://schemas.openxmlformats.org/officeDocument/2006/relationships" r:embed="rId1" cstate="print"/>
        <a:stretch>
          <a:fillRect/>
        </a:stretch>
      </xdr:blipFill>
      <xdr:spPr>
        <a:xfrm>
          <a:off x="6200775" y="13430250"/>
          <a:ext cx="2943225" cy="1876425"/>
        </a:xfrm>
        <a:prstGeom prst="rect">
          <a:avLst/>
        </a:prstGeom>
      </xdr:spPr>
    </xdr:pic>
    <xdr:clientData/>
  </xdr:twoCellAnchor>
  <xdr:twoCellAnchor editAs="oneCell">
    <xdr:from>
      <xdr:col>2</xdr:col>
      <xdr:colOff>95250</xdr:colOff>
      <xdr:row>67</xdr:row>
      <xdr:rowOff>104775</xdr:rowOff>
    </xdr:from>
    <xdr:to>
      <xdr:col>5</xdr:col>
      <xdr:colOff>476250</xdr:colOff>
      <xdr:row>75</xdr:row>
      <xdr:rowOff>76200</xdr:rowOff>
    </xdr:to>
    <xdr:pic>
      <xdr:nvPicPr>
        <xdr:cNvPr id="8" name="Picture 7" descr="GOAL SEEK-2.jpg"/>
        <xdr:cNvPicPr>
          <a:picLocks noChangeAspect="1"/>
        </xdr:cNvPicPr>
      </xdr:nvPicPr>
      <xdr:blipFill>
        <a:blip xmlns:r="http://schemas.openxmlformats.org/officeDocument/2006/relationships" r:embed="rId2" cstate="print"/>
        <a:stretch>
          <a:fillRect/>
        </a:stretch>
      </xdr:blipFill>
      <xdr:spPr>
        <a:xfrm>
          <a:off x="3829050" y="13458825"/>
          <a:ext cx="2143125" cy="1495425"/>
        </a:xfrm>
        <a:prstGeom prst="rect">
          <a:avLst/>
        </a:prstGeom>
      </xdr:spPr>
    </xdr:pic>
    <xdr:clientData/>
  </xdr:twoCellAnchor>
  <xdr:twoCellAnchor editAs="oneCell">
    <xdr:from>
      <xdr:col>6</xdr:col>
      <xdr:colOff>84044</xdr:colOff>
      <xdr:row>67</xdr:row>
      <xdr:rowOff>53788</xdr:rowOff>
    </xdr:from>
    <xdr:to>
      <xdr:col>8</xdr:col>
      <xdr:colOff>2122394</xdr:colOff>
      <xdr:row>77</xdr:row>
      <xdr:rowOff>25213</xdr:rowOff>
    </xdr:to>
    <xdr:pic>
      <xdr:nvPicPr>
        <xdr:cNvPr id="6" name="Picture 5" descr="GOAL SEEK-1.jpg"/>
        <xdr:cNvPicPr>
          <a:picLocks noChangeAspect="1"/>
        </xdr:cNvPicPr>
      </xdr:nvPicPr>
      <xdr:blipFill>
        <a:blip xmlns:r="http://schemas.openxmlformats.org/officeDocument/2006/relationships" r:embed="rId1" cstate="print"/>
        <a:stretch>
          <a:fillRect/>
        </a:stretch>
      </xdr:blipFill>
      <xdr:spPr>
        <a:xfrm>
          <a:off x="6180044" y="13411200"/>
          <a:ext cx="2934821" cy="18764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95250</xdr:colOff>
      <xdr:row>59</xdr:row>
      <xdr:rowOff>19050</xdr:rowOff>
    </xdr:from>
    <xdr:to>
      <xdr:col>12</xdr:col>
      <xdr:colOff>342900</xdr:colOff>
      <xdr:row>71</xdr:row>
      <xdr:rowOff>85725</xdr:rowOff>
    </xdr:to>
    <xdr:pic>
      <xdr:nvPicPr>
        <xdr:cNvPr id="3073"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0" y="11363325"/>
          <a:ext cx="7229475" cy="2352675"/>
        </a:xfrm>
        <a:prstGeom prst="rect">
          <a:avLst/>
        </a:prstGeom>
        <a:noFill/>
      </xdr:spPr>
    </xdr:pic>
    <xdr:clientData/>
  </xdr:twoCellAnchor>
  <xdr:twoCellAnchor editAs="oneCell">
    <xdr:from>
      <xdr:col>0</xdr:col>
      <xdr:colOff>161925</xdr:colOff>
      <xdr:row>51</xdr:row>
      <xdr:rowOff>47625</xdr:rowOff>
    </xdr:from>
    <xdr:to>
      <xdr:col>12</xdr:col>
      <xdr:colOff>409575</xdr:colOff>
      <xdr:row>58</xdr:row>
      <xdr:rowOff>133350</xdr:rowOff>
    </xdr:to>
    <xdr:pic>
      <xdr:nvPicPr>
        <xdr:cNvPr id="3074" name="Picture 2"/>
        <xdr:cNvPicPr>
          <a:picLocks noChangeAspect="1" noChangeArrowheads="1"/>
        </xdr:cNvPicPr>
      </xdr:nvPicPr>
      <xdr:blipFill>
        <a:blip xmlns:r="http://schemas.openxmlformats.org/officeDocument/2006/relationships" r:embed="rId2" cstate="print"/>
        <a:srcRect/>
        <a:stretch>
          <a:fillRect/>
        </a:stretch>
      </xdr:blipFill>
      <xdr:spPr bwMode="auto">
        <a:xfrm>
          <a:off x="161925" y="9867900"/>
          <a:ext cx="7229475" cy="1419225"/>
        </a:xfrm>
        <a:prstGeom prst="rect">
          <a:avLst/>
        </a:prstGeom>
        <a:noFill/>
      </xdr:spPr>
    </xdr:pic>
    <xdr:clientData/>
  </xdr:twoCellAnchor>
  <xdr:twoCellAnchor editAs="oneCell">
    <xdr:from>
      <xdr:col>1</xdr:col>
      <xdr:colOff>0</xdr:colOff>
      <xdr:row>5</xdr:row>
      <xdr:rowOff>0</xdr:rowOff>
    </xdr:from>
    <xdr:to>
      <xdr:col>15</xdr:col>
      <xdr:colOff>9525</xdr:colOff>
      <xdr:row>25</xdr:row>
      <xdr:rowOff>38100</xdr:rowOff>
    </xdr:to>
    <xdr:pic>
      <xdr:nvPicPr>
        <xdr:cNvPr id="4" name="Picture 3" descr="BOILER-MATERIALS-0.jpg"/>
        <xdr:cNvPicPr>
          <a:picLocks noChangeAspect="1"/>
        </xdr:cNvPicPr>
      </xdr:nvPicPr>
      <xdr:blipFill>
        <a:blip xmlns:r="http://schemas.openxmlformats.org/officeDocument/2006/relationships" r:embed="rId3" cstate="print"/>
        <a:stretch>
          <a:fillRect/>
        </a:stretch>
      </xdr:blipFill>
      <xdr:spPr>
        <a:xfrm>
          <a:off x="276225" y="1057275"/>
          <a:ext cx="8543925" cy="3848100"/>
        </a:xfrm>
        <a:prstGeom prst="rect">
          <a:avLst/>
        </a:prstGeom>
      </xdr:spPr>
    </xdr:pic>
    <xdr:clientData/>
  </xdr:twoCellAnchor>
  <xdr:twoCellAnchor editAs="oneCell">
    <xdr:from>
      <xdr:col>1</xdr:col>
      <xdr:colOff>0</xdr:colOff>
      <xdr:row>26</xdr:row>
      <xdr:rowOff>0</xdr:rowOff>
    </xdr:from>
    <xdr:to>
      <xdr:col>14</xdr:col>
      <xdr:colOff>304800</xdr:colOff>
      <xdr:row>49</xdr:row>
      <xdr:rowOff>57150</xdr:rowOff>
    </xdr:to>
    <xdr:pic>
      <xdr:nvPicPr>
        <xdr:cNvPr id="5" name="Picture 4" descr="BOILER-MATERIALS-2A-B.jpg"/>
        <xdr:cNvPicPr>
          <a:picLocks noChangeAspect="1"/>
        </xdr:cNvPicPr>
      </xdr:nvPicPr>
      <xdr:blipFill>
        <a:blip xmlns:r="http://schemas.openxmlformats.org/officeDocument/2006/relationships" r:embed="rId4" cstate="print"/>
        <a:stretch>
          <a:fillRect/>
        </a:stretch>
      </xdr:blipFill>
      <xdr:spPr>
        <a:xfrm>
          <a:off x="276225" y="5057775"/>
          <a:ext cx="8229600" cy="44386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scribd.com/doc/50412555/10/E-VALUES-OF-Y" TargetMode="External"/><Relationship Id="rId3" Type="http://schemas.openxmlformats.org/officeDocument/2006/relationships/hyperlink" Target="http://www.industrial-boilers.org/" TargetMode="External"/><Relationship Id="rId7" Type="http://schemas.openxmlformats.org/officeDocument/2006/relationships/hyperlink" Target="http://www.pveng.com/Sample/AddNozzle/Sample1_APV.pdf" TargetMode="External"/><Relationship Id="rId2" Type="http://schemas.openxmlformats.org/officeDocument/2006/relationships/hyperlink" Target="http://www.science.howstuffworks.com/" TargetMode="External"/><Relationship Id="rId1" Type="http://schemas.openxmlformats.org/officeDocument/2006/relationships/hyperlink" Target="http://coolingtower-design.com/category/boiler/" TargetMode="External"/><Relationship Id="rId6" Type="http://schemas.openxmlformats.org/officeDocument/2006/relationships/hyperlink" Target="http://www.pbs.org/wgbh/nova/tech/fuel-cell-car.html" TargetMode="External"/><Relationship Id="rId5" Type="http://schemas.openxmlformats.org/officeDocument/2006/relationships/hyperlink" Target="http://www.machinetec.blogspot.com/" TargetMode="External"/><Relationship Id="rId10" Type="http://schemas.openxmlformats.org/officeDocument/2006/relationships/drawing" Target="../drawings/drawing1.xml"/><Relationship Id="rId4" Type="http://schemas.openxmlformats.org/officeDocument/2006/relationships/hyperlink" Target="http://www.reference.findtarget.com/" TargetMode="External"/><Relationship Id="rId9"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scribd.com/doc/58358457/ASME-Pressure-Vessels-Basic-Calculations"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dimension ref="A1:N334"/>
  <sheetViews>
    <sheetView tabSelected="1" zoomScaleNormal="100" workbookViewId="0">
      <selection activeCell="I1" sqref="I1"/>
    </sheetView>
  </sheetViews>
  <sheetFormatPr defaultRowHeight="15"/>
  <cols>
    <col min="1" max="1" width="3.42578125" customWidth="1"/>
    <col min="2" max="2" width="39.42578125" customWidth="1"/>
    <col min="3" max="3" width="12.5703125" customWidth="1"/>
    <col min="8" max="8" width="5.85546875" customWidth="1"/>
    <col min="9" max="9" width="33.85546875" customWidth="1"/>
    <col min="10" max="10" width="14.28515625" style="5" customWidth="1"/>
  </cols>
  <sheetData>
    <row r="1" spans="2:14" ht="18.75">
      <c r="B1" s="36" t="s">
        <v>295</v>
      </c>
      <c r="G1" s="36" t="s">
        <v>213</v>
      </c>
      <c r="H1" s="126"/>
      <c r="I1" s="126"/>
      <c r="J1" s="127"/>
      <c r="K1" s="126"/>
      <c r="L1" s="126"/>
      <c r="M1" s="126"/>
      <c r="N1" s="126"/>
    </row>
    <row r="2" spans="2:14">
      <c r="B2" s="2" t="s">
        <v>290</v>
      </c>
      <c r="D2" t="s">
        <v>296</v>
      </c>
      <c r="H2" s="126"/>
      <c r="I2" s="126"/>
      <c r="J2" s="127"/>
      <c r="K2" s="126"/>
      <c r="L2" s="126"/>
      <c r="M2" s="126"/>
      <c r="N2" s="126"/>
    </row>
    <row r="3" spans="2:14" ht="15.75">
      <c r="B3" s="1"/>
      <c r="H3" s="126"/>
      <c r="I3" s="126"/>
      <c r="J3" s="127"/>
      <c r="K3" s="160"/>
      <c r="L3" s="148"/>
      <c r="M3" s="148"/>
      <c r="N3" s="126"/>
    </row>
    <row r="4" spans="2:14" ht="18">
      <c r="B4" s="180" t="s">
        <v>214</v>
      </c>
      <c r="H4" s="126"/>
      <c r="I4" s="126"/>
      <c r="J4" s="127"/>
      <c r="K4" s="160"/>
      <c r="L4" s="148"/>
      <c r="M4" s="148"/>
      <c r="N4" s="126"/>
    </row>
    <row r="5" spans="2:14">
      <c r="H5" s="126"/>
      <c r="I5" s="126"/>
      <c r="J5" s="127"/>
      <c r="K5" s="160"/>
      <c r="L5" s="148"/>
      <c r="M5" s="148"/>
      <c r="N5" s="126"/>
    </row>
    <row r="6" spans="2:14" ht="18.75">
      <c r="B6" s="36" t="s">
        <v>134</v>
      </c>
      <c r="H6" s="126"/>
      <c r="I6" s="126"/>
      <c r="J6" s="127"/>
      <c r="K6" s="160"/>
      <c r="L6" s="148"/>
      <c r="M6" s="148"/>
      <c r="N6" s="126"/>
    </row>
    <row r="7" spans="2:14">
      <c r="H7" s="126"/>
      <c r="I7" s="126"/>
      <c r="J7" s="127"/>
      <c r="K7" s="160"/>
      <c r="L7" s="148"/>
      <c r="M7" s="148"/>
      <c r="N7" s="126"/>
    </row>
    <row r="8" spans="2:14">
      <c r="H8" s="126"/>
      <c r="I8" s="126"/>
      <c r="J8" s="127"/>
      <c r="K8" s="160"/>
      <c r="L8" s="148"/>
      <c r="M8" s="148"/>
      <c r="N8" s="126"/>
    </row>
    <row r="9" spans="2:14">
      <c r="H9" s="126"/>
      <c r="I9" s="126"/>
      <c r="J9" s="127"/>
      <c r="K9" s="160"/>
      <c r="L9" s="148"/>
      <c r="M9" s="148"/>
      <c r="N9" s="126"/>
    </row>
    <row r="10" spans="2:14">
      <c r="H10" s="126"/>
      <c r="I10" s="126"/>
      <c r="J10" s="128"/>
      <c r="K10" s="148"/>
      <c r="L10" s="148"/>
      <c r="M10" s="148"/>
      <c r="N10" s="126"/>
    </row>
    <row r="11" spans="2:14">
      <c r="H11" s="126"/>
      <c r="I11" s="126"/>
      <c r="J11" s="128"/>
      <c r="K11" s="160"/>
      <c r="L11" s="148"/>
      <c r="M11" s="148"/>
      <c r="N11" s="126"/>
    </row>
    <row r="12" spans="2:14">
      <c r="H12" s="126"/>
      <c r="I12" s="126"/>
      <c r="J12" s="127"/>
      <c r="K12" s="160"/>
      <c r="L12" s="148"/>
      <c r="M12" s="148"/>
      <c r="N12" s="126"/>
    </row>
    <row r="13" spans="2:14">
      <c r="H13" s="126"/>
      <c r="I13" s="126"/>
      <c r="J13" s="127"/>
      <c r="K13" s="160"/>
      <c r="L13" s="148"/>
      <c r="M13" s="148"/>
      <c r="N13" s="126"/>
    </row>
    <row r="14" spans="2:14">
      <c r="H14" s="126"/>
      <c r="I14" s="126"/>
      <c r="J14" s="127"/>
      <c r="K14" s="148"/>
      <c r="L14" s="148"/>
      <c r="M14" s="148"/>
      <c r="N14" s="126"/>
    </row>
    <row r="15" spans="2:14">
      <c r="H15" s="126"/>
      <c r="I15" s="126"/>
      <c r="J15" s="127"/>
      <c r="K15" s="126"/>
      <c r="L15" s="126"/>
      <c r="M15" s="126"/>
      <c r="N15" s="126"/>
    </row>
    <row r="16" spans="2:14">
      <c r="H16" s="126"/>
      <c r="I16" s="126"/>
      <c r="J16" s="127"/>
      <c r="K16" s="126"/>
      <c r="L16" s="126"/>
      <c r="M16" s="126"/>
      <c r="N16" s="126"/>
    </row>
    <row r="17" spans="3:14">
      <c r="H17" s="126"/>
      <c r="I17" s="126"/>
      <c r="J17" s="127"/>
      <c r="K17" s="126"/>
      <c r="L17" s="126"/>
      <c r="M17" s="126"/>
      <c r="N17" s="126"/>
    </row>
    <row r="18" spans="3:14">
      <c r="H18" s="126"/>
      <c r="I18" s="126"/>
      <c r="J18" s="127"/>
      <c r="K18" s="126"/>
      <c r="L18" s="126"/>
      <c r="M18" s="126"/>
      <c r="N18" s="126"/>
    </row>
    <row r="19" spans="3:14">
      <c r="H19" s="126"/>
      <c r="I19" s="126"/>
      <c r="J19" s="127"/>
      <c r="K19" s="126"/>
      <c r="L19" s="126"/>
      <c r="M19" s="126"/>
      <c r="N19" s="126"/>
    </row>
    <row r="20" spans="3:14">
      <c r="H20" s="126"/>
      <c r="I20" s="126"/>
      <c r="J20" s="127"/>
      <c r="K20" s="126"/>
      <c r="L20" s="126"/>
      <c r="M20" s="126"/>
      <c r="N20" s="126"/>
    </row>
    <row r="21" spans="3:14">
      <c r="H21" s="126"/>
      <c r="I21" s="126"/>
      <c r="J21" s="127"/>
      <c r="K21" s="126"/>
      <c r="L21" s="126"/>
      <c r="M21" s="126"/>
      <c r="N21" s="126"/>
    </row>
    <row r="22" spans="3:14">
      <c r="H22" s="126"/>
      <c r="I22" s="126"/>
      <c r="J22" s="127"/>
      <c r="K22" s="126"/>
      <c r="L22" s="126"/>
      <c r="M22" s="126"/>
      <c r="N22" s="126"/>
    </row>
    <row r="23" spans="3:14">
      <c r="H23" s="126"/>
      <c r="I23" s="126"/>
      <c r="J23" s="127"/>
      <c r="K23" s="126"/>
      <c r="L23" s="126"/>
      <c r="M23" s="126"/>
      <c r="N23" s="126"/>
    </row>
    <row r="24" spans="3:14">
      <c r="H24" s="126"/>
      <c r="I24" s="126"/>
      <c r="J24" s="127"/>
      <c r="K24" s="126"/>
      <c r="L24" s="126"/>
      <c r="M24" s="126"/>
      <c r="N24" s="126"/>
    </row>
    <row r="25" spans="3:14">
      <c r="H25" s="126"/>
      <c r="I25" s="126"/>
      <c r="J25" s="127"/>
      <c r="K25" s="126"/>
      <c r="L25" s="126"/>
      <c r="M25" s="126"/>
      <c r="N25" s="126"/>
    </row>
    <row r="26" spans="3:14">
      <c r="H26" s="126"/>
      <c r="I26" s="126"/>
      <c r="J26" s="127"/>
      <c r="K26" s="126"/>
      <c r="L26" s="129"/>
      <c r="M26" s="126"/>
      <c r="N26" s="126"/>
    </row>
    <row r="27" spans="3:14">
      <c r="C27" s="21" t="s">
        <v>44</v>
      </c>
      <c r="H27" s="126"/>
      <c r="I27" s="126"/>
      <c r="J27" s="127"/>
      <c r="K27" s="126"/>
      <c r="L27" s="126"/>
      <c r="M27" s="126"/>
      <c r="N27" s="126"/>
    </row>
    <row r="28" spans="3:14">
      <c r="H28" s="126"/>
      <c r="I28" s="126"/>
      <c r="J28" s="127"/>
      <c r="K28" s="126"/>
      <c r="L28" s="126"/>
      <c r="M28" s="126"/>
      <c r="N28" s="126"/>
    </row>
    <row r="29" spans="3:14">
      <c r="H29" s="126"/>
      <c r="I29" s="126"/>
      <c r="J29" s="127"/>
      <c r="K29" s="126"/>
      <c r="L29" s="126"/>
      <c r="M29" s="126"/>
      <c r="N29" s="126"/>
    </row>
    <row r="30" spans="3:14">
      <c r="H30" s="126"/>
      <c r="I30" s="126"/>
      <c r="J30" s="127"/>
      <c r="K30" s="126"/>
      <c r="L30" s="126"/>
      <c r="M30" s="126"/>
      <c r="N30" s="126"/>
    </row>
    <row r="31" spans="3:14">
      <c r="H31" s="126"/>
      <c r="I31" s="126"/>
      <c r="J31" s="127"/>
      <c r="K31" s="126"/>
      <c r="L31" s="126"/>
      <c r="M31" s="126"/>
      <c r="N31" s="126"/>
    </row>
    <row r="32" spans="3:14">
      <c r="H32" s="126"/>
      <c r="I32" s="126"/>
      <c r="J32" s="127"/>
      <c r="K32" s="126"/>
      <c r="L32" s="126"/>
      <c r="M32" s="126"/>
      <c r="N32" s="126"/>
    </row>
    <row r="33" spans="8:14">
      <c r="H33" s="126"/>
      <c r="I33" s="126"/>
      <c r="J33" s="127"/>
      <c r="K33" s="126"/>
      <c r="L33" s="126"/>
      <c r="M33" s="126"/>
      <c r="N33" s="126"/>
    </row>
    <row r="34" spans="8:14">
      <c r="H34" s="126"/>
      <c r="I34" s="126"/>
      <c r="J34" s="127"/>
      <c r="K34" s="130"/>
      <c r="L34" s="129"/>
      <c r="M34" s="126"/>
      <c r="N34" s="126"/>
    </row>
    <row r="35" spans="8:14">
      <c r="H35" s="126"/>
      <c r="I35" s="126"/>
      <c r="J35" s="127"/>
      <c r="K35" s="126"/>
      <c r="L35" s="126"/>
      <c r="M35" s="126"/>
      <c r="N35" s="126"/>
    </row>
    <row r="36" spans="8:14">
      <c r="H36" s="126"/>
      <c r="I36" s="126"/>
      <c r="J36" s="127"/>
      <c r="K36" s="126"/>
      <c r="L36" s="126"/>
      <c r="M36" s="126"/>
      <c r="N36" s="126"/>
    </row>
    <row r="37" spans="8:14">
      <c r="H37" s="126"/>
      <c r="I37" s="126"/>
      <c r="J37" s="127"/>
      <c r="K37" s="126"/>
      <c r="L37" s="126"/>
      <c r="M37" s="126"/>
      <c r="N37" s="126"/>
    </row>
    <row r="38" spans="8:14">
      <c r="H38" s="126"/>
      <c r="I38" s="126"/>
      <c r="J38" s="127"/>
      <c r="K38" s="126"/>
      <c r="L38" s="126"/>
      <c r="M38" s="126"/>
      <c r="N38" s="126"/>
    </row>
    <row r="39" spans="8:14">
      <c r="H39" s="126"/>
      <c r="I39" s="126"/>
      <c r="J39" s="127"/>
      <c r="K39" s="126"/>
      <c r="L39" s="126"/>
      <c r="M39" s="126"/>
      <c r="N39" s="126"/>
    </row>
    <row r="40" spans="8:14">
      <c r="H40" s="126"/>
      <c r="I40" s="126"/>
      <c r="J40" s="127"/>
      <c r="K40" s="126"/>
      <c r="L40" s="126"/>
      <c r="M40" s="126"/>
      <c r="N40" s="126"/>
    </row>
    <row r="41" spans="8:14">
      <c r="H41" s="126"/>
      <c r="I41" s="126"/>
      <c r="J41" s="127"/>
      <c r="K41" s="126"/>
      <c r="L41" s="126"/>
      <c r="M41" s="126"/>
      <c r="N41" s="126"/>
    </row>
    <row r="42" spans="8:14">
      <c r="H42" s="126"/>
      <c r="I42" s="126"/>
      <c r="J42" s="127"/>
      <c r="K42" s="126"/>
      <c r="L42" s="126"/>
      <c r="M42" s="126"/>
      <c r="N42" s="126"/>
    </row>
    <row r="43" spans="8:14">
      <c r="H43" s="126"/>
      <c r="I43" s="126"/>
      <c r="J43" s="127"/>
      <c r="K43" s="126"/>
      <c r="L43" s="126"/>
      <c r="M43" s="126"/>
      <c r="N43" s="126"/>
    </row>
    <row r="44" spans="8:14">
      <c r="H44" s="126"/>
      <c r="I44" s="126"/>
      <c r="J44" s="127"/>
      <c r="K44" s="126"/>
      <c r="L44" s="126"/>
      <c r="M44" s="126"/>
      <c r="N44" s="126"/>
    </row>
    <row r="45" spans="8:14">
      <c r="H45" s="126"/>
      <c r="I45" s="126"/>
      <c r="J45" s="127"/>
      <c r="K45" s="126"/>
      <c r="L45" s="126"/>
      <c r="M45" s="126"/>
      <c r="N45" s="126"/>
    </row>
    <row r="46" spans="8:14">
      <c r="H46" s="126"/>
      <c r="I46" s="126"/>
      <c r="J46" s="127"/>
      <c r="K46" s="126"/>
      <c r="L46" s="126"/>
      <c r="M46" s="126"/>
      <c r="N46" s="126"/>
    </row>
    <row r="47" spans="8:14">
      <c r="H47" s="126"/>
      <c r="I47" s="126"/>
      <c r="J47" s="127"/>
      <c r="K47" s="126"/>
      <c r="L47" s="126"/>
      <c r="M47" s="126"/>
      <c r="N47" s="126"/>
    </row>
    <row r="48" spans="8:14">
      <c r="H48" s="126"/>
      <c r="I48" s="126"/>
      <c r="J48" s="127"/>
      <c r="K48" s="126"/>
      <c r="L48" s="126"/>
      <c r="M48" s="126"/>
      <c r="N48" s="126"/>
    </row>
    <row r="49" spans="2:14">
      <c r="H49" s="126"/>
      <c r="I49" s="126"/>
      <c r="J49" s="127"/>
      <c r="K49" s="126"/>
      <c r="L49" s="126"/>
      <c r="M49" s="126"/>
      <c r="N49" s="126"/>
    </row>
    <row r="50" spans="2:14">
      <c r="H50" s="126"/>
      <c r="I50" s="126"/>
      <c r="J50" s="127"/>
      <c r="K50" s="126"/>
      <c r="L50" s="126"/>
      <c r="M50" s="126"/>
      <c r="N50" s="126"/>
    </row>
    <row r="51" spans="2:14">
      <c r="H51" s="126"/>
      <c r="I51" s="126"/>
      <c r="J51" s="127"/>
      <c r="K51" s="126"/>
      <c r="L51" s="126"/>
      <c r="M51" s="126"/>
      <c r="N51" s="126"/>
    </row>
    <row r="52" spans="2:14">
      <c r="H52" s="126"/>
      <c r="I52" s="126"/>
      <c r="J52" s="127"/>
      <c r="K52" s="126"/>
      <c r="L52" s="126"/>
      <c r="M52" s="126"/>
      <c r="N52" s="126"/>
    </row>
    <row r="53" spans="2:14">
      <c r="H53" s="126"/>
      <c r="I53" s="126"/>
      <c r="J53" s="127"/>
      <c r="K53" s="126"/>
      <c r="L53" s="126"/>
      <c r="M53" s="126"/>
      <c r="N53" s="126"/>
    </row>
    <row r="54" spans="2:14">
      <c r="H54" s="126"/>
      <c r="I54" s="126"/>
      <c r="J54" s="127"/>
      <c r="K54" s="126"/>
      <c r="L54" s="126"/>
      <c r="M54" s="126"/>
      <c r="N54" s="126"/>
    </row>
    <row r="55" spans="2:14">
      <c r="H55" s="126"/>
      <c r="I55" s="126"/>
      <c r="J55" s="127"/>
      <c r="K55" s="126"/>
      <c r="L55" s="126"/>
      <c r="M55" s="126"/>
      <c r="N55" s="126"/>
    </row>
    <row r="56" spans="2:14">
      <c r="H56" s="126"/>
      <c r="I56" s="126"/>
      <c r="J56" s="127"/>
      <c r="K56" s="126"/>
      <c r="L56" s="126"/>
      <c r="M56" s="126"/>
      <c r="N56" s="126"/>
    </row>
    <row r="57" spans="2:14">
      <c r="H57" s="126"/>
      <c r="I57" s="126"/>
      <c r="J57" s="127"/>
      <c r="K57" s="126"/>
      <c r="L57" s="126"/>
      <c r="M57" s="126"/>
      <c r="N57" s="126"/>
    </row>
    <row r="58" spans="2:14">
      <c r="H58" s="126"/>
      <c r="I58" s="126"/>
      <c r="J58" s="127"/>
      <c r="K58" s="126"/>
      <c r="L58" s="126"/>
      <c r="M58" s="126"/>
      <c r="N58" s="126"/>
    </row>
    <row r="59" spans="2:14">
      <c r="H59" s="126"/>
      <c r="I59" s="126"/>
      <c r="J59" s="127"/>
      <c r="K59" s="126"/>
      <c r="L59" s="126"/>
      <c r="M59" s="126"/>
      <c r="N59" s="126"/>
    </row>
    <row r="60" spans="2:14" ht="18.75">
      <c r="B60" s="36" t="s">
        <v>131</v>
      </c>
      <c r="H60" s="126"/>
      <c r="I60" s="126"/>
      <c r="J60" s="127"/>
      <c r="K60" s="126"/>
      <c r="L60" s="126"/>
      <c r="M60" s="126"/>
      <c r="N60" s="126"/>
    </row>
    <row r="61" spans="2:14">
      <c r="H61" s="126"/>
      <c r="I61" s="126"/>
      <c r="J61" s="127"/>
      <c r="K61" s="126"/>
      <c r="L61" s="126"/>
      <c r="M61" s="126"/>
      <c r="N61" s="126"/>
    </row>
    <row r="62" spans="2:14">
      <c r="H62" s="126"/>
      <c r="I62" s="126"/>
      <c r="J62" s="127"/>
      <c r="K62" s="126"/>
      <c r="L62" s="126"/>
      <c r="M62" s="126"/>
      <c r="N62" s="126"/>
    </row>
    <row r="63" spans="2:14">
      <c r="H63" s="126"/>
      <c r="I63" s="126"/>
      <c r="J63" s="127"/>
      <c r="K63" s="126"/>
      <c r="L63" s="126"/>
      <c r="M63" s="126"/>
      <c r="N63" s="126"/>
    </row>
    <row r="64" spans="2:14">
      <c r="H64" s="126"/>
      <c r="I64" s="126"/>
      <c r="J64" s="127"/>
      <c r="K64" s="126"/>
      <c r="L64" s="126"/>
      <c r="M64" s="126"/>
      <c r="N64" s="126"/>
    </row>
    <row r="65" spans="2:14">
      <c r="H65" s="126"/>
      <c r="I65" s="126"/>
      <c r="J65" s="127"/>
      <c r="K65" s="126"/>
      <c r="L65" s="126"/>
      <c r="M65" s="126"/>
      <c r="N65" s="126"/>
    </row>
    <row r="66" spans="2:14">
      <c r="H66" s="126"/>
      <c r="I66" s="126"/>
      <c r="J66" s="127"/>
      <c r="K66" s="126"/>
      <c r="L66" s="126"/>
      <c r="M66" s="126"/>
      <c r="N66" s="126"/>
    </row>
    <row r="67" spans="2:14">
      <c r="H67" s="126"/>
      <c r="I67" s="126"/>
      <c r="J67" s="127"/>
      <c r="K67" s="126"/>
      <c r="L67" s="126"/>
      <c r="M67" s="126"/>
      <c r="N67" s="126"/>
    </row>
    <row r="68" spans="2:14">
      <c r="H68" s="126"/>
      <c r="I68" s="126"/>
      <c r="J68" s="127"/>
      <c r="K68" s="126"/>
      <c r="L68" s="126"/>
      <c r="M68" s="126"/>
      <c r="N68" s="126"/>
    </row>
    <row r="69" spans="2:14">
      <c r="H69" s="126"/>
      <c r="I69" s="126"/>
      <c r="J69" s="127"/>
      <c r="K69" s="126"/>
      <c r="L69" s="126"/>
      <c r="M69" s="126"/>
      <c r="N69" s="126"/>
    </row>
    <row r="70" spans="2:14">
      <c r="H70" s="126"/>
      <c r="I70" s="126"/>
      <c r="J70" s="127"/>
      <c r="K70" s="126"/>
      <c r="L70" s="126"/>
      <c r="M70" s="126"/>
      <c r="N70" s="126"/>
    </row>
    <row r="71" spans="2:14">
      <c r="H71" s="126"/>
      <c r="I71" s="126"/>
      <c r="J71" s="127"/>
      <c r="K71" s="126"/>
      <c r="L71" s="126"/>
      <c r="M71" s="126"/>
      <c r="N71" s="126"/>
    </row>
    <row r="72" spans="2:14">
      <c r="H72" s="126"/>
      <c r="I72" s="126"/>
      <c r="J72" s="127"/>
      <c r="K72" s="126"/>
      <c r="L72" s="126"/>
      <c r="M72" s="126"/>
      <c r="N72" s="126"/>
    </row>
    <row r="73" spans="2:14">
      <c r="H73" s="126"/>
      <c r="I73" s="126"/>
      <c r="J73" s="127"/>
      <c r="K73" s="126"/>
      <c r="L73" s="126"/>
      <c r="M73" s="126"/>
      <c r="N73" s="126"/>
    </row>
    <row r="74" spans="2:14">
      <c r="H74" s="126"/>
      <c r="I74" s="126"/>
      <c r="J74" s="127"/>
      <c r="K74" s="126"/>
      <c r="L74" s="126"/>
      <c r="M74" s="126"/>
      <c r="N74" s="126"/>
    </row>
    <row r="75" spans="2:14">
      <c r="H75" s="126"/>
      <c r="I75" s="126"/>
      <c r="J75" s="127"/>
      <c r="K75" s="126"/>
      <c r="L75" s="126"/>
      <c r="M75" s="126"/>
      <c r="N75" s="126"/>
    </row>
    <row r="76" spans="2:14">
      <c r="H76" s="126"/>
      <c r="I76" s="126"/>
      <c r="J76" s="127"/>
      <c r="K76" s="126"/>
      <c r="L76" s="126"/>
      <c r="M76" s="126"/>
      <c r="N76" s="126"/>
    </row>
    <row r="77" spans="2:14">
      <c r="H77" s="126"/>
      <c r="I77" s="126"/>
      <c r="J77" s="127"/>
      <c r="K77" s="126"/>
      <c r="L77" s="126"/>
      <c r="M77" s="126"/>
      <c r="N77" s="126"/>
    </row>
    <row r="78" spans="2:14">
      <c r="H78" s="126"/>
      <c r="I78" s="126"/>
      <c r="J78" s="127"/>
      <c r="K78" s="126"/>
      <c r="L78" s="126"/>
      <c r="M78" s="126"/>
      <c r="N78" s="126"/>
    </row>
    <row r="79" spans="2:14">
      <c r="B79" s="6" t="s">
        <v>41</v>
      </c>
      <c r="C79" s="21" t="s">
        <v>40</v>
      </c>
      <c r="H79" s="126"/>
      <c r="I79" s="126"/>
      <c r="J79" s="127"/>
      <c r="K79" s="126"/>
      <c r="L79" s="126"/>
      <c r="M79" s="126"/>
      <c r="N79" s="126"/>
    </row>
    <row r="80" spans="2:14">
      <c r="H80" s="126"/>
      <c r="I80" s="126"/>
      <c r="J80" s="127"/>
      <c r="K80" s="126"/>
      <c r="L80" s="126"/>
      <c r="M80" s="126"/>
      <c r="N80" s="126"/>
    </row>
    <row r="81" spans="2:14" ht="18.75">
      <c r="B81" s="36" t="s">
        <v>135</v>
      </c>
      <c r="H81" s="126"/>
      <c r="I81" s="126"/>
      <c r="J81" s="127"/>
      <c r="K81" s="126"/>
      <c r="L81" s="126"/>
      <c r="M81" s="126"/>
      <c r="N81" s="126"/>
    </row>
    <row r="82" spans="2:14">
      <c r="H82" s="126"/>
      <c r="I82" s="126"/>
      <c r="J82" s="127"/>
      <c r="K82" s="126"/>
      <c r="L82" s="126"/>
      <c r="M82" s="126"/>
      <c r="N82" s="126"/>
    </row>
    <row r="83" spans="2:14">
      <c r="H83" s="126"/>
      <c r="I83" s="126"/>
      <c r="J83" s="127"/>
      <c r="K83" s="126"/>
      <c r="L83" s="126"/>
      <c r="M83" s="126"/>
      <c r="N83" s="126"/>
    </row>
    <row r="84" spans="2:14">
      <c r="H84" s="126"/>
      <c r="I84" s="126"/>
      <c r="J84" s="127"/>
      <c r="K84" s="126"/>
      <c r="L84" s="126"/>
      <c r="M84" s="126"/>
      <c r="N84" s="126"/>
    </row>
    <row r="85" spans="2:14">
      <c r="H85" s="126"/>
      <c r="I85" s="126"/>
      <c r="J85" s="127"/>
      <c r="K85" s="126"/>
      <c r="L85" s="126"/>
      <c r="M85" s="126"/>
      <c r="N85" s="126"/>
    </row>
    <row r="86" spans="2:14">
      <c r="H86" s="126"/>
      <c r="I86" s="126"/>
      <c r="J86" s="127"/>
      <c r="K86" s="126"/>
      <c r="L86" s="126"/>
      <c r="M86" s="126"/>
      <c r="N86" s="126"/>
    </row>
    <row r="87" spans="2:14">
      <c r="H87" s="126"/>
      <c r="I87" s="126"/>
      <c r="J87" s="127"/>
      <c r="K87" s="126"/>
      <c r="L87" s="126"/>
      <c r="M87" s="126"/>
      <c r="N87" s="126"/>
    </row>
    <row r="88" spans="2:14">
      <c r="H88" s="126"/>
      <c r="I88" s="126"/>
      <c r="J88" s="127"/>
      <c r="K88" s="126"/>
      <c r="L88" s="126"/>
      <c r="M88" s="126"/>
      <c r="N88" s="126"/>
    </row>
    <row r="89" spans="2:14">
      <c r="H89" s="126"/>
      <c r="I89" s="126"/>
      <c r="J89" s="127"/>
      <c r="K89" s="126"/>
      <c r="L89" s="126"/>
      <c r="M89" s="126"/>
      <c r="N89" s="126"/>
    </row>
    <row r="90" spans="2:14">
      <c r="H90" s="126"/>
      <c r="I90" s="126"/>
      <c r="J90" s="127"/>
      <c r="K90" s="126"/>
      <c r="L90" s="126"/>
      <c r="M90" s="126"/>
      <c r="N90" s="126"/>
    </row>
    <row r="91" spans="2:14">
      <c r="H91" s="126"/>
      <c r="I91" s="126"/>
      <c r="J91" s="127"/>
      <c r="K91" s="126"/>
      <c r="L91" s="126"/>
      <c r="M91" s="126"/>
      <c r="N91" s="126"/>
    </row>
    <row r="92" spans="2:14">
      <c r="H92" s="126"/>
      <c r="I92" s="126"/>
      <c r="J92" s="127"/>
      <c r="K92" s="126"/>
      <c r="L92" s="126"/>
      <c r="M92" s="126"/>
      <c r="N92" s="126"/>
    </row>
    <row r="93" spans="2:14">
      <c r="H93" s="126"/>
      <c r="I93" s="126"/>
      <c r="J93" s="127"/>
      <c r="K93" s="126"/>
      <c r="L93" s="126"/>
      <c r="M93" s="126"/>
      <c r="N93" s="126"/>
    </row>
    <row r="94" spans="2:14">
      <c r="H94" s="126"/>
      <c r="I94" s="126"/>
      <c r="J94" s="127"/>
      <c r="K94" s="126"/>
      <c r="L94" s="126"/>
      <c r="M94" s="126"/>
      <c r="N94" s="126"/>
    </row>
    <row r="95" spans="2:14">
      <c r="H95" s="126"/>
      <c r="I95" s="126"/>
      <c r="J95" s="127"/>
      <c r="K95" s="126"/>
      <c r="L95" s="126"/>
      <c r="M95" s="126"/>
      <c r="N95" s="126"/>
    </row>
    <row r="96" spans="2:14">
      <c r="H96" s="126"/>
      <c r="I96" s="126"/>
      <c r="J96" s="127"/>
      <c r="K96" s="126"/>
      <c r="L96" s="126"/>
      <c r="M96" s="126"/>
      <c r="N96" s="126"/>
    </row>
    <row r="97" spans="2:14">
      <c r="H97" s="126"/>
      <c r="I97" s="126"/>
      <c r="J97" s="127"/>
      <c r="K97" s="126"/>
      <c r="L97" s="126"/>
      <c r="M97" s="126"/>
      <c r="N97" s="126"/>
    </row>
    <row r="98" spans="2:14">
      <c r="H98" s="126"/>
      <c r="I98" s="126"/>
      <c r="J98" s="127"/>
      <c r="K98" s="126"/>
      <c r="L98" s="126"/>
      <c r="M98" s="126"/>
      <c r="N98" s="126"/>
    </row>
    <row r="99" spans="2:14">
      <c r="H99" s="126"/>
      <c r="I99" s="126"/>
      <c r="J99" s="127"/>
      <c r="K99" s="126"/>
      <c r="L99" s="126"/>
      <c r="M99" s="126"/>
      <c r="N99" s="126"/>
    </row>
    <row r="100" spans="2:14" ht="15.75">
      <c r="B100" s="27"/>
      <c r="C100" s="28"/>
      <c r="D100" s="27"/>
      <c r="E100" s="27"/>
      <c r="H100" s="126"/>
      <c r="I100" s="126"/>
      <c r="J100" s="127"/>
      <c r="K100" s="126"/>
      <c r="L100" s="126"/>
      <c r="M100" s="126"/>
      <c r="N100" s="126"/>
    </row>
    <row r="101" spans="2:14">
      <c r="H101" s="126"/>
      <c r="I101" s="126"/>
      <c r="J101" s="127"/>
      <c r="K101" s="126"/>
      <c r="L101" s="126"/>
      <c r="M101" s="126"/>
      <c r="N101" s="126"/>
    </row>
    <row r="102" spans="2:14">
      <c r="H102" s="126"/>
      <c r="I102" s="126"/>
      <c r="J102" s="127"/>
      <c r="K102" s="126"/>
      <c r="L102" s="126"/>
      <c r="M102" s="126"/>
      <c r="N102" s="126"/>
    </row>
    <row r="103" spans="2:14">
      <c r="H103" s="126"/>
      <c r="I103" s="126"/>
      <c r="J103" s="127"/>
      <c r="K103" s="126"/>
      <c r="L103" s="126"/>
      <c r="M103" s="126"/>
      <c r="N103" s="126"/>
    </row>
    <row r="104" spans="2:14">
      <c r="B104" s="6" t="s">
        <v>41</v>
      </c>
      <c r="C104" s="21" t="s">
        <v>45</v>
      </c>
      <c r="H104" s="126"/>
      <c r="I104" s="126"/>
      <c r="J104" s="127"/>
      <c r="K104" s="126"/>
      <c r="L104" s="126"/>
      <c r="M104" s="126"/>
      <c r="N104" s="126"/>
    </row>
    <row r="105" spans="2:14">
      <c r="H105" s="126"/>
      <c r="I105" s="126"/>
      <c r="J105" s="127"/>
      <c r="K105" s="126"/>
      <c r="L105" s="126"/>
      <c r="M105" s="126"/>
      <c r="N105" s="126"/>
    </row>
    <row r="106" spans="2:14" ht="18.75">
      <c r="B106" s="36" t="s">
        <v>221</v>
      </c>
      <c r="C106" s="21"/>
      <c r="H106" s="126"/>
      <c r="I106" s="126"/>
      <c r="J106" s="127"/>
      <c r="K106" s="126"/>
      <c r="L106" s="126"/>
      <c r="M106" s="126"/>
      <c r="N106" s="126"/>
    </row>
    <row r="107" spans="2:14">
      <c r="H107" s="126"/>
      <c r="I107" s="126"/>
      <c r="J107" s="127"/>
      <c r="K107" s="126"/>
      <c r="L107" s="126"/>
      <c r="M107" s="126"/>
      <c r="N107" s="126"/>
    </row>
    <row r="108" spans="2:14">
      <c r="H108" s="126"/>
      <c r="I108" s="126"/>
      <c r="J108" s="127"/>
      <c r="K108" s="126"/>
      <c r="L108" s="126"/>
      <c r="M108" s="126"/>
      <c r="N108" s="126"/>
    </row>
    <row r="109" spans="2:14">
      <c r="H109" s="126"/>
      <c r="I109" s="126"/>
      <c r="J109" s="127"/>
      <c r="K109" s="126"/>
      <c r="L109" s="126"/>
      <c r="M109" s="126"/>
      <c r="N109" s="126"/>
    </row>
    <row r="110" spans="2:14">
      <c r="H110" s="126"/>
      <c r="I110" s="126"/>
      <c r="J110" s="127"/>
      <c r="K110" s="126"/>
      <c r="L110" s="126"/>
      <c r="M110" s="126"/>
      <c r="N110" s="126"/>
    </row>
    <row r="111" spans="2:14">
      <c r="H111" s="126"/>
      <c r="I111" s="126"/>
      <c r="J111" s="127"/>
      <c r="K111" s="126"/>
      <c r="L111" s="126"/>
      <c r="M111" s="126"/>
      <c r="N111" s="126"/>
    </row>
    <row r="112" spans="2:14">
      <c r="H112" s="126"/>
      <c r="I112" s="126"/>
      <c r="J112" s="127"/>
      <c r="K112" s="126"/>
      <c r="L112" s="126"/>
      <c r="M112" s="126"/>
      <c r="N112" s="126"/>
    </row>
    <row r="113" spans="8:14">
      <c r="H113" s="126"/>
      <c r="I113" s="126"/>
      <c r="J113" s="127"/>
      <c r="K113" s="126"/>
      <c r="L113" s="126"/>
      <c r="M113" s="126"/>
      <c r="N113" s="126"/>
    </row>
    <row r="114" spans="8:14">
      <c r="H114" s="126"/>
      <c r="I114" s="126"/>
      <c r="J114" s="127"/>
      <c r="K114" s="126"/>
      <c r="L114" s="126"/>
      <c r="M114" s="126"/>
      <c r="N114" s="126"/>
    </row>
    <row r="115" spans="8:14">
      <c r="H115" s="126"/>
      <c r="I115" s="126"/>
      <c r="J115" s="127"/>
      <c r="K115" s="126"/>
      <c r="L115" s="126"/>
      <c r="M115" s="126"/>
      <c r="N115" s="126"/>
    </row>
    <row r="116" spans="8:14">
      <c r="H116" s="126"/>
      <c r="I116" s="126"/>
      <c r="J116" s="127"/>
      <c r="K116" s="126"/>
      <c r="L116" s="126"/>
      <c r="M116" s="126"/>
      <c r="N116" s="126"/>
    </row>
    <row r="117" spans="8:14">
      <c r="H117" s="126"/>
      <c r="I117" s="126"/>
      <c r="J117" s="127"/>
      <c r="K117" s="126"/>
      <c r="L117" s="126"/>
      <c r="M117" s="126"/>
      <c r="N117" s="126"/>
    </row>
    <row r="118" spans="8:14">
      <c r="H118" s="126"/>
      <c r="I118" s="126"/>
      <c r="J118" s="127"/>
      <c r="K118" s="126"/>
      <c r="L118" s="126"/>
      <c r="M118" s="126"/>
      <c r="N118" s="126"/>
    </row>
    <row r="119" spans="8:14">
      <c r="H119" s="126"/>
      <c r="I119" s="126"/>
      <c r="J119" s="127"/>
      <c r="K119" s="126"/>
      <c r="L119" s="126"/>
      <c r="M119" s="126"/>
      <c r="N119" s="126"/>
    </row>
    <row r="120" spans="8:14">
      <c r="H120" s="126"/>
      <c r="I120" s="126"/>
      <c r="J120" s="127"/>
      <c r="K120" s="126"/>
      <c r="L120" s="126"/>
      <c r="M120" s="126"/>
      <c r="N120" s="126"/>
    </row>
    <row r="121" spans="8:14">
      <c r="H121" s="126"/>
      <c r="I121" s="126"/>
      <c r="J121" s="127"/>
      <c r="K121" s="126"/>
      <c r="L121" s="126"/>
      <c r="M121" s="126"/>
      <c r="N121" s="126"/>
    </row>
    <row r="122" spans="8:14">
      <c r="H122" s="126"/>
      <c r="I122" s="126"/>
      <c r="J122" s="127"/>
      <c r="K122" s="126"/>
      <c r="L122" s="126"/>
      <c r="M122" s="126"/>
      <c r="N122" s="126"/>
    </row>
    <row r="123" spans="8:14">
      <c r="H123" s="126"/>
      <c r="I123" s="126"/>
      <c r="J123" s="127"/>
      <c r="K123" s="126"/>
      <c r="L123" s="126"/>
      <c r="M123" s="126"/>
      <c r="N123" s="126"/>
    </row>
    <row r="124" spans="8:14">
      <c r="H124" s="126"/>
      <c r="I124" s="126"/>
      <c r="J124" s="127"/>
      <c r="K124" s="126"/>
      <c r="L124" s="126"/>
      <c r="M124" s="126"/>
      <c r="N124" s="126"/>
    </row>
    <row r="125" spans="8:14">
      <c r="H125" s="126"/>
      <c r="I125" s="126"/>
      <c r="J125" s="127"/>
      <c r="K125" s="126"/>
      <c r="L125" s="126"/>
      <c r="M125" s="126"/>
      <c r="N125" s="126"/>
    </row>
    <row r="126" spans="8:14">
      <c r="H126" s="126"/>
      <c r="I126" s="126"/>
      <c r="J126" s="127"/>
      <c r="K126" s="126"/>
      <c r="L126" s="126"/>
      <c r="M126" s="126"/>
      <c r="N126" s="126"/>
    </row>
    <row r="127" spans="8:14">
      <c r="H127" s="126"/>
      <c r="I127" s="126"/>
      <c r="J127" s="127"/>
      <c r="K127" s="126"/>
      <c r="L127" s="126"/>
      <c r="M127" s="126"/>
      <c r="N127" s="126"/>
    </row>
    <row r="128" spans="8:14">
      <c r="H128" s="126"/>
      <c r="I128" s="126"/>
      <c r="J128" s="127"/>
      <c r="K128" s="126"/>
      <c r="L128" s="126"/>
      <c r="M128" s="126"/>
      <c r="N128" s="126"/>
    </row>
    <row r="129" spans="2:14">
      <c r="H129" s="126"/>
      <c r="I129" s="126"/>
      <c r="J129" s="127"/>
      <c r="K129" s="126"/>
      <c r="L129" s="126"/>
      <c r="M129" s="126"/>
      <c r="N129" s="126"/>
    </row>
    <row r="130" spans="2:14">
      <c r="H130" s="126"/>
      <c r="I130" s="126"/>
      <c r="J130" s="127"/>
      <c r="K130" s="126"/>
      <c r="L130" s="126"/>
      <c r="M130" s="126"/>
      <c r="N130" s="126"/>
    </row>
    <row r="131" spans="2:14">
      <c r="C131" s="21" t="s">
        <v>42</v>
      </c>
      <c r="H131" s="126"/>
      <c r="I131" s="126"/>
      <c r="J131" s="127"/>
      <c r="K131" s="126"/>
      <c r="L131" s="126"/>
      <c r="M131" s="126"/>
      <c r="N131" s="126"/>
    </row>
    <row r="132" spans="2:14">
      <c r="H132" s="126"/>
      <c r="I132" s="126"/>
      <c r="J132" s="127"/>
      <c r="K132" s="126"/>
      <c r="L132" s="126"/>
      <c r="M132" s="126"/>
      <c r="N132" s="126"/>
    </row>
    <row r="133" spans="2:14" ht="18.75">
      <c r="B133" s="36" t="s">
        <v>155</v>
      </c>
      <c r="H133" s="126"/>
      <c r="I133" s="126"/>
      <c r="J133" s="127"/>
      <c r="K133" s="126"/>
      <c r="L133" s="126"/>
      <c r="M133" s="126"/>
      <c r="N133" s="126"/>
    </row>
    <row r="134" spans="2:14">
      <c r="H134" s="126"/>
      <c r="I134" s="126"/>
      <c r="J134" s="127"/>
      <c r="K134" s="126"/>
      <c r="L134" s="126"/>
      <c r="M134" s="126"/>
      <c r="N134" s="126"/>
    </row>
    <row r="135" spans="2:14">
      <c r="H135" s="126"/>
      <c r="I135" s="126"/>
      <c r="J135" s="127"/>
      <c r="K135" s="126"/>
      <c r="L135" s="126"/>
      <c r="M135" s="126"/>
      <c r="N135" s="126"/>
    </row>
    <row r="136" spans="2:14">
      <c r="H136" s="126"/>
      <c r="I136" s="126"/>
      <c r="J136" s="127"/>
      <c r="K136" s="126"/>
      <c r="L136" s="126"/>
      <c r="M136" s="126"/>
      <c r="N136" s="126"/>
    </row>
    <row r="137" spans="2:14">
      <c r="H137" s="126"/>
      <c r="I137" s="126"/>
      <c r="J137" s="127"/>
      <c r="K137" s="126"/>
      <c r="L137" s="126"/>
      <c r="M137" s="126"/>
      <c r="N137" s="126"/>
    </row>
    <row r="138" spans="2:14">
      <c r="H138" s="126"/>
      <c r="I138" s="126"/>
      <c r="J138" s="127"/>
      <c r="K138" s="126"/>
      <c r="L138" s="126"/>
      <c r="M138" s="126"/>
      <c r="N138" s="126"/>
    </row>
    <row r="139" spans="2:14">
      <c r="H139" s="126"/>
      <c r="I139" s="126"/>
      <c r="J139" s="127"/>
      <c r="K139" s="126"/>
      <c r="L139" s="126"/>
      <c r="M139" s="126"/>
      <c r="N139" s="126"/>
    </row>
    <row r="140" spans="2:14">
      <c r="H140" s="126"/>
      <c r="I140" s="126"/>
      <c r="J140" s="127"/>
      <c r="K140" s="126"/>
      <c r="L140" s="126"/>
      <c r="M140" s="126"/>
      <c r="N140" s="126"/>
    </row>
    <row r="141" spans="2:14">
      <c r="H141" s="126"/>
      <c r="I141" s="126"/>
      <c r="J141" s="127"/>
      <c r="K141" s="126"/>
      <c r="L141" s="126"/>
      <c r="M141" s="126"/>
      <c r="N141" s="126"/>
    </row>
    <row r="142" spans="2:14">
      <c r="H142" s="126"/>
      <c r="I142" s="126"/>
      <c r="J142" s="127"/>
      <c r="K142" s="126"/>
      <c r="L142" s="126"/>
      <c r="M142" s="126"/>
      <c r="N142" s="126"/>
    </row>
    <row r="143" spans="2:14">
      <c r="H143" s="126"/>
      <c r="I143" s="126"/>
      <c r="J143" s="127"/>
      <c r="K143" s="126"/>
      <c r="L143" s="126"/>
      <c r="M143" s="126"/>
      <c r="N143" s="126"/>
    </row>
    <row r="144" spans="2:14">
      <c r="H144" s="126"/>
      <c r="I144" s="126"/>
      <c r="J144" s="127"/>
      <c r="K144" s="126"/>
      <c r="L144" s="126"/>
      <c r="M144" s="126"/>
      <c r="N144" s="126"/>
    </row>
    <row r="145" spans="2:14">
      <c r="H145" s="126"/>
      <c r="I145" s="126"/>
      <c r="J145" s="127"/>
      <c r="K145" s="126"/>
      <c r="L145" s="126"/>
      <c r="M145" s="126"/>
      <c r="N145" s="126"/>
    </row>
    <row r="146" spans="2:14">
      <c r="H146" s="126"/>
      <c r="I146" s="126"/>
      <c r="J146" s="127"/>
      <c r="K146" s="126"/>
      <c r="L146" s="126"/>
      <c r="M146" s="126"/>
      <c r="N146" s="126"/>
    </row>
    <row r="147" spans="2:14">
      <c r="H147" s="126"/>
      <c r="I147" s="126"/>
      <c r="J147" s="127"/>
      <c r="K147" s="126"/>
      <c r="L147" s="126"/>
      <c r="M147" s="126"/>
      <c r="N147" s="126"/>
    </row>
    <row r="148" spans="2:14">
      <c r="H148" s="126"/>
      <c r="I148" s="126"/>
      <c r="J148" s="127"/>
      <c r="K148" s="126"/>
      <c r="L148" s="126"/>
      <c r="M148" s="126"/>
      <c r="N148" s="126"/>
    </row>
    <row r="149" spans="2:14">
      <c r="H149" s="126"/>
      <c r="I149" s="126"/>
      <c r="J149" s="127"/>
      <c r="K149" s="126"/>
      <c r="L149" s="126"/>
      <c r="M149" s="126"/>
      <c r="N149" s="126"/>
    </row>
    <row r="150" spans="2:14">
      <c r="H150" s="126"/>
      <c r="I150" s="126"/>
      <c r="J150" s="127"/>
      <c r="K150" s="126"/>
      <c r="L150" s="126"/>
      <c r="M150" s="126"/>
      <c r="N150" s="126"/>
    </row>
    <row r="151" spans="2:14">
      <c r="H151" s="126"/>
      <c r="I151" s="126"/>
      <c r="J151" s="127"/>
      <c r="K151" s="126"/>
      <c r="L151" s="126"/>
      <c r="M151" s="126"/>
      <c r="N151" s="126"/>
    </row>
    <row r="152" spans="2:14">
      <c r="H152" s="126"/>
      <c r="I152" s="126"/>
      <c r="J152" s="127"/>
      <c r="K152" s="126"/>
      <c r="L152" s="126"/>
      <c r="M152" s="126"/>
      <c r="N152" s="126"/>
    </row>
    <row r="153" spans="2:14">
      <c r="H153" s="126"/>
      <c r="I153" s="126"/>
      <c r="J153" s="127"/>
      <c r="K153" s="126"/>
      <c r="L153" s="126"/>
      <c r="M153" s="126"/>
      <c r="N153" s="126"/>
    </row>
    <row r="154" spans="2:14">
      <c r="H154" s="126"/>
      <c r="I154" s="126"/>
      <c r="J154" s="127"/>
      <c r="K154" s="126"/>
      <c r="L154" s="126"/>
      <c r="M154" s="126"/>
      <c r="N154" s="126"/>
    </row>
    <row r="155" spans="2:14">
      <c r="H155" s="126"/>
      <c r="I155" s="126"/>
      <c r="J155" s="127"/>
      <c r="K155" s="126"/>
      <c r="L155" s="126"/>
      <c r="M155" s="126"/>
      <c r="N155" s="126"/>
    </row>
    <row r="156" spans="2:14">
      <c r="H156" s="126"/>
      <c r="I156" s="126"/>
      <c r="J156" s="127"/>
      <c r="K156" s="126"/>
      <c r="L156" s="126"/>
      <c r="M156" s="126"/>
      <c r="N156" s="126"/>
    </row>
    <row r="157" spans="2:14">
      <c r="H157" s="126"/>
      <c r="I157" s="126"/>
      <c r="J157" s="127"/>
      <c r="K157" s="126"/>
      <c r="L157" s="126"/>
      <c r="M157" s="126"/>
      <c r="N157" s="126"/>
    </row>
    <row r="158" spans="2:14">
      <c r="C158" s="21" t="s">
        <v>43</v>
      </c>
      <c r="H158" s="126"/>
      <c r="I158" s="126"/>
      <c r="J158" s="127"/>
      <c r="K158" s="126"/>
      <c r="L158" s="126"/>
      <c r="M158" s="126"/>
      <c r="N158" s="126"/>
    </row>
    <row r="159" spans="2:14">
      <c r="H159" s="126"/>
      <c r="I159" s="126"/>
      <c r="J159" s="127"/>
      <c r="K159" s="126"/>
      <c r="L159" s="126"/>
      <c r="M159" s="126"/>
      <c r="N159" s="126"/>
    </row>
    <row r="160" spans="2:14" ht="18.75">
      <c r="B160" s="36" t="s">
        <v>217</v>
      </c>
      <c r="H160" s="126"/>
      <c r="I160" s="126"/>
      <c r="J160" s="127"/>
      <c r="K160" s="126"/>
      <c r="L160" s="126"/>
      <c r="M160" s="126"/>
      <c r="N160" s="126"/>
    </row>
    <row r="161" spans="8:14">
      <c r="H161" s="126"/>
      <c r="I161" s="126"/>
      <c r="J161" s="127"/>
      <c r="K161" s="126"/>
      <c r="L161" s="126"/>
      <c r="M161" s="126"/>
      <c r="N161" s="126"/>
    </row>
    <row r="162" spans="8:14">
      <c r="H162" s="126"/>
      <c r="I162" s="126"/>
      <c r="J162" s="127"/>
      <c r="K162" s="126"/>
      <c r="L162" s="126"/>
      <c r="M162" s="126"/>
      <c r="N162" s="126"/>
    </row>
    <row r="163" spans="8:14">
      <c r="H163" s="126"/>
      <c r="I163" s="126"/>
      <c r="J163" s="127"/>
      <c r="K163" s="126"/>
      <c r="L163" s="126"/>
      <c r="M163" s="126"/>
      <c r="N163" s="126"/>
    </row>
    <row r="164" spans="8:14">
      <c r="H164" s="126"/>
      <c r="I164" s="126"/>
      <c r="J164" s="127"/>
      <c r="K164" s="126"/>
      <c r="L164" s="126"/>
      <c r="M164" s="126"/>
      <c r="N164" s="126"/>
    </row>
    <row r="165" spans="8:14">
      <c r="H165" s="126"/>
      <c r="I165" s="126"/>
      <c r="J165" s="127"/>
      <c r="K165" s="126"/>
      <c r="L165" s="126"/>
      <c r="M165" s="126"/>
      <c r="N165" s="126"/>
    </row>
    <row r="166" spans="8:14">
      <c r="H166" s="126"/>
      <c r="I166" s="126"/>
      <c r="J166" s="127"/>
      <c r="K166" s="126"/>
      <c r="L166" s="126"/>
      <c r="M166" s="126"/>
      <c r="N166" s="126"/>
    </row>
    <row r="167" spans="8:14">
      <c r="H167" s="126"/>
      <c r="I167" s="126"/>
      <c r="J167" s="127"/>
      <c r="K167" s="126"/>
      <c r="L167" s="126"/>
      <c r="M167" s="126"/>
      <c r="N167" s="126"/>
    </row>
    <row r="168" spans="8:14">
      <c r="H168" s="126"/>
      <c r="I168" s="126"/>
      <c r="J168" s="127"/>
      <c r="K168" s="126"/>
      <c r="L168" s="126"/>
      <c r="M168" s="126"/>
      <c r="N168" s="126"/>
    </row>
    <row r="169" spans="8:14">
      <c r="H169" s="126"/>
      <c r="I169" s="126"/>
      <c r="J169" s="127"/>
      <c r="K169" s="126"/>
      <c r="L169" s="126"/>
      <c r="M169" s="126"/>
      <c r="N169" s="126"/>
    </row>
    <row r="170" spans="8:14">
      <c r="H170" s="126"/>
      <c r="I170" s="126"/>
      <c r="J170" s="127"/>
      <c r="K170" s="126"/>
      <c r="L170" s="126"/>
      <c r="M170" s="126"/>
      <c r="N170" s="126"/>
    </row>
    <row r="171" spans="8:14">
      <c r="H171" s="126"/>
      <c r="I171" s="126"/>
      <c r="J171" s="127"/>
      <c r="K171" s="129"/>
      <c r="L171" s="126"/>
      <c r="M171" s="126"/>
      <c r="N171" s="126"/>
    </row>
    <row r="172" spans="8:14">
      <c r="H172" s="126"/>
      <c r="I172" s="126"/>
      <c r="J172" s="127"/>
      <c r="K172" s="129"/>
      <c r="L172" s="126"/>
      <c r="M172" s="126"/>
      <c r="N172" s="126"/>
    </row>
    <row r="173" spans="8:14">
      <c r="H173" s="126"/>
      <c r="I173" s="126"/>
      <c r="J173" s="127"/>
      <c r="K173" s="126"/>
      <c r="L173" s="126"/>
      <c r="M173" s="126"/>
      <c r="N173" s="126"/>
    </row>
    <row r="174" spans="8:14">
      <c r="H174" s="126"/>
      <c r="I174" s="126"/>
      <c r="J174" s="127"/>
      <c r="K174" s="126"/>
      <c r="L174" s="126"/>
      <c r="M174" s="126"/>
      <c r="N174" s="126"/>
    </row>
    <row r="175" spans="8:14">
      <c r="H175" s="126"/>
      <c r="I175" s="126"/>
      <c r="J175" s="131"/>
      <c r="K175" s="126"/>
      <c r="L175" s="126"/>
      <c r="M175" s="126"/>
      <c r="N175" s="126"/>
    </row>
    <row r="176" spans="8:14">
      <c r="H176" s="126"/>
      <c r="I176" s="126"/>
      <c r="J176" s="127"/>
      <c r="K176" s="126"/>
      <c r="L176" s="126"/>
      <c r="M176" s="126"/>
      <c r="N176" s="126"/>
    </row>
    <row r="177" spans="1:14">
      <c r="H177" s="126"/>
      <c r="I177" s="126"/>
      <c r="J177" s="127"/>
      <c r="K177" s="126"/>
      <c r="L177" s="126"/>
      <c r="M177" s="126"/>
      <c r="N177" s="126"/>
    </row>
    <row r="178" spans="1:14">
      <c r="H178" s="126"/>
      <c r="I178" s="126"/>
      <c r="J178" s="127"/>
      <c r="K178" s="126"/>
      <c r="L178" s="126"/>
      <c r="M178" s="126"/>
      <c r="N178" s="126"/>
    </row>
    <row r="179" spans="1:14">
      <c r="H179" s="126"/>
      <c r="I179" s="126"/>
      <c r="J179" s="127"/>
      <c r="K179" s="126"/>
      <c r="L179" s="126"/>
      <c r="M179" s="126"/>
      <c r="N179" s="126"/>
    </row>
    <row r="180" spans="1:14">
      <c r="H180" s="126"/>
      <c r="I180" s="126"/>
      <c r="J180" s="127"/>
      <c r="K180" s="126"/>
      <c r="L180" s="126"/>
      <c r="M180" s="126"/>
      <c r="N180" s="126"/>
    </row>
    <row r="181" spans="1:14" ht="15.75">
      <c r="B181" s="100" t="s">
        <v>133</v>
      </c>
      <c r="C181" s="100"/>
      <c r="D181" s="100"/>
      <c r="H181" s="126"/>
      <c r="I181" s="126"/>
      <c r="J181" s="127"/>
      <c r="K181" s="126"/>
      <c r="L181" s="126"/>
      <c r="M181" s="126"/>
      <c r="N181" s="126"/>
    </row>
    <row r="182" spans="1:14" ht="15.75">
      <c r="A182" s="100"/>
      <c r="B182" s="101" t="s">
        <v>132</v>
      </c>
      <c r="H182" s="126"/>
      <c r="I182" s="126"/>
      <c r="J182" s="127"/>
      <c r="K182" s="126"/>
      <c r="L182" s="126"/>
      <c r="M182" s="126"/>
      <c r="N182" s="126"/>
    </row>
    <row r="183" spans="1:14">
      <c r="H183" s="126"/>
      <c r="I183" s="126"/>
      <c r="J183" s="127"/>
      <c r="K183" s="126"/>
      <c r="L183" s="126"/>
      <c r="M183" s="126"/>
      <c r="N183" s="126"/>
    </row>
    <row r="184" spans="1:14">
      <c r="H184" s="126"/>
      <c r="I184" s="126"/>
      <c r="J184" s="127"/>
      <c r="K184" s="126"/>
      <c r="L184" s="126"/>
      <c r="M184" s="126"/>
      <c r="N184" s="126"/>
    </row>
    <row r="185" spans="1:14">
      <c r="H185" s="126"/>
      <c r="I185" s="126"/>
      <c r="J185" s="127"/>
      <c r="K185" s="126"/>
      <c r="L185" s="126"/>
      <c r="M185" s="126"/>
      <c r="N185" s="126"/>
    </row>
    <row r="186" spans="1:14">
      <c r="H186" s="126"/>
      <c r="I186" s="126"/>
      <c r="J186" s="127"/>
      <c r="K186" s="126"/>
      <c r="L186" s="126"/>
      <c r="M186" s="126"/>
      <c r="N186" s="126"/>
    </row>
    <row r="187" spans="1:14">
      <c r="H187" s="126"/>
      <c r="I187" s="126"/>
      <c r="J187" s="127"/>
      <c r="K187" s="126"/>
      <c r="L187" s="126"/>
      <c r="M187" s="126"/>
      <c r="N187" s="126"/>
    </row>
    <row r="188" spans="1:14">
      <c r="H188" s="126"/>
      <c r="I188" s="126"/>
      <c r="J188" s="127"/>
      <c r="K188" s="126"/>
      <c r="L188" s="126"/>
      <c r="M188" s="126"/>
      <c r="N188" s="126"/>
    </row>
    <row r="189" spans="1:14">
      <c r="H189" s="126"/>
      <c r="I189" s="126"/>
      <c r="J189" s="127"/>
      <c r="K189" s="126"/>
      <c r="L189" s="126"/>
      <c r="M189" s="126"/>
      <c r="N189" s="126"/>
    </row>
    <row r="190" spans="1:14">
      <c r="H190" s="126"/>
      <c r="I190" s="126"/>
      <c r="J190" s="127"/>
      <c r="K190" s="126"/>
      <c r="L190" s="126"/>
      <c r="M190" s="126"/>
      <c r="N190" s="126"/>
    </row>
    <row r="191" spans="1:14">
      <c r="H191" s="126"/>
      <c r="I191" s="126"/>
      <c r="J191" s="127"/>
      <c r="K191" s="126"/>
      <c r="L191" s="126"/>
      <c r="M191" s="126"/>
      <c r="N191" s="126"/>
    </row>
    <row r="192" spans="1:14">
      <c r="H192" s="126"/>
      <c r="I192" s="126"/>
      <c r="J192" s="127"/>
      <c r="K192" s="126"/>
      <c r="L192" s="126"/>
      <c r="M192" s="126"/>
      <c r="N192" s="126"/>
    </row>
    <row r="193" spans="2:14">
      <c r="H193" s="126"/>
      <c r="I193" s="126"/>
      <c r="J193" s="127"/>
      <c r="K193" s="126"/>
      <c r="L193" s="126"/>
      <c r="M193" s="126"/>
      <c r="N193" s="126"/>
    </row>
    <row r="194" spans="2:14">
      <c r="H194" s="126"/>
      <c r="I194" s="126"/>
      <c r="J194" s="127"/>
      <c r="K194" s="126"/>
      <c r="L194" s="126"/>
      <c r="M194" s="126"/>
      <c r="N194" s="126"/>
    </row>
    <row r="195" spans="2:14">
      <c r="H195" s="126"/>
      <c r="I195" s="126"/>
      <c r="J195" s="127"/>
      <c r="K195" s="126"/>
      <c r="L195" s="126"/>
      <c r="M195" s="126"/>
      <c r="N195" s="126"/>
    </row>
    <row r="196" spans="2:14">
      <c r="H196" s="126"/>
      <c r="I196" s="126"/>
      <c r="J196" s="127"/>
      <c r="K196" s="126"/>
      <c r="L196" s="126"/>
      <c r="M196" s="126"/>
      <c r="N196" s="126"/>
    </row>
    <row r="197" spans="2:14">
      <c r="H197" s="126"/>
      <c r="I197" s="126"/>
      <c r="J197" s="127"/>
      <c r="K197" s="126"/>
      <c r="L197" s="126"/>
      <c r="M197" s="126"/>
      <c r="N197" s="126"/>
    </row>
    <row r="198" spans="2:14">
      <c r="H198" s="126"/>
      <c r="I198" s="126"/>
      <c r="J198" s="127"/>
      <c r="K198" s="126"/>
      <c r="L198" s="126"/>
      <c r="M198" s="126"/>
      <c r="N198" s="126"/>
    </row>
    <row r="199" spans="2:14">
      <c r="H199" s="126"/>
      <c r="I199" s="126"/>
      <c r="J199" s="127"/>
      <c r="K199" s="126"/>
      <c r="L199" s="126"/>
      <c r="M199" s="126"/>
      <c r="N199" s="126"/>
    </row>
    <row r="200" spans="2:14">
      <c r="H200" s="126"/>
      <c r="I200" s="126"/>
      <c r="J200" s="127"/>
      <c r="K200" s="126"/>
      <c r="L200" s="126"/>
      <c r="M200" s="126"/>
      <c r="N200" s="126"/>
    </row>
    <row r="201" spans="2:14">
      <c r="H201" s="126"/>
      <c r="I201" s="126"/>
      <c r="J201" s="127"/>
      <c r="K201" s="126"/>
      <c r="L201" s="126"/>
      <c r="M201" s="126"/>
      <c r="N201" s="126"/>
    </row>
    <row r="202" spans="2:14">
      <c r="H202" s="126"/>
      <c r="I202" s="126"/>
      <c r="J202" s="126"/>
      <c r="K202" s="126"/>
      <c r="L202" s="126"/>
      <c r="M202" s="126"/>
      <c r="N202" s="126"/>
    </row>
    <row r="203" spans="2:14">
      <c r="H203" s="126"/>
      <c r="I203" s="126"/>
      <c r="J203" s="127"/>
      <c r="K203" s="126"/>
      <c r="L203" s="126"/>
      <c r="M203" s="126"/>
      <c r="N203" s="126"/>
    </row>
    <row r="204" spans="2:14" ht="15.75">
      <c r="B204" s="100" t="s">
        <v>209</v>
      </c>
      <c r="H204" s="126"/>
      <c r="I204" s="126"/>
      <c r="J204" s="127"/>
      <c r="K204" s="126"/>
      <c r="L204" s="126"/>
      <c r="M204" s="126"/>
      <c r="N204" s="126"/>
    </row>
    <row r="205" spans="2:14">
      <c r="C205" s="5"/>
      <c r="H205" s="126"/>
      <c r="I205" s="126"/>
      <c r="J205" s="127"/>
      <c r="K205" s="126"/>
      <c r="L205" s="126"/>
      <c r="M205" s="126"/>
      <c r="N205" s="126"/>
    </row>
    <row r="206" spans="2:14">
      <c r="C206" s="5"/>
      <c r="H206" s="126"/>
      <c r="I206" s="126"/>
      <c r="J206" s="127"/>
      <c r="K206" s="126"/>
      <c r="L206" s="126"/>
      <c r="M206" s="126"/>
      <c r="N206" s="126"/>
    </row>
    <row r="207" spans="2:14">
      <c r="C207" s="5"/>
      <c r="H207" s="126"/>
      <c r="I207" s="126"/>
      <c r="J207" s="127"/>
      <c r="K207" s="126"/>
      <c r="L207" s="126"/>
      <c r="M207" s="126"/>
      <c r="N207" s="126"/>
    </row>
    <row r="208" spans="2:14">
      <c r="C208" s="5"/>
      <c r="H208" s="126"/>
      <c r="I208" s="126"/>
      <c r="J208" s="127"/>
      <c r="K208" s="126"/>
      <c r="L208" s="126"/>
      <c r="M208" s="126"/>
      <c r="N208" s="126"/>
    </row>
    <row r="209" spans="2:14">
      <c r="C209" s="5"/>
      <c r="H209" s="126"/>
      <c r="I209" s="126"/>
      <c r="J209" s="127"/>
      <c r="K209" s="126"/>
      <c r="L209" s="126"/>
      <c r="M209" s="126"/>
      <c r="N209" s="126"/>
    </row>
    <row r="210" spans="2:14">
      <c r="C210" s="5"/>
      <c r="H210" s="126"/>
      <c r="I210" s="126"/>
      <c r="J210" s="127"/>
      <c r="K210" s="126"/>
      <c r="L210" s="126"/>
      <c r="M210" s="126"/>
      <c r="N210" s="126"/>
    </row>
    <row r="211" spans="2:14">
      <c r="C211" s="5"/>
      <c r="H211" s="126"/>
      <c r="I211" s="126"/>
      <c r="J211" s="127"/>
      <c r="K211" s="126"/>
      <c r="L211" s="126"/>
      <c r="M211" s="126"/>
      <c r="N211" s="126"/>
    </row>
    <row r="212" spans="2:14">
      <c r="C212" s="5"/>
      <c r="H212" s="126"/>
      <c r="I212" s="126"/>
      <c r="J212" s="127"/>
      <c r="K212" s="126"/>
      <c r="L212" s="126"/>
      <c r="M212" s="126"/>
      <c r="N212" s="126"/>
    </row>
    <row r="213" spans="2:14">
      <c r="C213" s="5"/>
      <c r="H213" s="126"/>
      <c r="I213" s="126"/>
      <c r="J213" s="127"/>
      <c r="K213" s="126"/>
      <c r="L213" s="126"/>
      <c r="M213" s="126"/>
      <c r="N213" s="126"/>
    </row>
    <row r="214" spans="2:14">
      <c r="C214" s="5"/>
      <c r="H214" s="126"/>
      <c r="I214" s="126"/>
      <c r="J214" s="127"/>
      <c r="K214" s="126"/>
      <c r="L214" s="126"/>
      <c r="M214" s="126"/>
      <c r="N214" s="126"/>
    </row>
    <row r="215" spans="2:14">
      <c r="C215" s="5"/>
      <c r="H215" s="126"/>
      <c r="I215" s="126"/>
      <c r="J215" s="127"/>
      <c r="K215" s="126"/>
      <c r="L215" s="126"/>
      <c r="M215" s="126"/>
      <c r="N215" s="126"/>
    </row>
    <row r="216" spans="2:14">
      <c r="C216" s="5"/>
      <c r="H216" s="126"/>
      <c r="I216" s="126"/>
      <c r="J216" s="127"/>
      <c r="K216" s="126"/>
      <c r="L216" s="126"/>
      <c r="M216" s="126"/>
      <c r="N216" s="126"/>
    </row>
    <row r="217" spans="2:14">
      <c r="C217" s="5"/>
      <c r="H217" s="126"/>
      <c r="I217" s="126"/>
      <c r="J217" s="127"/>
      <c r="K217" s="126"/>
      <c r="L217" s="126"/>
      <c r="M217" s="126"/>
      <c r="N217" s="126"/>
    </row>
    <row r="218" spans="2:14">
      <c r="C218" s="5"/>
      <c r="H218" s="126"/>
      <c r="I218" s="126"/>
      <c r="J218" s="127"/>
      <c r="K218" s="126"/>
      <c r="L218" s="126"/>
      <c r="M218" s="126"/>
      <c r="N218" s="126"/>
    </row>
    <row r="219" spans="2:14">
      <c r="B219" s="11" t="s">
        <v>220</v>
      </c>
      <c r="C219" s="5"/>
      <c r="H219" s="126"/>
      <c r="I219" s="126"/>
      <c r="J219" s="127"/>
      <c r="K219" s="126"/>
      <c r="L219" s="126"/>
      <c r="M219" s="126"/>
      <c r="N219" s="126"/>
    </row>
    <row r="220" spans="2:14">
      <c r="C220" s="5"/>
      <c r="H220" s="126"/>
      <c r="I220" s="126"/>
      <c r="J220" s="127"/>
      <c r="K220" s="126"/>
      <c r="L220" s="126"/>
      <c r="M220" s="126"/>
      <c r="N220" s="126"/>
    </row>
    <row r="221" spans="2:14">
      <c r="C221" s="5"/>
      <c r="H221" s="126"/>
      <c r="I221" s="126"/>
      <c r="J221" s="127"/>
      <c r="K221" s="126"/>
      <c r="L221" s="126"/>
      <c r="M221" s="126"/>
      <c r="N221" s="126"/>
    </row>
    <row r="222" spans="2:14">
      <c r="C222" s="5"/>
      <c r="E222" s="21"/>
      <c r="H222" s="126"/>
      <c r="I222" s="126"/>
      <c r="J222" s="127"/>
      <c r="K222" s="126"/>
      <c r="L222" s="126"/>
      <c r="M222" s="126"/>
      <c r="N222" s="126"/>
    </row>
    <row r="223" spans="2:14">
      <c r="C223" s="5"/>
      <c r="H223" s="126"/>
      <c r="I223" s="126"/>
      <c r="J223" s="127"/>
      <c r="K223" s="126"/>
      <c r="L223" s="126"/>
      <c r="M223" s="126"/>
      <c r="N223" s="126"/>
    </row>
    <row r="224" spans="2:14">
      <c r="C224" s="5"/>
      <c r="H224" s="126"/>
      <c r="I224" s="126"/>
      <c r="J224" s="127"/>
      <c r="K224" s="126"/>
      <c r="L224" s="126"/>
      <c r="M224" s="126"/>
      <c r="N224" s="126"/>
    </row>
    <row r="225" spans="3:14">
      <c r="C225" s="5"/>
      <c r="H225" s="126"/>
      <c r="I225" s="126"/>
      <c r="J225" s="127"/>
      <c r="K225" s="126"/>
      <c r="L225" s="126"/>
      <c r="M225" s="126"/>
      <c r="N225" s="126"/>
    </row>
    <row r="226" spans="3:14">
      <c r="C226" s="5"/>
      <c r="H226" s="126"/>
      <c r="I226" s="126"/>
      <c r="J226" s="127"/>
      <c r="K226" s="126"/>
      <c r="L226" s="126"/>
      <c r="M226" s="126"/>
      <c r="N226" s="126"/>
    </row>
    <row r="227" spans="3:14">
      <c r="C227" s="5"/>
      <c r="H227" s="126"/>
      <c r="I227" s="126"/>
      <c r="J227" s="127"/>
      <c r="K227" s="126"/>
      <c r="L227" s="126"/>
      <c r="M227" s="126"/>
      <c r="N227" s="126"/>
    </row>
    <row r="228" spans="3:14">
      <c r="C228" s="5"/>
      <c r="H228" s="126"/>
      <c r="I228" s="126"/>
      <c r="J228" s="127"/>
      <c r="K228" s="126"/>
      <c r="L228" s="126"/>
      <c r="M228" s="126"/>
      <c r="N228" s="126"/>
    </row>
    <row r="229" spans="3:14">
      <c r="C229" s="5"/>
      <c r="H229" s="126"/>
      <c r="I229" s="126"/>
      <c r="J229" s="127"/>
      <c r="K229" s="126"/>
      <c r="L229" s="126"/>
      <c r="M229" s="126"/>
      <c r="N229" s="126"/>
    </row>
    <row r="230" spans="3:14">
      <c r="C230" s="5"/>
      <c r="H230" s="126"/>
      <c r="I230" s="126"/>
      <c r="J230" s="127"/>
      <c r="K230" s="126"/>
      <c r="L230" s="126"/>
      <c r="M230" s="126"/>
      <c r="N230" s="126"/>
    </row>
    <row r="231" spans="3:14">
      <c r="C231" s="5"/>
      <c r="H231" s="126"/>
      <c r="I231" s="126"/>
      <c r="J231" s="127"/>
      <c r="K231" s="126"/>
      <c r="L231" s="126"/>
      <c r="M231" s="126"/>
      <c r="N231" s="126"/>
    </row>
    <row r="232" spans="3:14">
      <c r="C232" s="5"/>
      <c r="H232" s="126"/>
      <c r="I232" s="126"/>
      <c r="J232" s="127"/>
      <c r="K232" s="126"/>
      <c r="L232" s="126"/>
      <c r="M232" s="126"/>
      <c r="N232" s="126"/>
    </row>
    <row r="233" spans="3:14">
      <c r="C233" s="5"/>
      <c r="H233" s="126"/>
      <c r="I233" s="126"/>
      <c r="J233" s="127"/>
      <c r="K233" s="126"/>
      <c r="L233" s="126"/>
      <c r="M233" s="126"/>
      <c r="N233" s="126"/>
    </row>
    <row r="234" spans="3:14">
      <c r="C234" s="5"/>
      <c r="H234" s="126"/>
      <c r="I234" s="126"/>
      <c r="J234" s="127"/>
      <c r="K234" s="126"/>
      <c r="L234" s="126"/>
      <c r="M234" s="126"/>
      <c r="N234" s="126"/>
    </row>
    <row r="235" spans="3:14">
      <c r="C235" s="5"/>
      <c r="H235" s="126"/>
      <c r="I235" s="126"/>
      <c r="J235" s="127"/>
      <c r="K235" s="126"/>
      <c r="L235" s="126"/>
      <c r="M235" s="126"/>
      <c r="N235" s="126"/>
    </row>
    <row r="236" spans="3:14">
      <c r="C236" s="5"/>
      <c r="H236" s="126"/>
      <c r="I236" s="126"/>
      <c r="J236" s="127"/>
      <c r="K236" s="126"/>
      <c r="L236" s="126"/>
      <c r="M236" s="126"/>
      <c r="N236" s="126"/>
    </row>
    <row r="237" spans="3:14">
      <c r="C237" s="5"/>
      <c r="H237" s="126"/>
      <c r="I237" s="126"/>
      <c r="J237" s="127"/>
      <c r="K237" s="126"/>
      <c r="L237" s="126"/>
      <c r="M237" s="126"/>
      <c r="N237" s="126"/>
    </row>
    <row r="238" spans="3:14">
      <c r="C238" s="5"/>
      <c r="H238" s="126"/>
      <c r="I238" s="126"/>
      <c r="J238" s="127"/>
      <c r="K238" s="126"/>
      <c r="L238" s="126"/>
      <c r="M238" s="126"/>
      <c r="N238" s="126"/>
    </row>
    <row r="239" spans="3:14">
      <c r="C239" s="5"/>
      <c r="H239" s="126"/>
      <c r="I239" s="126"/>
      <c r="J239" s="127"/>
      <c r="K239" s="126"/>
      <c r="L239" s="126"/>
      <c r="M239" s="126"/>
      <c r="N239" s="126"/>
    </row>
    <row r="240" spans="3:14">
      <c r="C240" s="5"/>
      <c r="H240" s="126"/>
      <c r="I240" s="126"/>
      <c r="J240" s="127"/>
      <c r="K240" s="126"/>
      <c r="L240" s="126"/>
      <c r="M240" s="126"/>
      <c r="N240" s="126"/>
    </row>
    <row r="241" spans="3:14">
      <c r="C241" s="5"/>
      <c r="H241" s="126"/>
      <c r="I241" s="126"/>
      <c r="J241" s="127"/>
      <c r="K241" s="126"/>
      <c r="L241" s="126"/>
      <c r="M241" s="126"/>
      <c r="N241" s="126"/>
    </row>
    <row r="242" spans="3:14">
      <c r="C242" s="5"/>
      <c r="H242" s="126"/>
      <c r="I242" s="126"/>
      <c r="J242" s="127"/>
      <c r="K242" s="126"/>
      <c r="L242" s="126"/>
      <c r="M242" s="126"/>
      <c r="N242" s="126"/>
    </row>
    <row r="243" spans="3:14">
      <c r="C243" s="5"/>
      <c r="H243" s="126"/>
      <c r="I243" s="126"/>
      <c r="J243" s="127"/>
      <c r="K243" s="126"/>
      <c r="L243" s="126"/>
      <c r="M243" s="126"/>
      <c r="N243" s="126"/>
    </row>
    <row r="244" spans="3:14">
      <c r="C244" s="5"/>
      <c r="H244" s="126"/>
      <c r="I244" s="126"/>
      <c r="J244" s="127"/>
      <c r="K244" s="126"/>
      <c r="L244" s="126"/>
      <c r="M244" s="126"/>
      <c r="N244" s="126"/>
    </row>
    <row r="245" spans="3:14">
      <c r="C245" s="5"/>
      <c r="H245" s="126"/>
      <c r="I245" s="126"/>
      <c r="J245" s="127"/>
      <c r="K245" s="126"/>
      <c r="L245" s="126"/>
      <c r="M245" s="126"/>
      <c r="N245" s="126"/>
    </row>
    <row r="246" spans="3:14">
      <c r="C246" s="5"/>
      <c r="H246" s="126"/>
      <c r="I246" s="126"/>
      <c r="J246" s="126"/>
      <c r="K246" s="126"/>
      <c r="L246" s="126"/>
      <c r="M246" s="126"/>
      <c r="N246" s="126"/>
    </row>
    <row r="247" spans="3:14">
      <c r="C247" s="5"/>
      <c r="H247" s="126"/>
      <c r="I247" s="126"/>
      <c r="J247" s="126"/>
      <c r="K247" s="126"/>
      <c r="L247" s="126"/>
      <c r="M247" s="126"/>
      <c r="N247" s="126"/>
    </row>
    <row r="248" spans="3:14">
      <c r="C248" s="5"/>
      <c r="H248" s="126"/>
      <c r="I248" s="126"/>
      <c r="J248" s="126"/>
      <c r="K248" s="126"/>
      <c r="L248" s="126"/>
      <c r="M248" s="126"/>
      <c r="N248" s="126"/>
    </row>
    <row r="249" spans="3:14">
      <c r="C249" s="5"/>
      <c r="H249" s="126"/>
      <c r="I249" s="126"/>
      <c r="J249" s="126"/>
      <c r="K249" s="126"/>
      <c r="L249" s="126"/>
      <c r="M249" s="126"/>
      <c r="N249" s="126"/>
    </row>
    <row r="250" spans="3:14">
      <c r="C250" s="5"/>
      <c r="H250" s="126"/>
      <c r="I250" s="126"/>
      <c r="J250" s="126"/>
      <c r="K250" s="126"/>
      <c r="L250" s="126"/>
      <c r="M250" s="126"/>
      <c r="N250" s="126"/>
    </row>
    <row r="251" spans="3:14">
      <c r="C251" s="5"/>
      <c r="H251" s="126"/>
      <c r="I251" s="126"/>
      <c r="J251" s="126"/>
      <c r="K251" s="126"/>
      <c r="L251" s="126"/>
      <c r="M251" s="126"/>
      <c r="N251" s="126"/>
    </row>
    <row r="252" spans="3:14">
      <c r="C252" s="5"/>
      <c r="H252" s="126"/>
      <c r="I252" s="126"/>
      <c r="J252" s="126"/>
      <c r="K252" s="126"/>
      <c r="L252" s="126"/>
      <c r="M252" s="126"/>
      <c r="N252" s="126"/>
    </row>
    <row r="253" spans="3:14">
      <c r="C253" s="5"/>
      <c r="H253" s="126"/>
      <c r="I253" s="126"/>
      <c r="J253" s="126"/>
      <c r="K253" s="126"/>
      <c r="L253" s="126"/>
      <c r="M253" s="126"/>
      <c r="N253" s="126"/>
    </row>
    <row r="254" spans="3:14">
      <c r="C254" s="5"/>
      <c r="H254" s="126"/>
      <c r="I254" s="126"/>
      <c r="J254" s="126"/>
      <c r="K254" s="126"/>
      <c r="L254" s="126"/>
      <c r="M254" s="126"/>
      <c r="N254" s="126"/>
    </row>
    <row r="255" spans="3:14">
      <c r="C255" s="5"/>
      <c r="H255" s="126"/>
      <c r="I255" s="126"/>
      <c r="J255" s="126"/>
      <c r="K255" s="126"/>
      <c r="L255" s="126"/>
      <c r="M255" s="126"/>
      <c r="N255" s="126"/>
    </row>
    <row r="256" spans="3:14">
      <c r="C256" s="5"/>
      <c r="H256" s="126"/>
      <c r="I256" s="126"/>
      <c r="J256" s="126"/>
      <c r="K256" s="126"/>
      <c r="L256" s="126"/>
      <c r="M256" s="126"/>
      <c r="N256" s="126"/>
    </row>
    <row r="257" spans="2:14">
      <c r="C257" s="5"/>
      <c r="H257" s="126"/>
      <c r="I257" s="126"/>
      <c r="J257" s="126"/>
      <c r="K257" s="126"/>
      <c r="L257" s="126"/>
      <c r="M257" s="126"/>
      <c r="N257" s="126"/>
    </row>
    <row r="258" spans="2:14">
      <c r="C258" s="5"/>
      <c r="H258" s="126"/>
      <c r="I258" s="126"/>
      <c r="J258" s="126"/>
      <c r="K258" s="126"/>
      <c r="L258" s="126"/>
      <c r="M258" s="126"/>
      <c r="N258" s="126"/>
    </row>
    <row r="259" spans="2:14">
      <c r="C259" s="5"/>
      <c r="H259" s="126"/>
      <c r="I259" s="126"/>
      <c r="J259" s="126"/>
      <c r="K259" s="126"/>
      <c r="L259" s="126"/>
      <c r="M259" s="126"/>
      <c r="N259" s="126"/>
    </row>
    <row r="260" spans="2:14">
      <c r="C260" s="5"/>
      <c r="H260" s="126"/>
      <c r="I260" s="126"/>
      <c r="J260" s="126"/>
      <c r="K260" s="126"/>
      <c r="L260" s="126"/>
      <c r="M260" s="126"/>
      <c r="N260" s="126"/>
    </row>
    <row r="261" spans="2:14">
      <c r="C261" s="5"/>
      <c r="H261" s="126"/>
      <c r="I261" s="126"/>
      <c r="J261" s="126"/>
      <c r="K261" s="126"/>
      <c r="L261" s="126"/>
      <c r="M261" s="126"/>
      <c r="N261" s="126"/>
    </row>
    <row r="262" spans="2:14">
      <c r="C262" s="5"/>
      <c r="H262" s="126"/>
      <c r="I262" s="126"/>
      <c r="J262" s="126"/>
      <c r="K262" s="126"/>
      <c r="L262" s="126"/>
      <c r="M262" s="126"/>
      <c r="N262" s="126"/>
    </row>
    <row r="263" spans="2:14">
      <c r="C263" s="5"/>
      <c r="H263" s="126"/>
      <c r="I263" s="126"/>
      <c r="J263" s="126"/>
      <c r="K263" s="126"/>
      <c r="L263" s="126"/>
      <c r="M263" s="126"/>
      <c r="N263" s="126"/>
    </row>
    <row r="264" spans="2:14">
      <c r="C264" s="5"/>
      <c r="H264" s="126"/>
      <c r="I264" s="126"/>
      <c r="J264" s="126"/>
      <c r="K264" s="126"/>
      <c r="L264" s="126"/>
      <c r="M264" s="126"/>
      <c r="N264" s="126"/>
    </row>
    <row r="265" spans="2:14">
      <c r="C265" s="5"/>
      <c r="H265" s="126"/>
      <c r="I265" s="126"/>
      <c r="J265" s="126"/>
      <c r="K265" s="126"/>
      <c r="L265" s="126"/>
      <c r="M265" s="126"/>
      <c r="N265" s="126"/>
    </row>
    <row r="266" spans="2:14" ht="15.75">
      <c r="B266" s="41" t="s">
        <v>212</v>
      </c>
      <c r="H266" s="126"/>
      <c r="I266" s="126"/>
      <c r="J266" s="126"/>
      <c r="K266" s="126"/>
      <c r="L266" s="126"/>
      <c r="M266" s="126"/>
      <c r="N266" s="126"/>
    </row>
    <row r="267" spans="2:14">
      <c r="C267" s="5"/>
      <c r="H267" s="126"/>
      <c r="I267" s="126"/>
      <c r="J267" s="126"/>
      <c r="K267" s="126"/>
      <c r="L267" s="126"/>
      <c r="M267" s="126"/>
      <c r="N267" s="126"/>
    </row>
    <row r="268" spans="2:14">
      <c r="C268" s="5"/>
      <c r="H268" s="126"/>
      <c r="I268" s="126"/>
      <c r="J268" s="126"/>
      <c r="K268" s="126"/>
      <c r="L268" s="126"/>
      <c r="M268" s="126"/>
      <c r="N268" s="126"/>
    </row>
    <row r="269" spans="2:14">
      <c r="C269" s="5"/>
      <c r="H269" s="126"/>
      <c r="I269" s="126"/>
      <c r="J269" s="126"/>
      <c r="K269" s="126"/>
      <c r="L269" s="126"/>
      <c r="M269" s="126"/>
      <c r="N269" s="126"/>
    </row>
    <row r="270" spans="2:14">
      <c r="C270" s="5"/>
      <c r="H270" s="126"/>
      <c r="I270" s="126"/>
      <c r="J270" s="126"/>
      <c r="K270" s="126"/>
      <c r="L270" s="126"/>
      <c r="M270" s="126"/>
      <c r="N270" s="126"/>
    </row>
    <row r="271" spans="2:14">
      <c r="C271" s="5"/>
      <c r="H271" s="126"/>
      <c r="I271" s="126"/>
      <c r="J271" s="126"/>
      <c r="K271" s="126"/>
      <c r="L271" s="126"/>
      <c r="M271" s="126"/>
      <c r="N271" s="126"/>
    </row>
    <row r="272" spans="2:14">
      <c r="C272" s="5"/>
      <c r="H272" s="126"/>
      <c r="I272" s="126"/>
      <c r="J272" s="126"/>
      <c r="K272" s="126"/>
      <c r="L272" s="126"/>
      <c r="M272" s="126"/>
      <c r="N272" s="126"/>
    </row>
    <row r="273" spans="2:14">
      <c r="C273" s="5"/>
      <c r="H273" s="126"/>
      <c r="I273" s="126"/>
      <c r="J273" s="126"/>
      <c r="K273" s="126"/>
      <c r="L273" s="126"/>
      <c r="M273" s="126"/>
      <c r="N273" s="126"/>
    </row>
    <row r="274" spans="2:14">
      <c r="C274" s="5"/>
      <c r="H274" s="126"/>
      <c r="I274" s="126"/>
      <c r="J274" s="126"/>
      <c r="K274" s="126"/>
      <c r="L274" s="126"/>
      <c r="M274" s="126"/>
      <c r="N274" s="126"/>
    </row>
    <row r="275" spans="2:14">
      <c r="C275" s="5"/>
      <c r="H275" s="126"/>
      <c r="I275" s="126"/>
      <c r="J275" s="126"/>
      <c r="K275" s="126"/>
      <c r="L275" s="126"/>
      <c r="M275" s="126"/>
      <c r="N275" s="126"/>
    </row>
    <row r="276" spans="2:14">
      <c r="C276" s="5"/>
      <c r="H276" s="126"/>
      <c r="I276" s="126"/>
      <c r="J276" s="126"/>
      <c r="K276" s="126"/>
      <c r="L276" s="126"/>
      <c r="M276" s="126"/>
      <c r="N276" s="126"/>
    </row>
    <row r="277" spans="2:14">
      <c r="C277" s="5"/>
      <c r="H277" s="126"/>
      <c r="I277" s="126"/>
      <c r="J277" s="126"/>
      <c r="K277" s="126"/>
      <c r="L277" s="126"/>
      <c r="M277" s="126"/>
      <c r="N277" s="126"/>
    </row>
    <row r="278" spans="2:14">
      <c r="C278" s="5"/>
      <c r="H278" s="126"/>
      <c r="I278" s="126"/>
      <c r="J278" s="126"/>
      <c r="K278" s="126"/>
      <c r="L278" s="126"/>
      <c r="M278" s="126"/>
      <c r="N278" s="126"/>
    </row>
    <row r="279" spans="2:14">
      <c r="C279" s="5"/>
      <c r="H279" s="126"/>
      <c r="I279" s="126"/>
      <c r="J279" s="126"/>
      <c r="K279" s="126"/>
      <c r="L279" s="126"/>
      <c r="M279" s="126"/>
      <c r="N279" s="126"/>
    </row>
    <row r="280" spans="2:14">
      <c r="C280" s="5"/>
      <c r="H280" s="126"/>
      <c r="I280" s="126"/>
      <c r="J280" s="126"/>
      <c r="K280" s="126"/>
      <c r="L280" s="126"/>
      <c r="M280" s="126"/>
      <c r="N280" s="126"/>
    </row>
    <row r="281" spans="2:14">
      <c r="B281" s="37" t="s">
        <v>218</v>
      </c>
      <c r="H281" s="126"/>
      <c r="I281" s="126"/>
      <c r="J281" s="126"/>
      <c r="K281" s="126"/>
      <c r="L281" s="126"/>
      <c r="M281" s="126"/>
      <c r="N281" s="126"/>
    </row>
    <row r="282" spans="2:14">
      <c r="C282" s="5"/>
      <c r="H282" s="126"/>
      <c r="I282" s="126"/>
      <c r="J282" s="126"/>
      <c r="K282" s="126"/>
      <c r="L282" s="126"/>
      <c r="M282" s="126"/>
      <c r="N282" s="126"/>
    </row>
    <row r="283" spans="2:14">
      <c r="C283" s="5"/>
      <c r="H283" s="126"/>
      <c r="I283" s="126"/>
      <c r="J283" s="126"/>
      <c r="K283" s="126"/>
      <c r="L283" s="126"/>
      <c r="M283" s="126"/>
      <c r="N283" s="126"/>
    </row>
    <row r="284" spans="2:14">
      <c r="C284" s="5"/>
      <c r="H284" s="126"/>
      <c r="I284" s="126"/>
      <c r="J284" s="126"/>
      <c r="K284" s="126"/>
      <c r="L284" s="126"/>
      <c r="M284" s="126"/>
      <c r="N284" s="126"/>
    </row>
    <row r="285" spans="2:14">
      <c r="C285" s="5"/>
      <c r="H285" s="126"/>
      <c r="I285" s="126"/>
      <c r="J285" s="126"/>
      <c r="K285" s="126"/>
      <c r="L285" s="126"/>
      <c r="M285" s="126"/>
      <c r="N285" s="126"/>
    </row>
    <row r="286" spans="2:14">
      <c r="C286" s="5"/>
      <c r="H286" s="126"/>
      <c r="I286" s="126"/>
      <c r="J286" s="126"/>
      <c r="K286" s="126"/>
      <c r="L286" s="126"/>
      <c r="M286" s="126"/>
      <c r="N286" s="126"/>
    </row>
    <row r="287" spans="2:14">
      <c r="C287" s="5"/>
      <c r="H287" s="126"/>
      <c r="I287" s="126"/>
      <c r="J287" s="126"/>
      <c r="K287" s="126"/>
      <c r="L287" s="126"/>
      <c r="M287" s="126"/>
      <c r="N287" s="126"/>
    </row>
    <row r="288" spans="2:14">
      <c r="C288" s="5"/>
      <c r="H288" s="126"/>
      <c r="I288" s="126"/>
      <c r="J288" s="126"/>
      <c r="K288" s="126"/>
      <c r="L288" s="126"/>
      <c r="M288" s="126"/>
      <c r="N288" s="126"/>
    </row>
    <row r="289" spans="3:14">
      <c r="C289" s="5"/>
      <c r="H289" s="126"/>
      <c r="I289" s="126"/>
      <c r="J289" s="126"/>
      <c r="K289" s="126"/>
      <c r="L289" s="126"/>
      <c r="M289" s="126"/>
      <c r="N289" s="126"/>
    </row>
    <row r="290" spans="3:14">
      <c r="C290" s="5"/>
      <c r="H290" s="126"/>
      <c r="I290" s="126"/>
      <c r="J290" s="126"/>
      <c r="K290" s="126"/>
      <c r="L290" s="126"/>
      <c r="M290" s="126"/>
      <c r="N290" s="126"/>
    </row>
    <row r="291" spans="3:14">
      <c r="C291" s="5"/>
      <c r="H291" s="126"/>
      <c r="I291" s="126"/>
      <c r="J291" s="126"/>
      <c r="K291" s="126"/>
      <c r="L291" s="126"/>
      <c r="M291" s="126"/>
      <c r="N291" s="126"/>
    </row>
    <row r="292" spans="3:14">
      <c r="C292" s="5"/>
      <c r="H292" s="126"/>
      <c r="I292" s="126"/>
      <c r="J292" s="126"/>
      <c r="K292" s="126"/>
      <c r="L292" s="126"/>
      <c r="M292" s="126"/>
      <c r="N292" s="126"/>
    </row>
    <row r="293" spans="3:14">
      <c r="C293" s="5"/>
      <c r="H293" s="126"/>
      <c r="I293" s="126"/>
      <c r="J293" s="126"/>
      <c r="K293" s="126"/>
      <c r="L293" s="126"/>
      <c r="M293" s="126"/>
      <c r="N293" s="126"/>
    </row>
    <row r="294" spans="3:14">
      <c r="C294" s="5"/>
      <c r="H294" s="126"/>
      <c r="I294" s="126"/>
      <c r="J294" s="126"/>
      <c r="K294" s="126"/>
      <c r="L294" s="126"/>
      <c r="M294" s="126"/>
      <c r="N294" s="126"/>
    </row>
    <row r="295" spans="3:14">
      <c r="C295" s="5"/>
      <c r="H295" s="126"/>
      <c r="I295" s="126"/>
      <c r="J295" s="126"/>
      <c r="K295" s="126"/>
      <c r="L295" s="126"/>
      <c r="M295" s="126"/>
      <c r="N295" s="126"/>
    </row>
    <row r="296" spans="3:14">
      <c r="C296" s="5"/>
      <c r="H296" s="126"/>
      <c r="I296" s="126"/>
      <c r="J296" s="126"/>
      <c r="K296" s="126"/>
      <c r="L296" s="126"/>
      <c r="M296" s="126"/>
      <c r="N296" s="126"/>
    </row>
    <row r="297" spans="3:14">
      <c r="C297" s="5"/>
      <c r="H297" s="126"/>
      <c r="I297" s="126"/>
      <c r="J297" s="126"/>
      <c r="K297" s="126"/>
      <c r="L297" s="126"/>
      <c r="M297" s="126"/>
      <c r="N297" s="126"/>
    </row>
    <row r="298" spans="3:14">
      <c r="C298" s="5"/>
      <c r="H298" s="126"/>
      <c r="I298" s="126"/>
      <c r="J298" s="126"/>
      <c r="K298" s="126"/>
      <c r="L298" s="126"/>
      <c r="M298" s="126"/>
      <c r="N298" s="126"/>
    </row>
    <row r="299" spans="3:14">
      <c r="C299" s="5"/>
      <c r="H299" s="126"/>
      <c r="I299" s="126"/>
      <c r="J299" s="126"/>
      <c r="K299" s="126"/>
      <c r="L299" s="126"/>
      <c r="M299" s="126"/>
      <c r="N299" s="126"/>
    </row>
    <row r="300" spans="3:14">
      <c r="C300" s="5"/>
      <c r="H300" s="126"/>
      <c r="I300" s="126"/>
      <c r="J300" s="126"/>
      <c r="K300" s="126"/>
      <c r="L300" s="126"/>
      <c r="M300" s="126"/>
      <c r="N300" s="126"/>
    </row>
    <row r="301" spans="3:14">
      <c r="C301" s="5"/>
      <c r="H301" s="126"/>
      <c r="I301" s="126"/>
      <c r="J301" s="126"/>
      <c r="K301" s="126"/>
      <c r="L301" s="126"/>
      <c r="M301" s="126"/>
      <c r="N301" s="126"/>
    </row>
    <row r="302" spans="3:14">
      <c r="C302" s="5"/>
      <c r="H302" s="126"/>
      <c r="I302" s="126"/>
      <c r="J302" s="126"/>
      <c r="K302" s="126"/>
      <c r="L302" s="126"/>
      <c r="M302" s="126"/>
      <c r="N302" s="126"/>
    </row>
    <row r="303" spans="3:14">
      <c r="C303" s="5"/>
      <c r="H303" s="126"/>
      <c r="I303" s="126"/>
      <c r="J303" s="126"/>
      <c r="K303" s="126"/>
      <c r="L303" s="126"/>
      <c r="M303" s="126"/>
      <c r="N303" s="126"/>
    </row>
    <row r="304" spans="3:14">
      <c r="C304" s="5"/>
      <c r="H304" s="126"/>
      <c r="I304" s="126"/>
      <c r="J304" s="126"/>
      <c r="K304" s="126"/>
      <c r="L304" s="126"/>
      <c r="M304" s="126"/>
      <c r="N304" s="126"/>
    </row>
    <row r="305" spans="1:14">
      <c r="C305" s="5"/>
      <c r="H305" s="126"/>
      <c r="I305" s="126"/>
      <c r="J305" s="126"/>
      <c r="K305" s="126"/>
      <c r="L305" s="126"/>
      <c r="M305" s="126"/>
      <c r="N305" s="126"/>
    </row>
    <row r="306" spans="1:14">
      <c r="C306" s="5"/>
      <c r="H306" s="126"/>
      <c r="I306" s="126"/>
      <c r="J306" s="126"/>
      <c r="K306" s="126"/>
      <c r="L306" s="126"/>
      <c r="M306" s="126"/>
      <c r="N306" s="126"/>
    </row>
    <row r="307" spans="1:14">
      <c r="C307" s="5"/>
      <c r="H307" s="126"/>
      <c r="I307" s="126"/>
      <c r="J307" s="126"/>
      <c r="K307" s="126"/>
      <c r="L307" s="126"/>
      <c r="M307" s="126"/>
      <c r="N307" s="126"/>
    </row>
    <row r="308" spans="1:14">
      <c r="C308" s="5"/>
      <c r="H308" s="126"/>
      <c r="I308" s="126"/>
      <c r="J308" s="126"/>
      <c r="K308" s="126"/>
      <c r="L308" s="126"/>
      <c r="M308" s="126"/>
      <c r="N308" s="126"/>
    </row>
    <row r="309" spans="1:14">
      <c r="C309" s="5"/>
      <c r="H309" s="126"/>
      <c r="I309" s="126"/>
      <c r="J309" s="126"/>
      <c r="K309" s="126"/>
      <c r="L309" s="126"/>
      <c r="M309" s="126"/>
      <c r="N309" s="126"/>
    </row>
    <row r="310" spans="1:14">
      <c r="C310" s="5"/>
      <c r="H310" s="126"/>
      <c r="I310" s="126"/>
      <c r="J310" s="126"/>
      <c r="K310" s="126"/>
      <c r="L310" s="126"/>
      <c r="M310" s="126"/>
      <c r="N310" s="126"/>
    </row>
    <row r="311" spans="1:14">
      <c r="C311" s="5"/>
      <c r="H311" s="126"/>
      <c r="I311" s="126"/>
      <c r="J311" s="126"/>
      <c r="K311" s="126"/>
      <c r="L311" s="126"/>
      <c r="M311" s="126"/>
      <c r="N311" s="126"/>
    </row>
    <row r="312" spans="1:14">
      <c r="C312" s="5"/>
      <c r="H312" s="126"/>
      <c r="I312" s="126"/>
      <c r="J312" s="126"/>
      <c r="K312" s="126"/>
      <c r="L312" s="126"/>
      <c r="M312" s="126"/>
      <c r="N312" s="126"/>
    </row>
    <row r="313" spans="1:14">
      <c r="B313" s="11" t="s">
        <v>288</v>
      </c>
      <c r="C313" s="5"/>
      <c r="H313" s="126"/>
      <c r="I313" s="126"/>
      <c r="J313" s="126"/>
      <c r="K313" s="126"/>
      <c r="L313" s="126"/>
      <c r="M313" s="126"/>
      <c r="N313" s="126"/>
    </row>
    <row r="314" spans="1:14">
      <c r="B314" s="11" t="s">
        <v>289</v>
      </c>
      <c r="C314" s="5"/>
      <c r="H314" s="126"/>
      <c r="I314" s="126"/>
      <c r="J314" s="126"/>
      <c r="K314" s="126"/>
      <c r="L314" s="126"/>
      <c r="M314" s="126"/>
      <c r="N314" s="126"/>
    </row>
    <row r="315" spans="1:14">
      <c r="B315" s="11" t="s">
        <v>211</v>
      </c>
      <c r="C315" s="5"/>
      <c r="H315" s="126"/>
      <c r="I315" s="126"/>
      <c r="J315" s="126"/>
      <c r="K315" s="126"/>
      <c r="L315" s="126"/>
      <c r="M315" s="126"/>
      <c r="N315" s="126"/>
    </row>
    <row r="316" spans="1:14">
      <c r="B316" s="11" t="s">
        <v>210</v>
      </c>
      <c r="C316" s="5"/>
      <c r="H316" s="126"/>
      <c r="I316" s="126"/>
      <c r="J316" s="126"/>
      <c r="K316" s="126"/>
      <c r="L316" s="126"/>
      <c r="M316" s="126"/>
      <c r="N316" s="126"/>
    </row>
    <row r="317" spans="1:14">
      <c r="C317" s="5"/>
      <c r="H317" s="126"/>
      <c r="I317" s="126"/>
      <c r="J317" s="127"/>
      <c r="K317" s="126"/>
      <c r="L317" s="126"/>
      <c r="M317" s="126"/>
      <c r="N317" s="126"/>
    </row>
    <row r="318" spans="1:14">
      <c r="B318" s="11" t="s">
        <v>228</v>
      </c>
      <c r="C318" s="5"/>
      <c r="H318" s="126"/>
      <c r="I318" s="126"/>
      <c r="J318" s="127"/>
      <c r="K318" s="126"/>
      <c r="L318" s="126"/>
      <c r="M318" s="126"/>
      <c r="N318" s="126"/>
    </row>
    <row r="319" spans="1:14">
      <c r="A319" s="5"/>
      <c r="B319" s="110" t="s">
        <v>126</v>
      </c>
      <c r="E319" s="5"/>
      <c r="H319" s="126"/>
      <c r="I319" s="126"/>
      <c r="J319" s="127"/>
      <c r="K319" s="126"/>
      <c r="L319" s="126"/>
      <c r="M319" s="126"/>
      <c r="N319" s="126"/>
    </row>
    <row r="320" spans="1:14">
      <c r="B320" s="6"/>
      <c r="C320" s="13"/>
      <c r="D320" s="13"/>
      <c r="E320" s="13"/>
      <c r="H320" s="126"/>
      <c r="I320" s="126"/>
      <c r="J320" s="127"/>
      <c r="K320" s="126"/>
      <c r="L320" s="126"/>
      <c r="M320" s="126"/>
      <c r="N320" s="126"/>
    </row>
    <row r="321" spans="2:14">
      <c r="H321" s="126"/>
      <c r="I321" s="126"/>
      <c r="J321" s="127"/>
      <c r="K321" s="126"/>
      <c r="L321" s="126"/>
      <c r="M321" s="126"/>
      <c r="N321" s="126"/>
    </row>
    <row r="322" spans="2:14">
      <c r="H322" s="126"/>
      <c r="I322" s="126"/>
      <c r="J322" s="127"/>
      <c r="K322" s="126"/>
      <c r="L322" s="126"/>
      <c r="M322" s="126"/>
      <c r="N322" s="126"/>
    </row>
    <row r="323" spans="2:14">
      <c r="H323" s="126"/>
      <c r="I323" s="126"/>
      <c r="J323" s="127"/>
      <c r="K323" s="126"/>
      <c r="L323" s="126"/>
      <c r="M323" s="126"/>
      <c r="N323" s="126"/>
    </row>
    <row r="324" spans="2:14">
      <c r="H324" s="126"/>
      <c r="I324" s="126"/>
      <c r="J324" s="127"/>
      <c r="K324" s="126"/>
      <c r="L324" s="126"/>
      <c r="M324" s="126"/>
      <c r="N324" s="126"/>
    </row>
    <row r="325" spans="2:14">
      <c r="H325" s="126"/>
      <c r="I325" s="126"/>
      <c r="J325" s="127"/>
      <c r="K325" s="126"/>
      <c r="L325" s="126"/>
      <c r="M325" s="126"/>
      <c r="N325" s="126"/>
    </row>
    <row r="326" spans="2:14">
      <c r="H326" s="126"/>
      <c r="I326" s="126"/>
      <c r="J326" s="127"/>
      <c r="K326" s="126"/>
      <c r="L326" s="126"/>
      <c r="M326" s="126"/>
      <c r="N326" s="126"/>
    </row>
    <row r="327" spans="2:14">
      <c r="H327" s="126"/>
      <c r="I327" s="126"/>
      <c r="J327" s="127"/>
      <c r="K327" s="126"/>
      <c r="L327" s="126"/>
      <c r="M327" s="126"/>
      <c r="N327" s="126"/>
    </row>
    <row r="328" spans="2:14">
      <c r="H328" s="126"/>
      <c r="I328" s="126"/>
      <c r="J328" s="127"/>
      <c r="K328" s="126"/>
      <c r="L328" s="126"/>
      <c r="M328" s="126"/>
      <c r="N328" s="126"/>
    </row>
    <row r="329" spans="2:14">
      <c r="H329" s="126"/>
      <c r="I329" s="126"/>
      <c r="J329" s="127"/>
      <c r="K329" s="126"/>
      <c r="L329" s="126"/>
      <c r="M329" s="126"/>
      <c r="N329" s="126"/>
    </row>
    <row r="330" spans="2:14">
      <c r="H330" s="126"/>
      <c r="I330" s="126"/>
      <c r="J330" s="127"/>
      <c r="K330" s="126"/>
      <c r="L330" s="126"/>
      <c r="M330" s="126"/>
      <c r="N330" s="126"/>
    </row>
    <row r="331" spans="2:14">
      <c r="B331" s="11" t="s">
        <v>245</v>
      </c>
      <c r="H331" s="126"/>
      <c r="I331" s="126"/>
      <c r="J331" s="127"/>
      <c r="K331" s="126"/>
      <c r="L331" s="126"/>
      <c r="M331" s="126"/>
      <c r="N331" s="126"/>
    </row>
    <row r="332" spans="2:14">
      <c r="B332" s="118" t="s">
        <v>244</v>
      </c>
      <c r="H332" s="126"/>
      <c r="I332" s="126"/>
      <c r="J332" s="127"/>
      <c r="K332" s="126"/>
      <c r="L332" s="126"/>
      <c r="M332" s="126"/>
      <c r="N332" s="126"/>
    </row>
    <row r="333" spans="2:14">
      <c r="H333" s="126"/>
      <c r="I333" s="126"/>
      <c r="J333" s="127"/>
      <c r="K333" s="126"/>
      <c r="L333" s="126"/>
      <c r="M333" s="126"/>
      <c r="N333" s="126"/>
    </row>
    <row r="334" spans="2:14">
      <c r="B334" s="11" t="s">
        <v>219</v>
      </c>
      <c r="H334" s="126"/>
      <c r="I334" s="126"/>
      <c r="J334" s="127"/>
      <c r="K334" s="126"/>
      <c r="L334" s="126"/>
      <c r="M334" s="126"/>
      <c r="N334" s="126"/>
    </row>
  </sheetData>
  <sheetProtection sheet="1" objects="1" scenarios="1" formatCells="0" selectLockedCells="1"/>
  <hyperlinks>
    <hyperlink ref="C79" r:id="rId1"/>
    <hyperlink ref="C131" r:id="rId2"/>
    <hyperlink ref="C158" r:id="rId3"/>
    <hyperlink ref="C27" r:id="rId4"/>
    <hyperlink ref="C104" r:id="rId5"/>
    <hyperlink ref="B182" r:id="rId6"/>
    <hyperlink ref="B319" r:id="rId7"/>
    <hyperlink ref="B332" r:id="rId8"/>
  </hyperlinks>
  <pageMargins left="0.7" right="0.7" top="0.75" bottom="0.75" header="0.3" footer="0.3"/>
  <pageSetup orientation="portrait" horizontalDpi="300" verticalDpi="300" r:id="rId9"/>
  <drawing r:id="rId10"/>
</worksheet>
</file>

<file path=xl/worksheets/sheet2.xml><?xml version="1.0" encoding="utf-8"?>
<worksheet xmlns="http://schemas.openxmlformats.org/spreadsheetml/2006/main" xmlns:r="http://schemas.openxmlformats.org/officeDocument/2006/relationships">
  <dimension ref="A1:O615"/>
  <sheetViews>
    <sheetView zoomScaleNormal="100" workbookViewId="0">
      <selection activeCell="F2" sqref="F2"/>
    </sheetView>
  </sheetViews>
  <sheetFormatPr defaultRowHeight="15"/>
  <cols>
    <col min="1" max="1" width="3.42578125" customWidth="1"/>
    <col min="2" max="2" width="58" style="6" customWidth="1"/>
    <col min="3" max="3" width="16.28515625" style="5" customWidth="1"/>
    <col min="4" max="4" width="5.7109375" customWidth="1"/>
    <col min="5" max="5" width="4.140625" customWidth="1"/>
    <col min="6" max="6" width="7.7109375" customWidth="1"/>
    <col min="7" max="7" width="7.85546875" style="6" customWidth="1"/>
    <col min="8" max="8" width="8.85546875" style="13" customWidth="1"/>
    <col min="9" max="9" width="3" style="13" customWidth="1"/>
    <col min="10" max="10" width="9.42578125" style="13" customWidth="1"/>
    <col min="12" max="12" width="10.42578125" customWidth="1"/>
    <col min="13" max="13" width="9.5703125" bestFit="1" customWidth="1"/>
  </cols>
  <sheetData>
    <row r="1" spans="2:15" ht="18.75">
      <c r="B1" s="36" t="s">
        <v>246</v>
      </c>
      <c r="D1" s="78" t="s">
        <v>213</v>
      </c>
      <c r="F1" s="126"/>
      <c r="G1" s="130"/>
      <c r="H1" s="128"/>
      <c r="I1" s="128"/>
      <c r="J1" s="128"/>
      <c r="K1" s="126"/>
      <c r="L1" s="126"/>
      <c r="M1" s="126"/>
      <c r="N1" s="126"/>
      <c r="O1" s="126"/>
    </row>
    <row r="2" spans="2:15">
      <c r="B2" s="2" t="s">
        <v>290</v>
      </c>
      <c r="F2" s="126"/>
      <c r="G2" s="130"/>
      <c r="H2" s="128"/>
      <c r="I2" s="128"/>
      <c r="J2" s="128"/>
      <c r="K2" s="126"/>
      <c r="L2" s="126"/>
      <c r="M2" s="126"/>
      <c r="N2" s="126"/>
      <c r="O2" s="126"/>
    </row>
    <row r="3" spans="2:15">
      <c r="F3" s="126"/>
      <c r="G3" s="130"/>
      <c r="H3" s="128"/>
      <c r="I3" s="128"/>
      <c r="J3" s="128"/>
      <c r="K3" s="126"/>
      <c r="L3" s="126"/>
      <c r="M3" s="126"/>
      <c r="N3" s="126"/>
      <c r="O3" s="126"/>
    </row>
    <row r="4" spans="2:15" ht="18">
      <c r="B4" s="88" t="s">
        <v>215</v>
      </c>
      <c r="F4" s="126"/>
      <c r="G4" s="130"/>
      <c r="H4" s="128"/>
      <c r="I4" s="128"/>
      <c r="J4" s="128"/>
      <c r="K4" s="126"/>
      <c r="L4" s="126"/>
      <c r="M4" s="126"/>
      <c r="N4" s="126"/>
      <c r="O4" s="126"/>
    </row>
    <row r="5" spans="2:15" ht="18.75">
      <c r="B5" s="8" t="s">
        <v>79</v>
      </c>
      <c r="F5" s="126"/>
      <c r="G5" s="130"/>
      <c r="H5" s="128"/>
      <c r="I5" s="128"/>
      <c r="J5" s="128"/>
      <c r="K5" s="126"/>
      <c r="L5" s="126"/>
      <c r="M5" s="126"/>
      <c r="N5" s="126"/>
      <c r="O5" s="126"/>
    </row>
    <row r="6" spans="2:15">
      <c r="F6" s="126"/>
      <c r="G6" s="130"/>
      <c r="H6" s="128"/>
      <c r="I6" s="128"/>
      <c r="J6" s="128"/>
      <c r="K6" s="126"/>
      <c r="L6" s="126"/>
      <c r="M6" s="126"/>
      <c r="N6" s="126"/>
      <c r="O6" s="126"/>
    </row>
    <row r="7" spans="2:15">
      <c r="F7" s="126"/>
      <c r="G7" s="130"/>
      <c r="H7" s="128"/>
      <c r="I7" s="128"/>
      <c r="J7" s="128"/>
      <c r="K7" s="126"/>
      <c r="L7" s="126"/>
      <c r="M7" s="126"/>
      <c r="N7" s="126"/>
      <c r="O7" s="126"/>
    </row>
    <row r="11" spans="2:15">
      <c r="K11" s="13"/>
    </row>
    <row r="12" spans="2:15">
      <c r="K12" s="13"/>
    </row>
    <row r="13" spans="2:15">
      <c r="H13" s="6"/>
      <c r="K13" s="13"/>
    </row>
    <row r="14" spans="2:15">
      <c r="I14" s="52"/>
      <c r="J14" s="48"/>
      <c r="K14" s="49"/>
    </row>
    <row r="15" spans="2:15">
      <c r="I15" s="50"/>
      <c r="J15" s="43"/>
      <c r="K15" s="51"/>
    </row>
    <row r="16" spans="2:15">
      <c r="I16" s="32"/>
      <c r="J16" s="43"/>
      <c r="K16" s="51"/>
    </row>
    <row r="17" spans="2:13">
      <c r="I17" s="50"/>
      <c r="J17" s="44"/>
      <c r="K17" s="51"/>
    </row>
    <row r="18" spans="2:13">
      <c r="I18" s="50"/>
      <c r="J18" s="44"/>
      <c r="K18" s="51"/>
    </row>
    <row r="19" spans="2:13">
      <c r="I19" s="75"/>
      <c r="J19" s="48"/>
      <c r="K19" s="51"/>
    </row>
    <row r="20" spans="2:13">
      <c r="I20" s="32"/>
      <c r="J20" s="43"/>
      <c r="K20" s="51"/>
      <c r="M20" s="97"/>
    </row>
    <row r="21" spans="2:13">
      <c r="I21" s="32"/>
      <c r="J21" s="113"/>
      <c r="K21" s="51"/>
    </row>
    <row r="22" spans="2:13">
      <c r="I22" s="32"/>
      <c r="J22" s="43"/>
      <c r="K22" s="51"/>
    </row>
    <row r="23" spans="2:13">
      <c r="I23" s="32"/>
      <c r="J23" s="113"/>
      <c r="K23" s="51"/>
    </row>
    <row r="24" spans="2:13">
      <c r="I24" s="32"/>
      <c r="J24" s="43"/>
      <c r="K24" s="49"/>
    </row>
    <row r="25" spans="2:13">
      <c r="I25" s="32"/>
      <c r="J25" s="43"/>
      <c r="K25" s="51"/>
    </row>
    <row r="26" spans="2:13">
      <c r="I26" s="75"/>
      <c r="J26" s="75"/>
      <c r="K26" s="49"/>
    </row>
    <row r="30" spans="2:13" ht="18.75">
      <c r="B30" s="8" t="s">
        <v>229</v>
      </c>
    </row>
    <row r="31" spans="2:13" ht="19.5" thickBot="1">
      <c r="B31" s="8" t="s">
        <v>58</v>
      </c>
      <c r="C31" s="7" t="s">
        <v>26</v>
      </c>
    </row>
    <row r="32" spans="2:13">
      <c r="B32" s="10" t="s">
        <v>27</v>
      </c>
      <c r="C32" s="132">
        <v>200</v>
      </c>
      <c r="D32" s="11" t="s">
        <v>34</v>
      </c>
      <c r="F32" s="6"/>
      <c r="G32" s="13"/>
    </row>
    <row r="33" spans="2:14">
      <c r="B33" s="12" t="s">
        <v>47</v>
      </c>
      <c r="C33" s="133">
        <v>36</v>
      </c>
      <c r="D33" s="11" t="s">
        <v>35</v>
      </c>
      <c r="F33" s="6"/>
      <c r="G33" s="13"/>
    </row>
    <row r="34" spans="2:14">
      <c r="B34" s="10" t="s">
        <v>226</v>
      </c>
      <c r="C34" s="122">
        <v>0.2</v>
      </c>
      <c r="D34" s="11" t="s">
        <v>35</v>
      </c>
      <c r="F34" s="6"/>
      <c r="G34" s="13"/>
    </row>
    <row r="35" spans="2:14" ht="15.75" thickBot="1">
      <c r="B35" s="10" t="s">
        <v>231</v>
      </c>
      <c r="C35" s="134">
        <v>0.33300000000000002</v>
      </c>
      <c r="D35" s="11" t="s">
        <v>35</v>
      </c>
      <c r="F35" s="6"/>
      <c r="G35" s="13"/>
    </row>
    <row r="36" spans="2:14">
      <c r="B36" s="13"/>
      <c r="C36" s="7" t="s">
        <v>32</v>
      </c>
      <c r="D36" s="11"/>
      <c r="N36" s="49"/>
    </row>
    <row r="37" spans="2:14" ht="18">
      <c r="B37" s="12" t="s">
        <v>222</v>
      </c>
      <c r="C37" s="37" t="s">
        <v>56</v>
      </c>
      <c r="D37" s="11"/>
      <c r="N37" s="49"/>
    </row>
    <row r="38" spans="2:14">
      <c r="B38" s="12" t="s">
        <v>17</v>
      </c>
      <c r="C38" s="60">
        <f>C32*C33 / (2*C34)</f>
        <v>18000</v>
      </c>
      <c r="D38" s="11" t="s">
        <v>34</v>
      </c>
      <c r="N38" s="49"/>
    </row>
    <row r="39" spans="2:14" ht="18">
      <c r="B39" s="12" t="s">
        <v>223</v>
      </c>
      <c r="C39" s="37" t="s">
        <v>57</v>
      </c>
      <c r="D39" s="11"/>
      <c r="N39" s="49"/>
    </row>
    <row r="40" spans="2:14">
      <c r="B40" s="6" t="s">
        <v>17</v>
      </c>
      <c r="C40" s="60">
        <f>C32*C33 / C34</f>
        <v>36000</v>
      </c>
      <c r="D40" s="11" t="s">
        <v>34</v>
      </c>
      <c r="N40" s="49"/>
    </row>
    <row r="41" spans="2:14" ht="18">
      <c r="B41" s="12" t="s">
        <v>224</v>
      </c>
      <c r="C41" s="37" t="s">
        <v>225</v>
      </c>
      <c r="N41" s="49"/>
    </row>
    <row r="42" spans="2:14">
      <c r="B42" s="12" t="s">
        <v>234</v>
      </c>
      <c r="C42" s="60">
        <f>C32*C33 /(2* C35)</f>
        <v>10810.81081081081</v>
      </c>
      <c r="D42" s="11" t="s">
        <v>34</v>
      </c>
      <c r="N42" s="49"/>
    </row>
    <row r="44" spans="2:14">
      <c r="B44" s="64" t="s">
        <v>64</v>
      </c>
    </row>
    <row r="45" spans="2:14">
      <c r="B45" s="37" t="s">
        <v>65</v>
      </c>
    </row>
    <row r="46" spans="2:14" ht="18.75">
      <c r="B46" s="8" t="s">
        <v>232</v>
      </c>
      <c r="N46" s="49"/>
    </row>
    <row r="47" spans="2:14">
      <c r="N47" s="49"/>
    </row>
    <row r="51" spans="2:15">
      <c r="F51" s="126"/>
      <c r="G51" s="130"/>
      <c r="H51" s="128"/>
      <c r="I51" s="128"/>
      <c r="J51" s="128"/>
      <c r="K51" s="126"/>
      <c r="L51" s="126"/>
      <c r="M51" s="126"/>
      <c r="N51" s="126"/>
      <c r="O51" s="126"/>
    </row>
    <row r="52" spans="2:15">
      <c r="F52" s="126"/>
      <c r="G52" s="130"/>
      <c r="H52" s="128"/>
      <c r="I52" s="128"/>
      <c r="J52" s="128"/>
      <c r="K52" s="126"/>
      <c r="L52" s="126"/>
      <c r="M52" s="126"/>
      <c r="N52" s="126"/>
      <c r="O52" s="126"/>
    </row>
    <row r="53" spans="2:15">
      <c r="F53" s="126"/>
      <c r="G53" s="130"/>
      <c r="H53" s="128"/>
      <c r="I53" s="128"/>
      <c r="J53" s="128"/>
      <c r="K53" s="126"/>
      <c r="L53" s="126"/>
      <c r="M53" s="126"/>
      <c r="N53" s="126"/>
      <c r="O53" s="126"/>
    </row>
    <row r="54" spans="2:15">
      <c r="F54" s="126"/>
      <c r="G54" s="130"/>
      <c r="H54" s="128"/>
      <c r="I54" s="128"/>
      <c r="J54" s="128"/>
      <c r="K54" s="126"/>
      <c r="L54" s="126"/>
      <c r="M54" s="126"/>
      <c r="N54" s="126"/>
      <c r="O54" s="126"/>
    </row>
    <row r="55" spans="2:15">
      <c r="F55" s="126"/>
      <c r="G55" s="130"/>
      <c r="H55" s="128"/>
      <c r="I55" s="128"/>
      <c r="J55" s="128"/>
      <c r="K55" s="126"/>
      <c r="L55" s="126"/>
      <c r="M55" s="126"/>
      <c r="N55" s="126"/>
      <c r="O55" s="126"/>
    </row>
    <row r="56" spans="2:15">
      <c r="F56" s="126"/>
      <c r="G56" s="130"/>
      <c r="H56" s="128"/>
      <c r="I56" s="128"/>
      <c r="J56" s="128"/>
      <c r="K56" s="126"/>
      <c r="L56" s="126"/>
      <c r="M56" s="126"/>
      <c r="N56" s="126"/>
      <c r="O56" s="126"/>
    </row>
    <row r="57" spans="2:15">
      <c r="F57" s="126"/>
      <c r="G57" s="130"/>
      <c r="H57" s="128"/>
      <c r="I57" s="128"/>
      <c r="J57" s="128"/>
      <c r="K57" s="126"/>
      <c r="L57" s="126"/>
      <c r="M57" s="126"/>
      <c r="N57" s="126"/>
      <c r="O57" s="126"/>
    </row>
    <row r="58" spans="2:15">
      <c r="F58" s="126"/>
      <c r="G58" s="130"/>
      <c r="H58" s="128"/>
      <c r="I58" s="128"/>
      <c r="J58" s="128"/>
      <c r="K58" s="126"/>
      <c r="L58" s="126"/>
      <c r="M58" s="126"/>
      <c r="N58" s="126"/>
      <c r="O58" s="126"/>
    </row>
    <row r="59" spans="2:15">
      <c r="F59" s="126"/>
      <c r="G59" s="130"/>
      <c r="H59" s="128"/>
      <c r="I59" s="128"/>
      <c r="J59" s="128"/>
      <c r="K59" s="126"/>
      <c r="L59" s="126"/>
      <c r="M59" s="126"/>
      <c r="N59" s="126"/>
      <c r="O59" s="126"/>
    </row>
    <row r="60" spans="2:15">
      <c r="F60" s="126"/>
      <c r="G60" s="130"/>
      <c r="H60" s="128"/>
      <c r="I60" s="128"/>
      <c r="J60" s="128"/>
      <c r="K60" s="126"/>
      <c r="L60" s="126"/>
      <c r="M60" s="126"/>
      <c r="N60" s="126"/>
      <c r="O60" s="126"/>
    </row>
    <row r="61" spans="2:15">
      <c r="F61" s="126"/>
      <c r="G61" s="130"/>
      <c r="H61" s="128"/>
      <c r="I61" s="128"/>
      <c r="J61" s="128"/>
      <c r="K61" s="126"/>
      <c r="L61" s="126"/>
      <c r="M61" s="126"/>
      <c r="N61" s="126"/>
      <c r="O61" s="126"/>
    </row>
    <row r="62" spans="2:15">
      <c r="F62" s="126"/>
      <c r="G62" s="130"/>
      <c r="H62" s="128"/>
      <c r="I62" s="128"/>
      <c r="J62" s="128"/>
      <c r="K62" s="126"/>
      <c r="L62" s="126"/>
      <c r="M62" s="126"/>
      <c r="N62" s="126"/>
      <c r="O62" s="126"/>
    </row>
    <row r="63" spans="2:15">
      <c r="F63" s="126"/>
      <c r="G63" s="130"/>
      <c r="H63" s="128"/>
      <c r="I63" s="128"/>
      <c r="J63" s="128"/>
      <c r="K63" s="126"/>
      <c r="L63" s="126"/>
      <c r="M63" s="126"/>
      <c r="N63" s="126"/>
      <c r="O63" s="126"/>
    </row>
    <row r="64" spans="2:15" ht="15.75">
      <c r="B64" s="41" t="s">
        <v>230</v>
      </c>
      <c r="F64" s="126"/>
      <c r="G64" s="130"/>
      <c r="H64" s="128"/>
      <c r="I64" s="128"/>
      <c r="J64" s="128"/>
      <c r="K64" s="126"/>
      <c r="L64" s="126"/>
      <c r="M64" s="126"/>
      <c r="N64" s="126"/>
      <c r="O64" s="126"/>
    </row>
    <row r="65" spans="2:15">
      <c r="B65" s="37" t="s">
        <v>233</v>
      </c>
      <c r="F65" s="130"/>
      <c r="G65" s="128"/>
      <c r="H65" s="128"/>
      <c r="I65" s="128"/>
      <c r="J65" s="128"/>
      <c r="K65" s="148"/>
      <c r="L65" s="148"/>
      <c r="M65" s="148"/>
      <c r="N65" s="126"/>
      <c r="O65" s="126"/>
    </row>
    <row r="66" spans="2:15">
      <c r="B66" s="22" t="s">
        <v>0</v>
      </c>
      <c r="F66" s="130"/>
      <c r="G66" s="128"/>
      <c r="H66" s="128"/>
      <c r="I66" s="128"/>
      <c r="J66" s="128"/>
      <c r="K66" s="148"/>
      <c r="L66" s="149"/>
      <c r="M66" s="150"/>
      <c r="N66" s="126"/>
      <c r="O66" s="126"/>
    </row>
    <row r="67" spans="2:15">
      <c r="B67" s="3" t="s">
        <v>1</v>
      </c>
      <c r="F67" s="130"/>
      <c r="G67" s="128"/>
      <c r="H67" s="128"/>
      <c r="I67" s="128"/>
      <c r="J67" s="128"/>
      <c r="K67" s="148"/>
      <c r="L67" s="149"/>
      <c r="M67" s="151"/>
      <c r="N67" s="126"/>
      <c r="O67" s="126"/>
    </row>
    <row r="68" spans="2:15">
      <c r="B68" s="22" t="s">
        <v>2</v>
      </c>
      <c r="F68" s="128"/>
      <c r="G68" s="128"/>
      <c r="H68" s="128"/>
      <c r="I68" s="128"/>
      <c r="J68" s="128"/>
      <c r="K68" s="148"/>
      <c r="L68" s="152"/>
      <c r="M68" s="150"/>
      <c r="N68" s="126"/>
      <c r="O68" s="126"/>
    </row>
    <row r="69" spans="2:15">
      <c r="B69" s="22" t="s">
        <v>3</v>
      </c>
      <c r="F69" s="128"/>
      <c r="G69" s="128"/>
      <c r="H69" s="128"/>
      <c r="I69" s="128"/>
      <c r="J69" s="128"/>
      <c r="K69" s="148"/>
      <c r="L69" s="148"/>
      <c r="M69" s="148"/>
      <c r="N69" s="126"/>
      <c r="O69" s="126"/>
    </row>
    <row r="70" spans="2:15">
      <c r="B70" s="22" t="s">
        <v>4</v>
      </c>
      <c r="F70" s="128"/>
      <c r="G70" s="128"/>
      <c r="H70" s="128"/>
      <c r="I70" s="128"/>
      <c r="J70" s="128"/>
      <c r="K70" s="148"/>
      <c r="L70" s="153"/>
      <c r="M70" s="154"/>
      <c r="N70" s="126"/>
      <c r="O70" s="126"/>
    </row>
    <row r="71" spans="2:15">
      <c r="B71" s="23" t="s">
        <v>5</v>
      </c>
      <c r="F71" s="126"/>
      <c r="G71" s="155"/>
      <c r="H71" s="155"/>
      <c r="I71" s="156"/>
      <c r="J71" s="150"/>
      <c r="K71" s="148"/>
      <c r="L71" s="153"/>
      <c r="M71" s="157"/>
      <c r="N71" s="126"/>
      <c r="O71" s="126"/>
    </row>
    <row r="72" spans="2:15">
      <c r="F72" s="126"/>
      <c r="G72" s="155"/>
      <c r="H72" s="155"/>
      <c r="I72" s="158"/>
      <c r="J72" s="150"/>
      <c r="K72" s="148"/>
      <c r="L72" s="159"/>
      <c r="M72" s="150"/>
      <c r="N72" s="126"/>
      <c r="O72" s="126"/>
    </row>
    <row r="73" spans="2:15">
      <c r="F73" s="126"/>
      <c r="G73" s="155"/>
      <c r="H73" s="160"/>
      <c r="I73" s="160"/>
      <c r="J73" s="160"/>
      <c r="K73" s="148"/>
      <c r="L73" s="148"/>
      <c r="M73" s="148"/>
      <c r="N73" s="126"/>
      <c r="O73" s="126"/>
    </row>
    <row r="74" spans="2:15">
      <c r="F74" s="126"/>
      <c r="G74" s="130"/>
      <c r="H74" s="128"/>
      <c r="I74" s="128"/>
      <c r="J74" s="128"/>
      <c r="K74" s="126"/>
      <c r="L74" s="126"/>
      <c r="M74" s="126"/>
      <c r="N74" s="126"/>
      <c r="O74" s="126"/>
    </row>
    <row r="75" spans="2:15">
      <c r="F75" s="126"/>
      <c r="G75" s="130"/>
      <c r="H75" s="128"/>
      <c r="I75" s="128"/>
      <c r="J75" s="128"/>
      <c r="K75" s="126"/>
      <c r="L75" s="126"/>
      <c r="M75" s="126"/>
      <c r="N75" s="126"/>
      <c r="O75" s="126"/>
    </row>
    <row r="76" spans="2:15">
      <c r="F76" s="126"/>
      <c r="G76" s="130"/>
      <c r="H76" s="128"/>
      <c r="I76" s="128"/>
      <c r="J76" s="128"/>
      <c r="K76" s="126"/>
      <c r="L76" s="126"/>
      <c r="M76" s="126"/>
      <c r="N76" s="126"/>
      <c r="O76" s="126"/>
    </row>
    <row r="77" spans="2:15">
      <c r="F77" s="126"/>
      <c r="G77" s="130"/>
      <c r="H77" s="128"/>
      <c r="I77" s="128"/>
      <c r="J77" s="128"/>
      <c r="K77" s="126"/>
      <c r="L77" s="126"/>
      <c r="M77" s="126"/>
      <c r="N77" s="126"/>
      <c r="O77" s="126"/>
    </row>
    <row r="78" spans="2:15">
      <c r="F78" s="126"/>
      <c r="G78" s="130"/>
      <c r="H78" s="128"/>
      <c r="I78" s="128"/>
      <c r="J78" s="128"/>
      <c r="K78" s="126"/>
      <c r="L78" s="126"/>
      <c r="M78" s="126"/>
      <c r="N78" s="126"/>
      <c r="O78" s="126"/>
    </row>
    <row r="79" spans="2:15">
      <c r="F79" s="126"/>
      <c r="G79" s="130"/>
      <c r="H79" s="128"/>
      <c r="I79" s="128"/>
      <c r="J79" s="128"/>
      <c r="K79" s="126"/>
      <c r="L79" s="126"/>
      <c r="M79" s="126"/>
      <c r="N79" s="126"/>
      <c r="O79" s="126"/>
    </row>
    <row r="80" spans="2:15">
      <c r="F80" s="126"/>
      <c r="G80" s="130"/>
      <c r="H80" s="128"/>
      <c r="I80" s="128"/>
      <c r="J80" s="128"/>
      <c r="K80" s="126"/>
      <c r="L80" s="126"/>
      <c r="M80" s="126"/>
      <c r="N80" s="126"/>
      <c r="O80" s="126"/>
    </row>
    <row r="81" spans="2:15">
      <c r="F81" s="126"/>
      <c r="G81" s="130"/>
      <c r="H81" s="128"/>
      <c r="I81" s="128"/>
      <c r="J81" s="128"/>
      <c r="K81" s="126"/>
      <c r="L81" s="126"/>
      <c r="M81" s="126"/>
      <c r="N81" s="126"/>
      <c r="O81" s="126"/>
    </row>
    <row r="82" spans="2:15">
      <c r="F82" s="126"/>
      <c r="G82" s="130"/>
      <c r="H82" s="128"/>
      <c r="I82" s="128"/>
      <c r="J82" s="128"/>
      <c r="K82" s="126"/>
      <c r="L82" s="126"/>
      <c r="M82" s="126"/>
      <c r="N82" s="126"/>
      <c r="O82" s="126"/>
    </row>
    <row r="83" spans="2:15">
      <c r="F83" s="126"/>
      <c r="G83" s="130"/>
      <c r="H83" s="128"/>
      <c r="I83" s="128"/>
      <c r="J83" s="128"/>
      <c r="K83" s="126"/>
      <c r="L83" s="126"/>
      <c r="M83" s="126"/>
      <c r="N83" s="126"/>
      <c r="O83" s="126"/>
    </row>
    <row r="84" spans="2:15">
      <c r="B84" s="56"/>
      <c r="C84" s="57"/>
      <c r="D84" s="58"/>
      <c r="F84" s="126"/>
      <c r="G84" s="130"/>
      <c r="H84" s="128"/>
      <c r="I84" s="128"/>
      <c r="J84" s="128"/>
      <c r="K84" s="126"/>
      <c r="L84" s="126"/>
      <c r="M84" s="126"/>
      <c r="N84" s="126"/>
      <c r="O84" s="126"/>
    </row>
    <row r="85" spans="2:15">
      <c r="F85" s="126"/>
      <c r="G85" s="130"/>
      <c r="H85" s="128"/>
      <c r="I85" s="128"/>
      <c r="J85" s="128"/>
      <c r="K85" s="126"/>
      <c r="L85" s="126"/>
      <c r="M85" s="126"/>
      <c r="N85" s="126"/>
      <c r="O85" s="126"/>
    </row>
    <row r="86" spans="2:15">
      <c r="F86" s="126"/>
      <c r="G86" s="130"/>
      <c r="H86" s="128"/>
      <c r="I86" s="128"/>
      <c r="J86" s="128"/>
      <c r="K86" s="126"/>
      <c r="L86" s="126"/>
      <c r="M86" s="126"/>
      <c r="N86" s="126"/>
      <c r="O86" s="126"/>
    </row>
    <row r="87" spans="2:15">
      <c r="F87" s="126"/>
      <c r="G87" s="130"/>
      <c r="H87" s="128"/>
      <c r="I87" s="128"/>
      <c r="J87" s="128"/>
      <c r="K87" s="126"/>
      <c r="L87" s="126"/>
      <c r="M87" s="126"/>
      <c r="N87" s="126"/>
      <c r="O87" s="126"/>
    </row>
    <row r="88" spans="2:15">
      <c r="F88" s="126"/>
      <c r="G88" s="130"/>
      <c r="H88" s="128"/>
      <c r="I88" s="128"/>
      <c r="J88" s="128"/>
      <c r="K88" s="126"/>
      <c r="L88" s="126"/>
      <c r="M88" s="126"/>
      <c r="N88" s="126"/>
      <c r="O88" s="126"/>
    </row>
    <row r="89" spans="2:15">
      <c r="F89" s="126"/>
      <c r="G89" s="130"/>
      <c r="H89" s="128"/>
      <c r="I89" s="128"/>
      <c r="J89" s="128"/>
      <c r="K89" s="126"/>
      <c r="L89" s="126"/>
      <c r="M89" s="126"/>
      <c r="N89" s="126"/>
      <c r="O89" s="126"/>
    </row>
    <row r="90" spans="2:15">
      <c r="F90" s="126"/>
      <c r="G90" s="130"/>
      <c r="H90" s="128"/>
      <c r="I90" s="128"/>
      <c r="J90" s="128"/>
      <c r="K90" s="126"/>
      <c r="L90" s="126"/>
      <c r="M90" s="126"/>
      <c r="N90" s="126"/>
      <c r="O90" s="126"/>
    </row>
    <row r="91" spans="2:15">
      <c r="F91" s="126"/>
      <c r="G91" s="130"/>
      <c r="H91" s="128"/>
      <c r="I91" s="128"/>
      <c r="J91" s="128"/>
      <c r="K91" s="126"/>
      <c r="L91" s="126"/>
      <c r="M91" s="126"/>
      <c r="N91" s="126"/>
      <c r="O91" s="126"/>
    </row>
    <row r="92" spans="2:15">
      <c r="F92" s="126"/>
      <c r="G92" s="130"/>
      <c r="H92" s="128"/>
      <c r="I92" s="128"/>
      <c r="J92" s="128"/>
      <c r="K92" s="126"/>
      <c r="L92" s="126"/>
      <c r="M92" s="126"/>
      <c r="N92" s="126"/>
      <c r="O92" s="126"/>
    </row>
    <row r="93" spans="2:15">
      <c r="F93" s="126"/>
      <c r="G93" s="130"/>
      <c r="H93" s="128"/>
      <c r="I93" s="128"/>
      <c r="J93" s="128"/>
      <c r="K93" s="126"/>
      <c r="L93" s="126"/>
      <c r="M93" s="126"/>
      <c r="N93" s="126"/>
      <c r="O93" s="126"/>
    </row>
    <row r="94" spans="2:15">
      <c r="F94" s="126"/>
      <c r="G94" s="130"/>
      <c r="H94" s="128"/>
      <c r="I94" s="128"/>
      <c r="J94" s="128"/>
      <c r="K94" s="126"/>
      <c r="L94" s="126"/>
      <c r="M94" s="126"/>
      <c r="N94" s="126"/>
      <c r="O94" s="126"/>
    </row>
    <row r="95" spans="2:15">
      <c r="F95" s="126"/>
      <c r="G95" s="130"/>
      <c r="H95" s="128"/>
      <c r="I95" s="128"/>
      <c r="J95" s="128"/>
      <c r="K95" s="126"/>
      <c r="L95" s="126"/>
      <c r="M95" s="126"/>
      <c r="N95" s="126"/>
      <c r="O95" s="126"/>
    </row>
    <row r="96" spans="2:15">
      <c r="F96" s="126"/>
      <c r="G96" s="130"/>
      <c r="H96" s="128"/>
      <c r="I96" s="128"/>
      <c r="J96" s="128"/>
      <c r="K96" s="126"/>
      <c r="L96" s="126"/>
      <c r="M96" s="126"/>
      <c r="N96" s="126"/>
      <c r="O96" s="126"/>
    </row>
    <row r="97" spans="6:15">
      <c r="F97" s="126"/>
      <c r="G97" s="130"/>
      <c r="H97" s="128"/>
      <c r="I97" s="128"/>
      <c r="J97" s="128"/>
      <c r="K97" s="126"/>
      <c r="L97" s="126"/>
      <c r="M97" s="126"/>
      <c r="N97" s="126"/>
      <c r="O97" s="126"/>
    </row>
    <row r="98" spans="6:15">
      <c r="F98" s="126"/>
      <c r="G98" s="130"/>
      <c r="H98" s="128"/>
      <c r="I98" s="128"/>
      <c r="J98" s="128"/>
      <c r="K98" s="126"/>
      <c r="L98" s="126"/>
      <c r="M98" s="126"/>
      <c r="N98" s="126"/>
      <c r="O98" s="126"/>
    </row>
    <row r="99" spans="6:15">
      <c r="F99" s="126"/>
      <c r="G99" s="130"/>
      <c r="H99" s="128"/>
      <c r="I99" s="128"/>
      <c r="J99" s="128"/>
      <c r="K99" s="126"/>
      <c r="L99" s="126"/>
      <c r="M99" s="126"/>
      <c r="N99" s="126"/>
      <c r="O99" s="126"/>
    </row>
    <row r="100" spans="6:15">
      <c r="F100" s="126"/>
      <c r="G100" s="130"/>
      <c r="H100" s="128"/>
      <c r="I100" s="128"/>
      <c r="J100" s="128"/>
      <c r="K100" s="126"/>
      <c r="L100" s="126"/>
      <c r="M100" s="126"/>
      <c r="N100" s="126"/>
      <c r="O100" s="126"/>
    </row>
    <row r="101" spans="6:15">
      <c r="F101" s="126"/>
      <c r="G101" s="130"/>
      <c r="H101" s="128"/>
      <c r="I101" s="128"/>
      <c r="J101" s="128"/>
      <c r="K101" s="126"/>
      <c r="L101" s="126"/>
      <c r="M101" s="126"/>
      <c r="N101" s="126"/>
      <c r="O101" s="126"/>
    </row>
    <row r="102" spans="6:15">
      <c r="F102" s="126"/>
      <c r="G102" s="130"/>
      <c r="H102" s="128"/>
      <c r="I102" s="128"/>
      <c r="J102" s="128"/>
      <c r="K102" s="126"/>
      <c r="L102" s="126"/>
      <c r="M102" s="126"/>
      <c r="N102" s="126"/>
      <c r="O102" s="126"/>
    </row>
    <row r="103" spans="6:15">
      <c r="F103" s="126"/>
      <c r="G103" s="130"/>
      <c r="H103" s="128"/>
      <c r="I103" s="128"/>
      <c r="J103" s="128"/>
      <c r="K103" s="126"/>
      <c r="L103" s="126"/>
      <c r="M103" s="126"/>
      <c r="N103" s="126"/>
      <c r="O103" s="126"/>
    </row>
    <row r="104" spans="6:15">
      <c r="F104" s="126"/>
      <c r="G104" s="130"/>
      <c r="H104" s="128"/>
      <c r="I104" s="128"/>
      <c r="J104" s="128"/>
      <c r="K104" s="126"/>
      <c r="L104" s="126"/>
      <c r="M104" s="126"/>
      <c r="N104" s="126"/>
      <c r="O104" s="126"/>
    </row>
    <row r="105" spans="6:15">
      <c r="F105" s="126"/>
      <c r="G105" s="130"/>
      <c r="H105" s="128"/>
      <c r="I105" s="128"/>
      <c r="J105" s="128"/>
      <c r="K105" s="126"/>
      <c r="L105" s="126"/>
      <c r="M105" s="126"/>
      <c r="N105" s="126"/>
      <c r="O105" s="126"/>
    </row>
    <row r="106" spans="6:15">
      <c r="F106" s="126"/>
      <c r="G106" s="130"/>
      <c r="H106" s="128"/>
      <c r="I106" s="128"/>
      <c r="J106" s="128"/>
      <c r="K106" s="126"/>
      <c r="L106" s="126"/>
      <c r="M106" s="126"/>
      <c r="N106" s="126"/>
      <c r="O106" s="126"/>
    </row>
    <row r="107" spans="6:15">
      <c r="F107" s="126"/>
      <c r="G107" s="130"/>
      <c r="H107" s="128"/>
      <c r="I107" s="128"/>
      <c r="J107" s="128"/>
      <c r="K107" s="126"/>
      <c r="L107" s="126"/>
      <c r="M107" s="126"/>
      <c r="N107" s="126"/>
      <c r="O107" s="126"/>
    </row>
    <row r="108" spans="6:15">
      <c r="F108" s="126"/>
      <c r="G108" s="130"/>
      <c r="H108" s="128"/>
      <c r="I108" s="128"/>
      <c r="J108" s="128"/>
      <c r="K108" s="126"/>
      <c r="L108" s="126"/>
      <c r="M108" s="126"/>
      <c r="N108" s="126"/>
      <c r="O108" s="126"/>
    </row>
    <row r="109" spans="6:15">
      <c r="F109" s="126"/>
      <c r="G109" s="130"/>
      <c r="H109" s="128"/>
      <c r="I109" s="128"/>
      <c r="J109" s="128"/>
      <c r="K109" s="126"/>
      <c r="L109" s="126"/>
      <c r="M109" s="126"/>
      <c r="N109" s="126"/>
      <c r="O109" s="126"/>
    </row>
    <row r="110" spans="6:15">
      <c r="F110" s="126"/>
      <c r="G110" s="130"/>
      <c r="H110" s="128"/>
      <c r="I110" s="128"/>
      <c r="J110" s="128"/>
      <c r="K110" s="126"/>
      <c r="L110" s="126"/>
      <c r="M110" s="126"/>
      <c r="N110" s="126"/>
      <c r="O110" s="126"/>
    </row>
    <row r="111" spans="6:15">
      <c r="F111" s="126"/>
      <c r="G111" s="130"/>
      <c r="H111" s="128"/>
      <c r="I111" s="128"/>
      <c r="J111" s="128"/>
      <c r="K111" s="126"/>
      <c r="L111" s="126"/>
      <c r="M111" s="126"/>
      <c r="N111" s="126"/>
      <c r="O111" s="126"/>
    </row>
    <row r="112" spans="6:15">
      <c r="F112" s="126"/>
      <c r="G112" s="130"/>
      <c r="H112" s="128"/>
      <c r="I112" s="128"/>
      <c r="J112" s="128"/>
      <c r="K112" s="126"/>
      <c r="L112" s="126"/>
      <c r="M112" s="126"/>
      <c r="N112" s="126"/>
      <c r="O112" s="126"/>
    </row>
    <row r="113" spans="5:15">
      <c r="F113" s="126"/>
      <c r="G113" s="130"/>
      <c r="H113" s="128"/>
      <c r="I113" s="128"/>
      <c r="J113" s="128"/>
      <c r="K113" s="126"/>
      <c r="L113" s="126"/>
      <c r="M113" s="126"/>
      <c r="N113" s="126"/>
      <c r="O113" s="126"/>
    </row>
    <row r="114" spans="5:15">
      <c r="F114" s="126"/>
      <c r="G114" s="130"/>
      <c r="H114" s="128"/>
      <c r="I114" s="128"/>
      <c r="J114" s="128"/>
      <c r="K114" s="126"/>
      <c r="L114" s="126"/>
      <c r="M114" s="126"/>
      <c r="N114" s="126"/>
      <c r="O114" s="126"/>
    </row>
    <row r="115" spans="5:15">
      <c r="F115" s="126"/>
      <c r="G115" s="130"/>
      <c r="H115" s="128"/>
      <c r="I115" s="128"/>
      <c r="J115" s="128"/>
      <c r="K115" s="126"/>
      <c r="L115" s="126"/>
      <c r="M115" s="126"/>
      <c r="N115" s="126"/>
      <c r="O115" s="126"/>
    </row>
    <row r="116" spans="5:15">
      <c r="F116" s="126"/>
      <c r="G116" s="130"/>
      <c r="H116" s="128"/>
      <c r="I116" s="128"/>
      <c r="J116" s="128"/>
      <c r="K116" s="126"/>
      <c r="L116" s="126"/>
      <c r="M116" s="126"/>
      <c r="N116" s="126"/>
      <c r="O116" s="126"/>
    </row>
    <row r="117" spans="5:15">
      <c r="F117" s="126"/>
      <c r="G117" s="130"/>
      <c r="H117" s="128"/>
      <c r="I117" s="128"/>
      <c r="J117" s="128"/>
      <c r="K117" s="126"/>
      <c r="L117" s="126"/>
      <c r="M117" s="126"/>
      <c r="N117" s="126"/>
      <c r="O117" s="126"/>
    </row>
    <row r="118" spans="5:15">
      <c r="F118" s="126"/>
      <c r="G118" s="130"/>
      <c r="H118" s="128"/>
      <c r="I118" s="128"/>
      <c r="J118" s="128"/>
      <c r="K118" s="126"/>
      <c r="L118" s="126"/>
      <c r="M118" s="126"/>
      <c r="N118" s="126"/>
      <c r="O118" s="126"/>
    </row>
    <row r="119" spans="5:15">
      <c r="F119" s="126"/>
      <c r="G119" s="130"/>
      <c r="H119" s="128"/>
      <c r="I119" s="128"/>
      <c r="J119" s="128"/>
      <c r="K119" s="126"/>
      <c r="L119" s="126"/>
      <c r="M119" s="126"/>
      <c r="N119" s="126"/>
      <c r="O119" s="126"/>
    </row>
    <row r="120" spans="5:15">
      <c r="F120" s="126"/>
      <c r="G120" s="130"/>
      <c r="H120" s="128"/>
      <c r="I120" s="128"/>
      <c r="J120" s="128"/>
      <c r="K120" s="126"/>
      <c r="L120" s="126"/>
      <c r="M120" s="126"/>
      <c r="N120" s="126"/>
      <c r="O120" s="126"/>
    </row>
    <row r="121" spans="5:15">
      <c r="F121" s="126"/>
      <c r="G121" s="130"/>
      <c r="H121" s="128"/>
      <c r="I121" s="128"/>
      <c r="J121" s="128"/>
      <c r="K121" s="126"/>
      <c r="L121" s="126"/>
      <c r="M121" s="126"/>
      <c r="N121" s="126"/>
      <c r="O121" s="126"/>
    </row>
    <row r="122" spans="5:15">
      <c r="F122" s="126"/>
      <c r="G122" s="130"/>
      <c r="H122" s="128"/>
      <c r="I122" s="128"/>
      <c r="J122" s="128"/>
      <c r="K122" s="126"/>
      <c r="L122" s="126"/>
      <c r="M122" s="126"/>
      <c r="N122" s="126"/>
      <c r="O122" s="126"/>
    </row>
    <row r="123" spans="5:15" ht="18.75">
      <c r="F123" s="126"/>
      <c r="G123" s="161"/>
      <c r="H123" s="128"/>
      <c r="I123" s="162"/>
      <c r="J123" s="160"/>
      <c r="K123" s="163"/>
      <c r="L123" s="163"/>
      <c r="M123" s="164"/>
      <c r="N123" s="126"/>
      <c r="O123" s="126"/>
    </row>
    <row r="124" spans="5:15" ht="18.75">
      <c r="F124" s="126"/>
      <c r="G124" s="130"/>
      <c r="H124" s="128"/>
      <c r="I124" s="162"/>
      <c r="J124" s="160"/>
      <c r="K124" s="155"/>
      <c r="L124" s="165"/>
      <c r="M124" s="148"/>
      <c r="N124" s="126"/>
      <c r="O124" s="126"/>
    </row>
    <row r="125" spans="5:15">
      <c r="E125" s="9"/>
      <c r="F125" s="126"/>
      <c r="G125" s="130"/>
      <c r="H125" s="128"/>
      <c r="I125" s="155"/>
      <c r="J125" s="160"/>
      <c r="K125" s="166"/>
      <c r="L125" s="167"/>
      <c r="M125" s="168"/>
      <c r="N125" s="126"/>
      <c r="O125" s="126"/>
    </row>
    <row r="126" spans="5:15">
      <c r="F126" s="126"/>
      <c r="G126" s="130"/>
      <c r="H126" s="128"/>
      <c r="I126" s="155"/>
      <c r="J126" s="160"/>
      <c r="K126" s="169"/>
      <c r="L126" s="167"/>
      <c r="M126" s="168"/>
      <c r="N126" s="126"/>
      <c r="O126" s="126"/>
    </row>
    <row r="127" spans="5:15">
      <c r="F127" s="126"/>
      <c r="G127" s="130"/>
      <c r="H127" s="128"/>
      <c r="I127" s="155"/>
      <c r="J127" s="160"/>
      <c r="K127" s="166"/>
      <c r="L127" s="170"/>
      <c r="M127" s="168"/>
      <c r="N127" s="126"/>
      <c r="O127" s="126"/>
    </row>
    <row r="128" spans="5:15">
      <c r="F128" s="126"/>
      <c r="G128" s="130"/>
      <c r="H128" s="128"/>
      <c r="I128" s="155"/>
      <c r="J128" s="160"/>
      <c r="K128" s="166"/>
      <c r="L128" s="170"/>
      <c r="M128" s="168"/>
      <c r="N128" s="126"/>
      <c r="O128" s="126"/>
    </row>
    <row r="129" spans="2:15">
      <c r="F129" s="126"/>
      <c r="G129" s="130"/>
      <c r="H129" s="128"/>
      <c r="I129" s="155"/>
      <c r="J129" s="160"/>
      <c r="K129" s="160"/>
      <c r="L129" s="165"/>
      <c r="M129" s="168"/>
      <c r="N129" s="126"/>
      <c r="O129" s="126"/>
    </row>
    <row r="130" spans="2:15" ht="15.75">
      <c r="B130" s="41" t="s">
        <v>291</v>
      </c>
      <c r="F130" s="126"/>
      <c r="G130" s="130"/>
      <c r="H130" s="128"/>
      <c r="I130" s="155"/>
      <c r="J130" s="160"/>
      <c r="K130" s="169"/>
      <c r="L130" s="167"/>
      <c r="M130" s="168"/>
      <c r="N130" s="126"/>
      <c r="O130" s="126"/>
    </row>
    <row r="131" spans="2:15" ht="19.5" thickBot="1">
      <c r="B131" s="8" t="s">
        <v>78</v>
      </c>
      <c r="F131" s="126"/>
      <c r="G131" s="12"/>
      <c r="H131" s="7" t="s">
        <v>26</v>
      </c>
      <c r="I131" s="155"/>
      <c r="J131" s="160"/>
      <c r="K131" s="169"/>
      <c r="L131" s="171"/>
      <c r="M131" s="168"/>
      <c r="N131" s="126"/>
      <c r="O131" s="126"/>
    </row>
    <row r="132" spans="2:15" ht="19.5" thickBot="1">
      <c r="B132" s="8" t="s">
        <v>33</v>
      </c>
      <c r="C132" s="7" t="s">
        <v>26</v>
      </c>
      <c r="G132" s="12" t="s">
        <v>48</v>
      </c>
      <c r="H132" s="138">
        <v>70</v>
      </c>
    </row>
    <row r="133" spans="2:15">
      <c r="B133" s="10" t="s">
        <v>27</v>
      </c>
      <c r="C133" s="135">
        <v>4</v>
      </c>
      <c r="D133" s="11" t="s">
        <v>31</v>
      </c>
      <c r="G133" s="12"/>
      <c r="H133" s="7" t="s">
        <v>32</v>
      </c>
    </row>
    <row r="134" spans="2:15" ht="14.25" customHeight="1">
      <c r="B134" s="12" t="s">
        <v>71</v>
      </c>
      <c r="C134" s="136">
        <v>35</v>
      </c>
      <c r="D134" s="11" t="s">
        <v>30</v>
      </c>
      <c r="G134" s="12" t="s">
        <v>49</v>
      </c>
      <c r="H134" s="19">
        <f>H132/2</f>
        <v>35</v>
      </c>
    </row>
    <row r="135" spans="2:15" ht="15.75" thickBot="1">
      <c r="B135" s="12" t="s">
        <v>69</v>
      </c>
      <c r="C135" s="123">
        <v>0.85</v>
      </c>
      <c r="D135" s="11"/>
      <c r="H135" s="7" t="s">
        <v>26</v>
      </c>
    </row>
    <row r="136" spans="2:15" ht="15.75" thickBot="1">
      <c r="B136" s="12" t="s">
        <v>28</v>
      </c>
      <c r="C136" s="137">
        <v>87.8</v>
      </c>
      <c r="D136" s="11" t="s">
        <v>29</v>
      </c>
      <c r="G136" s="12" t="s">
        <v>36</v>
      </c>
      <c r="H136" s="139">
        <v>87.8</v>
      </c>
      <c r="I136" s="18" t="s">
        <v>17</v>
      </c>
      <c r="J136" s="35">
        <f>H136*145.04</f>
        <v>12734.511999999999</v>
      </c>
      <c r="K136" s="11" t="s">
        <v>34</v>
      </c>
    </row>
    <row r="137" spans="2:15" ht="15.75" thickBot="1">
      <c r="C137" s="7" t="s">
        <v>32</v>
      </c>
      <c r="G137" s="12" t="s">
        <v>37</v>
      </c>
      <c r="H137" s="140">
        <v>1.92</v>
      </c>
      <c r="I137" s="18" t="s">
        <v>17</v>
      </c>
      <c r="J137" s="30">
        <f>H137/25.4</f>
        <v>7.5590551181102361E-2</v>
      </c>
      <c r="K137" s="11" t="s">
        <v>35</v>
      </c>
    </row>
    <row r="138" spans="2:15" ht="15.75" thickBot="1">
      <c r="B138" s="12" t="s">
        <v>72</v>
      </c>
      <c r="C138" s="9" t="s">
        <v>235</v>
      </c>
      <c r="D138" s="11"/>
    </row>
    <row r="139" spans="2:15" ht="15.75" thickBot="1">
      <c r="B139" s="12" t="s">
        <v>17</v>
      </c>
      <c r="C139" s="26">
        <f>C133*C134/ (2*C136*C135 + 0.6*C133)</f>
        <v>0.9231174996703152</v>
      </c>
      <c r="D139" s="11" t="s">
        <v>30</v>
      </c>
      <c r="F139" s="71" t="str">
        <f>IF(C139&gt;3.2,"t &gt; 3.2mm OK","t &lt; 3.2mm Not OK")</f>
        <v>t &lt; 3.2mm Not OK</v>
      </c>
      <c r="G139" s="72"/>
      <c r="H139" s="73"/>
    </row>
    <row r="140" spans="2:15" ht="15.75" thickBot="1">
      <c r="B140" s="12" t="s">
        <v>73</v>
      </c>
      <c r="C140" s="9" t="s">
        <v>236</v>
      </c>
      <c r="G140"/>
      <c r="H140" s="6"/>
    </row>
    <row r="141" spans="2:15" ht="15.75" thickBot="1">
      <c r="B141" s="12" t="s">
        <v>17</v>
      </c>
      <c r="C141" s="26">
        <f>C133*C134/ (C136*C135- 0.4*C133)</f>
        <v>1.9170204025742845</v>
      </c>
      <c r="D141" s="11" t="s">
        <v>30</v>
      </c>
      <c r="F141" s="71" t="str">
        <f>IF(C141&gt;3.2,"t &gt; 3.2mm OK","t &lt; 3.2mm Not OK")</f>
        <v>t &lt; 3.2mm Not OK</v>
      </c>
      <c r="G141" s="72"/>
      <c r="H141" s="73"/>
    </row>
    <row r="142" spans="2:15">
      <c r="B142" s="12" t="s">
        <v>38</v>
      </c>
      <c r="G142" s="126"/>
      <c r="H142" s="130"/>
      <c r="I142" s="128"/>
      <c r="J142" s="128"/>
      <c r="K142" s="126"/>
      <c r="L142" s="126"/>
      <c r="M142" s="126"/>
      <c r="N142" s="126"/>
      <c r="O142" s="126"/>
    </row>
    <row r="143" spans="2:15">
      <c r="B143" s="37" t="s">
        <v>237</v>
      </c>
      <c r="C143" s="19"/>
      <c r="D143" s="18"/>
      <c r="F143" s="20"/>
      <c r="G143" s="126"/>
      <c r="H143" s="130"/>
      <c r="I143" s="128"/>
      <c r="J143" s="128"/>
      <c r="K143" s="126"/>
      <c r="L143" s="126"/>
      <c r="M143" s="126"/>
      <c r="N143" s="126"/>
      <c r="O143" s="126"/>
    </row>
    <row r="144" spans="2:15">
      <c r="G144" s="126"/>
      <c r="H144" s="130"/>
      <c r="I144" s="128"/>
      <c r="J144" s="128"/>
      <c r="K144" s="126"/>
      <c r="L144" s="126"/>
      <c r="M144" s="126"/>
      <c r="N144" s="126"/>
      <c r="O144" s="126"/>
    </row>
    <row r="145" spans="2:15" ht="19.5" thickBot="1">
      <c r="B145" s="8" t="s">
        <v>53</v>
      </c>
      <c r="C145" s="7" t="s">
        <v>26</v>
      </c>
      <c r="G145" s="126"/>
      <c r="H145" s="130"/>
      <c r="I145" s="128"/>
      <c r="J145" s="128"/>
      <c r="K145" s="126"/>
      <c r="L145" s="126"/>
      <c r="M145" s="126"/>
      <c r="N145" s="126"/>
      <c r="O145" s="126"/>
    </row>
    <row r="146" spans="2:15">
      <c r="B146" s="10" t="s">
        <v>27</v>
      </c>
      <c r="C146" s="121">
        <v>1831</v>
      </c>
      <c r="D146" s="11" t="s">
        <v>34</v>
      </c>
      <c r="F146" s="172"/>
      <c r="G146" s="126"/>
      <c r="H146" s="130"/>
      <c r="I146" s="128"/>
      <c r="J146" s="172"/>
      <c r="K146" s="126"/>
      <c r="L146" s="126"/>
      <c r="M146" s="126"/>
      <c r="N146" s="126"/>
      <c r="O146" s="126"/>
    </row>
    <row r="147" spans="2:15">
      <c r="B147" s="12" t="s">
        <v>71</v>
      </c>
      <c r="C147" s="122">
        <v>1.3779999999999999</v>
      </c>
      <c r="D147" s="11" t="s">
        <v>35</v>
      </c>
      <c r="F147" s="170"/>
      <c r="G147" s="126"/>
      <c r="H147" s="130"/>
      <c r="I147" s="128"/>
      <c r="J147" s="170"/>
      <c r="K147" s="126"/>
      <c r="L147" s="126"/>
      <c r="M147" s="126"/>
      <c r="N147" s="126"/>
      <c r="O147" s="126"/>
    </row>
    <row r="148" spans="2:15">
      <c r="B148" s="12" t="s">
        <v>69</v>
      </c>
      <c r="C148" s="123">
        <v>0.85</v>
      </c>
      <c r="D148" s="11"/>
      <c r="F148" s="173"/>
      <c r="G148" s="126"/>
      <c r="H148" s="130"/>
      <c r="I148" s="128"/>
      <c r="J148" s="173"/>
      <c r="K148" s="126"/>
      <c r="L148" s="126"/>
      <c r="M148" s="126"/>
      <c r="N148" s="126"/>
      <c r="O148" s="126"/>
    </row>
    <row r="149" spans="2:15" ht="15.75" thickBot="1">
      <c r="B149" s="12" t="s">
        <v>28</v>
      </c>
      <c r="C149" s="124">
        <v>12735</v>
      </c>
      <c r="D149" s="11" t="s">
        <v>34</v>
      </c>
      <c r="F149" s="172"/>
      <c r="G149" s="126"/>
      <c r="H149" s="130"/>
      <c r="I149" s="128"/>
      <c r="J149" s="172"/>
      <c r="K149" s="126"/>
      <c r="L149" s="126"/>
      <c r="M149" s="126"/>
      <c r="N149" s="126"/>
      <c r="O149" s="126"/>
    </row>
    <row r="150" spans="2:15">
      <c r="C150" s="7" t="s">
        <v>32</v>
      </c>
      <c r="G150" s="126"/>
      <c r="H150" s="130"/>
      <c r="I150" s="128"/>
      <c r="J150" s="128"/>
      <c r="K150" s="126"/>
      <c r="L150" s="126"/>
      <c r="M150" s="126"/>
      <c r="N150" s="126"/>
      <c r="O150" s="126"/>
    </row>
    <row r="151" spans="2:15" ht="15.75" thickBot="1">
      <c r="B151" s="12" t="s">
        <v>127</v>
      </c>
      <c r="C151" s="9" t="s">
        <v>235</v>
      </c>
      <c r="D151" s="11"/>
      <c r="G151" s="126"/>
      <c r="H151" s="130"/>
      <c r="I151" s="128"/>
      <c r="J151" s="128"/>
      <c r="K151" s="126"/>
      <c r="L151" s="126"/>
      <c r="M151" s="126"/>
      <c r="N151" s="126"/>
      <c r="O151" s="126"/>
    </row>
    <row r="152" spans="2:15" ht="15.75" thickBot="1">
      <c r="B152" s="12" t="s">
        <v>17</v>
      </c>
      <c r="C152" s="14">
        <f>C146*C147/ (2*C149*C148 + 0.6*C146)</f>
        <v>0.11091554899090474</v>
      </c>
      <c r="D152" s="11" t="s">
        <v>35</v>
      </c>
      <c r="F152" s="71" t="str">
        <f>IF(C152&gt;0.125,"t &gt; 0.125in OK","t &lt; 0.125in Not OK")</f>
        <v>t &lt; 0.125in Not OK</v>
      </c>
      <c r="G152" s="72"/>
      <c r="H152" s="73"/>
    </row>
    <row r="153" spans="2:15" ht="15.75" thickBot="1">
      <c r="B153" s="12" t="s">
        <v>73</v>
      </c>
      <c r="C153" s="9" t="s">
        <v>236</v>
      </c>
      <c r="G153"/>
      <c r="H153" s="6"/>
    </row>
    <row r="154" spans="2:15" ht="15.75" thickBot="1">
      <c r="B154" s="12" t="s">
        <v>17</v>
      </c>
      <c r="C154" s="14">
        <f>C146*C147/ (C149*C148- 0.4*C146)</f>
        <v>0.25000302209098968</v>
      </c>
      <c r="D154" s="11" t="s">
        <v>35</v>
      </c>
      <c r="F154" s="71" t="str">
        <f>IF(C154&gt;0.125,"t &gt; 0.125in OK","t &lt; 0.125in Not OK")</f>
        <v>t &gt; 0.125in OK</v>
      </c>
      <c r="G154" s="72"/>
      <c r="H154" s="73"/>
    </row>
    <row r="155" spans="2:15">
      <c r="B155" s="12" t="s">
        <v>39</v>
      </c>
      <c r="F155" s="126"/>
      <c r="G155" s="130"/>
      <c r="H155" s="128"/>
      <c r="I155" s="128"/>
      <c r="J155" s="128"/>
      <c r="K155" s="126"/>
      <c r="L155" s="126"/>
      <c r="M155" s="126"/>
      <c r="N155" s="126"/>
      <c r="O155" s="126"/>
    </row>
    <row r="156" spans="2:15">
      <c r="B156" s="37" t="s">
        <v>237</v>
      </c>
      <c r="F156" s="126"/>
      <c r="G156" s="130"/>
      <c r="H156" s="128"/>
      <c r="I156" s="128"/>
      <c r="J156" s="128"/>
      <c r="K156" s="126"/>
      <c r="L156" s="126"/>
      <c r="M156" s="126"/>
      <c r="N156" s="126"/>
      <c r="O156" s="126"/>
    </row>
    <row r="157" spans="2:15">
      <c r="F157" s="126"/>
      <c r="G157" s="130"/>
      <c r="H157" s="128"/>
      <c r="I157" s="128"/>
      <c r="J157" s="128"/>
      <c r="K157" s="126"/>
      <c r="L157" s="126"/>
      <c r="M157" s="126"/>
      <c r="N157" s="126"/>
      <c r="O157" s="126"/>
    </row>
    <row r="158" spans="2:15">
      <c r="F158" s="126"/>
      <c r="G158" s="130"/>
      <c r="H158" s="128"/>
      <c r="I158" s="128"/>
      <c r="J158" s="128"/>
      <c r="K158" s="126"/>
      <c r="L158" s="126"/>
      <c r="M158" s="126"/>
      <c r="N158" s="126"/>
      <c r="O158" s="126"/>
    </row>
    <row r="159" spans="2:15">
      <c r="F159" s="126"/>
      <c r="G159" s="130"/>
      <c r="H159" s="128"/>
      <c r="I159" s="128"/>
      <c r="J159" s="128"/>
      <c r="K159" s="126"/>
      <c r="L159" s="126"/>
      <c r="M159" s="126"/>
      <c r="N159" s="126"/>
      <c r="O159" s="126"/>
    </row>
    <row r="160" spans="2:15">
      <c r="F160" s="126"/>
      <c r="G160" s="130"/>
      <c r="H160" s="128"/>
      <c r="I160" s="128"/>
      <c r="J160" s="128"/>
      <c r="K160" s="126"/>
      <c r="L160" s="126"/>
      <c r="M160" s="126"/>
      <c r="N160" s="126"/>
      <c r="O160" s="126"/>
    </row>
    <row r="161" spans="6:15">
      <c r="F161" s="126"/>
      <c r="G161" s="130"/>
      <c r="H161" s="128"/>
      <c r="I161" s="128"/>
      <c r="J161" s="128"/>
      <c r="K161" s="126"/>
      <c r="L161" s="126"/>
      <c r="M161" s="126"/>
      <c r="N161" s="126"/>
      <c r="O161" s="126"/>
    </row>
    <row r="162" spans="6:15">
      <c r="F162" s="126"/>
      <c r="G162" s="130"/>
      <c r="H162" s="128"/>
      <c r="I162" s="128"/>
      <c r="J162" s="128"/>
      <c r="K162" s="126"/>
      <c r="L162" s="126"/>
      <c r="M162" s="126"/>
      <c r="N162" s="126"/>
      <c r="O162" s="126"/>
    </row>
    <row r="163" spans="6:15">
      <c r="F163" s="126"/>
      <c r="G163" s="130"/>
      <c r="H163" s="128"/>
      <c r="I163" s="128"/>
      <c r="J163" s="128"/>
      <c r="K163" s="126"/>
      <c r="L163" s="126"/>
      <c r="M163" s="126"/>
      <c r="N163" s="126"/>
      <c r="O163" s="126"/>
    </row>
    <row r="164" spans="6:15">
      <c r="F164" s="126"/>
      <c r="G164" s="130"/>
      <c r="H164" s="128"/>
      <c r="I164" s="128"/>
      <c r="J164" s="128"/>
      <c r="K164" s="126"/>
      <c r="L164" s="126"/>
      <c r="M164" s="126"/>
      <c r="N164" s="126"/>
      <c r="O164" s="126"/>
    </row>
    <row r="165" spans="6:15">
      <c r="F165" s="126"/>
      <c r="G165" s="130"/>
      <c r="H165" s="128"/>
      <c r="I165" s="128"/>
      <c r="J165" s="128"/>
      <c r="K165" s="126"/>
      <c r="L165" s="126"/>
      <c r="M165" s="126"/>
      <c r="N165" s="126"/>
      <c r="O165" s="126"/>
    </row>
    <row r="166" spans="6:15">
      <c r="F166" s="126"/>
      <c r="G166" s="130"/>
      <c r="H166" s="128"/>
      <c r="I166" s="128"/>
      <c r="J166" s="128"/>
      <c r="K166" s="126"/>
      <c r="L166" s="126"/>
      <c r="M166" s="126"/>
      <c r="N166" s="126"/>
      <c r="O166" s="126"/>
    </row>
    <row r="167" spans="6:15">
      <c r="F167" s="126"/>
      <c r="G167" s="130"/>
      <c r="H167" s="128"/>
      <c r="I167" s="128"/>
      <c r="J167" s="128"/>
      <c r="K167" s="126"/>
      <c r="L167" s="126"/>
      <c r="M167" s="126"/>
      <c r="N167" s="126"/>
      <c r="O167" s="126"/>
    </row>
    <row r="168" spans="6:15">
      <c r="F168" s="126"/>
      <c r="G168" s="130"/>
      <c r="H168" s="128"/>
      <c r="I168" s="128"/>
      <c r="J168" s="128"/>
      <c r="K168" s="126"/>
      <c r="L168" s="126"/>
      <c r="M168" s="126"/>
      <c r="N168" s="126"/>
      <c r="O168" s="126"/>
    </row>
    <row r="169" spans="6:15">
      <c r="F169" s="126"/>
      <c r="G169" s="130"/>
      <c r="H169" s="128"/>
      <c r="I169" s="128"/>
      <c r="J169" s="128"/>
      <c r="K169" s="126"/>
      <c r="L169" s="126"/>
      <c r="M169" s="126"/>
      <c r="N169" s="126"/>
      <c r="O169" s="126"/>
    </row>
    <row r="170" spans="6:15">
      <c r="F170" s="126"/>
      <c r="G170" s="130"/>
      <c r="H170" s="128"/>
      <c r="I170" s="128"/>
      <c r="J170" s="128"/>
      <c r="K170" s="126"/>
      <c r="L170" s="126"/>
      <c r="M170" s="126"/>
      <c r="N170" s="126"/>
      <c r="O170" s="126"/>
    </row>
    <row r="171" spans="6:15">
      <c r="F171" s="126"/>
      <c r="G171" s="130"/>
      <c r="H171" s="128"/>
      <c r="I171" s="128"/>
      <c r="J171" s="128"/>
      <c r="K171" s="126"/>
      <c r="L171" s="126"/>
      <c r="M171" s="126"/>
      <c r="N171" s="126"/>
      <c r="O171" s="126"/>
    </row>
    <row r="172" spans="6:15">
      <c r="F172" s="126"/>
      <c r="G172" s="130"/>
      <c r="H172" s="128"/>
      <c r="I172" s="128"/>
      <c r="J172" s="128"/>
      <c r="K172" s="126"/>
      <c r="L172" s="126"/>
      <c r="M172" s="126"/>
      <c r="N172" s="126"/>
      <c r="O172" s="126"/>
    </row>
    <row r="173" spans="6:15">
      <c r="F173" s="126"/>
      <c r="G173" s="130"/>
      <c r="H173" s="128"/>
      <c r="I173" s="128"/>
      <c r="J173" s="128"/>
      <c r="K173" s="126"/>
      <c r="L173" s="126"/>
      <c r="M173" s="126"/>
      <c r="N173" s="126"/>
      <c r="O173" s="126"/>
    </row>
    <row r="174" spans="6:15">
      <c r="F174" s="126"/>
      <c r="G174" s="130"/>
      <c r="H174" s="128"/>
      <c r="I174" s="128"/>
      <c r="J174" s="128"/>
      <c r="K174" s="126"/>
      <c r="L174" s="126"/>
      <c r="M174" s="126"/>
      <c r="N174" s="126"/>
      <c r="O174" s="126"/>
    </row>
    <row r="175" spans="6:15">
      <c r="F175" s="126"/>
      <c r="G175" s="130"/>
      <c r="H175" s="128"/>
      <c r="I175" s="128"/>
      <c r="J175" s="128"/>
      <c r="K175" s="126"/>
      <c r="L175" s="126"/>
      <c r="M175" s="126"/>
      <c r="N175" s="126"/>
      <c r="O175" s="126"/>
    </row>
    <row r="176" spans="6:15">
      <c r="F176" s="126"/>
      <c r="G176" s="130"/>
      <c r="H176" s="128"/>
      <c r="I176" s="128"/>
      <c r="J176" s="128"/>
      <c r="K176" s="126"/>
      <c r="L176" s="126"/>
      <c r="M176" s="126"/>
      <c r="N176" s="126"/>
      <c r="O176" s="126"/>
    </row>
    <row r="177" spans="2:15">
      <c r="F177" s="126"/>
      <c r="G177" s="130"/>
      <c r="H177" s="128"/>
      <c r="I177" s="128"/>
      <c r="J177" s="128"/>
      <c r="K177" s="126"/>
      <c r="L177" s="126"/>
      <c r="M177" s="126"/>
      <c r="N177" s="126"/>
      <c r="O177" s="126"/>
    </row>
    <row r="178" spans="2:15">
      <c r="F178" s="126"/>
      <c r="G178" s="130"/>
      <c r="H178" s="128"/>
      <c r="I178" s="128"/>
      <c r="J178" s="128"/>
      <c r="K178" s="126"/>
      <c r="L178" s="126"/>
      <c r="M178" s="126"/>
      <c r="N178" s="126"/>
      <c r="O178" s="126"/>
    </row>
    <row r="179" spans="2:15">
      <c r="F179" s="126"/>
      <c r="G179" s="130"/>
      <c r="H179" s="128"/>
      <c r="I179" s="128"/>
      <c r="J179" s="128"/>
      <c r="K179" s="126"/>
      <c r="L179" s="126"/>
      <c r="M179" s="126"/>
      <c r="N179" s="126"/>
      <c r="O179" s="126"/>
    </row>
    <row r="180" spans="2:15">
      <c r="F180" s="126"/>
      <c r="G180" s="130"/>
      <c r="H180" s="128"/>
      <c r="I180" s="128"/>
      <c r="J180" s="128"/>
      <c r="K180" s="126"/>
      <c r="L180" s="126"/>
      <c r="M180" s="126"/>
      <c r="N180" s="126"/>
      <c r="O180" s="126"/>
    </row>
    <row r="181" spans="2:15">
      <c r="F181" s="126"/>
      <c r="G181" s="130"/>
      <c r="H181" s="128"/>
      <c r="I181" s="128"/>
      <c r="J181" s="128"/>
      <c r="K181" s="126"/>
      <c r="L181" s="126"/>
      <c r="M181" s="126"/>
      <c r="N181" s="126"/>
      <c r="O181" s="126"/>
    </row>
    <row r="182" spans="2:15">
      <c r="F182" s="126"/>
      <c r="G182" s="130"/>
      <c r="H182" s="128"/>
      <c r="I182" s="128"/>
      <c r="J182" s="128"/>
      <c r="K182" s="126"/>
      <c r="L182" s="126"/>
      <c r="M182" s="126"/>
      <c r="N182" s="126"/>
      <c r="O182" s="126"/>
    </row>
    <row r="183" spans="2:15">
      <c r="F183" s="126"/>
      <c r="G183" s="130"/>
      <c r="H183" s="128"/>
      <c r="I183" s="128"/>
      <c r="J183" s="128"/>
      <c r="K183" s="126"/>
      <c r="L183" s="126"/>
      <c r="M183" s="126"/>
      <c r="N183" s="126"/>
      <c r="O183" s="126"/>
    </row>
    <row r="184" spans="2:15">
      <c r="F184" s="126"/>
      <c r="G184" s="130"/>
      <c r="H184" s="128"/>
      <c r="I184" s="128"/>
      <c r="J184" s="128"/>
      <c r="K184" s="126"/>
      <c r="L184" s="126"/>
      <c r="M184" s="126"/>
      <c r="N184" s="126"/>
      <c r="O184" s="126"/>
    </row>
    <row r="185" spans="2:15">
      <c r="F185" s="126"/>
      <c r="G185" s="130"/>
      <c r="H185" s="128"/>
      <c r="I185" s="128"/>
      <c r="J185" s="128"/>
      <c r="K185" s="126"/>
      <c r="L185" s="126"/>
      <c r="M185" s="126"/>
      <c r="N185" s="126"/>
      <c r="O185" s="126"/>
    </row>
    <row r="186" spans="2:15">
      <c r="F186" s="126"/>
      <c r="G186" s="130"/>
      <c r="H186" s="128"/>
      <c r="I186" s="128"/>
      <c r="J186" s="128"/>
      <c r="K186" s="126"/>
      <c r="L186" s="126"/>
      <c r="M186" s="126"/>
      <c r="N186" s="126"/>
      <c r="O186" s="126"/>
    </row>
    <row r="187" spans="2:15">
      <c r="F187" s="126"/>
      <c r="G187" s="130"/>
      <c r="H187" s="128"/>
      <c r="I187" s="128"/>
      <c r="J187" s="128"/>
      <c r="K187" s="126"/>
      <c r="L187" s="126"/>
      <c r="M187" s="126"/>
      <c r="N187" s="126"/>
      <c r="O187" s="126"/>
    </row>
    <row r="188" spans="2:15" ht="19.5" thickBot="1">
      <c r="B188" s="8" t="s">
        <v>238</v>
      </c>
      <c r="G188" s="12"/>
      <c r="H188" s="7" t="s">
        <v>26</v>
      </c>
    </row>
    <row r="189" spans="2:15" ht="19.5" thickBot="1">
      <c r="B189" s="8" t="s">
        <v>33</v>
      </c>
      <c r="C189" s="7" t="s">
        <v>26</v>
      </c>
      <c r="G189" s="12" t="s">
        <v>48</v>
      </c>
      <c r="H189" s="138">
        <v>75</v>
      </c>
    </row>
    <row r="190" spans="2:15">
      <c r="B190" s="12" t="s">
        <v>76</v>
      </c>
      <c r="C190" s="135">
        <v>4.75</v>
      </c>
      <c r="D190" s="11" t="s">
        <v>30</v>
      </c>
      <c r="G190" s="12"/>
      <c r="H190" s="7" t="s">
        <v>32</v>
      </c>
    </row>
    <row r="191" spans="2:15">
      <c r="B191" s="12" t="s">
        <v>71</v>
      </c>
      <c r="C191" s="136">
        <v>37.5</v>
      </c>
      <c r="D191" s="11" t="s">
        <v>30</v>
      </c>
      <c r="F191" s="11"/>
      <c r="G191" s="12" t="s">
        <v>49</v>
      </c>
      <c r="H191" s="19">
        <f>H189/2</f>
        <v>37.5</v>
      </c>
    </row>
    <row r="192" spans="2:15" ht="15.75" thickBot="1">
      <c r="B192" s="12" t="s">
        <v>69</v>
      </c>
      <c r="C192" s="133">
        <v>0.85</v>
      </c>
      <c r="D192" s="11"/>
      <c r="H192" s="7" t="s">
        <v>26</v>
      </c>
    </row>
    <row r="193" spans="2:11" ht="15.75" thickBot="1">
      <c r="B193" s="12" t="s">
        <v>28</v>
      </c>
      <c r="C193" s="137">
        <v>102</v>
      </c>
      <c r="D193" s="11" t="s">
        <v>29</v>
      </c>
      <c r="G193" s="12" t="s">
        <v>36</v>
      </c>
      <c r="H193" s="139">
        <v>10.266133480419192</v>
      </c>
      <c r="I193" s="18" t="s">
        <v>17</v>
      </c>
      <c r="J193" s="35">
        <f>H193*145.04</f>
        <v>1488.9999999999995</v>
      </c>
      <c r="K193" s="11" t="s">
        <v>34</v>
      </c>
    </row>
    <row r="194" spans="2:11" ht="15.75" thickBot="1">
      <c r="C194" s="7" t="s">
        <v>32</v>
      </c>
      <c r="G194" s="12" t="s">
        <v>37</v>
      </c>
      <c r="H194" s="140">
        <v>37.5</v>
      </c>
      <c r="I194" s="18" t="s">
        <v>17</v>
      </c>
      <c r="J194" s="30">
        <f>H194/25.4</f>
        <v>1.4763779527559056</v>
      </c>
      <c r="K194" s="11" t="s">
        <v>35</v>
      </c>
    </row>
    <row r="195" spans="2:11" ht="15.75" thickBot="1">
      <c r="B195" s="12" t="s">
        <v>74</v>
      </c>
      <c r="C195" s="9" t="s">
        <v>70</v>
      </c>
      <c r="D195" s="11"/>
    </row>
    <row r="196" spans="2:11" ht="15.75" thickBot="1">
      <c r="B196" s="12" t="s">
        <v>17</v>
      </c>
      <c r="C196" s="26">
        <f>2*C193*C192*C190 / (C191 - 0.4*C190)</f>
        <v>23.136235955056179</v>
      </c>
      <c r="D196" s="11" t="s">
        <v>31</v>
      </c>
      <c r="F196" s="71" t="str">
        <f>IF(C196&lt;C199,"P &lt; 0.385*S*E OK","P &gt; 0.385*S*E Not OK")</f>
        <v>P &lt; 0.385*S*E OK</v>
      </c>
      <c r="G196" s="72"/>
      <c r="H196" s="76"/>
      <c r="I196" s="74"/>
    </row>
    <row r="197" spans="2:11" ht="15.75" thickBot="1">
      <c r="B197" s="12" t="s">
        <v>75</v>
      </c>
      <c r="C197" s="9" t="s">
        <v>80</v>
      </c>
      <c r="G197"/>
      <c r="H197" s="6"/>
    </row>
    <row r="198" spans="2:11" ht="15.75" thickBot="1">
      <c r="B198" s="6" t="s">
        <v>17</v>
      </c>
      <c r="C198" s="26">
        <f>C193*C192*C190  / (C191 + 0.6*C190)</f>
        <v>10.206319702602229</v>
      </c>
      <c r="D198" s="11" t="s">
        <v>31</v>
      </c>
      <c r="F198" s="71" t="str">
        <f>IF(C198&lt;C199,"P &lt; 0.385*S*E OK","P &gt; 0.385*S*E Not OK")</f>
        <v>P &lt; 0.385*S*E OK</v>
      </c>
      <c r="G198" s="72"/>
      <c r="H198" s="76"/>
      <c r="I198" s="74"/>
    </row>
    <row r="199" spans="2:11">
      <c r="B199" s="12" t="s">
        <v>77</v>
      </c>
      <c r="C199" s="59">
        <f>0.385*C193*C192</f>
        <v>33.3795</v>
      </c>
      <c r="D199" s="11" t="s">
        <v>31</v>
      </c>
    </row>
    <row r="200" spans="2:11">
      <c r="B200" s="37" t="s">
        <v>239</v>
      </c>
    </row>
    <row r="202" spans="2:11" ht="19.5" thickBot="1">
      <c r="B202" s="8" t="s">
        <v>53</v>
      </c>
      <c r="C202" s="7" t="s">
        <v>26</v>
      </c>
    </row>
    <row r="203" spans="2:11">
      <c r="B203" s="12" t="s">
        <v>76</v>
      </c>
      <c r="C203" s="141">
        <v>0.187</v>
      </c>
      <c r="D203" s="11" t="s">
        <v>35</v>
      </c>
      <c r="K203" s="44"/>
    </row>
    <row r="204" spans="2:11">
      <c r="B204" s="12" t="s">
        <v>71</v>
      </c>
      <c r="C204" s="122">
        <v>1.4670000000000001</v>
      </c>
      <c r="D204" s="11" t="s">
        <v>35</v>
      </c>
      <c r="K204" s="44"/>
    </row>
    <row r="205" spans="2:11">
      <c r="B205" s="12" t="s">
        <v>69</v>
      </c>
      <c r="C205" s="133">
        <v>0.85</v>
      </c>
      <c r="D205" s="11"/>
      <c r="K205" s="43"/>
    </row>
    <row r="206" spans="2:11" ht="15.75" thickBot="1">
      <c r="B206" s="12" t="s">
        <v>28</v>
      </c>
      <c r="C206" s="124">
        <v>14794</v>
      </c>
      <c r="D206" s="11" t="s">
        <v>34</v>
      </c>
      <c r="K206" s="114"/>
    </row>
    <row r="207" spans="2:11">
      <c r="C207" s="7" t="s">
        <v>32</v>
      </c>
    </row>
    <row r="208" spans="2:11" ht="15.75" thickBot="1">
      <c r="B208" s="12" t="s">
        <v>74</v>
      </c>
      <c r="C208" s="9" t="s">
        <v>70</v>
      </c>
      <c r="D208" s="11"/>
    </row>
    <row r="209" spans="2:9" ht="15.75" thickBot="1">
      <c r="B209" s="12" t="s">
        <v>17</v>
      </c>
      <c r="C209" s="45">
        <f>2*C206*C205*C203 / (C204 - 0.4*C203)</f>
        <v>3378.115644303979</v>
      </c>
      <c r="D209" s="11" t="s">
        <v>34</v>
      </c>
      <c r="F209" s="71" t="str">
        <f>IF(C209&lt;C212,"P &lt; 0.385*S*E OK","P &gt; 0.385*S*E Not OK")</f>
        <v>P &lt; 0.385*S*E OK</v>
      </c>
      <c r="G209" s="72"/>
      <c r="H209" s="76"/>
      <c r="I209" s="74"/>
    </row>
    <row r="210" spans="2:9" ht="15.75" thickBot="1">
      <c r="B210" s="12" t="s">
        <v>75</v>
      </c>
      <c r="C210" s="9" t="s">
        <v>80</v>
      </c>
      <c r="G210"/>
      <c r="H210" s="6"/>
    </row>
    <row r="211" spans="2:9" ht="15.75" thickBot="1">
      <c r="B211" s="6" t="s">
        <v>17</v>
      </c>
      <c r="C211" s="45">
        <f>C206*C205*C203  / (C204 + 0.6*C203)</f>
        <v>1489.0490754812563</v>
      </c>
      <c r="D211" s="11" t="s">
        <v>34</v>
      </c>
      <c r="F211" s="71" t="str">
        <f>IF(C211&lt;C212,"P &lt; 0.385*S*E OK","P &gt; 0.385*S*E Not OK")</f>
        <v>P &lt; 0.385*S*E OK</v>
      </c>
      <c r="G211" s="72"/>
      <c r="H211" s="76"/>
      <c r="I211" s="74"/>
    </row>
    <row r="212" spans="2:9">
      <c r="B212" s="12" t="s">
        <v>77</v>
      </c>
      <c r="C212" s="77">
        <f>0.385*C206*C205</f>
        <v>4841.3365000000003</v>
      </c>
      <c r="D212" s="11" t="s">
        <v>34</v>
      </c>
    </row>
    <row r="213" spans="2:9">
      <c r="B213" s="37" t="s">
        <v>239</v>
      </c>
    </row>
    <row r="215" spans="2:9">
      <c r="B215" s="56"/>
      <c r="C215" s="57"/>
      <c r="D215" s="58"/>
    </row>
    <row r="230" spans="2:4">
      <c r="B230" s="56"/>
      <c r="C230" s="57"/>
      <c r="D230" s="58"/>
    </row>
    <row r="249" spans="2:4">
      <c r="B249" s="12"/>
      <c r="C249" s="9"/>
      <c r="D249" s="11"/>
    </row>
    <row r="250" spans="2:4">
      <c r="B250" s="53"/>
      <c r="C250" s="26"/>
      <c r="D250" s="11"/>
    </row>
    <row r="254" spans="2:4" ht="18.75">
      <c r="B254" s="47"/>
      <c r="C254" s="33"/>
      <c r="D254" s="49"/>
    </row>
    <row r="255" spans="2:4" ht="15.75">
      <c r="B255" s="62"/>
      <c r="C255" s="33"/>
      <c r="D255" s="49"/>
    </row>
    <row r="256" spans="2:4" ht="18.75">
      <c r="B256" s="47"/>
      <c r="C256" s="48"/>
      <c r="D256" s="51"/>
    </row>
    <row r="257" spans="2:4">
      <c r="B257" s="50"/>
      <c r="C257" s="44"/>
      <c r="D257" s="51"/>
    </row>
    <row r="258" spans="2:4">
      <c r="B258" s="32"/>
      <c r="C258" s="42"/>
      <c r="D258" s="51"/>
    </row>
    <row r="259" spans="2:4">
      <c r="B259" s="32"/>
      <c r="C259" s="43"/>
      <c r="D259" s="51"/>
    </row>
    <row r="260" spans="2:4">
      <c r="B260" s="32"/>
      <c r="C260" s="44"/>
      <c r="D260" s="51"/>
    </row>
    <row r="261" spans="2:4">
      <c r="B261" s="50"/>
      <c r="C261" s="42"/>
      <c r="D261" s="51"/>
    </row>
    <row r="262" spans="2:4">
      <c r="B262" s="32"/>
      <c r="C262" s="48"/>
      <c r="D262" s="51"/>
    </row>
    <row r="263" spans="2:4">
      <c r="B263" s="32"/>
      <c r="C263" s="54"/>
      <c r="D263" s="49"/>
    </row>
    <row r="264" spans="2:4">
      <c r="B264" s="32"/>
      <c r="C264" s="55"/>
      <c r="D264" s="51"/>
    </row>
    <row r="265" spans="2:4">
      <c r="B265" s="53"/>
      <c r="C265" s="43"/>
      <c r="D265" s="51"/>
    </row>
    <row r="266" spans="2:4">
      <c r="B266" s="52"/>
      <c r="C266" s="33"/>
      <c r="D266" s="49"/>
    </row>
    <row r="273" spans="2:11" ht="15.75">
      <c r="B273" s="41" t="s">
        <v>240</v>
      </c>
    </row>
    <row r="275" spans="2:11" ht="18.75">
      <c r="B275" s="8" t="s">
        <v>66</v>
      </c>
    </row>
    <row r="276" spans="2:11" ht="15.75">
      <c r="B276" s="31" t="s">
        <v>54</v>
      </c>
    </row>
    <row r="277" spans="2:11" ht="19.5" thickBot="1">
      <c r="B277" s="8" t="s">
        <v>33</v>
      </c>
      <c r="C277" s="7" t="s">
        <v>26</v>
      </c>
      <c r="G277" s="12"/>
      <c r="H277" s="7" t="s">
        <v>26</v>
      </c>
    </row>
    <row r="278" spans="2:11" ht="15.75" thickBot="1">
      <c r="B278" s="10" t="s">
        <v>55</v>
      </c>
      <c r="C278" s="135">
        <v>38</v>
      </c>
      <c r="D278" s="11" t="s">
        <v>30</v>
      </c>
      <c r="G278" s="12" t="s">
        <v>48</v>
      </c>
      <c r="H278" s="138">
        <v>2440</v>
      </c>
    </row>
    <row r="279" spans="2:11">
      <c r="B279" s="12" t="s">
        <v>47</v>
      </c>
      <c r="C279" s="136">
        <v>500</v>
      </c>
      <c r="D279" s="11" t="s">
        <v>30</v>
      </c>
      <c r="G279" s="12"/>
      <c r="H279" s="7" t="s">
        <v>32</v>
      </c>
    </row>
    <row r="280" spans="2:11">
      <c r="B280" s="12" t="s">
        <v>243</v>
      </c>
      <c r="C280" s="136">
        <v>1</v>
      </c>
      <c r="D280" s="11"/>
      <c r="G280" s="12" t="s">
        <v>49</v>
      </c>
      <c r="H280" s="19">
        <f>H278/2</f>
        <v>1220</v>
      </c>
    </row>
    <row r="281" spans="2:11" ht="15.75" thickBot="1">
      <c r="B281" s="12" t="s">
        <v>28</v>
      </c>
      <c r="C281" s="122">
        <v>115</v>
      </c>
      <c r="D281" s="11" t="s">
        <v>31</v>
      </c>
      <c r="H281" s="7" t="s">
        <v>26</v>
      </c>
      <c r="J281" s="7" t="s">
        <v>32</v>
      </c>
    </row>
    <row r="282" spans="2:11" ht="15.75" thickBot="1">
      <c r="B282" s="10" t="s">
        <v>63</v>
      </c>
      <c r="C282" s="136">
        <v>0</v>
      </c>
      <c r="D282" s="11" t="s">
        <v>30</v>
      </c>
      <c r="G282" s="12" t="s">
        <v>36</v>
      </c>
      <c r="H282" s="139">
        <v>11.8</v>
      </c>
      <c r="I282" s="18" t="s">
        <v>17</v>
      </c>
      <c r="J282" s="29">
        <f>H282*145.04</f>
        <v>1711.472</v>
      </c>
      <c r="K282" s="11" t="s">
        <v>34</v>
      </c>
    </row>
    <row r="283" spans="2:11" ht="15.75" thickBot="1">
      <c r="B283" s="10" t="s">
        <v>62</v>
      </c>
      <c r="C283" s="137">
        <v>0.4</v>
      </c>
      <c r="G283" s="12" t="s">
        <v>37</v>
      </c>
      <c r="H283" s="138">
        <v>850</v>
      </c>
      <c r="I283" s="18" t="s">
        <v>17</v>
      </c>
      <c r="J283" s="30">
        <f>H283/25.4</f>
        <v>33.464566929133859</v>
      </c>
      <c r="K283" s="11" t="s">
        <v>35</v>
      </c>
    </row>
    <row r="284" spans="2:11">
      <c r="B284" s="12"/>
      <c r="C284" s="7" t="s">
        <v>32</v>
      </c>
      <c r="D284" s="11"/>
    </row>
    <row r="285" spans="2:11">
      <c r="B285" s="12" t="s">
        <v>241</v>
      </c>
      <c r="C285" s="9" t="s">
        <v>61</v>
      </c>
    </row>
    <row r="286" spans="2:11">
      <c r="B286" s="12" t="s">
        <v>17</v>
      </c>
      <c r="C286" s="26">
        <f>C281*C280*(C278-C282)/((C279+(1-C283)*(C278-C282)))</f>
        <v>8.3588370313695499</v>
      </c>
      <c r="D286" s="11" t="s">
        <v>31</v>
      </c>
    </row>
    <row r="288" spans="2:11">
      <c r="B288" s="64" t="s">
        <v>64</v>
      </c>
      <c r="C288" s="37"/>
      <c r="D288" s="11"/>
    </row>
    <row r="289" spans="2:6">
      <c r="B289" s="37" t="s">
        <v>65</v>
      </c>
    </row>
    <row r="291" spans="2:6">
      <c r="B291" s="115"/>
      <c r="C291" s="116"/>
      <c r="D291" s="117"/>
    </row>
    <row r="292" spans="2:6">
      <c r="B292"/>
      <c r="C292" s="6"/>
      <c r="D292" s="5"/>
    </row>
    <row r="293" spans="2:6">
      <c r="B293"/>
      <c r="C293" s="6"/>
      <c r="D293" s="5"/>
    </row>
    <row r="294" spans="2:6">
      <c r="B294"/>
      <c r="C294" s="6"/>
      <c r="D294" s="5"/>
    </row>
    <row r="295" spans="2:6">
      <c r="B295"/>
      <c r="C295" s="6"/>
      <c r="D295" s="5"/>
    </row>
    <row r="296" spans="2:6">
      <c r="B296"/>
      <c r="C296" s="6"/>
      <c r="D296" s="5"/>
    </row>
    <row r="297" spans="2:6">
      <c r="B297"/>
      <c r="C297" s="6"/>
      <c r="D297" s="5"/>
    </row>
    <row r="298" spans="2:6">
      <c r="B298"/>
      <c r="C298" s="6"/>
      <c r="D298" s="5"/>
    </row>
    <row r="299" spans="2:6">
      <c r="B299"/>
      <c r="C299" s="6"/>
      <c r="D299" s="5"/>
    </row>
    <row r="300" spans="2:6">
      <c r="B300"/>
      <c r="C300" s="6"/>
      <c r="D300" s="5"/>
    </row>
    <row r="301" spans="2:6">
      <c r="B301"/>
      <c r="C301" s="6"/>
      <c r="D301" s="5"/>
    </row>
    <row r="302" spans="2:6">
      <c r="B302"/>
      <c r="C302" s="6"/>
      <c r="D302" s="5"/>
    </row>
    <row r="303" spans="2:6">
      <c r="B303"/>
      <c r="C303" s="6"/>
      <c r="D303" s="5"/>
      <c r="F303" s="6"/>
    </row>
    <row r="304" spans="2:6">
      <c r="B304"/>
      <c r="C304" s="6"/>
      <c r="D304" s="5"/>
      <c r="F304" s="6"/>
    </row>
    <row r="305" spans="2:11">
      <c r="B305"/>
      <c r="C305" s="6"/>
      <c r="D305" s="5"/>
      <c r="F305" s="6"/>
    </row>
    <row r="306" spans="2:11">
      <c r="B306"/>
      <c r="C306" s="6"/>
      <c r="D306" s="5"/>
      <c r="F306" s="6"/>
    </row>
    <row r="307" spans="2:11" ht="18.75">
      <c r="B307" s="8" t="s">
        <v>67</v>
      </c>
      <c r="D307" s="5"/>
      <c r="F307" s="6"/>
    </row>
    <row r="308" spans="2:11" ht="15.75">
      <c r="B308"/>
      <c r="C308" s="31"/>
      <c r="D308" s="5"/>
      <c r="F308" s="6"/>
    </row>
    <row r="309" spans="2:11" ht="19.5" thickBot="1">
      <c r="B309" s="8" t="s">
        <v>33</v>
      </c>
      <c r="C309" s="7" t="s">
        <v>26</v>
      </c>
      <c r="F309" s="6"/>
      <c r="G309" s="12"/>
      <c r="H309" s="7" t="s">
        <v>26</v>
      </c>
    </row>
    <row r="310" spans="2:11" ht="15.75" thickBot="1">
      <c r="B310" s="10" t="s">
        <v>55</v>
      </c>
      <c r="C310" s="135">
        <v>59.5</v>
      </c>
      <c r="D310" s="11" t="s">
        <v>30</v>
      </c>
      <c r="F310" s="6"/>
      <c r="G310" s="12" t="s">
        <v>48</v>
      </c>
      <c r="H310" s="138">
        <v>950</v>
      </c>
    </row>
    <row r="311" spans="2:11">
      <c r="B311" s="12" t="s">
        <v>47</v>
      </c>
      <c r="C311" s="136">
        <v>475</v>
      </c>
      <c r="D311" s="11" t="s">
        <v>30</v>
      </c>
      <c r="F311" s="6"/>
      <c r="G311" s="12"/>
      <c r="H311" s="7" t="s">
        <v>32</v>
      </c>
    </row>
    <row r="312" spans="2:11">
      <c r="B312" s="12" t="s">
        <v>243</v>
      </c>
      <c r="C312" s="123">
        <v>0.56000000000000005</v>
      </c>
      <c r="D312" s="11"/>
      <c r="F312" s="6"/>
      <c r="G312" s="12" t="s">
        <v>49</v>
      </c>
      <c r="H312" s="19">
        <f>H310/2</f>
        <v>475</v>
      </c>
    </row>
    <row r="313" spans="2:11" ht="15.75" thickBot="1">
      <c r="B313" s="12" t="s">
        <v>28</v>
      </c>
      <c r="C313" s="122">
        <v>115</v>
      </c>
      <c r="D313" s="11" t="s">
        <v>31</v>
      </c>
      <c r="F313" s="6"/>
      <c r="H313" s="7" t="s">
        <v>26</v>
      </c>
      <c r="J313" s="7" t="s">
        <v>32</v>
      </c>
    </row>
    <row r="314" spans="2:11" ht="15.75" thickBot="1">
      <c r="B314" s="10" t="s">
        <v>63</v>
      </c>
      <c r="C314" s="136">
        <v>0</v>
      </c>
      <c r="D314" s="11" t="s">
        <v>30</v>
      </c>
      <c r="F314" s="6"/>
      <c r="G314" s="12" t="s">
        <v>36</v>
      </c>
      <c r="H314" s="139">
        <v>7.5013789299503593</v>
      </c>
      <c r="I314" s="18" t="s">
        <v>17</v>
      </c>
      <c r="J314" s="35">
        <f>H314*145.04</f>
        <v>1088</v>
      </c>
      <c r="K314" s="11" t="s">
        <v>34</v>
      </c>
    </row>
    <row r="315" spans="2:11" ht="15.75" thickBot="1">
      <c r="B315" s="10" t="s">
        <v>62</v>
      </c>
      <c r="C315" s="137">
        <v>0.4</v>
      </c>
      <c r="F315" s="6"/>
      <c r="G315" s="12" t="s">
        <v>37</v>
      </c>
      <c r="H315" s="138">
        <v>475</v>
      </c>
      <c r="I315" s="18" t="s">
        <v>17</v>
      </c>
      <c r="J315" s="30">
        <f>H315/25.4</f>
        <v>18.700787401574804</v>
      </c>
      <c r="K315" s="11" t="s">
        <v>35</v>
      </c>
    </row>
    <row r="316" spans="2:11">
      <c r="B316" s="12"/>
      <c r="C316" s="7" t="s">
        <v>32</v>
      </c>
      <c r="D316" s="11"/>
    </row>
    <row r="317" spans="2:11">
      <c r="B317" s="12" t="s">
        <v>242</v>
      </c>
      <c r="C317" s="9" t="s">
        <v>61</v>
      </c>
    </row>
    <row r="318" spans="2:11">
      <c r="B318" s="12" t="s">
        <v>17</v>
      </c>
      <c r="C318" s="14">
        <f>C313*C312*(C310-C314)/((C311+(1-C315)*(C310-C314)))</f>
        <v>7.5030350499314675</v>
      </c>
      <c r="D318" s="11" t="s">
        <v>31</v>
      </c>
    </row>
    <row r="320" spans="2:11">
      <c r="B320" s="64" t="s">
        <v>64</v>
      </c>
      <c r="C320" s="37"/>
      <c r="D320" s="11"/>
    </row>
    <row r="321" spans="2:13">
      <c r="B321" s="37" t="s">
        <v>65</v>
      </c>
    </row>
    <row r="322" spans="2:13">
      <c r="B322"/>
      <c r="C322" s="6"/>
      <c r="D322" s="5"/>
    </row>
    <row r="323" spans="2:13">
      <c r="B323" s="58"/>
      <c r="C323" s="56"/>
      <c r="D323" s="57"/>
    </row>
    <row r="324" spans="2:13">
      <c r="B324"/>
      <c r="C324" s="6"/>
      <c r="D324" s="5"/>
    </row>
    <row r="325" spans="2:13" ht="18.75">
      <c r="B325" s="8" t="s">
        <v>260</v>
      </c>
    </row>
    <row r="326" spans="2:13" ht="15.75">
      <c r="B326" s="31" t="s">
        <v>54</v>
      </c>
    </row>
    <row r="327" spans="2:13" ht="19.5" thickBot="1">
      <c r="B327" s="8" t="s">
        <v>53</v>
      </c>
      <c r="C327" s="7" t="s">
        <v>26</v>
      </c>
    </row>
    <row r="328" spans="2:13">
      <c r="B328" s="10" t="s">
        <v>251</v>
      </c>
      <c r="C328" s="141">
        <v>1.5</v>
      </c>
      <c r="D328" s="11" t="s">
        <v>35</v>
      </c>
      <c r="L328" s="44"/>
      <c r="M328" s="44"/>
    </row>
    <row r="329" spans="2:13">
      <c r="B329" s="12" t="s">
        <v>249</v>
      </c>
      <c r="C329" s="122">
        <v>19.68</v>
      </c>
      <c r="D329" s="11" t="s">
        <v>35</v>
      </c>
      <c r="L329" s="44"/>
      <c r="M329" s="44"/>
    </row>
    <row r="330" spans="2:13">
      <c r="B330" s="12" t="s">
        <v>243</v>
      </c>
      <c r="C330" s="123">
        <v>1</v>
      </c>
      <c r="D330" s="11"/>
      <c r="L330" s="119"/>
      <c r="M330" s="119"/>
    </row>
    <row r="331" spans="2:13">
      <c r="B331" s="12" t="s">
        <v>28</v>
      </c>
      <c r="C331" s="142">
        <v>16600</v>
      </c>
      <c r="D331" s="11" t="s">
        <v>34</v>
      </c>
      <c r="L331" s="114"/>
      <c r="M331" s="114"/>
    </row>
    <row r="332" spans="2:13">
      <c r="B332" s="10" t="s">
        <v>63</v>
      </c>
      <c r="C332" s="122">
        <v>0</v>
      </c>
      <c r="D332" s="11" t="s">
        <v>35</v>
      </c>
      <c r="L332" s="44"/>
      <c r="M332" s="44"/>
    </row>
    <row r="333" spans="2:13" ht="15.75" thickBot="1">
      <c r="B333" s="10" t="s">
        <v>247</v>
      </c>
      <c r="C333" s="137">
        <v>0.4</v>
      </c>
      <c r="L333" s="43"/>
      <c r="M333" s="43"/>
    </row>
    <row r="334" spans="2:13">
      <c r="B334" s="12"/>
      <c r="C334" s="7" t="s">
        <v>32</v>
      </c>
      <c r="D334" s="11"/>
    </row>
    <row r="335" spans="2:13">
      <c r="B335" s="12" t="s">
        <v>241</v>
      </c>
      <c r="C335" s="9" t="s">
        <v>252</v>
      </c>
    </row>
    <row r="336" spans="2:13">
      <c r="B336" s="12" t="s">
        <v>17</v>
      </c>
      <c r="C336" s="45">
        <f>(C331*C330*(C328-C332))/((C329+(1-C333)*(C328-C332)))</f>
        <v>1209.9125364431488</v>
      </c>
      <c r="D336" s="11" t="s">
        <v>34</v>
      </c>
    </row>
    <row r="338" spans="2:12">
      <c r="B338" s="64" t="s">
        <v>64</v>
      </c>
      <c r="C338" s="37"/>
      <c r="D338" s="11"/>
    </row>
    <row r="339" spans="2:12">
      <c r="B339" s="37" t="s">
        <v>65</v>
      </c>
    </row>
    <row r="341" spans="2:12">
      <c r="B341" s="115"/>
      <c r="C341" s="116"/>
      <c r="D341" s="117"/>
    </row>
    <row r="342" spans="2:12">
      <c r="B342"/>
      <c r="C342" s="6"/>
      <c r="D342" s="5"/>
    </row>
    <row r="343" spans="2:12">
      <c r="B343"/>
      <c r="C343" s="6"/>
      <c r="D343" s="5"/>
    </row>
    <row r="344" spans="2:12">
      <c r="B344"/>
      <c r="C344" s="6"/>
      <c r="D344" s="5"/>
    </row>
    <row r="345" spans="2:12">
      <c r="B345"/>
      <c r="C345" s="6"/>
      <c r="D345" s="5"/>
    </row>
    <row r="346" spans="2:12">
      <c r="B346"/>
      <c r="C346" s="6"/>
      <c r="D346" s="5"/>
    </row>
    <row r="347" spans="2:12">
      <c r="B347"/>
      <c r="C347" s="6"/>
      <c r="D347" s="5"/>
    </row>
    <row r="348" spans="2:12">
      <c r="B348"/>
      <c r="C348" s="6"/>
      <c r="D348" s="5"/>
    </row>
    <row r="349" spans="2:12">
      <c r="B349"/>
      <c r="C349" s="6"/>
      <c r="D349" s="5"/>
    </row>
    <row r="350" spans="2:12" ht="15.75" thickBot="1">
      <c r="B350"/>
      <c r="C350" s="6"/>
      <c r="D350" s="5"/>
      <c r="G350" s="12"/>
      <c r="H350" s="7" t="s">
        <v>26</v>
      </c>
    </row>
    <row r="351" spans="2:12" ht="15.75" thickBot="1">
      <c r="B351"/>
      <c r="C351" s="6"/>
      <c r="D351" s="5"/>
      <c r="G351" s="12" t="s">
        <v>48</v>
      </c>
      <c r="H351" s="143">
        <v>37.400000000000006</v>
      </c>
      <c r="L351" s="24">
        <v>17.335115777994613</v>
      </c>
    </row>
    <row r="352" spans="2:12">
      <c r="B352"/>
      <c r="C352" s="6"/>
      <c r="D352" s="5"/>
      <c r="G352" s="12"/>
      <c r="H352" s="7" t="s">
        <v>32</v>
      </c>
      <c r="L352" s="40">
        <v>0.56000000000000005</v>
      </c>
    </row>
    <row r="353" spans="2:12">
      <c r="B353"/>
      <c r="C353" s="6"/>
      <c r="D353" s="5"/>
      <c r="G353" s="12" t="s">
        <v>49</v>
      </c>
      <c r="H353" s="98">
        <f>H351/2</f>
        <v>18.700000000000003</v>
      </c>
      <c r="L353" s="65">
        <v>16600</v>
      </c>
    </row>
    <row r="354" spans="2:12" ht="15.75" thickBot="1">
      <c r="B354"/>
      <c r="C354" s="6"/>
      <c r="D354" s="5"/>
      <c r="H354" s="7" t="s">
        <v>26</v>
      </c>
      <c r="J354" s="7" t="s">
        <v>32</v>
      </c>
      <c r="L354" s="25">
        <v>0</v>
      </c>
    </row>
    <row r="355" spans="2:12" ht="15.75" thickBot="1">
      <c r="B355"/>
      <c r="C355" s="6"/>
      <c r="D355" s="5"/>
      <c r="G355" s="12" t="s">
        <v>36</v>
      </c>
      <c r="H355" s="139">
        <v>7.5013789299503593</v>
      </c>
      <c r="I355" s="18" t="s">
        <v>17</v>
      </c>
      <c r="J355" s="35">
        <f>H355*145.04</f>
        <v>1088</v>
      </c>
      <c r="K355" s="11" t="s">
        <v>34</v>
      </c>
      <c r="L355" s="16">
        <v>0.4</v>
      </c>
    </row>
    <row r="356" spans="2:12" ht="15.75" thickBot="1">
      <c r="B356"/>
      <c r="C356" s="6"/>
      <c r="D356" s="5"/>
      <c r="G356" s="12" t="s">
        <v>37</v>
      </c>
      <c r="H356" s="138">
        <v>475</v>
      </c>
      <c r="I356" s="18" t="s">
        <v>17</v>
      </c>
      <c r="J356" s="30">
        <f>H356/25.4</f>
        <v>18.700787401574804</v>
      </c>
      <c r="K356" s="11" t="s">
        <v>35</v>
      </c>
      <c r="L356" s="43"/>
    </row>
    <row r="357" spans="2:12">
      <c r="D357" s="5"/>
    </row>
    <row r="358" spans="2:12" ht="18.75">
      <c r="B358" s="8" t="s">
        <v>67</v>
      </c>
      <c r="C358" s="31"/>
      <c r="D358" s="5"/>
    </row>
    <row r="359" spans="2:12" ht="19.5" thickBot="1">
      <c r="B359" s="8" t="s">
        <v>53</v>
      </c>
      <c r="C359" s="7" t="s">
        <v>26</v>
      </c>
    </row>
    <row r="360" spans="2:12" ht="15.75" thickBot="1">
      <c r="B360" s="12" t="s">
        <v>248</v>
      </c>
      <c r="C360" s="141">
        <v>18.84</v>
      </c>
      <c r="D360" s="11" t="s">
        <v>35</v>
      </c>
    </row>
    <row r="361" spans="2:12" ht="15.75" thickBot="1">
      <c r="B361" s="12" t="s">
        <v>243</v>
      </c>
      <c r="C361" s="123">
        <v>0.56000000000000005</v>
      </c>
      <c r="D361" s="71" t="str">
        <f>IF(C361&lt;2*0.3,"E &lt; 2*0.30 OK","E &gt; 2*0.30  Not OK")</f>
        <v>E &lt; 2*0.30 OK</v>
      </c>
      <c r="E361" s="72"/>
      <c r="F361" s="76"/>
      <c r="G361" s="74"/>
    </row>
    <row r="362" spans="2:12">
      <c r="B362" s="12" t="s">
        <v>28</v>
      </c>
      <c r="C362" s="142">
        <v>16600</v>
      </c>
      <c r="D362" s="11" t="s">
        <v>34</v>
      </c>
    </row>
    <row r="363" spans="2:12">
      <c r="B363" s="10" t="s">
        <v>63</v>
      </c>
      <c r="C363" s="122">
        <v>0</v>
      </c>
      <c r="D363" s="11" t="s">
        <v>35</v>
      </c>
    </row>
    <row r="364" spans="2:12" ht="15.75" thickBot="1">
      <c r="B364" s="10" t="s">
        <v>62</v>
      </c>
      <c r="C364" s="137">
        <v>0.4</v>
      </c>
    </row>
    <row r="365" spans="2:12">
      <c r="B365" s="12"/>
      <c r="C365" s="7" t="s">
        <v>32</v>
      </c>
      <c r="D365" s="11"/>
    </row>
    <row r="366" spans="2:12">
      <c r="B366" s="12" t="s">
        <v>259</v>
      </c>
      <c r="C366" s="44">
        <f>C329</f>
        <v>19.68</v>
      </c>
      <c r="D366" s="11" t="s">
        <v>35</v>
      </c>
    </row>
    <row r="367" spans="2:12">
      <c r="B367" s="10" t="s">
        <v>258</v>
      </c>
      <c r="C367" s="44">
        <f>C328</f>
        <v>1.5</v>
      </c>
      <c r="D367" s="11" t="s">
        <v>35</v>
      </c>
    </row>
    <row r="368" spans="2:12">
      <c r="B368" s="10" t="s">
        <v>250</v>
      </c>
      <c r="C368" s="37" t="s">
        <v>253</v>
      </c>
    </row>
    <row r="369" spans="2:4">
      <c r="B369" s="6" t="s">
        <v>17</v>
      </c>
      <c r="C369" s="90">
        <f>C366 + C367  - C360</f>
        <v>2.34</v>
      </c>
      <c r="D369" s="11" t="s">
        <v>35</v>
      </c>
    </row>
    <row r="370" spans="2:4">
      <c r="B370" s="12" t="s">
        <v>255</v>
      </c>
      <c r="C370" s="9" t="s">
        <v>254</v>
      </c>
    </row>
    <row r="371" spans="2:4">
      <c r="B371" s="12" t="s">
        <v>17</v>
      </c>
      <c r="C371" s="45">
        <f>C362*C361*(C369-C363)/((C360+(1-C364)*(C369-C363)))</f>
        <v>1074.5228215767634</v>
      </c>
      <c r="D371" s="11" t="s">
        <v>34</v>
      </c>
    </row>
    <row r="372" spans="2:4">
      <c r="B372" s="37" t="s">
        <v>256</v>
      </c>
      <c r="C372" s="9"/>
    </row>
    <row r="373" spans="2:4">
      <c r="B373" s="37" t="s">
        <v>257</v>
      </c>
      <c r="C373" s="37"/>
      <c r="D373" s="11"/>
    </row>
    <row r="375" spans="2:4">
      <c r="B375"/>
      <c r="C375" s="6"/>
      <c r="D375" s="5"/>
    </row>
    <row r="376" spans="2:4">
      <c r="B376" s="58"/>
      <c r="C376" s="56"/>
      <c r="D376" s="57"/>
    </row>
    <row r="377" spans="2:4">
      <c r="B377"/>
      <c r="C377" s="6"/>
      <c r="D377" s="5"/>
    </row>
    <row r="378" spans="2:4" ht="18.75">
      <c r="B378" s="8" t="s">
        <v>101</v>
      </c>
    </row>
    <row r="399" spans="2:8" ht="18.75">
      <c r="B399" s="8" t="s">
        <v>262</v>
      </c>
    </row>
    <row r="400" spans="2:8" ht="19.5" thickBot="1">
      <c r="B400" s="8" t="s">
        <v>33</v>
      </c>
      <c r="C400" s="7" t="s">
        <v>26</v>
      </c>
      <c r="D400" s="11"/>
      <c r="G400" s="12"/>
      <c r="H400" s="7" t="s">
        <v>26</v>
      </c>
    </row>
    <row r="401" spans="2:11" ht="15.75" thickBot="1">
      <c r="B401" s="10" t="s">
        <v>27</v>
      </c>
      <c r="C401" s="141">
        <v>0.69</v>
      </c>
      <c r="D401" s="11" t="s">
        <v>31</v>
      </c>
      <c r="G401" s="12" t="s">
        <v>48</v>
      </c>
      <c r="H401" s="138">
        <v>2440</v>
      </c>
    </row>
    <row r="402" spans="2:11">
      <c r="B402" s="12" t="s">
        <v>59</v>
      </c>
      <c r="C402" s="136">
        <v>1220</v>
      </c>
      <c r="D402" s="11" t="s">
        <v>30</v>
      </c>
      <c r="G402" s="12"/>
      <c r="H402" s="7" t="s">
        <v>32</v>
      </c>
    </row>
    <row r="403" spans="2:11">
      <c r="B403" s="12" t="s">
        <v>46</v>
      </c>
      <c r="C403" s="133">
        <v>0.85</v>
      </c>
      <c r="D403" s="11"/>
      <c r="G403" s="12" t="s">
        <v>49</v>
      </c>
      <c r="H403" s="19">
        <f>H401/2</f>
        <v>1220</v>
      </c>
    </row>
    <row r="404" spans="2:11" ht="15.75" thickBot="1">
      <c r="B404" s="12" t="s">
        <v>28</v>
      </c>
      <c r="C404" s="136">
        <v>138</v>
      </c>
      <c r="D404" s="11" t="s">
        <v>31</v>
      </c>
      <c r="H404" s="7" t="s">
        <v>26</v>
      </c>
      <c r="J404" s="7" t="s">
        <v>32</v>
      </c>
    </row>
    <row r="405" spans="2:11" ht="15.75" thickBot="1">
      <c r="B405" s="10" t="s">
        <v>60</v>
      </c>
      <c r="C405" s="144">
        <v>3</v>
      </c>
      <c r="D405" s="11" t="s">
        <v>30</v>
      </c>
      <c r="G405" s="12" t="s">
        <v>36</v>
      </c>
      <c r="H405" s="145">
        <v>0.69</v>
      </c>
      <c r="I405" s="18" t="s">
        <v>17</v>
      </c>
      <c r="J405" s="35">
        <f>H405*145.04</f>
        <v>100.07759999999999</v>
      </c>
      <c r="K405" s="11" t="s">
        <v>34</v>
      </c>
    </row>
    <row r="406" spans="2:11" ht="15.75" thickBot="1">
      <c r="B406" s="12"/>
      <c r="C406" s="7" t="s">
        <v>32</v>
      </c>
      <c r="D406" s="11"/>
      <c r="G406" s="12" t="s">
        <v>37</v>
      </c>
      <c r="H406" s="140">
        <v>6.59</v>
      </c>
      <c r="I406" s="18" t="s">
        <v>17</v>
      </c>
      <c r="J406" s="30">
        <f>H406/25.4</f>
        <v>0.25944881889763782</v>
      </c>
      <c r="K406" s="11" t="s">
        <v>35</v>
      </c>
    </row>
    <row r="407" spans="2:11" ht="15.75" thickBot="1">
      <c r="B407" s="12" t="s">
        <v>83</v>
      </c>
      <c r="C407" s="9" t="s">
        <v>81</v>
      </c>
    </row>
    <row r="408" spans="2:11" ht="15.75" thickBot="1">
      <c r="C408" s="26">
        <f>(C401*C402 / (2*C404*C403 - 0.2*C401)) + C405</f>
        <v>6.5903472630959392</v>
      </c>
      <c r="D408" s="11" t="s">
        <v>30</v>
      </c>
      <c r="F408" s="71" t="str">
        <f>IF(C408&gt;3.2,"t &gt; 3.2mm OK","t &lt; 3.2mm Not OK")</f>
        <v>t &gt; 3.2mm OK</v>
      </c>
      <c r="G408" s="72"/>
      <c r="H408" s="73"/>
    </row>
    <row r="409" spans="2:11" ht="15.75" thickBot="1">
      <c r="B409" s="12" t="s">
        <v>85</v>
      </c>
      <c r="C409" s="37">
        <f>0.356*C402</f>
        <v>434.32</v>
      </c>
      <c r="D409" s="69" t="s">
        <v>30</v>
      </c>
      <c r="F409" s="71" t="str">
        <f>IF(C408&lt;0.356*C402,"t &lt; 0.356*R OK","t &gt; 0.356*R OK NotOK")</f>
        <v>t &lt; 0.356*R OK</v>
      </c>
      <c r="G409" s="72"/>
      <c r="H409" s="73"/>
    </row>
    <row r="410" spans="2:11" ht="15.75" thickBot="1">
      <c r="B410" s="12" t="s">
        <v>86</v>
      </c>
      <c r="C410" s="59">
        <v>3.2</v>
      </c>
      <c r="D410" s="69" t="s">
        <v>30</v>
      </c>
      <c r="G410"/>
      <c r="H410" s="6"/>
    </row>
    <row r="411" spans="2:11" ht="15.75" thickBot="1">
      <c r="B411" s="12" t="s">
        <v>82</v>
      </c>
      <c r="C411" s="59">
        <f>0.665*C404*C403</f>
        <v>78.004500000000007</v>
      </c>
      <c r="D411" s="69" t="s">
        <v>31</v>
      </c>
      <c r="F411" s="71" t="str">
        <f>IF(C401&lt;0.665*C404*C403,"P &lt; 0.665*S*E OK","P &gt; 0.665*S*E Not OK")</f>
        <v>P &lt; 0.665*S*E OK</v>
      </c>
      <c r="G411" s="72"/>
      <c r="H411" s="76"/>
      <c r="I411" s="74"/>
    </row>
    <row r="412" spans="2:11">
      <c r="B412" s="37" t="s">
        <v>84</v>
      </c>
    </row>
    <row r="413" spans="2:11" ht="18.75">
      <c r="B413" s="8"/>
    </row>
    <row r="414" spans="2:11" ht="19.5" thickBot="1">
      <c r="B414" s="8" t="s">
        <v>53</v>
      </c>
    </row>
    <row r="415" spans="2:11">
      <c r="B415" s="10" t="s">
        <v>27</v>
      </c>
      <c r="C415" s="121">
        <v>1000</v>
      </c>
      <c r="D415" s="11" t="s">
        <v>34</v>
      </c>
    </row>
    <row r="416" spans="2:11">
      <c r="B416" s="12" t="s">
        <v>59</v>
      </c>
      <c r="C416" s="122">
        <v>19.68</v>
      </c>
      <c r="D416" s="11" t="s">
        <v>35</v>
      </c>
    </row>
    <row r="417" spans="1:14">
      <c r="B417" s="12" t="s">
        <v>46</v>
      </c>
      <c r="C417" s="123">
        <v>1</v>
      </c>
      <c r="D417" s="11"/>
    </row>
    <row r="418" spans="1:14">
      <c r="B418" s="12" t="s">
        <v>28</v>
      </c>
      <c r="C418" s="142">
        <v>16600</v>
      </c>
      <c r="D418" s="11" t="s">
        <v>34</v>
      </c>
    </row>
    <row r="419" spans="1:14" ht="15.75" thickBot="1">
      <c r="B419" s="10" t="s">
        <v>60</v>
      </c>
      <c r="C419" s="134">
        <v>0</v>
      </c>
      <c r="D419" s="11" t="s">
        <v>35</v>
      </c>
    </row>
    <row r="420" spans="1:14">
      <c r="B420" s="12"/>
      <c r="C420" s="7" t="s">
        <v>32</v>
      </c>
      <c r="D420" s="11"/>
    </row>
    <row r="421" spans="1:14" ht="15.75" thickBot="1">
      <c r="B421" s="12" t="s">
        <v>83</v>
      </c>
      <c r="C421" s="9" t="s">
        <v>81</v>
      </c>
    </row>
    <row r="422" spans="1:14" ht="15.75" thickBot="1">
      <c r="B422" s="6" t="s">
        <v>17</v>
      </c>
      <c r="C422" s="14">
        <f>(C415*C416 / (2*C418*C417 - 0.2*C415)) + C419</f>
        <v>0.59636363636363632</v>
      </c>
      <c r="D422" s="11" t="s">
        <v>35</v>
      </c>
      <c r="F422" s="71" t="str">
        <f>IF(C422&gt;3.2,"t &gt; 3.2mm OK","t &lt; 3.2mm Not OK")</f>
        <v>t &lt; 3.2mm Not OK</v>
      </c>
      <c r="G422" s="72"/>
      <c r="H422" s="73"/>
    </row>
    <row r="423" spans="1:14" ht="15.75" thickBot="1">
      <c r="B423" s="12" t="s">
        <v>85</v>
      </c>
      <c r="C423" s="90">
        <f>0.356*C416</f>
        <v>7.0060799999999999</v>
      </c>
      <c r="D423" s="69" t="s">
        <v>35</v>
      </c>
      <c r="F423" s="71" t="str">
        <f>IF(C422&lt;0.356*C416,"t &lt; 0.356*R OK","t &gt; 0.356*R OK NotOK")</f>
        <v>t &lt; 0.356*R OK</v>
      </c>
      <c r="G423" s="72"/>
      <c r="H423" s="73"/>
      <c r="L423" s="114"/>
    </row>
    <row r="424" spans="1:14" ht="15.75" thickBot="1">
      <c r="B424" s="12" t="s">
        <v>86</v>
      </c>
      <c r="C424" s="59">
        <v>3.2</v>
      </c>
      <c r="D424" s="69" t="s">
        <v>35</v>
      </c>
      <c r="G424"/>
      <c r="H424" s="6"/>
      <c r="L424" s="44"/>
    </row>
    <row r="425" spans="1:14" ht="15.75" thickBot="1">
      <c r="B425" s="12" t="s">
        <v>82</v>
      </c>
      <c r="C425" s="60">
        <f>0.665*C418*C417</f>
        <v>11039</v>
      </c>
      <c r="D425" s="69" t="s">
        <v>34</v>
      </c>
      <c r="F425" s="71" t="str">
        <f>IF(C415&lt;0.665*C418*C417,"P &lt; 0.665*S*E OK","P &gt; 0.665*S*E Not OK")</f>
        <v>P &lt; 0.665*S*E OK</v>
      </c>
      <c r="G425" s="72"/>
      <c r="H425" s="76"/>
      <c r="I425" s="74"/>
      <c r="L425" s="43"/>
    </row>
    <row r="426" spans="1:14">
      <c r="B426" s="37" t="s">
        <v>84</v>
      </c>
      <c r="L426" s="114"/>
    </row>
    <row r="427" spans="1:14">
      <c r="L427" s="44"/>
    </row>
    <row r="428" spans="1:14" ht="18.75">
      <c r="B428" s="89"/>
      <c r="C428" s="33"/>
      <c r="D428" s="49"/>
    </row>
    <row r="429" spans="1:14" ht="18.75">
      <c r="B429" s="8" t="s">
        <v>261</v>
      </c>
      <c r="G429" s="32"/>
      <c r="H429" s="48"/>
      <c r="I429" s="75"/>
      <c r="J429" s="75"/>
      <c r="K429" s="49"/>
    </row>
    <row r="430" spans="1:14">
      <c r="A430" s="184"/>
      <c r="B430" s="185" t="s">
        <v>293</v>
      </c>
      <c r="C430" s="181"/>
      <c r="D430" s="181"/>
      <c r="E430" s="181"/>
      <c r="F430" s="181"/>
      <c r="G430" s="182"/>
      <c r="H430" s="183"/>
      <c r="I430" s="184"/>
      <c r="J430" s="185"/>
      <c r="K430" s="184"/>
      <c r="L430" s="181"/>
      <c r="M430" s="181"/>
      <c r="N430" s="181"/>
    </row>
    <row r="431" spans="1:14" ht="19.5" thickBot="1">
      <c r="B431" s="8" t="s">
        <v>294</v>
      </c>
      <c r="C431" s="7" t="s">
        <v>26</v>
      </c>
      <c r="D431" s="11"/>
      <c r="H431" s="7" t="s">
        <v>26</v>
      </c>
      <c r="J431" s="7" t="s">
        <v>32</v>
      </c>
    </row>
    <row r="432" spans="1:14" ht="15.75" thickBot="1">
      <c r="B432" s="10" t="s">
        <v>87</v>
      </c>
      <c r="C432" s="141">
        <v>39.090000000000003</v>
      </c>
      <c r="D432" s="11" t="s">
        <v>30</v>
      </c>
      <c r="G432" s="12" t="s">
        <v>36</v>
      </c>
      <c r="H432" s="145">
        <v>2.5</v>
      </c>
      <c r="I432" s="18" t="s">
        <v>17</v>
      </c>
      <c r="J432" s="186">
        <f>H432*145.04</f>
        <v>362.59999999999997</v>
      </c>
      <c r="K432" s="11" t="s">
        <v>34</v>
      </c>
    </row>
    <row r="433" spans="2:11" ht="15.75" thickBot="1">
      <c r="B433" s="12" t="s">
        <v>59</v>
      </c>
      <c r="C433" s="136">
        <v>1220</v>
      </c>
      <c r="D433" s="11" t="s">
        <v>30</v>
      </c>
      <c r="G433" s="12" t="s">
        <v>37</v>
      </c>
      <c r="H433" s="140">
        <v>29.89</v>
      </c>
      <c r="I433" s="18" t="s">
        <v>17</v>
      </c>
      <c r="J433" s="187">
        <f>H433/25.4</f>
        <v>1.1767716535433073</v>
      </c>
      <c r="K433" s="11" t="s">
        <v>35</v>
      </c>
    </row>
    <row r="434" spans="2:11">
      <c r="B434" s="12" t="s">
        <v>46</v>
      </c>
      <c r="C434" s="133">
        <v>0.85</v>
      </c>
      <c r="D434" s="11"/>
    </row>
    <row r="435" spans="2:11" ht="15.75" thickBot="1">
      <c r="B435" s="12" t="s">
        <v>89</v>
      </c>
      <c r="C435" s="144">
        <v>138</v>
      </c>
      <c r="D435" s="11" t="s">
        <v>31</v>
      </c>
      <c r="G435" s="32"/>
      <c r="H435" s="92"/>
      <c r="I435" s="91"/>
    </row>
    <row r="436" spans="2:11">
      <c r="B436" s="12"/>
      <c r="C436" s="7" t="s">
        <v>32</v>
      </c>
      <c r="D436" s="11"/>
    </row>
    <row r="437" spans="2:11" ht="15.75" thickBot="1">
      <c r="B437" s="12" t="s">
        <v>88</v>
      </c>
      <c r="C437" s="9" t="s">
        <v>90</v>
      </c>
    </row>
    <row r="438" spans="2:11" ht="15.75" thickBot="1">
      <c r="B438" s="12" t="s">
        <v>17</v>
      </c>
      <c r="C438" s="14">
        <f>(2*C435*C434*C432 / (C433 + 0.2*C432))</f>
        <v>7.4689522388497327</v>
      </c>
      <c r="D438" s="11" t="s">
        <v>31</v>
      </c>
      <c r="F438" s="71" t="str">
        <f>IF(C438&gt;3.2,"t &gt; 3.2mm OK","t &lt; 3.2mm Not OK")</f>
        <v>t &gt; 3.2mm OK</v>
      </c>
      <c r="G438" s="72"/>
      <c r="H438" s="73"/>
    </row>
    <row r="439" spans="2:11" ht="15.75" thickBot="1">
      <c r="B439" s="12" t="s">
        <v>82</v>
      </c>
      <c r="C439" s="59">
        <f>0.665*C435*C434</f>
        <v>78.004500000000007</v>
      </c>
      <c r="D439" s="69" t="s">
        <v>31</v>
      </c>
      <c r="F439" s="71" t="str">
        <f>IF(C432&lt;0.665*C435*C434,"P &lt; 0.665*S*E OK","P &gt; 0.665*S*E Not OK")</f>
        <v>P &lt; 0.665*S*E OK</v>
      </c>
      <c r="G439" s="72"/>
      <c r="H439" s="76"/>
      <c r="I439" s="74"/>
    </row>
    <row r="440" spans="2:11" ht="15.75" thickBot="1">
      <c r="B440" s="12" t="s">
        <v>85</v>
      </c>
      <c r="C440" s="37">
        <f>0.356*C433</f>
        <v>434.32</v>
      </c>
      <c r="D440" s="69" t="s">
        <v>30</v>
      </c>
      <c r="F440" s="71" t="str">
        <f>IF(C438&lt;0.356*C433,"t &lt; 0.356*R OK","t &gt; 0.356*R OK NotOK")</f>
        <v>t &lt; 0.356*R OK</v>
      </c>
      <c r="G440" s="72"/>
      <c r="H440" s="73"/>
    </row>
    <row r="441" spans="2:11">
      <c r="B441" s="12" t="s">
        <v>86</v>
      </c>
      <c r="C441" s="59">
        <v>3.2</v>
      </c>
      <c r="D441" s="69" t="s">
        <v>30</v>
      </c>
    </row>
    <row r="442" spans="2:11">
      <c r="B442" s="37" t="s">
        <v>84</v>
      </c>
    </row>
    <row r="443" spans="2:11">
      <c r="B443" s="32"/>
      <c r="C443" s="42"/>
      <c r="D443" s="51"/>
      <c r="G443" s="12"/>
      <c r="H443" s="7"/>
    </row>
    <row r="444" spans="2:11">
      <c r="B444" s="56"/>
      <c r="C444" s="57"/>
      <c r="D444" s="58"/>
    </row>
    <row r="465" spans="2:12" ht="18.75">
      <c r="B465" s="66" t="s">
        <v>102</v>
      </c>
    </row>
    <row r="466" spans="2:12" ht="18.75">
      <c r="B466" s="8" t="s">
        <v>53</v>
      </c>
      <c r="H466" s="7"/>
    </row>
    <row r="467" spans="2:12" ht="16.5" thickBot="1">
      <c r="B467" s="93" t="s">
        <v>102</v>
      </c>
      <c r="C467" s="7" t="s">
        <v>26</v>
      </c>
    </row>
    <row r="468" spans="2:12" ht="15.75" thickBot="1">
      <c r="B468" s="12" t="s">
        <v>104</v>
      </c>
      <c r="C468" s="146">
        <v>39.36</v>
      </c>
      <c r="D468" s="11" t="s">
        <v>35</v>
      </c>
    </row>
    <row r="469" spans="2:12">
      <c r="C469" s="7" t="s">
        <v>32</v>
      </c>
      <c r="D469" s="11"/>
    </row>
    <row r="470" spans="2:12">
      <c r="B470" s="12" t="s">
        <v>263</v>
      </c>
      <c r="C470" s="37" t="s">
        <v>100</v>
      </c>
      <c r="D470" s="11"/>
    </row>
    <row r="471" spans="2:12">
      <c r="B471" s="12" t="s">
        <v>17</v>
      </c>
      <c r="C471" s="90">
        <f>C468/4</f>
        <v>9.84</v>
      </c>
      <c r="D471" s="11" t="s">
        <v>35</v>
      </c>
    </row>
    <row r="473" spans="2:12" ht="15.75" thickBot="1">
      <c r="C473" s="7" t="s">
        <v>26</v>
      </c>
      <c r="D473" s="11"/>
    </row>
    <row r="474" spans="2:12" ht="15.75" thickBot="1">
      <c r="B474" s="10" t="s">
        <v>27</v>
      </c>
      <c r="C474" s="147">
        <v>1210</v>
      </c>
      <c r="D474" s="11" t="s">
        <v>34</v>
      </c>
      <c r="G474" s="12"/>
      <c r="H474" s="7" t="s">
        <v>26</v>
      </c>
      <c r="L474" s="39">
        <v>200</v>
      </c>
    </row>
    <row r="475" spans="2:12" ht="15.75" thickBot="1">
      <c r="B475" s="12" t="s">
        <v>95</v>
      </c>
      <c r="C475" s="122">
        <v>39.36</v>
      </c>
      <c r="D475" s="11" t="s">
        <v>35</v>
      </c>
      <c r="G475" s="12" t="s">
        <v>48</v>
      </c>
      <c r="H475" s="30">
        <v>39.36</v>
      </c>
      <c r="L475" s="25">
        <v>12</v>
      </c>
    </row>
    <row r="476" spans="2:12">
      <c r="B476" s="12" t="s">
        <v>91</v>
      </c>
      <c r="C476" s="122">
        <v>9.84</v>
      </c>
      <c r="D476" s="11" t="s">
        <v>35</v>
      </c>
      <c r="G476" s="12"/>
      <c r="H476" s="7" t="s">
        <v>32</v>
      </c>
      <c r="L476" s="15">
        <v>3</v>
      </c>
    </row>
    <row r="477" spans="2:12">
      <c r="B477" s="12" t="s">
        <v>46</v>
      </c>
      <c r="C477" s="123">
        <v>1</v>
      </c>
      <c r="D477" s="11"/>
      <c r="G477" s="12" t="s">
        <v>49</v>
      </c>
      <c r="H477" s="98">
        <f>H475/2</f>
        <v>19.68</v>
      </c>
      <c r="L477" s="40">
        <v>0.85</v>
      </c>
    </row>
    <row r="478" spans="2:12" ht="15.75" thickBot="1">
      <c r="B478" s="12" t="s">
        <v>28</v>
      </c>
      <c r="C478" s="142">
        <v>16600</v>
      </c>
      <c r="D478" s="11" t="s">
        <v>34</v>
      </c>
      <c r="H478" s="7" t="s">
        <v>26</v>
      </c>
      <c r="J478" s="7" t="s">
        <v>32</v>
      </c>
      <c r="L478" s="65">
        <v>17100</v>
      </c>
    </row>
    <row r="479" spans="2:12" ht="15.75" thickBot="1">
      <c r="B479" s="10" t="s">
        <v>60</v>
      </c>
      <c r="C479" s="134">
        <v>0</v>
      </c>
      <c r="D479" s="11" t="s">
        <v>35</v>
      </c>
      <c r="G479" s="12" t="s">
        <v>36</v>
      </c>
      <c r="H479" s="67">
        <v>1.3789299503585148</v>
      </c>
      <c r="I479" s="18" t="s">
        <v>17</v>
      </c>
      <c r="J479" s="35">
        <f>H479*145.04</f>
        <v>199.99999999999898</v>
      </c>
      <c r="K479" s="11" t="s">
        <v>34</v>
      </c>
      <c r="L479" s="46">
        <v>0</v>
      </c>
    </row>
    <row r="480" spans="2:12" ht="15.75" thickBot="1">
      <c r="B480" s="12"/>
      <c r="C480" s="7" t="s">
        <v>32</v>
      </c>
      <c r="D480" s="11"/>
      <c r="G480" s="12" t="s">
        <v>37</v>
      </c>
      <c r="H480" s="34">
        <v>2.9464000000000001</v>
      </c>
      <c r="I480" s="18" t="s">
        <v>17</v>
      </c>
      <c r="J480" s="30">
        <f>H480/25.4</f>
        <v>0.11600000000000001</v>
      </c>
      <c r="K480" s="11" t="s">
        <v>35</v>
      </c>
    </row>
    <row r="481" spans="2:10" ht="15.75" thickBot="1">
      <c r="B481" s="12" t="s">
        <v>125</v>
      </c>
      <c r="C481" s="37" t="s">
        <v>93</v>
      </c>
    </row>
    <row r="482" spans="2:10" ht="15.75" thickBot="1">
      <c r="B482" s="12" t="s">
        <v>17</v>
      </c>
      <c r="C482" s="90">
        <f>(1 / 6)*(2 + (C475 / (2*C476))^2)</f>
        <v>1</v>
      </c>
      <c r="D482" s="71" t="str">
        <f>IF(C482 &gt; 1,"S = 20,000 psi reduced for temperature.","S value is OK")</f>
        <v>S value is OK</v>
      </c>
      <c r="E482" s="72"/>
      <c r="F482" s="76"/>
      <c r="G482" s="96"/>
      <c r="H482" s="96"/>
      <c r="I482" s="96"/>
      <c r="J482" s="74"/>
    </row>
    <row r="483" spans="2:10">
      <c r="B483" s="12" t="s">
        <v>105</v>
      </c>
      <c r="C483" s="9" t="s">
        <v>106</v>
      </c>
    </row>
    <row r="484" spans="2:10">
      <c r="B484" s="12" t="s">
        <v>17</v>
      </c>
      <c r="C484" s="14">
        <f>(C474*C475*C482 / (2*C478*C477 - 0.2*C474) ) + C479</f>
        <v>1.4450391407245584</v>
      </c>
      <c r="D484" s="11" t="s">
        <v>35</v>
      </c>
    </row>
    <row r="485" spans="2:10">
      <c r="B485" s="12"/>
      <c r="C485" s="59"/>
      <c r="D485" s="69"/>
    </row>
    <row r="493" spans="2:10">
      <c r="B493" s="56"/>
      <c r="C493" s="57"/>
      <c r="D493" s="58"/>
    </row>
    <row r="495" spans="2:10" ht="18.75">
      <c r="B495" s="66" t="s">
        <v>94</v>
      </c>
    </row>
    <row r="496" spans="2:10">
      <c r="H496" s="7"/>
    </row>
    <row r="497" spans="7:7">
      <c r="G497"/>
    </row>
    <row r="513" spans="2:11" ht="18.75">
      <c r="B513" s="8" t="s">
        <v>53</v>
      </c>
    </row>
    <row r="514" spans="2:11" ht="16.5" thickBot="1">
      <c r="B514" s="95" t="s">
        <v>94</v>
      </c>
      <c r="C514" s="7" t="s">
        <v>26</v>
      </c>
      <c r="G514" s="12"/>
      <c r="H514" s="7" t="s">
        <v>26</v>
      </c>
    </row>
    <row r="515" spans="2:11" ht="15.75" thickBot="1">
      <c r="B515" s="12" t="s">
        <v>121</v>
      </c>
      <c r="C515" s="146">
        <v>18</v>
      </c>
      <c r="D515" s="11" t="s">
        <v>35</v>
      </c>
      <c r="G515" s="12" t="s">
        <v>48</v>
      </c>
      <c r="H515" s="138">
        <v>36</v>
      </c>
    </row>
    <row r="516" spans="2:11">
      <c r="C516" s="7" t="s">
        <v>32</v>
      </c>
      <c r="D516" s="11"/>
      <c r="G516" s="12"/>
      <c r="H516" s="7" t="s">
        <v>32</v>
      </c>
    </row>
    <row r="517" spans="2:11">
      <c r="B517" s="12" t="s">
        <v>91</v>
      </c>
      <c r="C517" s="37" t="s">
        <v>92</v>
      </c>
      <c r="D517" s="11"/>
      <c r="G517" s="12" t="s">
        <v>49</v>
      </c>
      <c r="H517" s="19">
        <f>H515/2</f>
        <v>18</v>
      </c>
    </row>
    <row r="518" spans="2:11" ht="15.75" thickBot="1">
      <c r="B518" s="12" t="s">
        <v>17</v>
      </c>
      <c r="C518" s="37">
        <f>C515/4</f>
        <v>4.5</v>
      </c>
      <c r="D518" s="11" t="s">
        <v>35</v>
      </c>
      <c r="H518" s="7" t="s">
        <v>26</v>
      </c>
      <c r="J518" s="7" t="s">
        <v>32</v>
      </c>
    </row>
    <row r="519" spans="2:11" ht="15.75" thickBot="1">
      <c r="G519" s="12" t="s">
        <v>36</v>
      </c>
      <c r="H519" s="145">
        <v>1.3789299503585148</v>
      </c>
      <c r="I519" s="18" t="s">
        <v>17</v>
      </c>
      <c r="J519" s="35">
        <f>H519*145.04</f>
        <v>199.99999999999898</v>
      </c>
      <c r="K519" s="11" t="s">
        <v>34</v>
      </c>
    </row>
    <row r="520" spans="2:11" ht="15.75" thickBot="1">
      <c r="C520" s="7" t="s">
        <v>26</v>
      </c>
      <c r="D520" s="11"/>
      <c r="G520" s="12" t="s">
        <v>37</v>
      </c>
      <c r="H520" s="140">
        <v>2.9464000000000001</v>
      </c>
      <c r="I520" s="18" t="s">
        <v>17</v>
      </c>
      <c r="J520" s="30">
        <f>H520/25.4</f>
        <v>0.11600000000000001</v>
      </c>
      <c r="K520" s="11" t="s">
        <v>35</v>
      </c>
    </row>
    <row r="521" spans="2:11">
      <c r="B521" s="10" t="s">
        <v>27</v>
      </c>
      <c r="C521" s="147">
        <v>1200</v>
      </c>
      <c r="D521" s="11" t="s">
        <v>34</v>
      </c>
    </row>
    <row r="522" spans="2:11">
      <c r="B522" s="12" t="s">
        <v>121</v>
      </c>
      <c r="C522" s="122">
        <v>18</v>
      </c>
      <c r="D522" s="11" t="s">
        <v>35</v>
      </c>
    </row>
    <row r="523" spans="2:11">
      <c r="B523" s="12" t="s">
        <v>91</v>
      </c>
      <c r="C523" s="133">
        <v>4.5</v>
      </c>
      <c r="D523" s="11" t="s">
        <v>35</v>
      </c>
    </row>
    <row r="524" spans="2:11">
      <c r="B524" s="12" t="s">
        <v>98</v>
      </c>
      <c r="C524" s="122">
        <v>13.968988956758722</v>
      </c>
      <c r="D524" s="11" t="s">
        <v>35</v>
      </c>
    </row>
    <row r="525" spans="2:11">
      <c r="B525" s="12" t="s">
        <v>99</v>
      </c>
      <c r="C525" s="122">
        <v>3</v>
      </c>
      <c r="D525" s="11" t="s">
        <v>35</v>
      </c>
    </row>
    <row r="526" spans="2:11">
      <c r="B526" s="12" t="s">
        <v>46</v>
      </c>
      <c r="C526" s="123">
        <v>0.85</v>
      </c>
      <c r="D526" s="11"/>
    </row>
    <row r="527" spans="2:11">
      <c r="B527" s="12" t="s">
        <v>28</v>
      </c>
      <c r="C527" s="142">
        <v>20000</v>
      </c>
      <c r="D527" s="11" t="s">
        <v>34</v>
      </c>
    </row>
    <row r="528" spans="2:11" ht="15.75" thickBot="1">
      <c r="B528" s="10" t="s">
        <v>60</v>
      </c>
      <c r="C528" s="134">
        <v>0.01</v>
      </c>
      <c r="D528" s="11" t="s">
        <v>35</v>
      </c>
    </row>
    <row r="529" spans="2:7" ht="15.75" thickBot="1">
      <c r="B529" s="12"/>
      <c r="C529" s="7" t="s">
        <v>32</v>
      </c>
      <c r="D529" s="11"/>
    </row>
    <row r="530" spans="2:7" ht="15.75" thickBot="1">
      <c r="B530" s="12" t="s">
        <v>103</v>
      </c>
      <c r="C530" s="90">
        <f>C524/C525</f>
        <v>4.6563296522529072</v>
      </c>
      <c r="D530" s="71" t="str">
        <f>IF(C530&lt;6.35,"L/r &lt; 6.350 OK","L/r &gt; 6.350 Not OK")</f>
        <v>L/r &lt; 6.350 OK</v>
      </c>
      <c r="E530" s="72"/>
      <c r="F530" s="76"/>
      <c r="G530" s="74"/>
    </row>
    <row r="531" spans="2:7">
      <c r="B531" s="12" t="s">
        <v>96</v>
      </c>
      <c r="C531" s="37" t="s">
        <v>97</v>
      </c>
    </row>
    <row r="532" spans="2:7">
      <c r="B532" s="12" t="s">
        <v>17</v>
      </c>
      <c r="C532" s="94">
        <f>(1/4)*(3 + (C530)^(1/2))</f>
        <v>1.2894632547873921</v>
      </c>
    </row>
    <row r="533" spans="2:7">
      <c r="B533" s="12" t="s">
        <v>122</v>
      </c>
      <c r="C533" s="9" t="s">
        <v>107</v>
      </c>
    </row>
    <row r="534" spans="2:7">
      <c r="B534" s="12" t="s">
        <v>17</v>
      </c>
      <c r="C534" s="14">
        <f>(C521*C524*C532/ (2*C527*C526 - 0.2*C521) ) + C528</f>
        <v>0.65025466704755597</v>
      </c>
      <c r="D534" s="11" t="s">
        <v>35</v>
      </c>
    </row>
    <row r="535" spans="2:7">
      <c r="B535" s="12"/>
      <c r="C535" s="90"/>
    </row>
    <row r="536" spans="2:7">
      <c r="B536" s="56"/>
      <c r="C536" s="57"/>
      <c r="D536" s="58"/>
    </row>
    <row r="538" spans="2:7" ht="18.75">
      <c r="B538" s="66" t="s">
        <v>108</v>
      </c>
    </row>
    <row r="556" spans="2:14" ht="19.5" thickBot="1">
      <c r="B556" s="8" t="s">
        <v>53</v>
      </c>
      <c r="C556" s="7" t="s">
        <v>26</v>
      </c>
      <c r="D556" s="11"/>
    </row>
    <row r="557" spans="2:14">
      <c r="B557" s="10" t="s">
        <v>27</v>
      </c>
      <c r="C557" s="147">
        <v>1000</v>
      </c>
      <c r="D557" s="11" t="s">
        <v>34</v>
      </c>
      <c r="L557" s="49"/>
      <c r="M557" s="49"/>
      <c r="N557" s="49"/>
    </row>
    <row r="558" spans="2:14">
      <c r="B558" s="12" t="s">
        <v>123</v>
      </c>
      <c r="C558" s="122">
        <v>18</v>
      </c>
      <c r="D558" s="11" t="s">
        <v>35</v>
      </c>
      <c r="L558" s="50"/>
      <c r="M558" s="44"/>
      <c r="N558" s="51"/>
    </row>
    <row r="559" spans="2:14">
      <c r="B559" s="12" t="s">
        <v>110</v>
      </c>
      <c r="C559" s="133">
        <v>30</v>
      </c>
      <c r="D559" s="11" t="s">
        <v>111</v>
      </c>
      <c r="L559" s="32"/>
      <c r="M559" s="44"/>
      <c r="N559" s="51"/>
    </row>
    <row r="560" spans="2:14">
      <c r="B560" s="12" t="s">
        <v>46</v>
      </c>
      <c r="C560" s="123">
        <v>0.85</v>
      </c>
      <c r="D560" s="11"/>
      <c r="L560" s="32"/>
      <c r="M560" s="119"/>
      <c r="N560" s="51"/>
    </row>
    <row r="561" spans="2:14">
      <c r="B561" s="12" t="s">
        <v>28</v>
      </c>
      <c r="C561" s="142">
        <v>20000</v>
      </c>
      <c r="D561" s="11" t="s">
        <v>34</v>
      </c>
      <c r="L561" s="32"/>
      <c r="M561" s="114"/>
      <c r="N561" s="51"/>
    </row>
    <row r="562" spans="2:14" ht="15.75" thickBot="1">
      <c r="B562" s="10" t="s">
        <v>60</v>
      </c>
      <c r="C562" s="134">
        <v>0.01</v>
      </c>
      <c r="D562" s="11" t="s">
        <v>35</v>
      </c>
      <c r="L562" s="50"/>
      <c r="M562" s="44"/>
      <c r="N562" s="51"/>
    </row>
    <row r="563" spans="2:14">
      <c r="B563" s="12"/>
      <c r="C563" s="7" t="s">
        <v>32</v>
      </c>
      <c r="D563" s="11"/>
      <c r="L563" s="50"/>
      <c r="M563" s="43"/>
      <c r="N563" s="49"/>
    </row>
    <row r="564" spans="2:14">
      <c r="B564" s="12" t="s">
        <v>115</v>
      </c>
      <c r="C564" s="37" t="s">
        <v>116</v>
      </c>
      <c r="L564" s="32"/>
      <c r="M564" s="33"/>
      <c r="N564" s="51"/>
    </row>
    <row r="565" spans="2:14">
      <c r="B565" s="12" t="s">
        <v>17</v>
      </c>
      <c r="C565" s="37">
        <f>C558/2</f>
        <v>9</v>
      </c>
      <c r="L565" s="49"/>
      <c r="M565" s="49"/>
      <c r="N565" s="49"/>
    </row>
    <row r="566" spans="2:14">
      <c r="B566" s="12" t="s">
        <v>109</v>
      </c>
      <c r="C566" s="37">
        <f>C559</f>
        <v>30</v>
      </c>
      <c r="L566" s="113"/>
      <c r="M566" s="49"/>
      <c r="N566" s="49"/>
    </row>
    <row r="567" spans="2:14">
      <c r="B567" s="12" t="s">
        <v>112</v>
      </c>
      <c r="C567" s="37" t="s">
        <v>113</v>
      </c>
      <c r="L567" s="44"/>
      <c r="M567" s="49"/>
      <c r="N567" s="49"/>
    </row>
    <row r="568" spans="2:14">
      <c r="B568" s="12" t="s">
        <v>17</v>
      </c>
      <c r="C568" s="37">
        <f>C565/SIN(C559/57.3)</f>
        <v>18.001202468027387</v>
      </c>
      <c r="L568" s="43"/>
      <c r="M568" s="49"/>
      <c r="N568" s="49"/>
    </row>
    <row r="569" spans="2:14">
      <c r="B569" s="12" t="s">
        <v>117</v>
      </c>
      <c r="C569" s="37" t="s">
        <v>118</v>
      </c>
      <c r="L569" s="119"/>
      <c r="M569" s="49"/>
      <c r="N569" s="49"/>
    </row>
    <row r="570" spans="2:14">
      <c r="B570" s="12" t="s">
        <v>17</v>
      </c>
      <c r="C570" s="90">
        <f>C565*SIN(C559/57.3)</f>
        <v>4.4996994030741639</v>
      </c>
      <c r="L570" s="114"/>
      <c r="M570" s="49"/>
      <c r="N570" s="49"/>
    </row>
    <row r="571" spans="2:14">
      <c r="B571" s="12" t="s">
        <v>119</v>
      </c>
      <c r="C571" s="37" t="s">
        <v>120</v>
      </c>
      <c r="L571" s="44"/>
      <c r="M571" s="49"/>
      <c r="N571" s="49"/>
    </row>
    <row r="572" spans="2:14">
      <c r="B572" s="12" t="s">
        <v>17</v>
      </c>
      <c r="C572" s="90">
        <f>C568 - C570</f>
        <v>13.501503064953223</v>
      </c>
    </row>
    <row r="573" spans="2:14">
      <c r="B573" s="12" t="s">
        <v>124</v>
      </c>
      <c r="C573" s="9" t="s">
        <v>114</v>
      </c>
    </row>
    <row r="574" spans="2:14">
      <c r="B574" s="12" t="s">
        <v>17</v>
      </c>
      <c r="C574" s="14">
        <f>(C557*C558/(2*COS(C559/57.3)*(C561*C560-0.6*C557)))+C562</f>
        <v>0.64366301592978037</v>
      </c>
      <c r="D574" s="11" t="s">
        <v>35</v>
      </c>
    </row>
    <row r="576" spans="2:14">
      <c r="B576" s="56"/>
      <c r="C576" s="57"/>
      <c r="D576" s="58"/>
    </row>
    <row r="578" spans="2:2" ht="15.75">
      <c r="B578" s="41" t="s">
        <v>208</v>
      </c>
    </row>
    <row r="613" spans="2:4">
      <c r="B613" s="56"/>
      <c r="C613" s="57"/>
      <c r="D613" s="58"/>
    </row>
    <row r="615" spans="2:4" ht="15.75">
      <c r="B615" s="41" t="s">
        <v>68</v>
      </c>
    </row>
  </sheetData>
  <sheetProtection sheet="1" objects="1" scenarios="1" formatCells="0" selectLockedCells="1"/>
  <hyperlinks>
    <hyperlink ref="B430" r:id="rId1"/>
  </hyperlinks>
  <pageMargins left="0.7" right="0.7" top="0.75" bottom="0.75" header="0.3" footer="0.3"/>
  <pageSetup orientation="portrait" horizontalDpi="300" verticalDpi="300" r:id="rId2"/>
  <drawing r:id="rId3"/>
</worksheet>
</file>

<file path=xl/worksheets/sheet3.xml><?xml version="1.0" encoding="utf-8"?>
<worksheet xmlns="http://schemas.openxmlformats.org/spreadsheetml/2006/main" xmlns:r="http://schemas.openxmlformats.org/officeDocument/2006/relationships">
  <dimension ref="B1:O279"/>
  <sheetViews>
    <sheetView zoomScaleNormal="100" workbookViewId="0">
      <selection activeCell="G3" sqref="G3"/>
    </sheetView>
  </sheetViews>
  <sheetFormatPr defaultRowHeight="15"/>
  <cols>
    <col min="1" max="1" width="3.7109375" customWidth="1"/>
    <col min="2" max="2" width="48.5703125" style="6" customWidth="1"/>
    <col min="3" max="3" width="18.28515625" style="5" customWidth="1"/>
    <col min="4" max="4" width="6.85546875" customWidth="1"/>
    <col min="5" max="5" width="10.7109375" customWidth="1"/>
    <col min="6" max="6" width="5.140625" customWidth="1"/>
    <col min="7" max="7" width="42.5703125" customWidth="1"/>
    <col min="8" max="8" width="17.140625" customWidth="1"/>
    <col min="9" max="9" width="9.140625" style="5"/>
    <col min="12" max="12" width="42.140625" style="6" customWidth="1"/>
    <col min="13" max="13" width="13" customWidth="1"/>
  </cols>
  <sheetData>
    <row r="1" spans="2:11" ht="18.75">
      <c r="B1" s="36" t="s">
        <v>246</v>
      </c>
      <c r="E1" s="36" t="s">
        <v>213</v>
      </c>
      <c r="F1" s="126"/>
      <c r="G1" s="126"/>
      <c r="H1" s="126"/>
      <c r="I1" s="127"/>
      <c r="J1" s="126"/>
      <c r="K1" s="126"/>
    </row>
    <row r="2" spans="2:11">
      <c r="B2" s="2" t="s">
        <v>290</v>
      </c>
      <c r="F2" s="126"/>
      <c r="G2" s="126"/>
      <c r="H2" s="126"/>
      <c r="I2" s="127"/>
      <c r="J2" s="126"/>
      <c r="K2" s="126"/>
    </row>
    <row r="3" spans="2:11">
      <c r="F3" s="126"/>
      <c r="G3" s="126"/>
      <c r="H3" s="126"/>
      <c r="I3" s="127"/>
      <c r="J3" s="126"/>
      <c r="K3" s="126"/>
    </row>
    <row r="4" spans="2:11" ht="18.75">
      <c r="B4" s="99" t="s">
        <v>267</v>
      </c>
      <c r="F4" s="126"/>
      <c r="G4" s="126"/>
      <c r="H4" s="126"/>
      <c r="I4" s="127"/>
      <c r="J4" s="126"/>
      <c r="K4" s="126"/>
    </row>
    <row r="5" spans="2:11">
      <c r="F5" s="126"/>
      <c r="G5" s="126"/>
      <c r="H5" s="126"/>
      <c r="I5" s="127"/>
      <c r="J5" s="126"/>
      <c r="K5" s="126"/>
    </row>
    <row r="6" spans="2:11">
      <c r="F6" s="126"/>
      <c r="G6" s="126"/>
      <c r="H6" s="126"/>
      <c r="I6" s="127"/>
      <c r="J6" s="126"/>
      <c r="K6" s="126"/>
    </row>
    <row r="7" spans="2:11">
      <c r="F7" s="126"/>
      <c r="G7" s="126"/>
      <c r="H7" s="126"/>
      <c r="I7" s="127"/>
      <c r="J7" s="126"/>
      <c r="K7" s="126"/>
    </row>
    <row r="8" spans="2:11">
      <c r="F8" s="126"/>
      <c r="G8" s="126"/>
      <c r="H8" s="126"/>
      <c r="I8" s="127"/>
      <c r="J8" s="126"/>
      <c r="K8" s="126"/>
    </row>
    <row r="9" spans="2:11">
      <c r="F9" s="126"/>
      <c r="G9" s="126"/>
      <c r="H9" s="126"/>
      <c r="I9" s="127"/>
      <c r="J9" s="126"/>
      <c r="K9" s="126"/>
    </row>
    <row r="24" spans="2:2" ht="18.75">
      <c r="B24" s="99" t="s">
        <v>130</v>
      </c>
    </row>
    <row r="44" spans="2:12">
      <c r="B44" s="6" t="s">
        <v>188</v>
      </c>
      <c r="C44" s="5" t="s">
        <v>206</v>
      </c>
    </row>
    <row r="45" spans="2:12">
      <c r="B45" s="6" t="s">
        <v>189</v>
      </c>
      <c r="C45" s="5" t="s">
        <v>162</v>
      </c>
    </row>
    <row r="47" spans="2:12">
      <c r="K47" s="5"/>
      <c r="L47" s="97"/>
    </row>
    <row r="55" spans="6:13">
      <c r="L55" s="12" t="s">
        <v>168</v>
      </c>
      <c r="M55" s="11" t="s">
        <v>169</v>
      </c>
    </row>
    <row r="56" spans="6:13">
      <c r="L56" s="12"/>
      <c r="M56" s="11"/>
    </row>
    <row r="57" spans="6:13">
      <c r="L57" s="12" t="s">
        <v>170</v>
      </c>
      <c r="M57" s="11" t="s">
        <v>171</v>
      </c>
    </row>
    <row r="59" spans="6:13">
      <c r="F59" s="126"/>
      <c r="G59" s="126"/>
      <c r="H59" s="126"/>
      <c r="I59" s="127"/>
      <c r="J59" s="126"/>
      <c r="K59" s="126"/>
    </row>
    <row r="60" spans="6:13">
      <c r="F60" s="126"/>
      <c r="G60" s="126"/>
      <c r="H60" s="126"/>
      <c r="I60" s="127"/>
      <c r="J60" s="126"/>
      <c r="K60" s="126"/>
    </row>
    <row r="61" spans="6:13">
      <c r="F61" s="126"/>
      <c r="G61" s="126"/>
      <c r="H61" s="126"/>
      <c r="I61" s="127"/>
      <c r="J61" s="126"/>
      <c r="K61" s="126"/>
    </row>
    <row r="62" spans="6:13">
      <c r="F62" s="126"/>
      <c r="G62" s="126"/>
      <c r="H62" s="126"/>
      <c r="I62" s="127"/>
      <c r="J62" s="126"/>
      <c r="K62" s="126"/>
    </row>
    <row r="63" spans="6:13">
      <c r="F63" s="126"/>
      <c r="G63" s="126"/>
      <c r="H63" s="126"/>
      <c r="I63" s="127"/>
      <c r="J63" s="126"/>
      <c r="K63" s="126"/>
    </row>
    <row r="64" spans="6:13">
      <c r="F64" s="126"/>
      <c r="G64" s="127"/>
      <c r="H64" s="126"/>
      <c r="I64" s="127"/>
      <c r="J64" s="126"/>
      <c r="K64" s="126"/>
    </row>
    <row r="65" spans="2:11">
      <c r="F65" s="126"/>
      <c r="G65" s="129"/>
      <c r="H65" s="126"/>
      <c r="I65" s="127"/>
      <c r="J65" s="126"/>
      <c r="K65" s="126"/>
    </row>
    <row r="66" spans="2:11">
      <c r="F66" s="126"/>
      <c r="G66" s="126"/>
      <c r="H66" s="126"/>
      <c r="I66" s="127"/>
      <c r="J66" s="126"/>
      <c r="K66" s="126"/>
    </row>
    <row r="67" spans="2:11">
      <c r="F67" s="126"/>
      <c r="G67" s="126"/>
      <c r="H67" s="126"/>
      <c r="I67" s="127"/>
      <c r="J67" s="126"/>
      <c r="K67" s="126"/>
    </row>
    <row r="68" spans="2:11">
      <c r="F68" s="126"/>
      <c r="G68" s="126"/>
      <c r="H68" s="126"/>
      <c r="I68" s="127"/>
      <c r="J68" s="126"/>
      <c r="K68" s="126"/>
    </row>
    <row r="69" spans="2:11" ht="18.75">
      <c r="B69" s="100" t="s">
        <v>264</v>
      </c>
      <c r="G69" s="100" t="s">
        <v>268</v>
      </c>
    </row>
    <row r="70" spans="2:11" ht="19.5" thickBot="1">
      <c r="B70" s="8" t="s">
        <v>129</v>
      </c>
      <c r="C70" s="7" t="s">
        <v>26</v>
      </c>
      <c r="D70" s="37"/>
      <c r="G70" s="8" t="s">
        <v>129</v>
      </c>
      <c r="H70" s="7" t="s">
        <v>26</v>
      </c>
      <c r="I70" s="37"/>
    </row>
    <row r="71" spans="2:11">
      <c r="B71" s="12" t="s">
        <v>137</v>
      </c>
      <c r="C71" s="132">
        <v>700</v>
      </c>
      <c r="D71" s="37" t="s">
        <v>34</v>
      </c>
      <c r="G71" s="12" t="s">
        <v>137</v>
      </c>
      <c r="H71" s="61">
        <v>700</v>
      </c>
      <c r="I71" s="37" t="s">
        <v>34</v>
      </c>
    </row>
    <row r="72" spans="2:11">
      <c r="B72" s="12" t="s">
        <v>138</v>
      </c>
      <c r="C72" s="133">
        <v>700</v>
      </c>
      <c r="D72" s="37" t="s">
        <v>139</v>
      </c>
      <c r="G72" s="12" t="s">
        <v>138</v>
      </c>
      <c r="H72" s="15">
        <v>700</v>
      </c>
      <c r="I72" s="37" t="s">
        <v>139</v>
      </c>
    </row>
    <row r="73" spans="2:11">
      <c r="B73" s="12" t="s">
        <v>128</v>
      </c>
      <c r="C73" s="133" t="s">
        <v>140</v>
      </c>
      <c r="D73" s="37"/>
      <c r="G73" s="12" t="s">
        <v>128</v>
      </c>
      <c r="H73" s="15" t="s">
        <v>140</v>
      </c>
      <c r="I73" s="37"/>
    </row>
    <row r="74" spans="2:11">
      <c r="B74" s="12" t="s">
        <v>145</v>
      </c>
      <c r="C74" s="142">
        <v>16600</v>
      </c>
      <c r="D74" s="37" t="s">
        <v>34</v>
      </c>
      <c r="G74" s="12" t="s">
        <v>145</v>
      </c>
      <c r="H74" s="65">
        <v>16600</v>
      </c>
      <c r="I74" s="37" t="s">
        <v>34</v>
      </c>
    </row>
    <row r="75" spans="2:11">
      <c r="B75" s="12" t="s">
        <v>167</v>
      </c>
      <c r="C75" s="123">
        <v>1</v>
      </c>
      <c r="D75" s="37"/>
      <c r="G75" s="12" t="s">
        <v>167</v>
      </c>
      <c r="H75" s="40">
        <v>1</v>
      </c>
      <c r="I75" s="37"/>
    </row>
    <row r="76" spans="2:11">
      <c r="B76" s="12" t="s">
        <v>136</v>
      </c>
      <c r="C76" s="174"/>
      <c r="D76" s="5"/>
      <c r="G76" s="12" t="s">
        <v>136</v>
      </c>
      <c r="H76" s="107"/>
    </row>
    <row r="77" spans="2:11" ht="15.75" thickBot="1">
      <c r="B77" s="12" t="s">
        <v>150</v>
      </c>
      <c r="C77" s="134">
        <v>60</v>
      </c>
      <c r="D77" s="37" t="s">
        <v>35</v>
      </c>
      <c r="G77" s="12" t="s">
        <v>150</v>
      </c>
      <c r="H77" s="46">
        <v>60</v>
      </c>
      <c r="I77" s="37" t="s">
        <v>35</v>
      </c>
    </row>
    <row r="78" spans="2:11" ht="15.75">
      <c r="B78" s="100"/>
      <c r="C78" s="7" t="s">
        <v>32</v>
      </c>
      <c r="D78" s="5"/>
      <c r="G78" s="100"/>
      <c r="H78" s="7" t="s">
        <v>32</v>
      </c>
    </row>
    <row r="79" spans="2:11">
      <c r="B79" s="12" t="s">
        <v>144</v>
      </c>
      <c r="C79" s="59" t="s">
        <v>151</v>
      </c>
      <c r="D79" s="5"/>
      <c r="G79" s="12" t="s">
        <v>144</v>
      </c>
      <c r="H79" s="59" t="s">
        <v>151</v>
      </c>
    </row>
    <row r="80" spans="2:11">
      <c r="B80" s="6" t="s">
        <v>17</v>
      </c>
      <c r="C80" s="90">
        <f>C77/2</f>
        <v>30</v>
      </c>
      <c r="D80" s="5"/>
      <c r="G80" s="6" t="s">
        <v>17</v>
      </c>
      <c r="H80" s="90">
        <f>H77/2</f>
        <v>30</v>
      </c>
    </row>
    <row r="81" spans="2:9">
      <c r="B81" s="12" t="s">
        <v>141</v>
      </c>
      <c r="C81" s="9" t="s">
        <v>146</v>
      </c>
      <c r="D81" s="5"/>
      <c r="G81" s="12" t="s">
        <v>141</v>
      </c>
      <c r="H81" s="9" t="s">
        <v>146</v>
      </c>
    </row>
    <row r="82" spans="2:9">
      <c r="B82" s="6" t="s">
        <v>17</v>
      </c>
      <c r="C82" s="14">
        <f>C71*C80/ (C74*C75 - 0.6*C71)</f>
        <v>1.2978986402966626</v>
      </c>
      <c r="D82" s="37" t="s">
        <v>35</v>
      </c>
      <c r="G82" s="6" t="s">
        <v>17</v>
      </c>
      <c r="H82" s="14">
        <f>H71*H80/ (H74*H75 - 0.6*H71)</f>
        <v>1.2978986402966626</v>
      </c>
      <c r="I82" s="37" t="s">
        <v>35</v>
      </c>
    </row>
    <row r="83" spans="2:9">
      <c r="B83" s="32" t="s">
        <v>142</v>
      </c>
      <c r="C83" s="90">
        <v>1.5</v>
      </c>
      <c r="D83" s="37" t="s">
        <v>35</v>
      </c>
      <c r="G83" s="32" t="s">
        <v>142</v>
      </c>
      <c r="H83" s="90">
        <v>1.5</v>
      </c>
      <c r="I83" s="37" t="s">
        <v>35</v>
      </c>
    </row>
    <row r="84" spans="2:9" ht="15.75">
      <c r="B84" s="105"/>
      <c r="C84"/>
      <c r="D84" s="5"/>
      <c r="G84" s="105"/>
    </row>
    <row r="85" spans="2:9" ht="15.75">
      <c r="B85" s="41" t="s">
        <v>265</v>
      </c>
      <c r="D85" s="5"/>
      <c r="G85" s="41" t="s">
        <v>265</v>
      </c>
      <c r="H85" s="5"/>
    </row>
    <row r="86" spans="2:9" ht="15.75" thickBot="1">
      <c r="B86" s="37" t="s">
        <v>159</v>
      </c>
      <c r="C86" s="7" t="s">
        <v>26</v>
      </c>
      <c r="D86" s="5"/>
      <c r="G86" s="37" t="s">
        <v>159</v>
      </c>
      <c r="H86" s="7" t="s">
        <v>26</v>
      </c>
    </row>
    <row r="87" spans="2:9">
      <c r="B87" s="12" t="s">
        <v>266</v>
      </c>
      <c r="C87" s="132" t="s">
        <v>156</v>
      </c>
      <c r="D87" s="37"/>
      <c r="G87" s="12" t="s">
        <v>266</v>
      </c>
      <c r="H87" s="61" t="s">
        <v>156</v>
      </c>
      <c r="I87" s="37"/>
    </row>
    <row r="88" spans="2:9">
      <c r="B88" s="12" t="s">
        <v>274</v>
      </c>
      <c r="C88" s="142">
        <v>17100</v>
      </c>
      <c r="D88" s="37" t="s">
        <v>34</v>
      </c>
      <c r="G88" s="12" t="s">
        <v>274</v>
      </c>
      <c r="H88" s="65">
        <v>17100</v>
      </c>
      <c r="I88" s="37" t="s">
        <v>34</v>
      </c>
    </row>
    <row r="89" spans="2:9">
      <c r="B89" s="12" t="s">
        <v>165</v>
      </c>
      <c r="C89" s="123">
        <v>1</v>
      </c>
      <c r="D89" s="37"/>
      <c r="G89" s="12" t="s">
        <v>165</v>
      </c>
      <c r="H89" s="40">
        <v>1</v>
      </c>
      <c r="I89" s="37"/>
    </row>
    <row r="90" spans="2:9">
      <c r="B90" s="12" t="s">
        <v>136</v>
      </c>
      <c r="C90" s="174"/>
      <c r="D90" s="5"/>
      <c r="G90" s="12" t="s">
        <v>136</v>
      </c>
      <c r="H90" s="107"/>
    </row>
    <row r="91" spans="2:9">
      <c r="B91" s="12" t="s">
        <v>269</v>
      </c>
      <c r="C91" s="175" t="s">
        <v>157</v>
      </c>
      <c r="D91" s="5"/>
      <c r="G91" s="12" t="s">
        <v>269</v>
      </c>
      <c r="H91" s="108" t="s">
        <v>157</v>
      </c>
    </row>
    <row r="92" spans="2:9">
      <c r="B92" s="12" t="s">
        <v>275</v>
      </c>
      <c r="C92" s="133">
        <v>0.59299999999999997</v>
      </c>
      <c r="D92" s="37" t="s">
        <v>35</v>
      </c>
      <c r="G92" s="12" t="s">
        <v>283</v>
      </c>
      <c r="H92" s="15">
        <v>0.59299999999999997</v>
      </c>
      <c r="I92" s="37" t="s">
        <v>35</v>
      </c>
    </row>
    <row r="93" spans="2:9" ht="15.75" thickBot="1">
      <c r="B93" s="12" t="s">
        <v>175</v>
      </c>
      <c r="C93" s="134">
        <v>8.625</v>
      </c>
      <c r="D93" s="37" t="s">
        <v>35</v>
      </c>
      <c r="G93" s="12" t="s">
        <v>175</v>
      </c>
      <c r="H93" s="46">
        <v>8.625</v>
      </c>
      <c r="I93" s="37" t="s">
        <v>35</v>
      </c>
    </row>
    <row r="94" spans="2:9">
      <c r="G94" s="6"/>
      <c r="H94" s="5"/>
      <c r="I94"/>
    </row>
    <row r="95" spans="2:9">
      <c r="B95" s="37" t="s">
        <v>166</v>
      </c>
      <c r="D95" s="5"/>
      <c r="G95" s="37" t="s">
        <v>166</v>
      </c>
      <c r="H95" s="5"/>
    </row>
    <row r="96" spans="2:9">
      <c r="B96" s="21" t="s">
        <v>158</v>
      </c>
      <c r="G96" s="21" t="s">
        <v>158</v>
      </c>
      <c r="H96" s="5"/>
      <c r="I96"/>
    </row>
    <row r="97" spans="2:15">
      <c r="G97" s="6"/>
      <c r="H97" s="5"/>
      <c r="I97"/>
    </row>
    <row r="98" spans="2:15">
      <c r="B98"/>
      <c r="C98" s="7" t="s">
        <v>32</v>
      </c>
      <c r="D98" s="5"/>
      <c r="H98" s="7" t="s">
        <v>32</v>
      </c>
    </row>
    <row r="99" spans="2:15">
      <c r="B99" s="12" t="s">
        <v>272</v>
      </c>
      <c r="C99" s="11" t="s">
        <v>176</v>
      </c>
      <c r="D99" s="37"/>
      <c r="G99" s="12" t="s">
        <v>272</v>
      </c>
      <c r="H99" s="11" t="s">
        <v>176</v>
      </c>
      <c r="I99" s="37"/>
    </row>
    <row r="100" spans="2:15">
      <c r="B100" s="12" t="s">
        <v>17</v>
      </c>
      <c r="C100" s="37">
        <f>(C93 - 2*C92) / 2</f>
        <v>3.7195</v>
      </c>
      <c r="D100" s="37" t="s">
        <v>35</v>
      </c>
      <c r="G100" s="12" t="s">
        <v>17</v>
      </c>
      <c r="H100" s="37">
        <f>(H93 - 2*H92) / 2</f>
        <v>3.7195</v>
      </c>
      <c r="I100" s="37" t="s">
        <v>35</v>
      </c>
    </row>
    <row r="101" spans="2:15">
      <c r="B101" s="12" t="s">
        <v>160</v>
      </c>
      <c r="C101" s="11" t="s">
        <v>161</v>
      </c>
      <c r="D101" s="37"/>
      <c r="G101" s="12" t="s">
        <v>160</v>
      </c>
      <c r="H101" s="11" t="s">
        <v>161</v>
      </c>
      <c r="I101" s="37"/>
    </row>
    <row r="102" spans="2:15">
      <c r="B102" s="12" t="s">
        <v>17</v>
      </c>
      <c r="C102" s="37">
        <f>2*C100</f>
        <v>7.4390000000000001</v>
      </c>
      <c r="D102" s="37" t="s">
        <v>35</v>
      </c>
      <c r="G102" s="12" t="s">
        <v>17</v>
      </c>
      <c r="H102" s="37">
        <f>2*H100</f>
        <v>7.4390000000000001</v>
      </c>
      <c r="I102" s="37" t="s">
        <v>35</v>
      </c>
      <c r="O102" s="12"/>
    </row>
    <row r="103" spans="2:15">
      <c r="B103" s="12" t="s">
        <v>273</v>
      </c>
      <c r="C103" s="11" t="s">
        <v>147</v>
      </c>
      <c r="D103" s="5"/>
      <c r="G103" s="12" t="s">
        <v>273</v>
      </c>
      <c r="H103" s="11" t="s">
        <v>147</v>
      </c>
      <c r="O103" s="12"/>
    </row>
    <row r="104" spans="2:15">
      <c r="B104" s="6" t="s">
        <v>17</v>
      </c>
      <c r="C104" s="90">
        <f>C71*C100 / (C88*C89 - 0.6*C71)</f>
        <v>0.15609412470023981</v>
      </c>
      <c r="D104" s="5" t="s">
        <v>35</v>
      </c>
      <c r="G104" s="6" t="s">
        <v>17</v>
      </c>
      <c r="H104" s="90">
        <f>H71*H100 / (H88*H89 - 0.6*H71)</f>
        <v>0.15609412470023981</v>
      </c>
      <c r="I104" s="5" t="s">
        <v>35</v>
      </c>
      <c r="O104" s="6"/>
    </row>
    <row r="105" spans="2:15">
      <c r="B105" s="32" t="s">
        <v>143</v>
      </c>
      <c r="C105" s="90">
        <v>1.75</v>
      </c>
      <c r="D105" s="37" t="s">
        <v>35</v>
      </c>
      <c r="G105" s="32" t="s">
        <v>143</v>
      </c>
      <c r="H105" s="90">
        <v>1.75</v>
      </c>
      <c r="I105" s="37" t="s">
        <v>35</v>
      </c>
      <c r="O105" s="12"/>
    </row>
    <row r="106" spans="2:15">
      <c r="B106"/>
      <c r="C106"/>
      <c r="D106" s="5"/>
      <c r="O106" s="12"/>
    </row>
    <row r="107" spans="2:15" ht="15.75">
      <c r="B107" s="100" t="s">
        <v>148</v>
      </c>
      <c r="C107" s="7" t="s">
        <v>32</v>
      </c>
      <c r="D107" s="5"/>
      <c r="G107" s="100" t="s">
        <v>148</v>
      </c>
      <c r="H107" s="7" t="s">
        <v>32</v>
      </c>
      <c r="L107" s="12"/>
    </row>
    <row r="108" spans="2:15">
      <c r="B108" s="12" t="s">
        <v>149</v>
      </c>
      <c r="C108" s="11" t="s">
        <v>172</v>
      </c>
      <c r="D108" s="37"/>
      <c r="G108" s="12" t="s">
        <v>149</v>
      </c>
      <c r="H108" s="11" t="s">
        <v>172</v>
      </c>
      <c r="I108" s="37"/>
      <c r="L108" s="12"/>
    </row>
    <row r="109" spans="2:15">
      <c r="B109" s="12" t="s">
        <v>17</v>
      </c>
      <c r="C109" s="90">
        <f>C102*C82</f>
        <v>9.6550679851668733</v>
      </c>
      <c r="D109" s="37" t="s">
        <v>174</v>
      </c>
      <c r="G109" s="12" t="s">
        <v>17</v>
      </c>
      <c r="H109" s="90">
        <f>H102*H82</f>
        <v>9.6550679851668733</v>
      </c>
      <c r="I109" s="37" t="s">
        <v>174</v>
      </c>
      <c r="L109" s="12"/>
    </row>
    <row r="110" spans="2:15">
      <c r="B110" s="12" t="s">
        <v>164</v>
      </c>
      <c r="C110" s="37" t="s">
        <v>191</v>
      </c>
      <c r="D110" s="11"/>
      <c r="G110" s="12" t="s">
        <v>164</v>
      </c>
      <c r="H110" s="37" t="s">
        <v>191</v>
      </c>
      <c r="I110" s="11"/>
    </row>
    <row r="111" spans="2:15">
      <c r="B111" s="12" t="s">
        <v>17</v>
      </c>
      <c r="C111" s="90">
        <f>2*C93</f>
        <v>17.25</v>
      </c>
      <c r="D111" s="11" t="s">
        <v>35</v>
      </c>
      <c r="G111" s="12" t="s">
        <v>17</v>
      </c>
      <c r="H111" s="90">
        <f>2*H93</f>
        <v>17.25</v>
      </c>
      <c r="I111" s="11" t="s">
        <v>35</v>
      </c>
    </row>
    <row r="112" spans="2:15">
      <c r="B112" s="12" t="s">
        <v>192</v>
      </c>
      <c r="C112" s="37" t="s">
        <v>190</v>
      </c>
      <c r="D112" s="11"/>
      <c r="G112" s="12" t="s">
        <v>192</v>
      </c>
      <c r="H112" s="37" t="s">
        <v>190</v>
      </c>
      <c r="I112" s="11"/>
    </row>
    <row r="113" spans="2:9">
      <c r="B113" s="6" t="s">
        <v>17</v>
      </c>
      <c r="C113" s="37">
        <f>2*(C93 / 2 + C92 + C83)</f>
        <v>12.811</v>
      </c>
      <c r="D113" s="11" t="s">
        <v>35</v>
      </c>
      <c r="G113" s="6" t="s">
        <v>17</v>
      </c>
      <c r="H113" s="37">
        <f>2*(H93 / 2 + H92 + H83)</f>
        <v>12.811</v>
      </c>
      <c r="I113" s="11" t="s">
        <v>35</v>
      </c>
    </row>
    <row r="114" spans="2:9">
      <c r="B114" s="12" t="s">
        <v>193</v>
      </c>
      <c r="C114" s="37" t="s">
        <v>163</v>
      </c>
      <c r="D114" s="11"/>
      <c r="G114" s="12" t="s">
        <v>193</v>
      </c>
      <c r="H114" s="37" t="s">
        <v>163</v>
      </c>
      <c r="I114" s="11"/>
    </row>
    <row r="115" spans="2:9">
      <c r="B115" s="6" t="s">
        <v>17</v>
      </c>
      <c r="C115" s="90">
        <f>MAX(C111,C113)</f>
        <v>17.25</v>
      </c>
      <c r="D115" s="11" t="s">
        <v>35</v>
      </c>
      <c r="G115" s="6" t="s">
        <v>17</v>
      </c>
      <c r="H115" s="90">
        <f>MAX(H111,H113)</f>
        <v>17.25</v>
      </c>
      <c r="I115" s="11" t="s">
        <v>35</v>
      </c>
    </row>
    <row r="116" spans="2:9">
      <c r="B116" s="12" t="s">
        <v>187</v>
      </c>
      <c r="C116" s="37" t="s">
        <v>194</v>
      </c>
      <c r="D116" s="11"/>
      <c r="G116" s="12" t="s">
        <v>187</v>
      </c>
      <c r="H116" s="37" t="s">
        <v>194</v>
      </c>
      <c r="I116" s="11"/>
    </row>
    <row r="117" spans="2:9">
      <c r="B117" s="12"/>
      <c r="C117" s="90">
        <f>C109/C115</f>
        <v>0.55971408609663031</v>
      </c>
      <c r="D117" s="11" t="s">
        <v>35</v>
      </c>
      <c r="G117" s="12"/>
      <c r="H117" s="90">
        <f>H109/H115</f>
        <v>0.55971408609663031</v>
      </c>
      <c r="I117" s="11" t="s">
        <v>35</v>
      </c>
    </row>
    <row r="118" spans="2:9" ht="15.75" thickBot="1">
      <c r="C118" s="7" t="s">
        <v>26</v>
      </c>
      <c r="G118" s="6"/>
      <c r="H118" s="7" t="s">
        <v>26</v>
      </c>
      <c r="I118"/>
    </row>
    <row r="119" spans="2:9" ht="15.75" thickBot="1">
      <c r="B119" s="12" t="s">
        <v>195</v>
      </c>
      <c r="C119" s="176">
        <v>0.625</v>
      </c>
      <c r="D119" s="11" t="s">
        <v>35</v>
      </c>
      <c r="G119" s="12" t="s">
        <v>195</v>
      </c>
      <c r="H119" s="109">
        <v>0.625</v>
      </c>
      <c r="I119" s="11" t="s">
        <v>35</v>
      </c>
    </row>
    <row r="120" spans="2:9">
      <c r="C120" s="7" t="s">
        <v>32</v>
      </c>
      <c r="G120" s="6"/>
      <c r="H120" s="7" t="s">
        <v>32</v>
      </c>
      <c r="I120"/>
    </row>
    <row r="121" spans="2:9">
      <c r="B121" s="12" t="s">
        <v>284</v>
      </c>
      <c r="C121" s="11" t="s">
        <v>152</v>
      </c>
      <c r="D121" s="37"/>
      <c r="G121" s="12" t="s">
        <v>284</v>
      </c>
      <c r="H121" s="11" t="s">
        <v>152</v>
      </c>
      <c r="I121" s="37"/>
    </row>
    <row r="122" spans="2:9">
      <c r="B122" s="12" t="s">
        <v>17</v>
      </c>
      <c r="C122" s="90">
        <f>2*(2.5*C83*(C105 - C104) )</f>
        <v>11.954294064748201</v>
      </c>
      <c r="D122" s="37" t="s">
        <v>35</v>
      </c>
      <c r="G122" s="12" t="s">
        <v>17</v>
      </c>
      <c r="H122" s="90">
        <f>2*(2.5*H83*(H105 - H104) )</f>
        <v>11.954294064748201</v>
      </c>
      <c r="I122" s="37" t="s">
        <v>35</v>
      </c>
    </row>
    <row r="123" spans="2:9">
      <c r="B123" s="12" t="s">
        <v>285</v>
      </c>
      <c r="C123" s="11" t="s">
        <v>153</v>
      </c>
      <c r="D123" s="37"/>
      <c r="G123" s="12" t="s">
        <v>285</v>
      </c>
      <c r="H123" s="11" t="s">
        <v>153</v>
      </c>
      <c r="I123" s="37"/>
    </row>
    <row r="124" spans="2:9">
      <c r="B124" s="12" t="s">
        <v>17</v>
      </c>
      <c r="C124" s="90">
        <f>2*(2.5*C105*(C105 - C104) )</f>
        <v>13.946676408872902</v>
      </c>
      <c r="D124" s="37" t="s">
        <v>35</v>
      </c>
      <c r="G124" s="12" t="s">
        <v>17</v>
      </c>
      <c r="H124" s="90">
        <f>2*(2.5*H105*(H105 - H104) )</f>
        <v>13.946676408872902</v>
      </c>
      <c r="I124" s="37" t="s">
        <v>35</v>
      </c>
    </row>
    <row r="125" spans="2:9">
      <c r="B125" s="12" t="s">
        <v>173</v>
      </c>
      <c r="C125" s="11" t="s">
        <v>154</v>
      </c>
      <c r="D125" s="37"/>
      <c r="G125" s="12" t="s">
        <v>173</v>
      </c>
      <c r="H125" s="11" t="s">
        <v>154</v>
      </c>
      <c r="I125" s="37"/>
    </row>
    <row r="126" spans="2:9" ht="15.75" thickBot="1">
      <c r="B126" s="12" t="s">
        <v>17</v>
      </c>
      <c r="C126" s="90">
        <f>MIN(C122, C124)</f>
        <v>11.954294064748201</v>
      </c>
      <c r="D126" s="37" t="s">
        <v>35</v>
      </c>
      <c r="G126" s="12" t="s">
        <v>17</v>
      </c>
      <c r="H126" s="90">
        <f>MIN(H122, H124)</f>
        <v>11.954294064748201</v>
      </c>
      <c r="I126" s="37" t="s">
        <v>35</v>
      </c>
    </row>
    <row r="127" spans="2:9" ht="15.75" thickBot="1">
      <c r="B127"/>
      <c r="C127" s="106" t="str">
        <f>IF(C126=C122,"No ring required.","Use reinforcing ring")</f>
        <v>No ring required.</v>
      </c>
      <c r="D127" s="37"/>
      <c r="H127" s="106" t="str">
        <f>IF(H126=H122,"No ring required.","Use reinforcing ring")</f>
        <v>No ring required.</v>
      </c>
      <c r="I127" s="37"/>
    </row>
    <row r="128" spans="2:9">
      <c r="B128" s="64" t="s">
        <v>270</v>
      </c>
      <c r="C128"/>
      <c r="D128" s="5"/>
      <c r="G128" s="64" t="s">
        <v>270</v>
      </c>
    </row>
    <row r="129" spans="2:10">
      <c r="B129" s="12" t="s">
        <v>271</v>
      </c>
      <c r="C129" s="90">
        <f>C126</f>
        <v>11.954294064748201</v>
      </c>
      <c r="D129" s="37" t="s">
        <v>174</v>
      </c>
      <c r="G129" s="12" t="s">
        <v>271</v>
      </c>
      <c r="H129" s="90">
        <f>H126</f>
        <v>11.954294064748201</v>
      </c>
      <c r="I129" s="37" t="s">
        <v>174</v>
      </c>
    </row>
    <row r="130" spans="2:10">
      <c r="B130" s="12" t="s">
        <v>149</v>
      </c>
      <c r="C130" s="90">
        <f>C109</f>
        <v>9.6550679851668733</v>
      </c>
      <c r="D130" s="37" t="s">
        <v>174</v>
      </c>
      <c r="G130" s="12" t="s">
        <v>149</v>
      </c>
      <c r="H130" s="90">
        <f>H109</f>
        <v>9.6550679851668733</v>
      </c>
      <c r="I130" s="37" t="s">
        <v>174</v>
      </c>
    </row>
    <row r="131" spans="2:10">
      <c r="B131"/>
      <c r="C131"/>
      <c r="D131" s="5"/>
    </row>
    <row r="132" spans="2:10">
      <c r="B132" s="37" t="s">
        <v>286</v>
      </c>
      <c r="C132"/>
      <c r="D132" s="5"/>
      <c r="G132" s="37" t="s">
        <v>286</v>
      </c>
    </row>
    <row r="133" spans="2:10">
      <c r="G133" s="6"/>
      <c r="H133" s="5"/>
      <c r="I133"/>
    </row>
    <row r="134" spans="2:10">
      <c r="G134" s="6"/>
      <c r="H134" s="5"/>
      <c r="I134"/>
    </row>
    <row r="135" spans="2:10">
      <c r="B135" s="37" t="s">
        <v>182</v>
      </c>
      <c r="G135" s="37" t="s">
        <v>182</v>
      </c>
      <c r="H135" s="5"/>
      <c r="I135"/>
    </row>
    <row r="136" spans="2:10">
      <c r="B136" s="37" t="s">
        <v>177</v>
      </c>
      <c r="C136" s="7" t="s">
        <v>26</v>
      </c>
      <c r="D136" s="11"/>
      <c r="E136" s="11"/>
      <c r="G136" s="37" t="s">
        <v>177</v>
      </c>
      <c r="H136" s="7" t="s">
        <v>26</v>
      </c>
      <c r="I136" s="11"/>
      <c r="J136" s="11"/>
    </row>
    <row r="137" spans="2:10">
      <c r="B137" s="12" t="s">
        <v>184</v>
      </c>
      <c r="C137" s="37">
        <v>0.375</v>
      </c>
      <c r="G137" s="12" t="s">
        <v>184</v>
      </c>
      <c r="H137" s="37">
        <v>0.375</v>
      </c>
      <c r="I137"/>
    </row>
    <row r="138" spans="2:10">
      <c r="B138" s="12" t="s">
        <v>185</v>
      </c>
      <c r="C138" s="37">
        <v>0.375</v>
      </c>
      <c r="G138" s="12" t="s">
        <v>185</v>
      </c>
      <c r="H138" s="37">
        <v>0.375</v>
      </c>
      <c r="I138"/>
    </row>
    <row r="139" spans="2:10">
      <c r="B139" s="12" t="s">
        <v>186</v>
      </c>
      <c r="C139" s="37">
        <v>0.5</v>
      </c>
      <c r="G139" s="12" t="s">
        <v>186</v>
      </c>
      <c r="H139" s="37">
        <v>0.5</v>
      </c>
      <c r="I139"/>
    </row>
    <row r="140" spans="2:10">
      <c r="B140" s="12" t="s">
        <v>183</v>
      </c>
      <c r="C140" s="37">
        <v>0.5</v>
      </c>
      <c r="G140" s="12" t="s">
        <v>183</v>
      </c>
      <c r="H140" s="37">
        <v>0.5</v>
      </c>
      <c r="I140"/>
    </row>
    <row r="141" spans="2:10">
      <c r="C141" s="7" t="s">
        <v>32</v>
      </c>
      <c r="G141" s="6"/>
      <c r="H141" s="7" t="s">
        <v>32</v>
      </c>
      <c r="I141"/>
    </row>
    <row r="142" spans="2:10">
      <c r="B142" s="12" t="s">
        <v>196</v>
      </c>
      <c r="C142" s="37">
        <f>C119</f>
        <v>0.625</v>
      </c>
      <c r="D142" s="11" t="s">
        <v>35</v>
      </c>
      <c r="E142" s="11"/>
      <c r="G142" s="12" t="s">
        <v>196</v>
      </c>
      <c r="H142" s="37">
        <f>H119</f>
        <v>0.625</v>
      </c>
      <c r="I142" s="11" t="s">
        <v>35</v>
      </c>
      <c r="J142" s="11"/>
    </row>
    <row r="143" spans="2:10">
      <c r="B143" s="12" t="s">
        <v>197</v>
      </c>
      <c r="C143" s="90">
        <f>C83</f>
        <v>1.5</v>
      </c>
      <c r="D143" s="11" t="s">
        <v>35</v>
      </c>
      <c r="E143" s="11"/>
      <c r="G143" s="12" t="s">
        <v>197</v>
      </c>
      <c r="H143" s="90">
        <f>H83</f>
        <v>1.5</v>
      </c>
      <c r="I143" s="11" t="s">
        <v>35</v>
      </c>
      <c r="J143" s="11"/>
    </row>
    <row r="144" spans="2:10">
      <c r="B144" s="12" t="s">
        <v>287</v>
      </c>
      <c r="C144" s="37">
        <f>C92</f>
        <v>0.59299999999999997</v>
      </c>
      <c r="D144" s="11" t="s">
        <v>35</v>
      </c>
      <c r="G144" s="12" t="s">
        <v>287</v>
      </c>
      <c r="H144" s="37">
        <f>H92</f>
        <v>0.59299999999999997</v>
      </c>
      <c r="I144" s="11" t="s">
        <v>35</v>
      </c>
    </row>
    <row r="145" spans="2:10">
      <c r="G145" s="6"/>
      <c r="H145" s="5"/>
      <c r="I145"/>
    </row>
    <row r="146" spans="2:10">
      <c r="B146" s="12" t="s">
        <v>205</v>
      </c>
      <c r="C146" s="37">
        <f>C137</f>
        <v>0.375</v>
      </c>
      <c r="D146" s="11" t="s">
        <v>35</v>
      </c>
      <c r="G146" s="12" t="s">
        <v>205</v>
      </c>
      <c r="H146" s="37">
        <f>H137</f>
        <v>0.375</v>
      </c>
      <c r="I146" s="11" t="s">
        <v>35</v>
      </c>
    </row>
    <row r="147" spans="2:10">
      <c r="B147" s="12" t="s">
        <v>178</v>
      </c>
      <c r="C147" s="94" t="s">
        <v>204</v>
      </c>
      <c r="E147" s="11"/>
      <c r="G147" s="12" t="s">
        <v>178</v>
      </c>
      <c r="H147" s="94" t="s">
        <v>204</v>
      </c>
      <c r="I147"/>
      <c r="J147" s="11"/>
    </row>
    <row r="148" spans="2:10">
      <c r="B148" s="6" t="s">
        <v>17</v>
      </c>
      <c r="C148" s="90">
        <f>MIN(0.25,0.7*MIN(0.75,C144,C142))</f>
        <v>0.25</v>
      </c>
      <c r="D148" s="11" t="s">
        <v>35</v>
      </c>
      <c r="E148" s="11"/>
      <c r="G148" s="6" t="s">
        <v>17</v>
      </c>
      <c r="H148" s="90">
        <f>MIN(0.25,0.7*MIN(0.75,H144,H142))</f>
        <v>0.25</v>
      </c>
      <c r="I148" s="11" t="s">
        <v>35</v>
      </c>
      <c r="J148" s="11"/>
    </row>
    <row r="149" spans="2:10">
      <c r="E149" s="11"/>
      <c r="G149" s="6"/>
      <c r="H149" s="5"/>
      <c r="I149"/>
      <c r="J149" s="11"/>
    </row>
    <row r="150" spans="2:10">
      <c r="B150" s="12" t="s">
        <v>201</v>
      </c>
      <c r="C150" s="90">
        <f>0.7*C138</f>
        <v>0.26249999999999996</v>
      </c>
      <c r="D150" t="s">
        <v>35</v>
      </c>
      <c r="E150" s="11"/>
      <c r="G150" s="12" t="s">
        <v>201</v>
      </c>
      <c r="H150" s="90">
        <f>0.7*H138</f>
        <v>0.26249999999999996</v>
      </c>
      <c r="I150" t="s">
        <v>35</v>
      </c>
      <c r="J150" s="11"/>
    </row>
    <row r="151" spans="2:10">
      <c r="B151" s="12" t="s">
        <v>179</v>
      </c>
      <c r="C151" s="37" t="s">
        <v>198</v>
      </c>
      <c r="D151" s="11"/>
      <c r="E151" s="11"/>
      <c r="G151" s="12" t="s">
        <v>179</v>
      </c>
      <c r="H151" s="37" t="s">
        <v>198</v>
      </c>
      <c r="I151" s="11"/>
      <c r="J151" s="11"/>
    </row>
    <row r="152" spans="2:10" ht="15.75" thickBot="1">
      <c r="B152" s="12" t="s">
        <v>17</v>
      </c>
      <c r="C152" s="90">
        <f>0.5*MIN(0.75,C142,C143)</f>
        <v>0.3125</v>
      </c>
      <c r="D152" s="11" t="s">
        <v>35</v>
      </c>
      <c r="E152" s="11"/>
      <c r="G152" s="12" t="s">
        <v>17</v>
      </c>
      <c r="H152" s="90">
        <f>0.5*MIN(0.75,H142,H143)</f>
        <v>0.3125</v>
      </c>
      <c r="I152" s="11" t="s">
        <v>35</v>
      </c>
      <c r="J152" s="11"/>
    </row>
    <row r="153" spans="2:10" ht="15.75" thickBot="1">
      <c r="C153" s="106" t="str">
        <f>IF(C150&gt;C144,"Satisfactory Weld","Usatisfactory Weld")</f>
        <v>Usatisfactory Weld</v>
      </c>
      <c r="E153" s="11"/>
      <c r="G153" s="6"/>
      <c r="H153" s="106" t="str">
        <f>IF(H150&gt;H144,"Satisfactory Weld","Usatisfactory Weld")</f>
        <v>Usatisfactory Weld</v>
      </c>
      <c r="I153"/>
      <c r="J153" s="11"/>
    </row>
    <row r="154" spans="2:10">
      <c r="E154" s="11"/>
      <c r="G154" s="6"/>
      <c r="H154" s="5"/>
      <c r="I154"/>
      <c r="J154" s="11"/>
    </row>
    <row r="155" spans="2:10">
      <c r="B155" s="12" t="s">
        <v>202</v>
      </c>
      <c r="C155" s="90">
        <f>C140</f>
        <v>0.5</v>
      </c>
      <c r="D155" s="11" t="s">
        <v>35</v>
      </c>
      <c r="G155" s="12" t="s">
        <v>202</v>
      </c>
      <c r="H155" s="90">
        <f>H140</f>
        <v>0.5</v>
      </c>
      <c r="I155" s="11" t="s">
        <v>35</v>
      </c>
    </row>
    <row r="156" spans="2:10">
      <c r="B156" s="12" t="s">
        <v>180</v>
      </c>
      <c r="C156" s="37" t="s">
        <v>199</v>
      </c>
      <c r="D156" s="11"/>
      <c r="G156" s="12" t="s">
        <v>180</v>
      </c>
      <c r="H156" s="37" t="s">
        <v>199</v>
      </c>
      <c r="I156" s="11"/>
    </row>
    <row r="157" spans="2:10" ht="15.75" thickBot="1">
      <c r="B157" s="12" t="s">
        <v>17</v>
      </c>
      <c r="C157" s="90">
        <f>0.7*MIN(0.75,C142,C144)</f>
        <v>0.41509999999999997</v>
      </c>
      <c r="D157" s="11" t="s">
        <v>35</v>
      </c>
      <c r="E157" s="11"/>
      <c r="G157" s="12" t="s">
        <v>17</v>
      </c>
      <c r="H157" s="90">
        <f>0.7*MIN(0.75,H142,H144)</f>
        <v>0.41509999999999997</v>
      </c>
      <c r="I157" s="11" t="s">
        <v>35</v>
      </c>
      <c r="J157" s="11"/>
    </row>
    <row r="158" spans="2:10" ht="15.75" thickBot="1">
      <c r="C158" s="106" t="str">
        <f>IF(C155&gt;C157,"Satisfactory Weld","Usatisfactory Weld")</f>
        <v>Satisfactory Weld</v>
      </c>
      <c r="D158" s="11"/>
      <c r="G158" s="6"/>
      <c r="H158" s="106" t="str">
        <f>IF(H155&gt;H157,"Satisfactory Weld","Usatisfactory Weld")</f>
        <v>Satisfactory Weld</v>
      </c>
      <c r="I158" s="11"/>
    </row>
    <row r="159" spans="2:10">
      <c r="G159" s="6"/>
      <c r="H159" s="5"/>
      <c r="I159"/>
    </row>
    <row r="160" spans="2:10">
      <c r="B160" s="12" t="s">
        <v>203</v>
      </c>
      <c r="C160" s="90">
        <f>C139</f>
        <v>0.5</v>
      </c>
      <c r="D160" s="11" t="s">
        <v>35</v>
      </c>
      <c r="G160" s="12" t="s">
        <v>203</v>
      </c>
      <c r="H160" s="90">
        <f>H139</f>
        <v>0.5</v>
      </c>
      <c r="I160" s="11" t="s">
        <v>35</v>
      </c>
    </row>
    <row r="161" spans="2:11">
      <c r="B161" s="12" t="s">
        <v>181</v>
      </c>
      <c r="C161" s="37" t="s">
        <v>200</v>
      </c>
      <c r="D161" s="11"/>
      <c r="G161" s="12" t="s">
        <v>181</v>
      </c>
      <c r="H161" s="37" t="s">
        <v>200</v>
      </c>
      <c r="I161" s="11"/>
    </row>
    <row r="162" spans="2:11" ht="15.75" thickBot="1">
      <c r="B162" s="6" t="s">
        <v>17</v>
      </c>
      <c r="C162" s="90">
        <f>0.7*MIN(0.75,C143,C144)</f>
        <v>0.41509999999999997</v>
      </c>
      <c r="D162" s="11" t="s">
        <v>35</v>
      </c>
      <c r="G162" s="6" t="s">
        <v>17</v>
      </c>
      <c r="H162" s="90">
        <f>0.7*MIN(0.75,H143,H144)</f>
        <v>0.41509999999999997</v>
      </c>
      <c r="I162" s="11" t="s">
        <v>35</v>
      </c>
    </row>
    <row r="163" spans="2:11" ht="15.75" thickBot="1">
      <c r="C163" s="106" t="str">
        <f>IF(C160&gt;C162,"Satisfactory Weld","Usatisfactory Weld")</f>
        <v>Satisfactory Weld</v>
      </c>
      <c r="E163" s="11"/>
      <c r="G163" s="6"/>
      <c r="H163" s="106" t="str">
        <f>IF(H160&gt;H162,"Satisfactory Weld","Usatisfactory Weld")</f>
        <v>Satisfactory Weld</v>
      </c>
      <c r="I163"/>
      <c r="J163" s="11"/>
    </row>
    <row r="164" spans="2:11">
      <c r="B164" s="37" t="s">
        <v>207</v>
      </c>
      <c r="C164" s="94"/>
      <c r="D164" s="11"/>
      <c r="E164" s="11"/>
    </row>
    <row r="165" spans="2:11">
      <c r="B165" s="12"/>
      <c r="C165" s="37"/>
      <c r="D165" s="11"/>
      <c r="E165" s="11"/>
      <c r="F165" s="126"/>
      <c r="G165" s="126"/>
      <c r="H165" s="126"/>
      <c r="I165" s="127"/>
      <c r="J165" s="126"/>
      <c r="K165" s="126"/>
    </row>
    <row r="166" spans="2:11">
      <c r="C166" s="37"/>
      <c r="D166" s="11"/>
      <c r="E166" s="11"/>
      <c r="F166" s="126"/>
      <c r="G166" s="126"/>
      <c r="H166" s="126"/>
      <c r="I166" s="127"/>
      <c r="J166" s="126"/>
      <c r="K166" s="126"/>
    </row>
    <row r="167" spans="2:11">
      <c r="C167"/>
      <c r="F167" s="126"/>
      <c r="G167" s="126"/>
      <c r="H167" s="126"/>
      <c r="I167" s="127"/>
      <c r="J167" s="126"/>
      <c r="K167" s="126"/>
    </row>
    <row r="168" spans="2:11">
      <c r="F168" s="126"/>
      <c r="G168" s="126"/>
      <c r="H168" s="126"/>
      <c r="I168" s="127"/>
      <c r="J168" s="126"/>
      <c r="K168" s="126"/>
    </row>
    <row r="169" spans="2:11">
      <c r="F169" s="126"/>
      <c r="G169" s="126"/>
      <c r="H169" s="126"/>
      <c r="I169" s="127"/>
      <c r="J169" s="126"/>
      <c r="K169" s="126"/>
    </row>
    <row r="170" spans="2:11">
      <c r="F170" s="126"/>
      <c r="G170" s="126"/>
      <c r="H170" s="126"/>
      <c r="I170" s="127"/>
      <c r="J170" s="126"/>
      <c r="K170" s="126"/>
    </row>
    <row r="171" spans="2:11">
      <c r="F171" s="126"/>
      <c r="G171" s="126"/>
      <c r="H171" s="126"/>
      <c r="I171" s="127"/>
      <c r="J171" s="126"/>
      <c r="K171" s="126"/>
    </row>
    <row r="172" spans="2:11">
      <c r="F172" s="126"/>
      <c r="G172" s="126"/>
      <c r="H172" s="126"/>
      <c r="I172" s="127"/>
      <c r="J172" s="126"/>
      <c r="K172" s="126"/>
    </row>
    <row r="173" spans="2:11">
      <c r="F173" s="126"/>
      <c r="G173" s="126"/>
      <c r="H173" s="126"/>
      <c r="I173" s="127"/>
      <c r="J173" s="126"/>
      <c r="K173" s="126"/>
    </row>
    <row r="174" spans="2:11">
      <c r="F174" s="126"/>
      <c r="G174" s="126"/>
      <c r="H174" s="126"/>
      <c r="I174" s="127"/>
      <c r="J174" s="126"/>
      <c r="K174" s="126"/>
    </row>
    <row r="175" spans="2:11">
      <c r="F175" s="126"/>
      <c r="G175" s="126"/>
      <c r="H175" s="126"/>
      <c r="I175" s="127"/>
      <c r="J175" s="126"/>
      <c r="K175" s="126"/>
    </row>
    <row r="176" spans="2:11">
      <c r="F176" s="126"/>
      <c r="G176" s="126"/>
      <c r="H176" s="126"/>
      <c r="I176" s="127"/>
      <c r="J176" s="126"/>
      <c r="K176" s="126"/>
    </row>
    <row r="177" spans="2:11">
      <c r="F177" s="126"/>
      <c r="G177" s="126"/>
      <c r="H177" s="126"/>
      <c r="I177" s="127"/>
      <c r="J177" s="126"/>
      <c r="K177" s="126"/>
    </row>
    <row r="178" spans="2:11">
      <c r="F178" s="126"/>
      <c r="G178" s="126"/>
      <c r="H178" s="126"/>
      <c r="I178" s="127"/>
      <c r="J178" s="126"/>
      <c r="K178" s="126"/>
    </row>
    <row r="179" spans="2:11">
      <c r="F179" s="126"/>
      <c r="G179" s="126"/>
      <c r="H179" s="126"/>
      <c r="I179" s="127"/>
      <c r="J179" s="126"/>
      <c r="K179" s="126"/>
    </row>
    <row r="180" spans="2:11">
      <c r="F180" s="126"/>
      <c r="G180" s="126"/>
      <c r="H180" s="126"/>
      <c r="I180" s="127"/>
      <c r="J180" s="126"/>
      <c r="K180" s="126"/>
    </row>
    <row r="181" spans="2:11">
      <c r="F181" s="126"/>
      <c r="G181" s="126"/>
      <c r="H181" s="126"/>
      <c r="I181" s="127"/>
      <c r="J181" s="126"/>
      <c r="K181" s="126"/>
    </row>
    <row r="182" spans="2:11">
      <c r="F182" s="126"/>
      <c r="G182" s="126"/>
      <c r="H182" s="126"/>
      <c r="I182" s="127"/>
      <c r="J182" s="126"/>
      <c r="K182" s="126"/>
    </row>
    <row r="183" spans="2:11">
      <c r="F183" s="126"/>
      <c r="G183" s="126"/>
      <c r="H183" s="126"/>
      <c r="I183" s="127"/>
      <c r="J183" s="126"/>
      <c r="K183" s="126"/>
    </row>
    <row r="184" spans="2:11">
      <c r="F184" s="126"/>
      <c r="G184" s="126"/>
      <c r="H184" s="126"/>
      <c r="I184" s="127"/>
      <c r="J184" s="126"/>
      <c r="K184" s="126"/>
    </row>
    <row r="185" spans="2:11">
      <c r="F185" s="126"/>
      <c r="G185" s="126"/>
      <c r="H185" s="126"/>
      <c r="I185" s="127"/>
      <c r="J185" s="126"/>
      <c r="K185" s="126"/>
    </row>
    <row r="186" spans="2:11">
      <c r="F186" s="126"/>
      <c r="G186" s="126"/>
      <c r="H186" s="126"/>
      <c r="I186" s="127"/>
      <c r="J186" s="126"/>
      <c r="K186" s="126"/>
    </row>
    <row r="187" spans="2:11">
      <c r="F187" s="126"/>
      <c r="G187" s="126"/>
      <c r="H187" s="126"/>
      <c r="I187" s="127"/>
      <c r="J187" s="126"/>
      <c r="K187" s="126"/>
    </row>
    <row r="188" spans="2:11" ht="15.75">
      <c r="B188" s="63" t="s">
        <v>68</v>
      </c>
      <c r="F188" s="126"/>
      <c r="G188" s="126"/>
      <c r="H188" s="126"/>
      <c r="I188" s="127"/>
      <c r="J188" s="126"/>
      <c r="K188" s="126"/>
    </row>
    <row r="200" spans="7:7">
      <c r="G200" s="12"/>
    </row>
    <row r="201" spans="7:7">
      <c r="G201" s="12"/>
    </row>
    <row r="220" spans="7:9" ht="15.75">
      <c r="G220" s="100"/>
      <c r="H220" s="7"/>
    </row>
    <row r="221" spans="7:9">
      <c r="G221" s="12"/>
      <c r="H221" s="37"/>
      <c r="I221" s="37"/>
    </row>
    <row r="222" spans="7:9">
      <c r="G222" s="12"/>
      <c r="H222" s="37"/>
      <c r="I222" s="37"/>
    </row>
    <row r="223" spans="7:9">
      <c r="G223" s="12"/>
      <c r="H223" s="37"/>
      <c r="I223" s="37"/>
    </row>
    <row r="224" spans="7:9">
      <c r="G224" s="12"/>
      <c r="H224" s="77"/>
      <c r="I224" s="37"/>
    </row>
    <row r="225" spans="7:9">
      <c r="G225" s="12"/>
      <c r="H225" s="59"/>
    </row>
    <row r="226" spans="7:9">
      <c r="G226" s="12"/>
      <c r="H226" s="37"/>
      <c r="I226" s="37"/>
    </row>
    <row r="227" spans="7:9">
      <c r="G227" s="12"/>
      <c r="H227" s="77"/>
      <c r="I227" s="37"/>
    </row>
    <row r="228" spans="7:9">
      <c r="G228" s="12"/>
      <c r="H228" s="59"/>
      <c r="I228" s="37"/>
    </row>
    <row r="229" spans="7:9">
      <c r="G229" s="12"/>
    </row>
    <row r="230" spans="7:9">
      <c r="G230" s="12"/>
      <c r="H230" s="90"/>
      <c r="I230" s="37"/>
    </row>
    <row r="231" spans="7:9">
      <c r="H231" s="7"/>
    </row>
    <row r="232" spans="7:9">
      <c r="G232" s="12"/>
      <c r="H232" s="11"/>
      <c r="I232" s="37"/>
    </row>
    <row r="233" spans="7:9">
      <c r="G233" s="12"/>
      <c r="H233" s="90"/>
      <c r="I233" s="37"/>
    </row>
    <row r="234" spans="7:9">
      <c r="G234" s="12"/>
      <c r="H234" s="9"/>
      <c r="I234" s="37"/>
    </row>
    <row r="235" spans="7:9">
      <c r="G235" s="12"/>
      <c r="H235" s="14"/>
      <c r="I235" s="37"/>
    </row>
    <row r="236" spans="7:9">
      <c r="G236" s="12"/>
      <c r="H236" s="37"/>
      <c r="I236" s="37"/>
    </row>
    <row r="238" spans="7:9" ht="15.75">
      <c r="G238" s="41"/>
      <c r="H238" s="7"/>
    </row>
    <row r="239" spans="7:9">
      <c r="G239" s="37"/>
    </row>
    <row r="240" spans="7:9">
      <c r="G240" s="12"/>
      <c r="H240" s="37"/>
      <c r="I240" s="37"/>
    </row>
    <row r="241" spans="7:9">
      <c r="G241" s="12"/>
      <c r="H241" s="77"/>
      <c r="I241" s="37"/>
    </row>
    <row r="242" spans="7:9">
      <c r="G242" s="12"/>
      <c r="H242" s="59"/>
      <c r="I242" s="37"/>
    </row>
    <row r="243" spans="7:9">
      <c r="G243" s="12"/>
    </row>
    <row r="244" spans="7:9">
      <c r="G244" s="12"/>
      <c r="H244" s="11"/>
    </row>
    <row r="245" spans="7:9">
      <c r="G245" s="12"/>
      <c r="H245" s="37"/>
      <c r="I245" s="37"/>
    </row>
    <row r="246" spans="7:9">
      <c r="G246" s="12"/>
      <c r="H246" s="90"/>
      <c r="I246" s="37"/>
    </row>
    <row r="247" spans="7:9">
      <c r="G247" s="12"/>
      <c r="H247" s="21"/>
    </row>
    <row r="248" spans="7:9">
      <c r="H248" s="7"/>
    </row>
    <row r="249" spans="7:9">
      <c r="G249" s="12"/>
      <c r="H249" s="11"/>
      <c r="I249" s="37"/>
    </row>
    <row r="250" spans="7:9">
      <c r="G250" s="12"/>
      <c r="H250" s="37"/>
      <c r="I250" s="37"/>
    </row>
    <row r="251" spans="7:9">
      <c r="G251" s="12"/>
      <c r="H251" s="11"/>
      <c r="I251" s="37"/>
    </row>
    <row r="252" spans="7:9">
      <c r="G252" s="12"/>
      <c r="H252" s="37"/>
      <c r="I252" s="37"/>
    </row>
    <row r="253" spans="7:9">
      <c r="G253" s="12"/>
      <c r="H253" s="9"/>
      <c r="I253" s="37"/>
    </row>
    <row r="254" spans="7:9">
      <c r="G254" s="12"/>
      <c r="H254" s="14"/>
      <c r="I254" s="37"/>
    </row>
    <row r="255" spans="7:9">
      <c r="G255" s="12"/>
      <c r="H255" s="37"/>
      <c r="I255" s="37"/>
    </row>
    <row r="257" spans="7:9">
      <c r="G257" s="37"/>
      <c r="H257" s="7"/>
    </row>
    <row r="258" spans="7:9">
      <c r="G258" s="12"/>
      <c r="H258" s="37"/>
      <c r="I258" s="37"/>
    </row>
    <row r="259" spans="7:9">
      <c r="G259" s="12"/>
      <c r="H259" s="77"/>
      <c r="I259" s="37"/>
    </row>
    <row r="260" spans="7:9">
      <c r="G260" s="12"/>
      <c r="H260" s="37"/>
      <c r="I260" s="37"/>
    </row>
    <row r="261" spans="7:9">
      <c r="G261" s="12"/>
      <c r="H261" s="59"/>
    </row>
    <row r="262" spans="7:9">
      <c r="H262" s="7"/>
      <c r="I262" s="37"/>
    </row>
    <row r="263" spans="7:9">
      <c r="G263" s="12"/>
      <c r="H263" s="11"/>
      <c r="I263" s="37"/>
    </row>
    <row r="264" spans="7:9">
      <c r="G264" s="12"/>
      <c r="H264" s="37"/>
      <c r="I264" s="37"/>
    </row>
    <row r="265" spans="7:9">
      <c r="G265" s="12"/>
      <c r="H265" s="11"/>
      <c r="I265" s="37"/>
    </row>
    <row r="266" spans="7:9">
      <c r="G266" s="12"/>
      <c r="H266" s="90"/>
      <c r="I266" s="37"/>
    </row>
    <row r="267" spans="7:9">
      <c r="G267" s="12"/>
      <c r="H267" s="11"/>
      <c r="I267" s="37"/>
    </row>
    <row r="268" spans="7:9">
      <c r="G268" s="12"/>
      <c r="H268" s="90"/>
      <c r="I268" s="37"/>
    </row>
    <row r="269" spans="7:9">
      <c r="G269" s="12"/>
      <c r="H269" s="11"/>
      <c r="I269" s="37"/>
    </row>
    <row r="270" spans="7:9">
      <c r="G270" s="12"/>
      <c r="H270" s="37"/>
    </row>
    <row r="271" spans="7:9">
      <c r="G271" s="37"/>
    </row>
    <row r="272" spans="7:9">
      <c r="G272" s="12"/>
      <c r="H272" s="11"/>
    </row>
    <row r="273" spans="7:9">
      <c r="G273" s="12"/>
      <c r="H273" s="59"/>
    </row>
    <row r="274" spans="7:9">
      <c r="G274" s="12"/>
      <c r="H274" s="11"/>
    </row>
    <row r="275" spans="7:9">
      <c r="G275" s="12"/>
      <c r="H275" s="59"/>
      <c r="I275" s="37"/>
    </row>
    <row r="276" spans="7:9">
      <c r="G276" s="12"/>
      <c r="H276" s="11"/>
      <c r="I276" s="37"/>
    </row>
    <row r="277" spans="7:9">
      <c r="G277" s="12"/>
      <c r="H277" s="59"/>
      <c r="I277" s="37"/>
    </row>
    <row r="278" spans="7:9">
      <c r="G278" s="12"/>
      <c r="H278" s="11"/>
      <c r="I278" s="37"/>
    </row>
    <row r="279" spans="7:9">
      <c r="G279" s="12"/>
      <c r="H279" s="59"/>
    </row>
  </sheetData>
  <sheetProtection sheet="1" objects="1" scenarios="1" formatCells="0" selectLockedCells="1"/>
  <pageMargins left="0.7" right="0.7" top="0.75" bottom="0.75" header="0.3" footer="0.3"/>
  <pageSetup orientation="portrait" horizontalDpi="300" verticalDpi="300" r:id="rId1"/>
  <drawing r:id="rId2"/>
</worksheet>
</file>

<file path=xl/worksheets/sheet4.xml><?xml version="1.0" encoding="utf-8"?>
<worksheet xmlns="http://schemas.openxmlformats.org/spreadsheetml/2006/main" xmlns:r="http://schemas.openxmlformats.org/officeDocument/2006/relationships">
  <dimension ref="B1:O94"/>
  <sheetViews>
    <sheetView zoomScaleNormal="100" workbookViewId="0">
      <selection activeCell="I3" sqref="I3"/>
    </sheetView>
  </sheetViews>
  <sheetFormatPr defaultRowHeight="15"/>
  <cols>
    <col min="1" max="1" width="4.28515625" customWidth="1"/>
    <col min="2" max="2" width="51.7109375" customWidth="1"/>
    <col min="3" max="3" width="11" customWidth="1"/>
    <col min="4" max="4" width="6.28515625" customWidth="1"/>
    <col min="8" max="8" width="4.42578125" customWidth="1"/>
    <col min="9" max="9" width="36" customWidth="1"/>
  </cols>
  <sheetData>
    <row r="1" spans="2:13" ht="18.75">
      <c r="B1" s="36" t="s">
        <v>246</v>
      </c>
      <c r="C1" s="5"/>
      <c r="F1" s="36" t="s">
        <v>213</v>
      </c>
      <c r="G1" s="126"/>
      <c r="H1" s="126"/>
      <c r="I1" s="126"/>
      <c r="J1" s="126"/>
      <c r="K1" s="126"/>
      <c r="L1" s="126"/>
      <c r="M1" s="126"/>
    </row>
    <row r="2" spans="2:13">
      <c r="B2" s="2" t="s">
        <v>290</v>
      </c>
      <c r="C2" s="5"/>
      <c r="G2" s="126"/>
      <c r="H2" s="126"/>
      <c r="I2" s="126"/>
      <c r="J2" s="126"/>
      <c r="K2" s="126"/>
      <c r="L2" s="126"/>
      <c r="M2" s="126"/>
    </row>
    <row r="3" spans="2:13">
      <c r="B3" s="6"/>
      <c r="C3" s="5"/>
      <c r="G3" s="126"/>
      <c r="H3" s="126"/>
      <c r="I3" s="126"/>
      <c r="J3" s="126"/>
      <c r="K3" s="126"/>
      <c r="L3" s="126"/>
      <c r="M3" s="126"/>
    </row>
    <row r="4" spans="2:13" ht="18.75">
      <c r="B4" s="70" t="s">
        <v>227</v>
      </c>
      <c r="C4" s="5"/>
      <c r="G4" s="126"/>
      <c r="H4" s="126"/>
      <c r="I4" s="126"/>
      <c r="J4" s="126"/>
      <c r="K4" s="126"/>
      <c r="L4" s="126"/>
      <c r="M4" s="126"/>
    </row>
    <row r="5" spans="2:13">
      <c r="G5" s="126"/>
      <c r="H5" s="126"/>
      <c r="I5" s="126"/>
      <c r="J5" s="126"/>
      <c r="K5" s="126"/>
      <c r="L5" s="126"/>
      <c r="M5" s="126"/>
    </row>
    <row r="6" spans="2:13" ht="16.5" thickBot="1">
      <c r="C6" s="112" t="s">
        <v>8</v>
      </c>
      <c r="E6" s="4"/>
      <c r="F6" s="4"/>
      <c r="G6" s="126"/>
      <c r="H6" s="126"/>
      <c r="I6" s="126"/>
      <c r="J6" s="126"/>
      <c r="K6" s="126"/>
      <c r="L6" s="126"/>
      <c r="M6" s="126"/>
    </row>
    <row r="7" spans="2:13">
      <c r="B7" s="52"/>
      <c r="C7" s="177" t="s">
        <v>9</v>
      </c>
      <c r="D7" s="79" t="s">
        <v>10</v>
      </c>
      <c r="E7" s="83" t="s">
        <v>11</v>
      </c>
      <c r="F7" s="79" t="s">
        <v>12</v>
      </c>
      <c r="G7" s="126"/>
      <c r="H7" s="126"/>
      <c r="I7" s="126"/>
      <c r="J7" s="126"/>
      <c r="K7" s="126"/>
      <c r="L7" s="126"/>
      <c r="M7" s="126"/>
    </row>
    <row r="8" spans="2:13">
      <c r="B8" s="52"/>
      <c r="C8" s="178" t="s">
        <v>13</v>
      </c>
      <c r="D8" s="81" t="s">
        <v>14</v>
      </c>
      <c r="E8" s="84" t="s">
        <v>15</v>
      </c>
      <c r="F8" s="80" t="s">
        <v>16</v>
      </c>
      <c r="G8" s="126"/>
      <c r="H8" s="126"/>
      <c r="I8" s="126"/>
      <c r="J8" s="126"/>
      <c r="K8" s="126"/>
      <c r="L8" s="126"/>
      <c r="M8" s="126"/>
    </row>
    <row r="9" spans="2:13" ht="15.75" thickBot="1">
      <c r="B9" s="52"/>
      <c r="C9" s="179" t="s">
        <v>17</v>
      </c>
      <c r="D9" s="82">
        <v>6</v>
      </c>
      <c r="E9" s="85" t="s">
        <v>17</v>
      </c>
      <c r="F9" s="82">
        <v>1.5</v>
      </c>
      <c r="G9" s="126"/>
      <c r="H9" s="126"/>
      <c r="I9" s="126"/>
      <c r="J9" s="126"/>
      <c r="K9" s="126"/>
      <c r="L9" s="126"/>
      <c r="M9" s="126"/>
    </row>
    <row r="10" spans="2:13" ht="15.75" thickBot="1">
      <c r="B10" s="52"/>
      <c r="C10" s="52"/>
      <c r="D10" s="33"/>
      <c r="E10" s="49"/>
      <c r="F10" s="49"/>
      <c r="G10" s="126"/>
      <c r="H10" s="126"/>
      <c r="I10" s="126"/>
      <c r="J10" s="126"/>
      <c r="K10" s="126"/>
      <c r="L10" s="126"/>
      <c r="M10" s="126"/>
    </row>
    <row r="11" spans="2:13">
      <c r="B11" s="52"/>
      <c r="C11" s="177" t="s">
        <v>18</v>
      </c>
      <c r="D11" s="79" t="s">
        <v>19</v>
      </c>
      <c r="E11" s="87" t="s">
        <v>20</v>
      </c>
      <c r="F11" s="102" t="s">
        <v>21</v>
      </c>
      <c r="G11" s="126"/>
      <c r="H11" s="126"/>
      <c r="I11" s="126"/>
      <c r="J11" s="126"/>
      <c r="K11" s="126"/>
      <c r="L11" s="126"/>
      <c r="M11" s="126"/>
    </row>
    <row r="12" spans="2:13">
      <c r="B12" s="52"/>
      <c r="C12" s="178" t="s">
        <v>22</v>
      </c>
      <c r="D12" s="81" t="s">
        <v>23</v>
      </c>
      <c r="E12" s="103" t="s">
        <v>24</v>
      </c>
      <c r="F12" s="104" t="s">
        <v>25</v>
      </c>
      <c r="G12" s="126"/>
      <c r="H12" s="126"/>
      <c r="I12" s="126"/>
      <c r="J12" s="126"/>
      <c r="K12" s="126"/>
      <c r="L12" s="126"/>
      <c r="M12" s="126"/>
    </row>
    <row r="13" spans="2:13" ht="15.75" thickBot="1">
      <c r="B13" s="52"/>
      <c r="C13" s="179" t="s">
        <v>17</v>
      </c>
      <c r="D13" s="82">
        <v>5</v>
      </c>
      <c r="E13" s="86" t="s">
        <v>17</v>
      </c>
      <c r="F13" s="82">
        <v>8</v>
      </c>
      <c r="G13" s="126"/>
      <c r="H13" s="126"/>
      <c r="I13" s="126"/>
      <c r="J13" s="126"/>
      <c r="K13" s="126"/>
      <c r="L13" s="126"/>
      <c r="M13" s="126"/>
    </row>
    <row r="14" spans="2:13">
      <c r="G14" s="126"/>
      <c r="H14" s="126"/>
      <c r="I14" s="130"/>
      <c r="J14" s="128"/>
      <c r="K14" s="128"/>
      <c r="L14" s="128"/>
      <c r="M14" s="148"/>
    </row>
    <row r="15" spans="2:13">
      <c r="G15" s="126"/>
      <c r="H15" s="126"/>
      <c r="I15" s="126"/>
      <c r="J15" s="126"/>
      <c r="K15" s="126"/>
      <c r="L15" s="126"/>
      <c r="M15" s="126"/>
    </row>
    <row r="29" spans="2:13">
      <c r="B29" s="22" t="s">
        <v>0</v>
      </c>
    </row>
    <row r="30" spans="2:13">
      <c r="B30" s="3" t="s">
        <v>1</v>
      </c>
      <c r="G30" s="126"/>
      <c r="H30" s="126"/>
      <c r="I30" s="126"/>
      <c r="J30" s="126"/>
      <c r="K30" s="126"/>
      <c r="L30" s="126"/>
      <c r="M30" s="126"/>
    </row>
    <row r="31" spans="2:13">
      <c r="B31" s="22" t="s">
        <v>2</v>
      </c>
      <c r="G31" s="126"/>
      <c r="H31" s="126"/>
      <c r="I31" s="126"/>
      <c r="J31" s="126"/>
      <c r="K31" s="126"/>
      <c r="L31" s="126"/>
      <c r="M31" s="126"/>
    </row>
    <row r="32" spans="2:13">
      <c r="B32" s="22" t="s">
        <v>3</v>
      </c>
      <c r="G32" s="126"/>
      <c r="H32" s="126"/>
      <c r="I32" s="126"/>
      <c r="J32" s="126"/>
      <c r="K32" s="126"/>
      <c r="L32" s="126"/>
      <c r="M32" s="126"/>
    </row>
    <row r="33" spans="2:15">
      <c r="B33" s="22" t="s">
        <v>4</v>
      </c>
      <c r="G33" s="126"/>
      <c r="H33" s="126"/>
      <c r="I33" s="126"/>
      <c r="J33" s="126"/>
      <c r="K33" s="126"/>
      <c r="L33" s="126"/>
      <c r="M33" s="126"/>
    </row>
    <row r="34" spans="2:15">
      <c r="B34" s="23" t="s">
        <v>5</v>
      </c>
      <c r="G34" s="126"/>
      <c r="H34" s="126"/>
      <c r="I34" s="126"/>
      <c r="J34" s="126"/>
      <c r="K34" s="126"/>
      <c r="L34" s="126"/>
      <c r="M34" s="126"/>
    </row>
    <row r="35" spans="2:15">
      <c r="G35" s="126"/>
      <c r="H35" s="126"/>
      <c r="I35" s="126"/>
      <c r="J35" s="126"/>
      <c r="K35" s="126"/>
      <c r="L35" s="126"/>
      <c r="M35" s="126"/>
    </row>
    <row r="36" spans="2:15">
      <c r="G36" s="126"/>
      <c r="H36" s="126"/>
      <c r="I36" s="126"/>
      <c r="J36" s="126"/>
      <c r="K36" s="126"/>
      <c r="L36" s="126"/>
      <c r="M36" s="126"/>
    </row>
    <row r="37" spans="2:15" ht="18.75">
      <c r="B37" s="111" t="s">
        <v>292</v>
      </c>
      <c r="G37" s="126"/>
      <c r="H37" s="126"/>
      <c r="I37" s="126"/>
      <c r="J37" s="126"/>
      <c r="K37" s="126"/>
      <c r="L37" s="126"/>
      <c r="M37" s="126"/>
    </row>
    <row r="38" spans="2:15" ht="18.75">
      <c r="B38" s="8" t="s">
        <v>277</v>
      </c>
      <c r="C38" s="5"/>
      <c r="G38" s="126"/>
      <c r="H38" s="126"/>
      <c r="I38" s="126"/>
      <c r="J38" s="126"/>
      <c r="K38" s="126"/>
      <c r="L38" s="126"/>
      <c r="M38" s="126"/>
    </row>
    <row r="39" spans="2:15" ht="19.5" thickBot="1">
      <c r="B39" s="8" t="s">
        <v>53</v>
      </c>
      <c r="C39" s="7" t="s">
        <v>26</v>
      </c>
      <c r="G39" s="130"/>
      <c r="H39" s="126"/>
      <c r="I39" s="126"/>
      <c r="J39" s="126"/>
      <c r="K39" s="126"/>
      <c r="L39" s="126"/>
      <c r="M39" s="126"/>
      <c r="O39" s="13"/>
    </row>
    <row r="40" spans="2:15">
      <c r="B40" s="10" t="s">
        <v>27</v>
      </c>
      <c r="C40" s="68">
        <v>580</v>
      </c>
      <c r="D40" s="11" t="s">
        <v>34</v>
      </c>
      <c r="G40" s="130"/>
      <c r="H40" s="126"/>
      <c r="I40" s="126"/>
      <c r="J40" s="126"/>
      <c r="K40" s="126"/>
      <c r="L40" s="126"/>
      <c r="M40" s="126"/>
      <c r="O40" s="13"/>
    </row>
    <row r="41" spans="2:15">
      <c r="B41" s="12" t="s">
        <v>71</v>
      </c>
      <c r="C41" s="25">
        <v>10</v>
      </c>
      <c r="D41" s="11" t="s">
        <v>35</v>
      </c>
      <c r="G41" s="130"/>
      <c r="H41" s="126"/>
      <c r="I41" s="126"/>
      <c r="J41" s="126"/>
      <c r="K41" s="126"/>
      <c r="L41" s="126"/>
      <c r="M41" s="126"/>
      <c r="O41" s="13"/>
    </row>
    <row r="42" spans="2:15">
      <c r="B42" s="12" t="s">
        <v>69</v>
      </c>
      <c r="C42" s="40">
        <v>0.85</v>
      </c>
      <c r="D42" s="11"/>
      <c r="G42" s="130"/>
      <c r="H42" s="126"/>
      <c r="I42" s="126"/>
      <c r="J42" s="126"/>
      <c r="K42" s="126"/>
      <c r="L42" s="126"/>
      <c r="M42" s="126"/>
      <c r="O42" s="13"/>
    </row>
    <row r="43" spans="2:15" ht="15.75" thickBot="1">
      <c r="B43" s="12" t="s">
        <v>276</v>
      </c>
      <c r="C43" s="17">
        <v>12735</v>
      </c>
      <c r="D43" s="11" t="s">
        <v>34</v>
      </c>
      <c r="G43" s="130"/>
      <c r="H43" s="126"/>
      <c r="I43" s="126"/>
      <c r="J43" s="126"/>
      <c r="K43" s="126"/>
      <c r="L43" s="126"/>
      <c r="M43" s="126"/>
      <c r="O43" s="13"/>
    </row>
    <row r="44" spans="2:15">
      <c r="B44" s="6"/>
      <c r="C44" s="7" t="s">
        <v>32</v>
      </c>
      <c r="G44" s="130"/>
      <c r="H44" s="126"/>
      <c r="I44" s="126"/>
      <c r="J44" s="126"/>
      <c r="K44" s="126"/>
      <c r="L44" s="126"/>
      <c r="M44" s="126"/>
      <c r="O44" s="13"/>
    </row>
    <row r="45" spans="2:15" ht="15.75" thickBot="1">
      <c r="B45" s="12" t="s">
        <v>127</v>
      </c>
      <c r="C45" s="9" t="s">
        <v>235</v>
      </c>
      <c r="D45" s="11"/>
      <c r="G45" s="130"/>
      <c r="H45" s="126"/>
      <c r="I45" s="126"/>
      <c r="J45" s="126"/>
      <c r="K45" s="126"/>
      <c r="L45" s="126"/>
      <c r="M45" s="126"/>
      <c r="O45" s="13"/>
    </row>
    <row r="46" spans="2:15" ht="15.75" thickBot="1">
      <c r="B46" s="12" t="s">
        <v>17</v>
      </c>
      <c r="C46" s="14">
        <f>C40*C41/ (2*C43*C42 + 0.6*C40)</f>
        <v>0.2636663257188317</v>
      </c>
      <c r="D46" s="11" t="s">
        <v>35</v>
      </c>
      <c r="E46" s="71" t="str">
        <f>IF(C46&gt;0.125,"t &gt; 0.125in OK","t &lt; 0.125in Not OK")</f>
        <v>t &gt; 0.125in OK</v>
      </c>
      <c r="F46" s="72"/>
      <c r="G46" s="73"/>
      <c r="H46" s="126"/>
      <c r="I46" s="126"/>
      <c r="J46" s="126"/>
      <c r="K46" s="126"/>
      <c r="L46" s="126"/>
      <c r="M46" s="126"/>
      <c r="O46" s="13"/>
    </row>
    <row r="47" spans="2:15" ht="15.75" thickBot="1">
      <c r="B47" s="12" t="s">
        <v>73</v>
      </c>
      <c r="C47" s="9" t="s">
        <v>236</v>
      </c>
      <c r="G47" s="6"/>
      <c r="H47" s="126"/>
      <c r="I47" s="126"/>
      <c r="J47" s="126"/>
      <c r="K47" s="126"/>
      <c r="L47" s="126"/>
      <c r="M47" s="126"/>
      <c r="O47" s="13"/>
    </row>
    <row r="48" spans="2:15" ht="15.75" thickBot="1">
      <c r="B48" s="12" t="s">
        <v>17</v>
      </c>
      <c r="C48" s="38">
        <f>C40*C41/ (C43*C42- 0.4*C40)</f>
        <v>0.54754431096740697</v>
      </c>
      <c r="D48" s="11" t="s">
        <v>35</v>
      </c>
      <c r="E48" s="71" t="str">
        <f>IF(C48&gt;0.125,"t &gt; 0.125in OK","t &lt; 0.125in Not OK")</f>
        <v>t &gt; 0.125in OK</v>
      </c>
      <c r="F48" s="72"/>
      <c r="G48" s="73"/>
      <c r="H48" s="126"/>
      <c r="I48" s="126"/>
      <c r="J48" s="126"/>
      <c r="K48" s="126"/>
      <c r="L48" s="126"/>
      <c r="M48" s="126"/>
      <c r="O48" s="13"/>
    </row>
    <row r="49" spans="2:15">
      <c r="B49" s="12" t="s">
        <v>39</v>
      </c>
      <c r="C49" s="5"/>
      <c r="G49" s="130"/>
      <c r="H49" s="126"/>
      <c r="I49" s="126"/>
      <c r="J49" s="126"/>
      <c r="K49" s="126"/>
      <c r="L49" s="126"/>
      <c r="M49" s="126"/>
      <c r="O49" s="13"/>
    </row>
    <row r="50" spans="2:15">
      <c r="B50" s="37" t="s">
        <v>237</v>
      </c>
      <c r="C50" s="5"/>
      <c r="G50" s="130"/>
      <c r="H50" s="126"/>
      <c r="I50" s="126"/>
      <c r="J50" s="126"/>
      <c r="K50" s="126"/>
      <c r="L50" s="126"/>
      <c r="M50" s="126"/>
      <c r="O50" s="13"/>
    </row>
    <row r="51" spans="2:15">
      <c r="G51" s="126"/>
      <c r="H51" s="126"/>
      <c r="I51" s="126"/>
      <c r="J51" s="126"/>
      <c r="K51" s="126"/>
      <c r="L51" s="126"/>
      <c r="M51" s="126"/>
    </row>
    <row r="52" spans="2:15" ht="18.75">
      <c r="B52" s="8" t="s">
        <v>278</v>
      </c>
      <c r="G52" s="126"/>
      <c r="H52" s="126"/>
      <c r="I52" s="126"/>
      <c r="J52" s="126"/>
      <c r="K52" s="126"/>
      <c r="L52" s="126"/>
      <c r="M52" s="126"/>
    </row>
    <row r="53" spans="2:15" ht="18.75">
      <c r="B53" s="8" t="s">
        <v>53</v>
      </c>
      <c r="G53" s="126"/>
      <c r="H53" s="126"/>
      <c r="I53" s="126"/>
      <c r="J53" s="126"/>
      <c r="K53" s="126"/>
      <c r="L53" s="126"/>
      <c r="M53" s="126"/>
    </row>
    <row r="54" spans="2:15" ht="18.75">
      <c r="B54" s="8" t="s">
        <v>52</v>
      </c>
      <c r="G54" s="126"/>
      <c r="H54" s="126"/>
      <c r="I54" s="126"/>
      <c r="J54" s="126"/>
      <c r="K54" s="126"/>
      <c r="L54" s="126"/>
      <c r="M54" s="126"/>
    </row>
    <row r="55" spans="2:15" ht="19.5" thickBot="1">
      <c r="B55" s="8"/>
      <c r="C55" s="7" t="s">
        <v>26</v>
      </c>
      <c r="G55" s="130"/>
      <c r="H55" s="126"/>
      <c r="I55" s="126"/>
      <c r="J55" s="126"/>
      <c r="K55" s="126"/>
      <c r="L55" s="126"/>
      <c r="M55" s="126"/>
    </row>
    <row r="56" spans="2:15">
      <c r="B56" s="10" t="s">
        <v>27</v>
      </c>
      <c r="C56" s="121">
        <v>1830.7938112760019</v>
      </c>
      <c r="D56" s="11" t="s">
        <v>34</v>
      </c>
      <c r="G56" s="130"/>
      <c r="H56" s="126"/>
      <c r="I56" s="126"/>
      <c r="J56" s="126"/>
      <c r="K56" s="126"/>
      <c r="L56" s="126"/>
      <c r="M56" s="126"/>
    </row>
    <row r="57" spans="2:15">
      <c r="B57" s="12" t="s">
        <v>71</v>
      </c>
      <c r="C57" s="122">
        <v>1.3779999999999999</v>
      </c>
      <c r="D57" s="11" t="s">
        <v>35</v>
      </c>
      <c r="G57" s="130"/>
      <c r="H57" s="126"/>
      <c r="I57" s="126"/>
      <c r="J57" s="126"/>
      <c r="K57" s="126"/>
      <c r="L57" s="126"/>
      <c r="M57" s="126"/>
    </row>
    <row r="58" spans="2:15">
      <c r="B58" s="12" t="s">
        <v>69</v>
      </c>
      <c r="C58" s="123">
        <v>0.85</v>
      </c>
      <c r="D58" s="11"/>
      <c r="G58" s="130"/>
      <c r="H58" s="126"/>
      <c r="I58" s="126"/>
      <c r="J58" s="126"/>
      <c r="K58" s="126"/>
      <c r="L58" s="126"/>
      <c r="M58" s="126"/>
    </row>
    <row r="59" spans="2:15" ht="15.75" thickBot="1">
      <c r="B59" s="12" t="s">
        <v>276</v>
      </c>
      <c r="C59" s="124">
        <v>12735</v>
      </c>
      <c r="D59" s="11" t="s">
        <v>34</v>
      </c>
      <c r="G59" s="130"/>
      <c r="H59" s="126"/>
      <c r="I59" s="126"/>
      <c r="J59" s="126"/>
      <c r="K59" s="126"/>
      <c r="L59" s="126"/>
      <c r="M59" s="126"/>
    </row>
    <row r="60" spans="2:15">
      <c r="B60" s="6"/>
      <c r="C60" s="7" t="s">
        <v>32</v>
      </c>
      <c r="G60" s="130"/>
      <c r="H60" s="126"/>
      <c r="I60" s="126"/>
      <c r="J60" s="126"/>
      <c r="K60" s="126"/>
      <c r="L60" s="126"/>
      <c r="M60" s="126"/>
    </row>
    <row r="61" spans="2:15" ht="15.75" thickBot="1">
      <c r="B61" s="12" t="s">
        <v>127</v>
      </c>
      <c r="C61" s="9" t="s">
        <v>235</v>
      </c>
      <c r="D61" s="11"/>
      <c r="G61" s="130"/>
      <c r="H61" s="126"/>
      <c r="I61" s="126"/>
      <c r="J61" s="126"/>
      <c r="K61" s="126"/>
      <c r="L61" s="126"/>
      <c r="M61" s="126"/>
    </row>
    <row r="62" spans="2:15" ht="15.75" thickBot="1">
      <c r="B62" s="12" t="s">
        <v>17</v>
      </c>
      <c r="C62" s="14">
        <f>C56*C57/ (2*C59*C58 + 0.6*C56)</f>
        <v>0.11090366194051617</v>
      </c>
      <c r="D62" s="11" t="s">
        <v>35</v>
      </c>
      <c r="E62" s="71" t="str">
        <f>IF(C62&gt;0.125,"t &gt; 0.125in OK","t &lt; 0.125in Not OK")</f>
        <v>t &lt; 0.125in Not OK</v>
      </c>
      <c r="F62" s="72"/>
      <c r="G62" s="73"/>
      <c r="H62" s="126"/>
      <c r="I62" s="126"/>
      <c r="J62" s="126"/>
      <c r="K62" s="126"/>
      <c r="L62" s="126"/>
      <c r="M62" s="126"/>
    </row>
    <row r="63" spans="2:15" ht="15.75" thickBot="1">
      <c r="B63" s="12" t="s">
        <v>73</v>
      </c>
      <c r="C63" s="9" t="s">
        <v>236</v>
      </c>
      <c r="G63" s="6"/>
      <c r="H63" s="126"/>
      <c r="I63" s="126"/>
      <c r="J63" s="126"/>
      <c r="K63" s="126"/>
      <c r="L63" s="126"/>
      <c r="M63" s="126"/>
    </row>
    <row r="64" spans="2:15" ht="15.75" thickBot="1">
      <c r="B64" s="12" t="s">
        <v>17</v>
      </c>
      <c r="C64" s="125">
        <f>C56*C57/ (C59*C58- 0.4*C56)</f>
        <v>0.24997282647818203</v>
      </c>
      <c r="D64" s="11" t="s">
        <v>35</v>
      </c>
      <c r="E64" s="71" t="str">
        <f>IF(C64&gt;0.125,"t &gt; 0.125in OK","t &lt; 0.125in Not OK")</f>
        <v>t &gt; 0.125in OK</v>
      </c>
      <c r="F64" s="72"/>
      <c r="G64" s="73"/>
      <c r="H64" s="126"/>
      <c r="I64" s="126"/>
      <c r="J64" s="126"/>
      <c r="K64" s="126"/>
      <c r="L64" s="126"/>
      <c r="M64" s="126"/>
    </row>
    <row r="65" spans="2:13">
      <c r="B65" s="12" t="s">
        <v>39</v>
      </c>
      <c r="C65" s="5"/>
      <c r="G65" s="130"/>
      <c r="H65" s="126"/>
      <c r="I65" s="126"/>
      <c r="J65" s="126"/>
      <c r="K65" s="126"/>
      <c r="L65" s="126"/>
      <c r="M65" s="126"/>
    </row>
    <row r="66" spans="2:13">
      <c r="B66" s="37" t="s">
        <v>237</v>
      </c>
      <c r="C66" s="5"/>
      <c r="G66" s="130"/>
      <c r="H66" s="126"/>
      <c r="I66" s="126"/>
      <c r="J66" s="126"/>
      <c r="K66" s="126"/>
      <c r="L66" s="126"/>
      <c r="M66" s="126"/>
    </row>
    <row r="67" spans="2:13">
      <c r="G67" s="126"/>
      <c r="H67" s="126"/>
      <c r="I67" s="126"/>
      <c r="J67" s="126"/>
      <c r="K67" s="126"/>
      <c r="L67" s="126"/>
      <c r="M67" s="126"/>
    </row>
    <row r="68" spans="2:13">
      <c r="J68" s="126"/>
      <c r="K68" s="126"/>
      <c r="L68" s="126"/>
      <c r="M68" s="126"/>
    </row>
    <row r="69" spans="2:13">
      <c r="B69" s="11" t="s">
        <v>279</v>
      </c>
      <c r="J69" s="126"/>
      <c r="K69" s="126"/>
      <c r="L69" s="126"/>
      <c r="M69" s="126"/>
    </row>
    <row r="70" spans="2:13">
      <c r="B70" s="11" t="s">
        <v>50</v>
      </c>
      <c r="J70" s="126"/>
      <c r="K70" s="126"/>
      <c r="L70" s="126"/>
      <c r="M70" s="126"/>
    </row>
    <row r="71" spans="2:13">
      <c r="B71" s="11" t="s">
        <v>280</v>
      </c>
      <c r="J71" s="126"/>
      <c r="K71" s="126"/>
      <c r="L71" s="126"/>
      <c r="M71" s="126"/>
    </row>
    <row r="72" spans="2:13">
      <c r="B72" s="11" t="s">
        <v>281</v>
      </c>
      <c r="J72" s="126"/>
      <c r="K72" s="126"/>
      <c r="L72" s="126"/>
      <c r="M72" s="126"/>
    </row>
    <row r="73" spans="2:13">
      <c r="B73" s="11" t="s">
        <v>51</v>
      </c>
      <c r="J73" s="126"/>
      <c r="K73" s="126"/>
      <c r="L73" s="126"/>
      <c r="M73" s="126"/>
    </row>
    <row r="74" spans="2:13">
      <c r="J74" s="126"/>
      <c r="K74" s="126"/>
      <c r="L74" s="126"/>
      <c r="M74" s="126"/>
    </row>
    <row r="75" spans="2:13">
      <c r="B75" s="11" t="s">
        <v>282</v>
      </c>
      <c r="J75" s="126"/>
      <c r="K75" s="126"/>
      <c r="L75" s="126"/>
      <c r="M75" s="126"/>
    </row>
    <row r="79" spans="2:13">
      <c r="G79" s="126"/>
      <c r="H79" s="126"/>
      <c r="I79" s="126"/>
      <c r="J79" s="126"/>
      <c r="K79" s="126"/>
      <c r="L79" s="126"/>
      <c r="M79" s="126"/>
    </row>
    <row r="80" spans="2:13">
      <c r="G80" s="126"/>
      <c r="H80" s="126"/>
      <c r="I80" s="126"/>
      <c r="J80" s="126"/>
      <c r="K80" s="126"/>
      <c r="L80" s="126"/>
      <c r="M80" s="126"/>
    </row>
    <row r="81" spans="2:13">
      <c r="G81" s="126"/>
      <c r="H81" s="126"/>
      <c r="I81" s="126"/>
      <c r="J81" s="126"/>
      <c r="K81" s="126"/>
      <c r="L81" s="126"/>
      <c r="M81" s="126"/>
    </row>
    <row r="82" spans="2:13">
      <c r="G82" s="126"/>
      <c r="H82" s="126"/>
      <c r="I82" s="126"/>
      <c r="J82" s="126"/>
      <c r="K82" s="126"/>
      <c r="L82" s="126"/>
      <c r="M82" s="126"/>
    </row>
    <row r="83" spans="2:13">
      <c r="C83" s="5"/>
      <c r="G83" s="126"/>
      <c r="H83" s="126"/>
      <c r="I83" s="126"/>
      <c r="J83" s="126"/>
      <c r="K83" s="126"/>
      <c r="L83" s="126"/>
      <c r="M83" s="126"/>
    </row>
    <row r="84" spans="2:13">
      <c r="G84" s="126"/>
      <c r="H84" s="126"/>
      <c r="I84" s="126"/>
      <c r="J84" s="126"/>
      <c r="K84" s="126"/>
      <c r="L84" s="126"/>
      <c r="M84" s="126"/>
    </row>
    <row r="85" spans="2:13">
      <c r="G85" s="126"/>
      <c r="H85" s="126"/>
      <c r="I85" s="126"/>
      <c r="J85" s="126"/>
      <c r="K85" s="126"/>
      <c r="L85" s="126"/>
      <c r="M85" s="126"/>
    </row>
    <row r="86" spans="2:13">
      <c r="B86" s="43"/>
      <c r="C86" s="48"/>
      <c r="D86" s="49"/>
      <c r="E86" s="49"/>
      <c r="F86" s="49"/>
      <c r="G86" s="126"/>
      <c r="H86" s="126"/>
      <c r="I86" s="126"/>
      <c r="J86" s="126"/>
      <c r="K86" s="126"/>
      <c r="L86" s="126"/>
      <c r="M86" s="126"/>
    </row>
    <row r="87" spans="2:13">
      <c r="B87" s="50"/>
      <c r="C87" s="113"/>
      <c r="D87" s="51"/>
      <c r="E87" s="49"/>
      <c r="F87" s="49"/>
      <c r="G87" s="126"/>
      <c r="H87" s="126"/>
      <c r="I87" s="126"/>
      <c r="J87" s="126"/>
      <c r="K87" s="126"/>
      <c r="L87" s="126"/>
      <c r="M87" s="126"/>
    </row>
    <row r="88" spans="2:13">
      <c r="B88" s="32"/>
      <c r="C88" s="44"/>
      <c r="D88" s="51"/>
      <c r="E88" s="49"/>
      <c r="F88" s="49"/>
      <c r="G88" s="126"/>
      <c r="H88" s="126"/>
      <c r="I88" s="126"/>
      <c r="J88" s="126"/>
      <c r="K88" s="126"/>
      <c r="L88" s="126"/>
      <c r="M88" s="126"/>
    </row>
    <row r="89" spans="2:13">
      <c r="B89" s="32"/>
      <c r="C89" s="43"/>
      <c r="D89" s="51"/>
      <c r="E89" s="49"/>
      <c r="F89" s="49"/>
      <c r="G89" s="126"/>
      <c r="H89" s="126"/>
      <c r="I89" s="126"/>
      <c r="J89" s="126"/>
      <c r="K89" s="126"/>
      <c r="L89" s="126"/>
      <c r="M89" s="126"/>
    </row>
    <row r="90" spans="2:13">
      <c r="B90" s="32"/>
      <c r="C90" s="114"/>
      <c r="D90" s="51"/>
      <c r="E90" s="49"/>
      <c r="F90" s="49"/>
    </row>
    <row r="91" spans="2:13">
      <c r="B91" s="52"/>
      <c r="C91" s="48"/>
      <c r="D91" s="49"/>
      <c r="E91" s="49"/>
      <c r="F91" s="49"/>
    </row>
    <row r="92" spans="2:13">
      <c r="B92" s="32"/>
      <c r="C92" s="54"/>
      <c r="D92" s="51"/>
      <c r="E92" s="49"/>
      <c r="F92" s="49"/>
    </row>
    <row r="93" spans="2:13">
      <c r="B93" s="32"/>
      <c r="C93" s="120"/>
      <c r="D93" s="51"/>
      <c r="E93" s="49"/>
      <c r="F93" s="49"/>
    </row>
    <row r="94" spans="2:13">
      <c r="B94" s="32"/>
      <c r="C94" s="33"/>
      <c r="D94" s="49"/>
      <c r="E94" s="49"/>
      <c r="F94" s="49"/>
    </row>
  </sheetData>
  <sheetProtection sheet="1" objects="1" scenarios="1" formatCells="0" selectLockedCells="1"/>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dimension ref="B1:L22"/>
  <sheetViews>
    <sheetView zoomScaleNormal="100" workbookViewId="0">
      <selection activeCell="I4" sqref="I4"/>
    </sheetView>
  </sheetViews>
  <sheetFormatPr defaultRowHeight="15"/>
  <cols>
    <col min="1" max="1" width="4.140625" customWidth="1"/>
  </cols>
  <sheetData>
    <row r="1" spans="2:12" ht="18.75">
      <c r="B1" s="36" t="s">
        <v>246</v>
      </c>
      <c r="J1" s="36" t="s">
        <v>213</v>
      </c>
    </row>
    <row r="2" spans="2:12">
      <c r="B2" s="2" t="s">
        <v>290</v>
      </c>
    </row>
    <row r="3" spans="2:12" ht="15.75">
      <c r="B3" s="1"/>
    </row>
    <row r="4" spans="2:12" ht="18.75">
      <c r="B4" s="70" t="s">
        <v>216</v>
      </c>
    </row>
    <row r="6" spans="2:12">
      <c r="L6" t="s">
        <v>6</v>
      </c>
    </row>
    <row r="22" spans="12:12">
      <c r="L22" t="s">
        <v>7</v>
      </c>
    </row>
  </sheetData>
  <sheetProtection sheet="1" objects="1" scenarios="1" formatCells="0" selectLockedCells="1"/>
  <pageMargins left="0.7" right="0.7" top="0.75" bottom="0.75" header="0.3" footer="0.3"/>
  <pageSetup orientation="portrait" horizontalDpi="300" vertic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INTRODUCTION</vt:lpstr>
      <vt:lpstr>PRESSURE VESSELS</vt:lpstr>
      <vt:lpstr>NOZZELS</vt:lpstr>
      <vt:lpstr>MATH TOOLS</vt:lpstr>
      <vt:lpstr>MATERIALS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Robert Andrew</dc:creator>
  <cp:lastModifiedBy> </cp:lastModifiedBy>
  <cp:lastPrinted>2012-06-11T14:26:12Z</cp:lastPrinted>
  <dcterms:created xsi:type="dcterms:W3CDTF">2011-06-09T14:39:50Z</dcterms:created>
  <dcterms:modified xsi:type="dcterms:W3CDTF">2015-12-14T03:03:53Z</dcterms:modified>
</cp:coreProperties>
</file>