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ti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defaultThemeVersion="124226"/>
  <mc:AlternateContent xmlns:mc="http://schemas.openxmlformats.org/markup-compatibility/2006">
    <mc:Choice Requires="x15">
      <x15ac:absPath xmlns:x15ac="http://schemas.microsoft.com/office/spreadsheetml/2010/11/ac" url="C:\Users\jrand\Documents\AMAZON-PC\PDH ENGINEERS\"/>
    </mc:Choice>
  </mc:AlternateContent>
  <xr:revisionPtr revIDLastSave="0" documentId="13_ncr:1_{FCA8E599-7752-4688-A8A9-E09F816D7C8B}" xr6:coauthVersionLast="47" xr6:coauthVersionMax="47" xr10:uidLastSave="{00000000-0000-0000-0000-000000000000}"/>
  <bookViews>
    <workbookView xWindow="-120" yWindow="-120" windowWidth="29040" windowHeight="15720" xr2:uid="{00000000-000D-0000-FFFF-FFFF00000000}"/>
  </bookViews>
  <sheets>
    <sheet name="INTRODUCTION" sheetId="4" r:id="rId1"/>
    <sheet name="COOLING_" sheetId="9" r:id="rId2"/>
    <sheet name="COOLING-LOAD" sheetId="7" r:id="rId3"/>
    <sheet name="HEATING " sheetId="2" r:id="rId4"/>
    <sheet name="PROBLEM SOLVER" sheetId="10" r:id="rId5"/>
    <sheet name="DUCTING" sheetId="6" r:id="rId6"/>
    <sheet name="DEGREE DAYS" sheetId="5" r:id="rId7"/>
    <sheet name="UNITS" sheetId="8" r:id="rId8"/>
    <sheet name="MATH TOOLS" sheetId="12" r:id="rId9"/>
  </sheets>
  <definedNames>
    <definedName name="solver_adj" localSheetId="1" hidden="1">COOLING_!$H$348</definedName>
    <definedName name="solver_cvg" localSheetId="1" hidden="1">0.0001</definedName>
    <definedName name="solver_drv" localSheetId="1" hidden="1">1</definedName>
    <definedName name="solver_est" localSheetId="1" hidden="1">1</definedName>
    <definedName name="solver_itr" localSheetId="1" hidden="1">100</definedName>
    <definedName name="solver_lin" localSheetId="1" hidden="1">2</definedName>
    <definedName name="solver_neg" localSheetId="1" hidden="1">2</definedName>
    <definedName name="solver_num" localSheetId="1" hidden="1">0</definedName>
    <definedName name="solver_nwt" localSheetId="1" hidden="1">1</definedName>
    <definedName name="solver_opt" localSheetId="1" hidden="1">COOLING_!$H$354</definedName>
    <definedName name="solver_pre" localSheetId="1" hidden="1">0.000001</definedName>
    <definedName name="solver_scl" localSheetId="1" hidden="1">2</definedName>
    <definedName name="solver_sho" localSheetId="1" hidden="1">2</definedName>
    <definedName name="solver_tim" localSheetId="1" hidden="1">100</definedName>
    <definedName name="solver_tol" localSheetId="1" hidden="1">0.05</definedName>
    <definedName name="solver_typ" localSheetId="1" hidden="1">3</definedName>
    <definedName name="solver_val" localSheetId="1" hidden="1">0</definedName>
    <definedName name="WINTER_DB">'HEATING '!$E$7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42" i="8" l="1"/>
  <c r="I38" i="8"/>
  <c r="I32" i="8"/>
  <c r="F37" i="12" l="1"/>
  <c r="F40" i="12" s="1"/>
  <c r="F35" i="12"/>
  <c r="C40" i="12"/>
  <c r="C38" i="12"/>
  <c r="K142" i="6" l="1"/>
  <c r="G35" i="6"/>
  <c r="G26" i="6"/>
  <c r="F165" i="6"/>
  <c r="N135" i="6"/>
  <c r="O135" i="6" s="1"/>
  <c r="J136" i="6" l="1"/>
  <c r="N136" i="6" s="1"/>
  <c r="O136" i="6" s="1"/>
  <c r="J137" i="6"/>
  <c r="N137" i="6" s="1"/>
  <c r="O137" i="6" s="1"/>
  <c r="J138" i="6"/>
  <c r="N138" i="6" s="1"/>
  <c r="O138" i="6" s="1"/>
  <c r="J139" i="6"/>
  <c r="N139" i="6" s="1"/>
  <c r="O139" i="6" s="1"/>
  <c r="J140" i="6"/>
  <c r="N140" i="6" s="1"/>
  <c r="O140" i="6" s="1"/>
  <c r="J134" i="6"/>
  <c r="N134" i="6" s="1"/>
  <c r="O134" i="6" s="1"/>
  <c r="F150" i="6"/>
  <c r="F152" i="6" s="1"/>
  <c r="P252" i="7"/>
  <c r="M250" i="7"/>
  <c r="D250" i="7"/>
  <c r="M258" i="7"/>
  <c r="D258" i="7"/>
  <c r="M256" i="7"/>
  <c r="D256" i="7"/>
  <c r="M254" i="7"/>
  <c r="D254" i="7"/>
  <c r="M252" i="7"/>
  <c r="D252" i="7"/>
  <c r="G162" i="7"/>
  <c r="P164" i="7"/>
  <c r="P162" i="7"/>
  <c r="F280" i="7"/>
  <c r="E250" i="7" s="1"/>
  <c r="P243" i="7"/>
  <c r="P242" i="7"/>
  <c r="P241" i="7"/>
  <c r="P240" i="7"/>
  <c r="P95" i="7"/>
  <c r="P94" i="7"/>
  <c r="P173" i="7" s="1"/>
  <c r="P91" i="7"/>
  <c r="P172" i="7" s="1"/>
  <c r="P85" i="7"/>
  <c r="P88" i="7" s="1"/>
  <c r="P171" i="7" s="1"/>
  <c r="P81" i="7"/>
  <c r="P83" i="7" s="1"/>
  <c r="P170" i="7" s="1"/>
  <c r="R351" i="9"/>
  <c r="R355" i="9"/>
  <c r="H355" i="9"/>
  <c r="H332" i="9"/>
  <c r="H307" i="9"/>
  <c r="P256" i="7" l="1"/>
  <c r="P244" i="7"/>
  <c r="F250" i="7"/>
  <c r="P166" i="7"/>
  <c r="P181" i="7" s="1"/>
  <c r="P250" i="7"/>
  <c r="P254" i="7"/>
  <c r="P258" i="7"/>
  <c r="O142" i="6"/>
  <c r="P180" i="7"/>
  <c r="P182" i="7"/>
  <c r="P183" i="7" l="1"/>
  <c r="R57" i="7" l="1"/>
  <c r="R58" i="7"/>
  <c r="R56" i="7"/>
  <c r="G94" i="7"/>
  <c r="G180" i="7" s="1"/>
  <c r="G91" i="7"/>
  <c r="G172" i="7" s="1"/>
  <c r="G173" i="7" l="1"/>
  <c r="R59" i="7"/>
  <c r="G95" i="7" l="1"/>
  <c r="G182" i="7" s="1"/>
  <c r="P177" i="7"/>
  <c r="G177" i="7"/>
  <c r="G85" i="7"/>
  <c r="G88" i="7" s="1"/>
  <c r="G171" i="7" s="1"/>
  <c r="F69" i="4"/>
  <c r="F52" i="4"/>
  <c r="F43" i="4"/>
  <c r="G60" i="2"/>
  <c r="G57" i="2"/>
  <c r="G51" i="2"/>
  <c r="G53" i="2" s="1"/>
  <c r="O280" i="7"/>
  <c r="N250" i="7" s="1"/>
  <c r="O250" i="7" s="1"/>
  <c r="Q250" i="7" s="1"/>
  <c r="O279" i="7"/>
  <c r="N256" i="7" s="1"/>
  <c r="O256" i="7" s="1"/>
  <c r="O278" i="7"/>
  <c r="O277" i="7"/>
  <c r="N254" i="7" s="1"/>
  <c r="O254" i="7" s="1"/>
  <c r="O276" i="7"/>
  <c r="Q276" i="9"/>
  <c r="G276" i="9"/>
  <c r="H177" i="10"/>
  <c r="H179" i="10" s="1"/>
  <c r="G164" i="10"/>
  <c r="G165" i="10" s="1"/>
  <c r="G152" i="10"/>
  <c r="G153" i="10" s="1"/>
  <c r="O127" i="10"/>
  <c r="O125" i="10"/>
  <c r="O123" i="10"/>
  <c r="E107" i="10"/>
  <c r="G108" i="10" s="1"/>
  <c r="E105" i="10"/>
  <c r="G106" i="10" s="1"/>
  <c r="E103" i="10"/>
  <c r="G104" i="10" s="1"/>
  <c r="E101" i="10"/>
  <c r="G102" i="10" s="1"/>
  <c r="E99" i="10"/>
  <c r="G99" i="10" s="1"/>
  <c r="H91" i="10"/>
  <c r="H90" i="10"/>
  <c r="H89" i="10"/>
  <c r="H88" i="10"/>
  <c r="H87" i="10"/>
  <c r="H86" i="10"/>
  <c r="G72" i="10"/>
  <c r="G70" i="10"/>
  <c r="G57" i="10"/>
  <c r="G51" i="10"/>
  <c r="G53" i="10" s="1"/>
  <c r="G60" i="10"/>
  <c r="N125" i="2"/>
  <c r="N127" i="2"/>
  <c r="N123" i="2"/>
  <c r="G103" i="10" l="1"/>
  <c r="H108" i="10"/>
  <c r="I108" i="10" s="1"/>
  <c r="H99" i="10"/>
  <c r="H92" i="10"/>
  <c r="G64" i="10" s="1"/>
  <c r="G107" i="10"/>
  <c r="H110" i="2"/>
  <c r="H108" i="2"/>
  <c r="H106" i="2"/>
  <c r="H104" i="2"/>
  <c r="H102" i="2"/>
  <c r="H109" i="2"/>
  <c r="H107" i="2"/>
  <c r="H105" i="2"/>
  <c r="H103" i="2"/>
  <c r="H101" i="2"/>
  <c r="O129" i="10"/>
  <c r="O281" i="7"/>
  <c r="N252" i="7"/>
  <c r="O252" i="7" s="1"/>
  <c r="Q252" i="7" s="1"/>
  <c r="N258" i="7"/>
  <c r="O258" i="7" s="1"/>
  <c r="I99" i="10"/>
  <c r="G100" i="10"/>
  <c r="G101" i="10"/>
  <c r="H102" i="10"/>
  <c r="I102" i="10" s="1"/>
  <c r="H103" i="10"/>
  <c r="G105" i="10"/>
  <c r="H106" i="10"/>
  <c r="I106" i="10" s="1"/>
  <c r="H107" i="10"/>
  <c r="H100" i="10"/>
  <c r="H101" i="10"/>
  <c r="H104" i="10"/>
  <c r="I104" i="10" s="1"/>
  <c r="H105" i="10"/>
  <c r="N129" i="2"/>
  <c r="I103" i="10" l="1"/>
  <c r="I107" i="10"/>
  <c r="G74" i="10"/>
  <c r="G78" i="10" s="1"/>
  <c r="G79" i="10" s="1"/>
  <c r="I101" i="10"/>
  <c r="I105" i="10"/>
  <c r="I100" i="10"/>
  <c r="I109" i="10" l="1"/>
  <c r="G113" i="10" s="1"/>
  <c r="H177" i="2"/>
  <c r="H179" i="2" s="1"/>
  <c r="H89" i="2"/>
  <c r="H90" i="2"/>
  <c r="H88" i="2"/>
  <c r="H91" i="2"/>
  <c r="H92" i="2"/>
  <c r="H87" i="2"/>
  <c r="G72" i="2"/>
  <c r="G70" i="2"/>
  <c r="F86" i="8"/>
  <c r="F13" i="8"/>
  <c r="G19" i="5"/>
  <c r="G16" i="5"/>
  <c r="D17" i="5"/>
  <c r="G17" i="5" s="1"/>
  <c r="G81" i="7"/>
  <c r="G250" i="7" s="1"/>
  <c r="R243" i="9"/>
  <c r="R244" i="9" s="1"/>
  <c r="R245" i="9"/>
  <c r="R246" i="9" s="1"/>
  <c r="R307" i="9"/>
  <c r="R332" i="9"/>
  <c r="R335" i="9"/>
  <c r="R337" i="9"/>
  <c r="R345" i="9"/>
  <c r="H335" i="9"/>
  <c r="H339" i="9" s="1"/>
  <c r="H351" i="9"/>
  <c r="H245" i="9"/>
  <c r="H246" i="9" s="1"/>
  <c r="H243" i="9"/>
  <c r="H244" i="9" s="1"/>
  <c r="P20" i="9"/>
  <c r="H337" i="9"/>
  <c r="P14" i="9"/>
  <c r="G164" i="7"/>
  <c r="O234" i="7"/>
  <c r="O235" i="7" s="1"/>
  <c r="P221" i="7"/>
  <c r="R347" i="9" l="1"/>
  <c r="H248" i="9"/>
  <c r="H349" i="9" s="1"/>
  <c r="G18" i="5"/>
  <c r="H353" i="9"/>
  <c r="Q280" i="7"/>
  <c r="R280" i="7" s="1"/>
  <c r="Q278" i="7"/>
  <c r="R278" i="7" s="1"/>
  <c r="Q276" i="7"/>
  <c r="R276" i="7" s="1"/>
  <c r="Q279" i="7"/>
  <c r="R279" i="7" s="1"/>
  <c r="Q277" i="7"/>
  <c r="R277" i="7" s="1"/>
  <c r="H276" i="7"/>
  <c r="G166" i="7"/>
  <c r="G181" i="7" s="1"/>
  <c r="G183" i="7" s="1"/>
  <c r="G83" i="7"/>
  <c r="G170" i="7" s="1"/>
  <c r="Q254" i="7"/>
  <c r="R339" i="9"/>
  <c r="R341" i="9" s="1"/>
  <c r="R297" i="9" s="1"/>
  <c r="R299" i="9" s="1"/>
  <c r="R300" i="9" s="1"/>
  <c r="H279" i="7"/>
  <c r="G256" i="7"/>
  <c r="H278" i="7"/>
  <c r="G252" i="7"/>
  <c r="H280" i="7"/>
  <c r="G254" i="7"/>
  <c r="G258" i="7"/>
  <c r="H277" i="7"/>
  <c r="H93" i="2"/>
  <c r="R248" i="9"/>
  <c r="H341" i="9"/>
  <c r="H250" i="9"/>
  <c r="H251" i="9" s="1"/>
  <c r="H347" i="9"/>
  <c r="P222" i="7"/>
  <c r="F234" i="7"/>
  <c r="F235" i="7" s="1"/>
  <c r="G243" i="7"/>
  <c r="G242" i="7"/>
  <c r="G241" i="7"/>
  <c r="G240" i="7"/>
  <c r="F279" i="7"/>
  <c r="F278" i="7"/>
  <c r="F277" i="7"/>
  <c r="F276" i="7"/>
  <c r="E252" i="7" s="1"/>
  <c r="E80" i="8"/>
  <c r="E79" i="8"/>
  <c r="E78" i="8"/>
  <c r="E77" i="8"/>
  <c r="E76" i="8"/>
  <c r="E75" i="8"/>
  <c r="E74" i="8"/>
  <c r="E73" i="8"/>
  <c r="E72" i="8"/>
  <c r="E71" i="8"/>
  <c r="E70" i="8"/>
  <c r="E69" i="8"/>
  <c r="E68" i="8"/>
  <c r="E67" i="8"/>
  <c r="E66" i="8"/>
  <c r="E65" i="8"/>
  <c r="E64" i="8"/>
  <c r="E63" i="8"/>
  <c r="E62" i="8"/>
  <c r="E61" i="8"/>
  <c r="E60" i="8"/>
  <c r="E59" i="8"/>
  <c r="E58" i="8"/>
  <c r="E57" i="8"/>
  <c r="E56" i="8"/>
  <c r="E50" i="8"/>
  <c r="E49" i="8"/>
  <c r="E48" i="8"/>
  <c r="E47" i="8"/>
  <c r="E46" i="8"/>
  <c r="E45" i="8"/>
  <c r="E44" i="8"/>
  <c r="E43" i="8"/>
  <c r="E42" i="8"/>
  <c r="E41" i="8"/>
  <c r="E40" i="8"/>
  <c r="E39" i="8"/>
  <c r="E38" i="8"/>
  <c r="E37" i="8"/>
  <c r="E36" i="8"/>
  <c r="E35" i="8"/>
  <c r="E34" i="8"/>
  <c r="E33" i="8"/>
  <c r="E32" i="8"/>
  <c r="E31" i="8"/>
  <c r="E30" i="8"/>
  <c r="E29" i="8"/>
  <c r="E28" i="8"/>
  <c r="E27" i="8"/>
  <c r="F24" i="8"/>
  <c r="C24" i="8"/>
  <c r="F18" i="8"/>
  <c r="C18" i="8"/>
  <c r="C13" i="8"/>
  <c r="P159" i="6"/>
  <c r="P160" i="6"/>
  <c r="P161" i="6"/>
  <c r="P162" i="6"/>
  <c r="P163" i="6"/>
  <c r="P164" i="6"/>
  <c r="P165" i="6"/>
  <c r="P166" i="6"/>
  <c r="P156" i="6"/>
  <c r="P157" i="6"/>
  <c r="P158" i="6"/>
  <c r="P154" i="6"/>
  <c r="P155" i="6"/>
  <c r="P153" i="6"/>
  <c r="F197" i="6"/>
  <c r="F185" i="6"/>
  <c r="F187" i="6" s="1"/>
  <c r="F188" i="6" s="1"/>
  <c r="F174" i="6"/>
  <c r="F176" i="6" s="1"/>
  <c r="F177" i="6" s="1"/>
  <c r="F111" i="6"/>
  <c r="F113" i="6" s="1"/>
  <c r="F102" i="6"/>
  <c r="F103" i="6" s="1"/>
  <c r="F105" i="6" s="1"/>
  <c r="F91" i="6"/>
  <c r="F93" i="6" s="1"/>
  <c r="F83" i="6"/>
  <c r="F84" i="6" s="1"/>
  <c r="F86" i="6" s="1"/>
  <c r="G153" i="2"/>
  <c r="G154" i="2" s="1"/>
  <c r="G22" i="5"/>
  <c r="I22" i="5" s="1"/>
  <c r="I19" i="5"/>
  <c r="I18" i="5"/>
  <c r="I16" i="5"/>
  <c r="I17" i="5"/>
  <c r="G164" i="2"/>
  <c r="G165" i="2" s="1"/>
  <c r="E109" i="2"/>
  <c r="G109" i="2" s="1"/>
  <c r="I109" i="2" s="1"/>
  <c r="E107" i="2"/>
  <c r="G107" i="2" s="1"/>
  <c r="E105" i="2"/>
  <c r="G105" i="2" s="1"/>
  <c r="I105" i="2" s="1"/>
  <c r="E103" i="2"/>
  <c r="G103" i="2" s="1"/>
  <c r="E101" i="2"/>
  <c r="G101" i="2" s="1"/>
  <c r="I101" i="2" s="1"/>
  <c r="G74" i="2" l="1"/>
  <c r="G64" i="2"/>
  <c r="R281" i="7"/>
  <c r="P175" i="7" s="1"/>
  <c r="H250" i="7"/>
  <c r="H345" i="9"/>
  <c r="H297" i="9"/>
  <c r="H299" i="9" s="1"/>
  <c r="H300" i="9" s="1"/>
  <c r="M288" i="7"/>
  <c r="N288" i="7" s="1"/>
  <c r="D288" i="7"/>
  <c r="E288" i="7" s="1"/>
  <c r="D285" i="7"/>
  <c r="E285" i="7" s="1"/>
  <c r="M285" i="7"/>
  <c r="N285" i="7" s="1"/>
  <c r="D287" i="7"/>
  <c r="E287" i="7" s="1"/>
  <c r="M287" i="7"/>
  <c r="N287" i="7" s="1"/>
  <c r="D289" i="7"/>
  <c r="E289" i="7" s="1"/>
  <c r="M289" i="7"/>
  <c r="N289" i="7" s="1"/>
  <c r="M286" i="7"/>
  <c r="N286" i="7" s="1"/>
  <c r="D286" i="7"/>
  <c r="E286" i="7" s="1"/>
  <c r="I103" i="2"/>
  <c r="I107" i="2"/>
  <c r="G110" i="2"/>
  <c r="I110" i="2" s="1"/>
  <c r="G102" i="2"/>
  <c r="I102" i="2" s="1"/>
  <c r="G106" i="2"/>
  <c r="I106" i="2" s="1"/>
  <c r="G104" i="2"/>
  <c r="I104" i="2" s="1"/>
  <c r="G108" i="2"/>
  <c r="I108" i="2" s="1"/>
  <c r="I20" i="5"/>
  <c r="I23" i="5" s="1"/>
  <c r="E254" i="7"/>
  <c r="F254" i="7" s="1"/>
  <c r="E258" i="7"/>
  <c r="F258" i="7" s="1"/>
  <c r="H258" i="7" s="1"/>
  <c r="I279" i="7"/>
  <c r="I277" i="7"/>
  <c r="F252" i="7"/>
  <c r="H252" i="7" s="1"/>
  <c r="E256" i="7"/>
  <c r="I280" i="7"/>
  <c r="I278" i="7"/>
  <c r="I276" i="7"/>
  <c r="R250" i="9"/>
  <c r="R251" i="9" s="1"/>
  <c r="R349" i="9"/>
  <c r="R353" i="9"/>
  <c r="G244" i="7"/>
  <c r="F281" i="7"/>
  <c r="P167" i="6"/>
  <c r="E29" i="5" l="1"/>
  <c r="E31" i="5" s="1"/>
  <c r="E27" i="5"/>
  <c r="F256" i="7"/>
  <c r="H256" i="7" s="1"/>
  <c r="Q256" i="7"/>
  <c r="Q258" i="7"/>
  <c r="E290" i="7"/>
  <c r="G176" i="7" s="1"/>
  <c r="N290" i="7"/>
  <c r="P176" i="7" s="1"/>
  <c r="I281" i="7"/>
  <c r="G175" i="7" s="1"/>
  <c r="G78" i="2"/>
  <c r="G79" i="2" s="1"/>
  <c r="I111" i="2"/>
  <c r="H254" i="7"/>
  <c r="Q259" i="7" l="1"/>
  <c r="P174" i="7" s="1"/>
  <c r="P178" i="7" s="1"/>
  <c r="H259" i="7"/>
  <c r="G174" i="7" s="1"/>
  <c r="G178" i="7" s="1"/>
  <c r="G196" i="7" s="1"/>
  <c r="G115" i="2"/>
  <c r="P189" i="7" l="1"/>
  <c r="P196" i="7"/>
  <c r="G189" i="7"/>
  <c r="P191" i="7" l="1"/>
  <c r="G191" i="7"/>
</calcChain>
</file>

<file path=xl/sharedStrings.xml><?xml version="1.0" encoding="utf-8"?>
<sst xmlns="http://schemas.openxmlformats.org/spreadsheetml/2006/main" count="2448" uniqueCount="952">
  <si>
    <t>Btu/hr</t>
  </si>
  <si>
    <t>Calculate</t>
  </si>
  <si>
    <t>=</t>
  </si>
  <si>
    <t>Input</t>
  </si>
  <si>
    <t>Step-1</t>
  </si>
  <si>
    <t>Step-2</t>
  </si>
  <si>
    <t>Step-3</t>
  </si>
  <si>
    <t>Step-4</t>
  </si>
  <si>
    <t>Step-5</t>
  </si>
  <si>
    <t>Step-6</t>
  </si>
  <si>
    <t>Step-7</t>
  </si>
  <si>
    <t>V2 =</t>
  </si>
  <si>
    <t>deg F</t>
  </si>
  <si>
    <t>cfm</t>
  </si>
  <si>
    <t>Walls</t>
  </si>
  <si>
    <t>R Value</t>
  </si>
  <si>
    <t>Inside Surface</t>
  </si>
  <si>
    <t>4" Fiberglass Insulation</t>
  </si>
  <si>
    <t>8" Concrete Blocks</t>
  </si>
  <si>
    <t>Outside Surface</t>
  </si>
  <si>
    <t>Roof</t>
  </si>
  <si>
    <t>Metal Decking</t>
  </si>
  <si>
    <t>Glass</t>
  </si>
  <si>
    <t>ZONE HEATING LOAD CALCULATION</t>
  </si>
  <si>
    <t>Zone Name:</t>
  </si>
  <si>
    <t>Building 201</t>
  </si>
  <si>
    <t>ft</t>
  </si>
  <si>
    <t>U-value</t>
  </si>
  <si>
    <t>Area</t>
  </si>
  <si>
    <t>TD</t>
  </si>
  <si>
    <t>BTU/hr</t>
  </si>
  <si>
    <t>Total Heating Load =</t>
  </si>
  <si>
    <t xml:space="preserve">Total Cooling Load = Sensible + Latent Cooling Loads </t>
  </si>
  <si>
    <t>Sensible Cooling Loads</t>
  </si>
  <si>
    <t xml:space="preserve">3.  Internal heat gains from: occupants, lights, appliances, and machinery. </t>
  </si>
  <si>
    <t>4.  Heat gain from ventilation and outside air infiltration.</t>
  </si>
  <si>
    <t>Latent Cooling Loads</t>
  </si>
  <si>
    <t>5.  People breathing.</t>
  </si>
  <si>
    <t>6.  Cooking equipment.</t>
  </si>
  <si>
    <t>8.  Processes that cause water to evaporate.</t>
  </si>
  <si>
    <t>9.  Heat gain from ventilation and outside air infiltration.</t>
  </si>
  <si>
    <t>1.  Roofs, External Walls, Conduction Through Glass</t>
  </si>
  <si>
    <t>External heat gain conducted into the building interior.</t>
  </si>
  <si>
    <t xml:space="preserve">External Walls, External Windows and Roofs, </t>
  </si>
  <si>
    <t>See ASHRE Fundamentals 1997 Chapter 24 and 28.</t>
  </si>
  <si>
    <t>%</t>
  </si>
  <si>
    <t>ft^2</t>
  </si>
  <si>
    <t>A =</t>
  </si>
  <si>
    <t>Wall Height, H =</t>
  </si>
  <si>
    <t>-</t>
  </si>
  <si>
    <t>Roof Glass</t>
  </si>
  <si>
    <t>Total</t>
  </si>
  <si>
    <t xml:space="preserve"> </t>
  </si>
  <si>
    <t>Net Wall</t>
  </si>
  <si>
    <t>Total &gt;</t>
  </si>
  <si>
    <t>Concrete Block</t>
  </si>
  <si>
    <t>Heating Loads (Not including internal gains)</t>
  </si>
  <si>
    <t>U</t>
  </si>
  <si>
    <t>Perimeter</t>
  </si>
  <si>
    <t>Length</t>
  </si>
  <si>
    <t>Width</t>
  </si>
  <si>
    <t>Height</t>
  </si>
  <si>
    <t>Glass =</t>
  </si>
  <si>
    <t>of total wall area</t>
  </si>
  <si>
    <t>Walls (no Glass)</t>
  </si>
  <si>
    <t>Btu/(hr degF)</t>
  </si>
  <si>
    <t>Heat Load</t>
  </si>
  <si>
    <t xml:space="preserve">      Heat Load</t>
  </si>
  <si>
    <t>Windows</t>
  </si>
  <si>
    <t>Volume</t>
  </si>
  <si>
    <t>min/hr</t>
  </si>
  <si>
    <t xml:space="preserve">Air changes per hour     </t>
  </si>
  <si>
    <t>Air change U =</t>
  </si>
  <si>
    <t>Peak Heat Load =</t>
  </si>
  <si>
    <t>Q1 =</t>
  </si>
  <si>
    <t>Degree days per year, DD =</t>
  </si>
  <si>
    <t>Q1*(Ti - To)</t>
  </si>
  <si>
    <t>Q1*24*DD</t>
  </si>
  <si>
    <t>Btu/yr</t>
  </si>
  <si>
    <t>Therms/yr</t>
  </si>
  <si>
    <t>Watts =</t>
  </si>
  <si>
    <t>Btu/hr =</t>
  </si>
  <si>
    <t>West wall</t>
  </si>
  <si>
    <t>ft2</t>
  </si>
  <si>
    <t>North wall door</t>
  </si>
  <si>
    <t>South wall door</t>
  </si>
  <si>
    <t>East wall door</t>
  </si>
  <si>
    <t>West wall door</t>
  </si>
  <si>
    <t>in</t>
  </si>
  <si>
    <t>Number</t>
  </si>
  <si>
    <t>Doors</t>
  </si>
  <si>
    <t>Total door area =</t>
  </si>
  <si>
    <t xml:space="preserve">            Doors</t>
  </si>
  <si>
    <t>Total window area =</t>
  </si>
  <si>
    <t>Watts</t>
  </si>
  <si>
    <t xml:space="preserve">cfm </t>
  </si>
  <si>
    <t>air changes per hr</t>
  </si>
  <si>
    <t>Fenestration</t>
  </si>
  <si>
    <t>Roof glass</t>
  </si>
  <si>
    <t>Blank</t>
  </si>
  <si>
    <t>Building Element Insulation R Values</t>
  </si>
  <si>
    <t>Total Rw=</t>
  </si>
  <si>
    <t>Uw-value  = 1 / Rw =</t>
  </si>
  <si>
    <t>Total Rr =</t>
  </si>
  <si>
    <t>Ur-value  = 1 / Rr =</t>
  </si>
  <si>
    <t>Equivalent Round and Rectangular Ducting</t>
  </si>
  <si>
    <t>Duct width,  W =</t>
  </si>
  <si>
    <t>Equivalent round duct diameter,  D =</t>
  </si>
  <si>
    <t>1.30*((W*H)^0.625 / (W + H)^0.25)</t>
  </si>
  <si>
    <t>Duct air flow volume,  Q =</t>
  </si>
  <si>
    <t>Duct design air flow velocity,  V =</t>
  </si>
  <si>
    <t>Duct section area, A =</t>
  </si>
  <si>
    <t>in2</t>
  </si>
  <si>
    <t xml:space="preserve">in </t>
  </si>
  <si>
    <t>Duct diameter, D =</t>
  </si>
  <si>
    <t>Standard duct diameter, Ds =</t>
  </si>
  <si>
    <t>in H2O</t>
  </si>
  <si>
    <t>in H2O/100 ft duct</t>
  </si>
  <si>
    <t>ft/min</t>
  </si>
  <si>
    <t>Q / V</t>
  </si>
  <si>
    <t>Main Duct = Longest</t>
  </si>
  <si>
    <t xml:space="preserve">Branch Duct </t>
  </si>
  <si>
    <t>Duct overall length,  L =</t>
  </si>
  <si>
    <t>ΔP*L/100</t>
  </si>
  <si>
    <t xml:space="preserve">Branch ducts should be at least 50-mm (2") smaller than the trunk ducts to </t>
  </si>
  <si>
    <t xml:space="preserve">allow use of standard 25-mm (1") flanges for connections to branch ducts.                                                         </t>
  </si>
  <si>
    <t>&gt;     &gt;    &gt;</t>
  </si>
  <si>
    <t xml:space="preserve">ΔP </t>
  </si>
  <si>
    <t>in/100 ft</t>
  </si>
  <si>
    <t>Duct</t>
  </si>
  <si>
    <t>V1 =</t>
  </si>
  <si>
    <t>(1 - V2/V1)^2</t>
  </si>
  <si>
    <t xml:space="preserve">  Minor Loss Coefficient,  C =</t>
  </si>
  <si>
    <t>C*(rho*(V/1097)^2)</t>
  </si>
  <si>
    <t>Bend loss coefficient,  C =</t>
  </si>
  <si>
    <t>Air velocity,  V =</t>
  </si>
  <si>
    <t>Air density,  rho =</t>
  </si>
  <si>
    <t>lbs/ft^3</t>
  </si>
  <si>
    <t>0.15*(1 - V2/V1)^2</t>
  </si>
  <si>
    <t>g = 32.2 ft/sec^2</t>
  </si>
  <si>
    <t>ft H2O</t>
  </si>
  <si>
    <t>C*(V/60)^2/(2*g)</t>
  </si>
  <si>
    <t>Flow from duct to room</t>
  </si>
  <si>
    <t>Minor loss due to: Bends, Ts, and Grilles</t>
  </si>
  <si>
    <t>Total Duct Minor Loss</t>
  </si>
  <si>
    <t>EQUAL FRICTION DUCT DESIGN</t>
  </si>
  <si>
    <t>Main Duct</t>
  </si>
  <si>
    <t>Branch Duct-1</t>
  </si>
  <si>
    <t>Branch Duct-2</t>
  </si>
  <si>
    <t>Branch Duct-3</t>
  </si>
  <si>
    <t>Branch Duct-4</t>
  </si>
  <si>
    <t>Branch Duct-5</t>
  </si>
  <si>
    <t>Grilles, 0.7 ratio free area to total surface</t>
  </si>
  <si>
    <t>Grilles, 0.6 ratio free area to total surface</t>
  </si>
  <si>
    <t>Grilles, 0.5 ratio free area to total surface</t>
  </si>
  <si>
    <t>Grilles, 0.4 ratio free area to total surface</t>
  </si>
  <si>
    <t>Grilles, 0.3 ratio free area to total surface</t>
  </si>
  <si>
    <t>Grilles, 0.2 ratio free area to total surface</t>
  </si>
  <si>
    <t>Subtotal</t>
  </si>
  <si>
    <t>MINOR FITTING PRESSURE LOSSES</t>
  </si>
  <si>
    <t>(4") increments above (40") diameter</t>
  </si>
  <si>
    <t>(2") increments from (10" to 40") diameter</t>
  </si>
  <si>
    <t>(1") increments from (6" to 10") diameter</t>
  </si>
  <si>
    <t>Ventilation ducts (office buildings) 6.5 - 15</t>
  </si>
  <si>
    <t xml:space="preserve">Ventilation ducts (hospitals) 5.9 - 13                                                                                              </t>
  </si>
  <si>
    <t xml:space="preserve">Vacuum cleaning pipe 26 - 49                                                                                      </t>
  </si>
  <si>
    <t xml:space="preserve">Compressed air pipe 66 - 98                                                                                  </t>
  </si>
  <si>
    <t xml:space="preserve">Warm air for house heating 2.6 - 3.3                                                                                       </t>
  </si>
  <si>
    <t xml:space="preserve">Air inlet to boiler room 3.3 - 9.8                                                                                                    </t>
  </si>
  <si>
    <t xml:space="preserve">Combustion air ducts 40 - 66                                                                                                       </t>
  </si>
  <si>
    <t xml:space="preserve">Air Ducts Air Velocity (ft/sec)                                                                                        </t>
  </si>
  <si>
    <t>DUCT PRESSURE LOSSES IN TURBULENT FLOW</t>
  </si>
  <si>
    <t>Standard duct diameters, Ds</t>
  </si>
  <si>
    <t>W</t>
  </si>
  <si>
    <t>UNITS</t>
  </si>
  <si>
    <t>Temperature is the intensity of heat:</t>
  </si>
  <si>
    <t>Temperature is measured in: ISO degrees Centigrade, Kelvin and US degrees Fahrenheit, Rankin.</t>
  </si>
  <si>
    <t xml:space="preserve">Input </t>
  </si>
  <si>
    <t>T =</t>
  </si>
  <si>
    <t>deg C</t>
  </si>
  <si>
    <t>5*(deg F - 32)/9</t>
  </si>
  <si>
    <t>(9*deg C/5) + 32</t>
  </si>
  <si>
    <t>deg C + 273</t>
  </si>
  <si>
    <t>deg F + 460</t>
  </si>
  <si>
    <t>deg K</t>
  </si>
  <si>
    <t>deg R</t>
  </si>
  <si>
    <t>CONVERT FROM ISO METRIC UNITS TO US UNITS</t>
  </si>
  <si>
    <t>INPUT QTY</t>
  </si>
  <si>
    <t>Divide by</t>
  </si>
  <si>
    <t>OBTAIN</t>
  </si>
  <si>
    <t>m</t>
  </si>
  <si>
    <t>kg</t>
  </si>
  <si>
    <t>lbm</t>
  </si>
  <si>
    <t>s</t>
  </si>
  <si>
    <t>--</t>
  </si>
  <si>
    <t>sec</t>
  </si>
  <si>
    <t>m/s</t>
  </si>
  <si>
    <t>ft/sec</t>
  </si>
  <si>
    <t>rad/s</t>
  </si>
  <si>
    <t>N</t>
  </si>
  <si>
    <t>lbf</t>
  </si>
  <si>
    <t>kPa</t>
  </si>
  <si>
    <t>J</t>
  </si>
  <si>
    <t>ft-lbf</t>
  </si>
  <si>
    <t>Btu</t>
  </si>
  <si>
    <t>ft-lbf/sec</t>
  </si>
  <si>
    <t>Watts or J/s</t>
  </si>
  <si>
    <t>Btu/sec</t>
  </si>
  <si>
    <t>kg/s</t>
  </si>
  <si>
    <t>lbm/sec</t>
  </si>
  <si>
    <t>kJ/kg-deg K</t>
  </si>
  <si>
    <t>Btu/lbm-deg R</t>
  </si>
  <si>
    <t>kJ/kg</t>
  </si>
  <si>
    <t>Btu/lbm</t>
  </si>
  <si>
    <t>hp</t>
  </si>
  <si>
    <t>CONVERT FROM US TO METRIC UNITS</t>
  </si>
  <si>
    <t>multiply by</t>
  </si>
  <si>
    <t>W or J/s</t>
  </si>
  <si>
    <t>14.696*(kPa/101.3)</t>
  </si>
  <si>
    <t>psi =</t>
  </si>
  <si>
    <t>http://www.handsdownsoftware.com/Downloads.htm</t>
  </si>
  <si>
    <t>North wall Glass</t>
  </si>
  <si>
    <t>North wall</t>
  </si>
  <si>
    <t xml:space="preserve"> South wall</t>
  </si>
  <si>
    <t>South wall Glass</t>
  </si>
  <si>
    <t xml:space="preserve"> East wall</t>
  </si>
  <si>
    <t>East wall Glass</t>
  </si>
  <si>
    <t>West wall Glass</t>
  </si>
  <si>
    <t>deg F dry bulb</t>
  </si>
  <si>
    <t>deg F wet bulb</t>
  </si>
  <si>
    <t>To - Ti</t>
  </si>
  <si>
    <t>Glass Ug =</t>
  </si>
  <si>
    <t>The shading coefficient , SC = 1.0 for no shading.</t>
  </si>
  <si>
    <t xml:space="preserve">Solar Cooling Load </t>
  </si>
  <si>
    <t>Glass Solar</t>
  </si>
  <si>
    <t>Glass shading coefficient , SC =</t>
  </si>
  <si>
    <t xml:space="preserve">The East and West facing solar cooling load Qs  100 Btu per hr per sq ft </t>
  </si>
  <si>
    <t xml:space="preserve">The South facing solar cooling load Qs  100 Btu per hr per sq ft </t>
  </si>
  <si>
    <t>Conduct</t>
  </si>
  <si>
    <t>Heat</t>
  </si>
  <si>
    <t>Roof glass solar cooling load, SCL =</t>
  </si>
  <si>
    <t>Siding</t>
  </si>
  <si>
    <t>Polystyrene</t>
  </si>
  <si>
    <t>Concrete</t>
  </si>
  <si>
    <t>Drywall</t>
  </si>
  <si>
    <t>Pine 2x4</t>
  </si>
  <si>
    <t>Insulation</t>
  </si>
  <si>
    <t>Framed Ceiling</t>
  </si>
  <si>
    <t>Framed Roof</t>
  </si>
  <si>
    <t>k</t>
  </si>
  <si>
    <t>Btu-in/(hr-ft^2-F)</t>
  </si>
  <si>
    <t>(hr-ft^2-F)/Btu</t>
  </si>
  <si>
    <t xml:space="preserve">R </t>
  </si>
  <si>
    <t>Btu/(hr-ft^2-F)</t>
  </si>
  <si>
    <t>Inside Surface, Ui =</t>
  </si>
  <si>
    <t>Outside Surface, Uo =</t>
  </si>
  <si>
    <t>Btu/ (hr-ft^2 -F)</t>
  </si>
  <si>
    <t>inches</t>
  </si>
  <si>
    <t>Building Element Insulation Values</t>
  </si>
  <si>
    <t>Thickness L</t>
  </si>
  <si>
    <t>Total: R =</t>
  </si>
  <si>
    <t>Total: U = 1/R =</t>
  </si>
  <si>
    <t>Rigid Polystyrene</t>
  </si>
  <si>
    <t>Heat Conduction and Thermal Resistance</t>
  </si>
  <si>
    <t>Q =</t>
  </si>
  <si>
    <t xml:space="preserve">k*A*(t1 - t2)/L = UA(t1 - t2 ) </t>
  </si>
  <si>
    <t xml:space="preserve">Rn = L/k </t>
  </si>
  <si>
    <t>ROOF</t>
  </si>
  <si>
    <t xml:space="preserve">Outside Surface, Uo </t>
  </si>
  <si>
    <t xml:space="preserve">Inside Surface, Ui </t>
  </si>
  <si>
    <t>WALL</t>
  </si>
  <si>
    <t xml:space="preserve"> =</t>
  </si>
  <si>
    <t>kPa =</t>
  </si>
  <si>
    <t>101.3*psi/14.696</t>
  </si>
  <si>
    <t xml:space="preserve">Thermal resistance, </t>
  </si>
  <si>
    <t xml:space="preserve">Btu per hr per sq ft </t>
  </si>
  <si>
    <t>Given</t>
  </si>
  <si>
    <t>Glass Solar Cooling Load</t>
  </si>
  <si>
    <t>ft^3/min</t>
  </si>
  <si>
    <t>Infiltration of outside air sensible heat gain</t>
  </si>
  <si>
    <t>Heat gain from electrical appliances and lights</t>
  </si>
  <si>
    <t>Lf*Wf</t>
  </si>
  <si>
    <t>Watts/ft^2</t>
  </si>
  <si>
    <t>Floor area, Af =</t>
  </si>
  <si>
    <t>Watts/Btu</t>
  </si>
  <si>
    <t>Average electrical usage in Watts , Uw =</t>
  </si>
  <si>
    <t>Conversion factor,  Cw =</t>
  </si>
  <si>
    <t>Uw*Cw*Af</t>
  </si>
  <si>
    <t>watts/ sq ft</t>
  </si>
  <si>
    <t>Number of people,  Np =</t>
  </si>
  <si>
    <t>Np*Qe</t>
  </si>
  <si>
    <t>(Btu/hr)/Person</t>
  </si>
  <si>
    <t>Sensible heat due to occupants of the building varies according to their activity</t>
  </si>
  <si>
    <t>Latent heat due to occupants of the building varies according to their activity</t>
  </si>
  <si>
    <t>lbH2O/lbAir</t>
  </si>
  <si>
    <t xml:space="preserve">Latent heat per minute from outside air     </t>
  </si>
  <si>
    <t>VENMAR CES Psychrometric Chart Software - (Free)</t>
  </si>
  <si>
    <t>Referring to a copy of VENMAR CES psychrometric free chart right &gt;&gt;</t>
  </si>
  <si>
    <t xml:space="preserve">Appliances Latent Heat Load </t>
  </si>
  <si>
    <t xml:space="preserve">Qs = </t>
  </si>
  <si>
    <t>Heat gain from appliances and lights, Qea =</t>
  </si>
  <si>
    <t xml:space="preserve">All the heat gains from conduction and internal sources </t>
  </si>
  <si>
    <t>Solve for air handler flow rate,  w =</t>
  </si>
  <si>
    <t>Sensible Heat Ratio (SHR)</t>
  </si>
  <si>
    <t xml:space="preserve">Sensible Heat Ratio,  SHR = </t>
  </si>
  <si>
    <t xml:space="preserve">Qs / (Qs+ QL ) </t>
  </si>
  <si>
    <t>15% * w</t>
  </si>
  <si>
    <t>grains H2O/lbAir</t>
  </si>
  <si>
    <t>m =</t>
  </si>
  <si>
    <t>ch =</t>
  </si>
  <si>
    <t>cc =</t>
  </si>
  <si>
    <t>hh =</t>
  </si>
  <si>
    <t>sf =</t>
  </si>
  <si>
    <t>rf =</t>
  </si>
  <si>
    <t>o =</t>
  </si>
  <si>
    <t>r =</t>
  </si>
  <si>
    <t>s =</t>
  </si>
  <si>
    <t>leaving cooling coil condition</t>
  </si>
  <si>
    <t>leaving heating coil condition</t>
  </si>
  <si>
    <t>leaving humidifier condition</t>
  </si>
  <si>
    <t>leaving supply fan condition</t>
  </si>
  <si>
    <t>leaving return fan condition</t>
  </si>
  <si>
    <t>inside design condition</t>
  </si>
  <si>
    <t>outside design condition</t>
  </si>
  <si>
    <t>supply condition</t>
  </si>
  <si>
    <t>http://www.humiditycontrol.co.uk/chart.pdf</t>
  </si>
  <si>
    <t>METRIC PSYCHROMETRIC CHART</t>
  </si>
  <si>
    <t>h =</t>
  </si>
  <si>
    <t>DB =</t>
  </si>
  <si>
    <t>WB =</t>
  </si>
  <si>
    <t>RH =</t>
  </si>
  <si>
    <t>W =</t>
  </si>
  <si>
    <t>v =</t>
  </si>
  <si>
    <t>DP =</t>
  </si>
  <si>
    <t>d =</t>
  </si>
  <si>
    <t>vp =</t>
  </si>
  <si>
    <t>AW =</t>
  </si>
  <si>
    <t>Absolute Humidity grains/cu ft air</t>
  </si>
  <si>
    <t>Relative Humidity: grains/lb H2O in air</t>
  </si>
  <si>
    <t>vapor pressure: in/Hg</t>
  </si>
  <si>
    <t>air density: lb/cu ft</t>
  </si>
  <si>
    <t>Dry Bulb temperature: deg F</t>
  </si>
  <si>
    <t>Wet Bulb temperature: deg F</t>
  </si>
  <si>
    <t>specific Volume: cu ft/lb of air</t>
  </si>
  <si>
    <t>enthalpy: Btu/lb</t>
  </si>
  <si>
    <t>Dew Point temperature: deg F</t>
  </si>
  <si>
    <t>Design indoor dry bulb temperature,  Ta =</t>
  </si>
  <si>
    <t>deg F DB</t>
  </si>
  <si>
    <t>Outdoor dry bulb temperature,  Tb =</t>
  </si>
  <si>
    <t>deg F WB</t>
  </si>
  <si>
    <t>Outdoor wet bulb temperature,  Tbw =</t>
  </si>
  <si>
    <t>Tc =</t>
  </si>
  <si>
    <t>Mixture temperature,  Tc =</t>
  </si>
  <si>
    <t>Qs/(Qs + QL)</t>
  </si>
  <si>
    <t>POINT-A</t>
  </si>
  <si>
    <t>POINT-B</t>
  </si>
  <si>
    <t xml:space="preserve"> Chart</t>
  </si>
  <si>
    <t>grain/lb</t>
  </si>
  <si>
    <t>Wc =</t>
  </si>
  <si>
    <t>Wa + (Wb - Wa)*(Tc - Ta)/(Tb - Ta)</t>
  </si>
  <si>
    <t>Design indoor relative humidity,  RHa =</t>
  </si>
  <si>
    <t>Plot chart point A</t>
  </si>
  <si>
    <t>Plot chart point B</t>
  </si>
  <si>
    <t>Psychometric Chart Point C</t>
  </si>
  <si>
    <t>Psychometric Chart Points A &amp; B</t>
  </si>
  <si>
    <t xml:space="preserve">Plot chart point C </t>
  </si>
  <si>
    <t>Tc, Wc</t>
  </si>
  <si>
    <t>Ta,Wa</t>
  </si>
  <si>
    <t>Tb,Wb</t>
  </si>
  <si>
    <t xml:space="preserve">Enter Venmar new point: DB=Ta=75 &amp; RH=50 </t>
  </si>
  <si>
    <t>Venmar Psychometric Chart Free Software</t>
  </si>
  <si>
    <t xml:space="preserve">Enter Venmar new point: DB=Tb=95 &amp; WB=75 </t>
  </si>
  <si>
    <t>POINT-C</t>
  </si>
  <si>
    <t xml:space="preserve">Enter Venmar new point: DB=Tc=79.3 &amp; W=72.27 </t>
  </si>
  <si>
    <t>lb/lb</t>
  </si>
  <si>
    <t xml:space="preserve">Wa - ΔW </t>
  </si>
  <si>
    <t>Psychometric Chart Point D</t>
  </si>
  <si>
    <t>Normal supply air DB, Td =</t>
  </si>
  <si>
    <t>Normal supply air WB, Tdwb =</t>
  </si>
  <si>
    <t>POINT-D</t>
  </si>
  <si>
    <t>Venmar chart, Hd =</t>
  </si>
  <si>
    <t>Btu/lb</t>
  </si>
  <si>
    <t>Venmar chart, RH =</t>
  </si>
  <si>
    <t>A</t>
  </si>
  <si>
    <t>Room Design Condition</t>
  </si>
  <si>
    <t>B</t>
  </si>
  <si>
    <t>C</t>
  </si>
  <si>
    <t>D</t>
  </si>
  <si>
    <t>Mixed Air Condition</t>
  </si>
  <si>
    <t>Apparatus Dew Point</t>
  </si>
  <si>
    <t>see right &gt;</t>
  </si>
  <si>
    <t>E</t>
  </si>
  <si>
    <t>Cooling Load Psychrometric Chart</t>
  </si>
  <si>
    <t>(Td - (BF*Tc))/(1 - BF)</t>
  </si>
  <si>
    <t>(Td - Te)/(Ta - Te)</t>
  </si>
  <si>
    <t>POINT-E</t>
  </si>
  <si>
    <t>Ta =</t>
  </si>
  <si>
    <t>From Venmar Psychometric Chart, Wa =</t>
  </si>
  <si>
    <t>From Venmar Psychometric Chart, Wb =</t>
  </si>
  <si>
    <t>bypass condition</t>
  </si>
  <si>
    <t>Download free the VENMAR CES psychrometric chart software at:</t>
  </si>
  <si>
    <t>Qs / (1.08*(Tb -Ta))</t>
  </si>
  <si>
    <t>Specific humidity differential,  ΔW =</t>
  </si>
  <si>
    <t>ΔW = Latent load/(Air flow cfm x 60 min/hr x 0.075 lb/cu ft x 1059 Btu/lb latent heat at 60 deg F</t>
  </si>
  <si>
    <t>Room volume,  Rvol =</t>
  </si>
  <si>
    <t>L*W*H</t>
  </si>
  <si>
    <t>cu ft</t>
  </si>
  <si>
    <t>Air changes per hour, ACH =</t>
  </si>
  <si>
    <t xml:space="preserve">(Vsf*60)/Rvol </t>
  </si>
  <si>
    <t>Ventilation Rates</t>
  </si>
  <si>
    <t>Hazardous areas = 6 to 10 cfm/sq ft of floor</t>
  </si>
  <si>
    <t xml:space="preserve">Rest rooms = 2 cfm/sq ft of floor  </t>
  </si>
  <si>
    <t>Ventilation rate, VR =</t>
  </si>
  <si>
    <t>Vsf / (L*W)</t>
  </si>
  <si>
    <t>cfm/sq ft of floor</t>
  </si>
  <si>
    <t>of the air saturated at the due point, point E.</t>
  </si>
  <si>
    <t>System Bypass Factor (BF) Point E</t>
  </si>
  <si>
    <t xml:space="preserve">that passes unaltered through the cooling cool and the remainder </t>
  </si>
  <si>
    <t>System bypass factor,  BF =</t>
  </si>
  <si>
    <t>(Wc - Wd) / (Tc - Td)</t>
  </si>
  <si>
    <t>Psychometric Chart Point E</t>
  </si>
  <si>
    <t>fraction</t>
  </si>
  <si>
    <t>Calculated apparatus dew point temperature,  Te =</t>
  </si>
  <si>
    <t>Point D Approximate Humidity Ratio, Wd' =</t>
  </si>
  <si>
    <t>Point D Exact Humidity Ratio,  Wd =</t>
  </si>
  <si>
    <t>Project line AD to dew point E and read Te on the chart</t>
  </si>
  <si>
    <t>This psychometric chart complies with the 2005 ASHRAE Handbook.</t>
  </si>
  <si>
    <t>Point-X</t>
  </si>
  <si>
    <t>Open the above VENMAR CES psychrometric chart software.</t>
  </si>
  <si>
    <t>Right mouse click on the "State Point" icon.</t>
  </si>
  <si>
    <t>Follow directions given above to add a point on the psychrometric chart.</t>
  </si>
  <si>
    <t>Click "Apply" to add the point to the chart.</t>
  </si>
  <si>
    <t>= Room Design Condition</t>
  </si>
  <si>
    <t>= Mixed Air Condition</t>
  </si>
  <si>
    <t>The point has been added.</t>
  </si>
  <si>
    <t>After adding all points, print the chart and draw process lines as described below.</t>
  </si>
  <si>
    <t xml:space="preserve">kJ/kg </t>
  </si>
  <si>
    <t>Enthalpy (metric),  H =</t>
  </si>
  <si>
    <t>H*0.4299</t>
  </si>
  <si>
    <t xml:space="preserve"> Enthalpy (US unit), H =</t>
  </si>
  <si>
    <t>The parameters above will be calculated in Step-3 above by the software.</t>
  </si>
  <si>
    <t>Supply Air Condition</t>
  </si>
  <si>
    <t>Condition room floor length,  Lr =</t>
  </si>
  <si>
    <t>Condition room floor width,  Wr =</t>
  </si>
  <si>
    <t>Condition room floor to ceiling height,  Hr =</t>
  </si>
  <si>
    <t>Humidity Ratio: grains water/lb dry air</t>
  </si>
  <si>
    <t>mixing return air with outside air</t>
  </si>
  <si>
    <t>Outdoor Air Condition</t>
  </si>
  <si>
    <t xml:space="preserve">The System Bypass Factor is defined as the fraction of incoming air </t>
  </si>
  <si>
    <t>System bypass air flow,  Vbp =</t>
  </si>
  <si>
    <t>Total air flow rate into room, Vs =</t>
  </si>
  <si>
    <t>Vs - Vbp</t>
  </si>
  <si>
    <t>Air conditioner fan air flow,  Vsf =</t>
  </si>
  <si>
    <t>BF*Vs</t>
  </si>
  <si>
    <t>Click "Cooling Load" tab below for more information</t>
  </si>
  <si>
    <t>bp =</t>
  </si>
  <si>
    <t>recirculation</t>
  </si>
  <si>
    <t>rc =</t>
  </si>
  <si>
    <t>Guess bypass air flow rate,  Vbp =</t>
  </si>
  <si>
    <t>= Outdoor Air Condition</t>
  </si>
  <si>
    <t>(Vbp/Vs)*(Tb - Ta) + Ta</t>
  </si>
  <si>
    <t>Plot above points A to E on the "Venmar" chart</t>
  </si>
  <si>
    <t>shown above</t>
  </si>
  <si>
    <t>Tb =</t>
  </si>
  <si>
    <t>RHa =</t>
  </si>
  <si>
    <t>Wa =</t>
  </si>
  <si>
    <t>grains/lb</t>
  </si>
  <si>
    <t>Wb =</t>
  </si>
  <si>
    <t>Convert Temperature</t>
  </si>
  <si>
    <t>Convert Enthalpy</t>
  </si>
  <si>
    <t>see above chart</t>
  </si>
  <si>
    <t>Td =</t>
  </si>
  <si>
    <t>Wd =</t>
  </si>
  <si>
    <t>Hd =</t>
  </si>
  <si>
    <t>Te =</t>
  </si>
  <si>
    <t>We =</t>
  </si>
  <si>
    <t>Room Sensible Heat / Total Heat ratio,  RSHF =</t>
  </si>
  <si>
    <t>(Wa - We) / (Ta- Te)</t>
  </si>
  <si>
    <t>Temperature (metric), T =</t>
  </si>
  <si>
    <t xml:space="preserve"> Temperature (US unit), T =</t>
  </si>
  <si>
    <t>Example Only - Single Room Cooling  (Use Problem Left &gt;&gt;</t>
  </si>
  <si>
    <t xml:space="preserve">Problem - Single Room Cooling </t>
  </si>
  <si>
    <t xml:space="preserve">HVAC COOLING LOADS </t>
  </si>
  <si>
    <t>EXAMPLE ONLY USE TABLES RIGHT &gt;&gt;</t>
  </si>
  <si>
    <t>the thickness of the wall in inches.</t>
  </si>
  <si>
    <t xml:space="preserve"> temperature difference across the wall in degrees F.</t>
  </si>
  <si>
    <t>(t1 - t2 ) =</t>
  </si>
  <si>
    <t xml:space="preserve"> the area of the wall in square feet.</t>
  </si>
  <si>
    <t>thermal conductivity of the wall material in Btu-in/(hr-ft^2-F)</t>
  </si>
  <si>
    <t>k =</t>
  </si>
  <si>
    <t>L =</t>
  </si>
  <si>
    <t>R =</t>
  </si>
  <si>
    <t>Tb - Ta</t>
  </si>
  <si>
    <t>ΔT =</t>
  </si>
  <si>
    <t>North glass</t>
  </si>
  <si>
    <t>South glass</t>
  </si>
  <si>
    <t>East glass</t>
  </si>
  <si>
    <t>West glass</t>
  </si>
  <si>
    <t>http://www.weatherdatadepot.com/?pi_ad_id=6251685145&amp;gclid=CI3m-PCK9q8CFcyb7Qod6j92FA#</t>
  </si>
  <si>
    <t>Weather Data Depot - Free Degree Days per Year</t>
  </si>
  <si>
    <t>degree days/yr</t>
  </si>
  <si>
    <t xml:space="preserve">Element  </t>
  </si>
  <si>
    <t xml:space="preserve"> Therms/yr =</t>
  </si>
  <si>
    <t>Btu/yr / 100067</t>
  </si>
  <si>
    <t xml:space="preserve">DEGREE DAYS HEATING AND COOLING </t>
  </si>
  <si>
    <t>Simplified Heating or Cooling Load Estimate</t>
  </si>
  <si>
    <t>Outdoor design temp,  To =</t>
  </si>
  <si>
    <t>Indoor design temp, Ti =</t>
  </si>
  <si>
    <t>Example House on Slab:</t>
  </si>
  <si>
    <t>Annual heat or cool load =</t>
  </si>
  <si>
    <t>http://www.scribd.com/doc/7267863/HVAC-Engineering-Cookbook</t>
  </si>
  <si>
    <t>HVAC COOK BOOK</t>
  </si>
  <si>
    <t>SUMMER COOLING LOAD CALCULATION</t>
  </si>
  <si>
    <t>Winter heat loss is due to:</t>
  </si>
  <si>
    <t>1.  Heat transmission through: walls, glass, ceiling, and floor.</t>
  </si>
  <si>
    <t>2.  Heat to warm outdoor air.</t>
  </si>
  <si>
    <t>Ti - To</t>
  </si>
  <si>
    <t>Building Heating Load Qb (Not including internal gains)</t>
  </si>
  <si>
    <t>Total Qb =</t>
  </si>
  <si>
    <t>http://www.hvacware.net/engrproj.html</t>
  </si>
  <si>
    <t>http://www.ornl.gov/sci/roofs+walls/insulation/ins_16.html</t>
  </si>
  <si>
    <t>DEPARTMENT OF ENERGY R VALUE ZONES</t>
  </si>
  <si>
    <t>Recommended R values for zip code 29600</t>
  </si>
  <si>
    <t>Slab perimeter, P =</t>
  </si>
  <si>
    <t xml:space="preserve"> Air density,  ρ =</t>
  </si>
  <si>
    <t>Specific heat capacity of air at constant pressure,  Cp =</t>
  </si>
  <si>
    <t>lb/cu ft</t>
  </si>
  <si>
    <t>J/(kg, deg C)</t>
  </si>
  <si>
    <t>Latent heat =</t>
  </si>
  <si>
    <t>calories</t>
  </si>
  <si>
    <t>http://www.inotek.com/conversions.html</t>
  </si>
  <si>
    <t>(9/5*deg C) + 32</t>
  </si>
  <si>
    <t>Btu/ lbm, deg F</t>
  </si>
  <si>
    <t>Cp / 4.187</t>
  </si>
  <si>
    <t>Btu/min</t>
  </si>
  <si>
    <t>Latent heat  of evaporation at indoor air temperature, Hfg =</t>
  </si>
  <si>
    <t>Btu/lb at 58 deg F</t>
  </si>
  <si>
    <t>Grains water/lb dry air</t>
  </si>
  <si>
    <t>lb water/lb dry air</t>
  </si>
  <si>
    <t>Humidity ratio of indoor air,  Gi =</t>
  </si>
  <si>
    <t>Humidity ratio of outdoor air,  Go =</t>
  </si>
  <si>
    <t>Gi/7000</t>
  </si>
  <si>
    <t>Go/7000</t>
  </si>
  <si>
    <t>Winter Indoor (WI)</t>
  </si>
  <si>
    <t>Winter Outdoor (WO)</t>
  </si>
  <si>
    <t>Point (X)</t>
  </si>
  <si>
    <t>Winter Heat Load Psychometric Chart Values</t>
  </si>
  <si>
    <t>Total Sensible and Latent Infiltration and Ventilation Heat Loads</t>
  </si>
  <si>
    <t>http://ibpsa-boston.com/minutes/IBPSAboston-presentations_2011-09-16_Gowri.pdf</t>
  </si>
  <si>
    <t>http://www.ornl.gov/sci/buildings/2012/Session%20PDFs/92_New.pdf</t>
  </si>
  <si>
    <t>Calculating the Impact of Ground Contact on Residential Heat Loss</t>
  </si>
  <si>
    <t>2*(L + W)</t>
  </si>
  <si>
    <t>Infiltration air flow,  Vin =</t>
  </si>
  <si>
    <t>Roof =</t>
  </si>
  <si>
    <t>Floor =</t>
  </si>
  <si>
    <t>cfm/sq ft</t>
  </si>
  <si>
    <t>Door =</t>
  </si>
  <si>
    <t>2 Walls length L =</t>
  </si>
  <si>
    <t>2 Walls length W =</t>
  </si>
  <si>
    <t xml:space="preserve">Infiltration </t>
  </si>
  <si>
    <t>or Height</t>
  </si>
  <si>
    <t>Window =</t>
  </si>
  <si>
    <t>*cfm/sq ft</t>
  </si>
  <si>
    <t>http://www.epa.gov/iaq/largebldgs/i-beam/text/hvac.html</t>
  </si>
  <si>
    <t>Text Modules - Heating, Ventilation, and Air-conditioning (HVAC)</t>
  </si>
  <si>
    <t>Air Changes per Hour,  ACH =</t>
  </si>
  <si>
    <t>Auditoriums</t>
  </si>
  <si>
    <t>Cafeterias</t>
  </si>
  <si>
    <t>12-15</t>
  </si>
  <si>
    <t>8-15</t>
  </si>
  <si>
    <t>Boiler Rooms</t>
  </si>
  <si>
    <t>15-20</t>
  </si>
  <si>
    <t>Churches</t>
  </si>
  <si>
    <t>Computer Rooms</t>
  </si>
  <si>
    <t>Engine Rooms</t>
  </si>
  <si>
    <t>4-6</t>
  </si>
  <si>
    <t>Factory</t>
  </si>
  <si>
    <t>2-15</t>
  </si>
  <si>
    <t>Medical Offices</t>
  </si>
  <si>
    <t>8-12</t>
  </si>
  <si>
    <t>Paper Mills</t>
  </si>
  <si>
    <t>Offices</t>
  </si>
  <si>
    <t>Precision Manufacturing</t>
  </si>
  <si>
    <t>10-50</t>
  </si>
  <si>
    <t>Pump Rooms</t>
  </si>
  <si>
    <t>Classrooms</t>
  </si>
  <si>
    <t>4-12</t>
  </si>
  <si>
    <t xml:space="preserve">Shops, Machine </t>
  </si>
  <si>
    <t>Shops, Paint</t>
  </si>
  <si>
    <t>Substation-Electric</t>
  </si>
  <si>
    <t>5-10</t>
  </si>
  <si>
    <t>Theaters</t>
  </si>
  <si>
    <t>Turbine Rooms-Electric</t>
  </si>
  <si>
    <t>Warehouses</t>
  </si>
  <si>
    <t>2-4</t>
  </si>
  <si>
    <t>http://www.engineeringtoolbox.com/</t>
  </si>
  <si>
    <t>Air Changes per Hour (ACH)</t>
  </si>
  <si>
    <t>Zone volume,  VOL =</t>
  </si>
  <si>
    <t>ACH*VOL / 60</t>
  </si>
  <si>
    <t>Supply Fan Air Flow (CFM)</t>
  </si>
  <si>
    <t>Heat within the moisture of this incoming ventilation air flow</t>
  </si>
  <si>
    <t>3.  Incoming ventilation air from outside the zone.</t>
  </si>
  <si>
    <t>4.  Infiltration of cold air through cracks and openings.</t>
  </si>
  <si>
    <t>Ventilation and infiltration include sensible and latent heat loads:</t>
  </si>
  <si>
    <t xml:space="preserve">  Total sensible and latent heat loads,  Qt =</t>
  </si>
  <si>
    <t>Qs + QL</t>
  </si>
  <si>
    <t xml:space="preserve">Infiltration air flow = </t>
  </si>
  <si>
    <t>Outdoor design temperature,  To =</t>
  </si>
  <si>
    <t>Indoor humidity ratio of air,  Wi =</t>
  </si>
  <si>
    <t>Outdoor humidity ratio of air,  Wo =</t>
  </si>
  <si>
    <t>Ventilation and infiltration sensible heat load,  Qs =</t>
  </si>
  <si>
    <t>Ventilation and infiltration and  latent heat load,  QL =</t>
  </si>
  <si>
    <t>Indoor relative humidity, RH =</t>
  </si>
  <si>
    <t>Indoor design temperature,  Ti =</t>
  </si>
  <si>
    <t>Outdoor relative humidity,  RH =</t>
  </si>
  <si>
    <t>Building Length,  L =</t>
  </si>
  <si>
    <t>Building Width,  W =</t>
  </si>
  <si>
    <t>Wall Height,  H =</t>
  </si>
  <si>
    <t>Qb + Qt + Qslab</t>
  </si>
  <si>
    <t>Floor slab winter temperature,  Tslab =</t>
  </si>
  <si>
    <t>Ground winter temperature,  Tg =</t>
  </si>
  <si>
    <t>P*F*(Tslab - Tg)</t>
  </si>
  <si>
    <t>air changes/hr</t>
  </si>
  <si>
    <t>Page 57</t>
  </si>
  <si>
    <t>http://www.ageng.ndsu.nodak.edu/envr/psyc/2.HTM</t>
  </si>
  <si>
    <t>HVAC TERMINOLOGY</t>
  </si>
  <si>
    <t>Supply fan air flow,  CFM =</t>
  </si>
  <si>
    <t>ANSI/ASHRAE Standard 62-2001</t>
  </si>
  <si>
    <t>www.ashrae.org/File%20Library/docLib/.../200418145036_347.pdf</t>
  </si>
  <si>
    <t>cfm/person</t>
  </si>
  <si>
    <t>Number of occupants,  N =</t>
  </si>
  <si>
    <t xml:space="preserve">Ventilation </t>
  </si>
  <si>
    <t>Ventilation air flow,  Vv =</t>
  </si>
  <si>
    <t>N*VP</t>
  </si>
  <si>
    <t>*Ventilation per person,  VP =</t>
  </si>
  <si>
    <t>See Qslab below.</t>
  </si>
  <si>
    <t>U-value =</t>
  </si>
  <si>
    <t>Wall &gt;</t>
  </si>
  <si>
    <t>Wall 1 North Facing</t>
  </si>
  <si>
    <t>Wall Length, L =</t>
  </si>
  <si>
    <t>W1v =</t>
  </si>
  <si>
    <t>W1h =</t>
  </si>
  <si>
    <t>W2v =</t>
  </si>
  <si>
    <t>W2h =</t>
  </si>
  <si>
    <t>W3v =</t>
  </si>
  <si>
    <t>W3h =</t>
  </si>
  <si>
    <t>L*H</t>
  </si>
  <si>
    <t xml:space="preserve">(W1v*W1h*N1) + (W2v*W2h*N2) + (W3v*W3h*N3) </t>
  </si>
  <si>
    <t>Glass %</t>
  </si>
  <si>
    <t>Number of windows 1,  N1 =</t>
  </si>
  <si>
    <t>Number of windows 3,  N3 =</t>
  </si>
  <si>
    <t>Number of windows 2,  N2 =</t>
  </si>
  <si>
    <t>Wall area, Aw =</t>
  </si>
  <si>
    <t>Wall total area, Aw =</t>
  </si>
  <si>
    <t>Glass total area, Ag =</t>
  </si>
  <si>
    <t>Ag/Aw</t>
  </si>
  <si>
    <t>Glass Area %</t>
  </si>
  <si>
    <t>(Glass Area)/(Wall Total Area)</t>
  </si>
  <si>
    <t>(Glass Area)/(Wall Area), Ag% =</t>
  </si>
  <si>
    <t xml:space="preserve"> Sensible Ventilation and Infiltration Heat Load</t>
  </si>
  <si>
    <t>Latent Ventilation and Latent Heat Load</t>
  </si>
  <si>
    <t>Infiltration of Outside Air</t>
  </si>
  <si>
    <t>*Minimum Ventilation Rates In Breathing Zone</t>
  </si>
  <si>
    <t>7.  Janitorial floor cleaning, etc.</t>
  </si>
  <si>
    <t>4" Rigid Insulation</t>
  </si>
  <si>
    <t>Sheathing 0.5 in</t>
  </si>
  <si>
    <t>Foundry</t>
  </si>
  <si>
    <t>occupants</t>
  </si>
  <si>
    <t>Psychrometric Chart Software - click "Cooling" tab below for method.</t>
  </si>
  <si>
    <t xml:space="preserve">*Department of Energy Modeling Guidelines for Commercial Building Energy Analysis </t>
  </si>
  <si>
    <t>1/2", Gypsum Drywall</t>
  </si>
  <si>
    <t>Metal with rigid insulation</t>
  </si>
  <si>
    <t>Heat loss coefficient,  F =</t>
  </si>
  <si>
    <t>Duct height,  H =</t>
  </si>
  <si>
    <t>WINTER HEATING LOAD CALCULATION - PROBLEM</t>
  </si>
  <si>
    <t>WINTER HEATING LOAD CALCULATION - EXAMPLE ONLY</t>
  </si>
  <si>
    <t>2.  Solar heat gain radiation through windows</t>
  </si>
  <si>
    <t>1.  External heat gain conducted into the building interior.</t>
  </si>
  <si>
    <t>Sensible cooling load: occupants + machines,  Qs =</t>
  </si>
  <si>
    <t>Latent cooling load from occupants + machines,  QL =</t>
  </si>
  <si>
    <t>Mixture humidity ratio</t>
  </si>
  <si>
    <t xml:space="preserve">Enter Venmar new point: DB=Ta=? &amp; RH=? </t>
  </si>
  <si>
    <t xml:space="preserve">Enter Venmar new point: DB=Tb=? &amp; WB=? </t>
  </si>
  <si>
    <t>Mixture humidity ratio,  Wc =</t>
  </si>
  <si>
    <t xml:space="preserve">Enter Venmar new point: DB=Td=? &amp; WB=? </t>
  </si>
  <si>
    <t>Room supply air temperature rise, ΔT = Ta - Td =</t>
  </si>
  <si>
    <t>RHd =</t>
  </si>
  <si>
    <t>Enter Venmar chart point: DB=Te=52.2 &amp; RH = 100%</t>
  </si>
  <si>
    <t xml:space="preserve">Enter Venmar new point: DB=Td=55 &amp; RH = 90% </t>
  </si>
  <si>
    <t>Enter Venmar chart point: DB=Te=? &amp; RH = ?%</t>
  </si>
  <si>
    <t xml:space="preserve">Extend line AD to E (RH = 100%) and read Te </t>
  </si>
  <si>
    <t>Room supply air temperature point D, Td =</t>
  </si>
  <si>
    <t>SI = Metric Units</t>
  </si>
  <si>
    <t>a leakage rate of 20 cubic foot per minute assumed.</t>
  </si>
  <si>
    <t>COOLING ZONE LOAD CONDITIONS - PROBLEM</t>
  </si>
  <si>
    <t xml:space="preserve">Infiltration of outside air through cracks around windows and doors, </t>
  </si>
  <si>
    <t>Heat conducted through the glass, Qgc =</t>
  </si>
  <si>
    <t>Heat radiated through the glass, Qgr =</t>
  </si>
  <si>
    <t>The temperature of recirculating air does not change.</t>
  </si>
  <si>
    <t>Indoor-Outdoor temperature difference.  TD =</t>
  </si>
  <si>
    <t>(See Vin below)</t>
  </si>
  <si>
    <t>Sensible Ventilation and Infiltration Heat Load</t>
  </si>
  <si>
    <t>ZONE HEATING LOAD CALCULATION - PROBLEM</t>
  </si>
  <si>
    <t>Grand Sensible Heat Ratio, GSHR =</t>
  </si>
  <si>
    <t>Effective Sensible Heat Ratio, ESHR =</t>
  </si>
  <si>
    <t>Btu/Hr deg F-ft</t>
  </si>
  <si>
    <t>Floor Slab on Grade Heat loss coefficient F factor (Btu/Hr deg F-ft)</t>
  </si>
  <si>
    <t>Floor slab on grade heating load, Qslab =</t>
  </si>
  <si>
    <t xml:space="preserve">Loss coefficients C for duct components                    </t>
  </si>
  <si>
    <t>Branch Duct Sizes</t>
  </si>
  <si>
    <t>SPREADSHEET METHOD</t>
  </si>
  <si>
    <t>1. Type in values for the input data.</t>
  </si>
  <si>
    <t>Excel Workbook - new version</t>
  </si>
  <si>
    <t xml:space="preserve">When using Excel's Goal Seek, unprotect the spread </t>
  </si>
  <si>
    <t xml:space="preserve">sheet by selecting: Drop down menu: Format &gt; </t>
  </si>
  <si>
    <t xml:space="preserve">Unprotect Sheet &gt; OK. When Excel's </t>
  </si>
  <si>
    <t>Goal Seek is not needed, restore protection with:</t>
  </si>
  <si>
    <t>Drop down menu: Format &gt; Protect Sheet.</t>
  </si>
  <si>
    <t>Excel-97  2003 - old version</t>
  </si>
  <si>
    <t xml:space="preserve">sheet by selecting: Drop down menu: Tools &gt; </t>
  </si>
  <si>
    <t xml:space="preserve">Protection &gt; Unprotect Sheet &gt; OK. When Excel's </t>
  </si>
  <si>
    <t>in dia</t>
  </si>
  <si>
    <t>EXAMPLE ONLY USE "PROBLEM" BELOW FOR OTHER VALUES OF W OR H</t>
  </si>
  <si>
    <t xml:space="preserve">USE THIS GOAL SEEK PROBLEM </t>
  </si>
  <si>
    <t>1. Input values for W &amp; H and the spreadsheet will make the calculations</t>
  </si>
  <si>
    <t>2. Input values for W &amp; H and Excel's "GOAL SEEK" will optimize the calculations.</t>
  </si>
  <si>
    <t>3. Input values for W &amp; H and Excel's "GOAL SEEK" will optimize the calculations.</t>
  </si>
  <si>
    <t>A. Menu: Data &gt; What If &gt; Goal Seek</t>
  </si>
  <si>
    <t>B. Select cell Q50 containing a formula.</t>
  </si>
  <si>
    <t>C. type "To value" the desired value in cell Q50.</t>
  </si>
  <si>
    <t>D. "By changing cell:" select cell Q47 &gt; OK.</t>
  </si>
  <si>
    <t>DUCT SIZING</t>
  </si>
  <si>
    <t>2. Find the maximum acceptable airflow velocity sound level in the main duct.</t>
  </si>
  <si>
    <t xml:space="preserve">4. Adjust branch duct diameters to have the same pressure drop as the main duct. </t>
  </si>
  <si>
    <t>5. Determine the total duct system resistance by multiplying the static resistance</t>
  </si>
  <si>
    <t>by the equivalent length of the longest duct.</t>
  </si>
  <si>
    <t>6. Find necessary balancing dampers.</t>
  </si>
  <si>
    <t>engineeringtoolbox.com</t>
  </si>
  <si>
    <t>1. Calculate air volume flow (cu ft/min) in all rooms.</t>
  </si>
  <si>
    <t>INTRODUCTION</t>
  </si>
  <si>
    <t>USE THIS RECTANGULAR TO ROUND DUCT CALCULATOR</t>
  </si>
  <si>
    <t>Related web links:</t>
  </si>
  <si>
    <t>Calculate Tc &amp; Wc</t>
  </si>
  <si>
    <t>Calculate Td = Ta - ΔT &amp; given RH = 90%</t>
  </si>
  <si>
    <t xml:space="preserve">E = On the chart extend line AD to E at the saturation line and read Te = 52.2 </t>
  </si>
  <si>
    <t>Surface Heat Transfer Coefficients, Ui &amp; Uo</t>
  </si>
  <si>
    <t>Area ft^2</t>
  </si>
  <si>
    <t>North glass solar cooling load, SCL =</t>
  </si>
  <si>
    <t>South glass solar cooling load, SCL =</t>
  </si>
  <si>
    <t>East &amp; West glass solar cooling load, SCL =</t>
  </si>
  <si>
    <t>Radiation</t>
  </si>
  <si>
    <t>Load</t>
  </si>
  <si>
    <t>Conduction</t>
  </si>
  <si>
    <t>Total Solar Load</t>
  </si>
  <si>
    <t>Total Conduction</t>
  </si>
  <si>
    <t>Average electrical usage, Uw =</t>
  </si>
  <si>
    <t>Outdoor dry bulb temperature,  To =</t>
  </si>
  <si>
    <t>"</t>
  </si>
  <si>
    <t xml:space="preserve">Outdoor infiltration sensible heat gain, Qinfil = </t>
  </si>
  <si>
    <t>Condition room floor to ceiling height,  Hf =</t>
  </si>
  <si>
    <t>Average electrical usage,  Qe =</t>
  </si>
  <si>
    <t>Per person latent heat for light activity, Qos =</t>
  </si>
  <si>
    <t xml:space="preserve">Btu/hr Gas </t>
  </si>
  <si>
    <t>Per person sensible heat, light activity, QLo =</t>
  </si>
  <si>
    <t>Per person latent heat, light activity, Qo =</t>
  </si>
  <si>
    <t>Sensible &amp; sensible heat due to occupants varies according to activity</t>
  </si>
  <si>
    <t>BASIC GIVEN DATA</t>
  </si>
  <si>
    <t>Quantity</t>
  </si>
  <si>
    <t>Indoor relative humidity,  RH =</t>
  </si>
  <si>
    <t>Design indoor wet bulb temperature,  Tiwb =</t>
  </si>
  <si>
    <t>Design indoor dry bulb temperature,  Tidb =</t>
  </si>
  <si>
    <t>Grains of moisture per pound of air inside, Gb =</t>
  </si>
  <si>
    <t>Grains of moisture per pound of supply air, Ga =</t>
  </si>
  <si>
    <t>persons</t>
  </si>
  <si>
    <t>Heat through the walls and roof minus  glass, Qw =</t>
  </si>
  <si>
    <t>Condition room floor length (North &amp; South),  Lf =</t>
  </si>
  <si>
    <t>Condition room floor width (East &amp; West),  Wf =</t>
  </si>
  <si>
    <t>Sensible heat from occupants,  Qso =</t>
  </si>
  <si>
    <t>Appliances Latent Heat Load ,  Qa =</t>
  </si>
  <si>
    <t>Net Wall/Roof</t>
  </si>
  <si>
    <t>Outdoor infiltration sensible heat gain, Qinfil =</t>
  </si>
  <si>
    <t xml:space="preserve">Total sensible load,  Qs = </t>
  </si>
  <si>
    <t>Qs / (1.1*ΔT)</t>
  </si>
  <si>
    <t>Fraction of  air taken from outside, Fa =</t>
  </si>
  <si>
    <t>Venmar chart, Gd =</t>
  </si>
  <si>
    <t>Vsf / (Lr*Wr)</t>
  </si>
  <si>
    <t>E = On the chart extend line AD to E at the saturation line and read Te = ?</t>
  </si>
  <si>
    <t>Point-A</t>
  </si>
  <si>
    <t>Point-B</t>
  </si>
  <si>
    <t>AIR HANDLER CAPACITY</t>
  </si>
  <si>
    <t>Appliances Latent Heat Load ,  Qea =</t>
  </si>
  <si>
    <t>Pounds of moisture per pound of air inside, Wb =</t>
  </si>
  <si>
    <t>Pounds of moisture per pound of supply air, Wa =</t>
  </si>
  <si>
    <t>Gb/7000</t>
  </si>
  <si>
    <t>Ga/7000</t>
  </si>
  <si>
    <t>4840*Vin*(Gb - Ga )</t>
  </si>
  <si>
    <t>HEAT TRASFER THROUGH WALLS, GLASS, ROOF, AND FLOOR SLAB</t>
  </si>
  <si>
    <t>F</t>
  </si>
  <si>
    <t xml:space="preserve">D </t>
  </si>
  <si>
    <t>H</t>
  </si>
  <si>
    <t>V</t>
  </si>
  <si>
    <t>Diffuser</t>
  </si>
  <si>
    <t>Air Flow, CFM =</t>
  </si>
  <si>
    <t>Duct diameter,  D =</t>
  </si>
  <si>
    <t>dia in</t>
  </si>
  <si>
    <t>12*CFM / (V*60)</t>
  </si>
  <si>
    <t>Duct area,  Ad =</t>
  </si>
  <si>
    <t>sq ft</t>
  </si>
  <si>
    <t>Deduct air flow upstream</t>
  </si>
  <si>
    <t>Duct Flow</t>
  </si>
  <si>
    <t>Fittings</t>
  </si>
  <si>
    <t xml:space="preserve">B </t>
  </si>
  <si>
    <t xml:space="preserve">M424  HVAC SPREADSHEET </t>
  </si>
  <si>
    <t>Ta - ΔT</t>
  </si>
  <si>
    <t>Total supply air volume flow (Vs) is based on the sensible heat load (Qs) and (ΔT) only.</t>
  </si>
  <si>
    <r>
      <rPr>
        <b/>
        <sz val="12"/>
        <color rgb="FFFF0000"/>
        <rFont val="Arial"/>
        <family val="2"/>
      </rPr>
      <t>IP</t>
    </r>
    <r>
      <rPr>
        <b/>
        <sz val="12"/>
        <color theme="1"/>
        <rFont val="Arial"/>
        <family val="2"/>
      </rPr>
      <t xml:space="preserve"> = Imperial Units</t>
    </r>
  </si>
  <si>
    <r>
      <t>http://www.handsdownsoftware.com/Downloads.htm</t>
    </r>
    <r>
      <rPr>
        <sz val="12"/>
        <color rgb="FF000000"/>
        <rFont val="Arial"/>
        <family val="2"/>
      </rPr>
      <t xml:space="preserve"> </t>
    </r>
  </si>
  <si>
    <r>
      <t xml:space="preserve">           </t>
    </r>
    <r>
      <rPr>
        <b/>
        <sz val="12"/>
        <color theme="1"/>
        <rFont val="Arial"/>
        <family val="2"/>
      </rPr>
      <t>Air Flow: cu ft/min</t>
    </r>
  </si>
  <si>
    <t>QL / (Vsf*60*0.075*1059)</t>
  </si>
  <si>
    <r>
      <rPr>
        <b/>
        <sz val="12"/>
        <rFont val="Arial"/>
        <family val="2"/>
      </rPr>
      <t>2</t>
    </r>
    <r>
      <rPr>
        <sz val="12"/>
        <rFont val="Arial"/>
        <family val="2"/>
      </rPr>
      <t xml:space="preserve">. </t>
    </r>
    <r>
      <rPr>
        <b/>
        <sz val="12"/>
        <rFont val="Arial"/>
        <family val="2"/>
      </rPr>
      <t>Answer:  X = will be calculated.</t>
    </r>
  </si>
  <si>
    <t>Link to free software</t>
  </si>
  <si>
    <t>END OF SECTION</t>
  </si>
  <si>
    <t xml:space="preserve">John Andrew LLC </t>
  </si>
  <si>
    <t>Copyright © 12/7/2022</t>
  </si>
  <si>
    <t>CONTENTS</t>
  </si>
  <si>
    <t>Link</t>
  </si>
  <si>
    <t>COOLING</t>
  </si>
  <si>
    <t>COOLING LOAD</t>
  </si>
  <si>
    <t>HEATING</t>
  </si>
  <si>
    <t>DUCTING</t>
  </si>
  <si>
    <t>DEGREE DAYS</t>
  </si>
  <si>
    <t>MATH TOOLS</t>
  </si>
  <si>
    <t>PROBLEM SOLVER</t>
  </si>
  <si>
    <t>Select Format &gt; Unprotect Sheet</t>
  </si>
  <si>
    <t xml:space="preserve">Unlock a worksheet with "Unprotect" </t>
  </si>
  <si>
    <t xml:space="preserve">HOME </t>
  </si>
  <si>
    <t xml:space="preserve">Format </t>
  </si>
  <si>
    <t>Unprotect Sheet</t>
  </si>
  <si>
    <t>OK</t>
  </si>
  <si>
    <t xml:space="preserve">Lock a worksheet with "Protect Sheet" </t>
  </si>
  <si>
    <t>NEW EXCEL</t>
  </si>
  <si>
    <t>OLD EXCEL</t>
  </si>
  <si>
    <t>Protect Sheet</t>
  </si>
  <si>
    <t>Check the "Protect Sheet" two boxes right &gt;&gt;</t>
  </si>
  <si>
    <t>Select Unlocked Cells</t>
  </si>
  <si>
    <t>Format Cells</t>
  </si>
  <si>
    <t>Step</t>
  </si>
  <si>
    <t xml:space="preserve">GOAL SEEK </t>
  </si>
  <si>
    <t>H =</t>
  </si>
  <si>
    <t>lbs</t>
  </si>
  <si>
    <t>Format</t>
  </si>
  <si>
    <t>V =</t>
  </si>
  <si>
    <t>llbs</t>
  </si>
  <si>
    <t>Horizontal force, H =</t>
  </si>
  <si>
    <t>TAN(A) =</t>
  </si>
  <si>
    <t>V/H</t>
  </si>
  <si>
    <t>Vertical force, V =</t>
  </si>
  <si>
    <t>number</t>
  </si>
  <si>
    <t>Decimal Places</t>
  </si>
  <si>
    <t>Calculation</t>
  </si>
  <si>
    <t>Angle  A =</t>
  </si>
  <si>
    <t>ATAN(V/H)</t>
  </si>
  <si>
    <t>Resultant force, R =</t>
  </si>
  <si>
    <t>( H^2 + V^2 )^(1/2)</t>
  </si>
  <si>
    <t>radians</t>
  </si>
  <si>
    <t>A radians =</t>
  </si>
  <si>
    <t xml:space="preserve">57.3*A </t>
  </si>
  <si>
    <t>degrees</t>
  </si>
  <si>
    <t>Angle, A =</t>
  </si>
  <si>
    <t>57.30 * ATAN(V / H)</t>
  </si>
  <si>
    <t>57.3*A</t>
  </si>
  <si>
    <t>GOAL SEEK method</t>
  </si>
  <si>
    <t>Step-1  Select the green cell C38 containing a formula.</t>
  </si>
  <si>
    <t>Step-2  Select: DATA  &gt; What-If Analysis &gt; Goal Seek</t>
  </si>
  <si>
    <t>Step-3  To value: 14, for example</t>
  </si>
  <si>
    <t>Step-4  Pick cell containing value to be changed by Excel: C34 or C35 &gt; OK</t>
  </si>
  <si>
    <t>Select &gt; OK and "Goal Seek Status'&gt;&gt; will open &gt; OK</t>
  </si>
  <si>
    <t>Follow Steps</t>
  </si>
  <si>
    <t>Select</t>
  </si>
  <si>
    <t>Format ells</t>
  </si>
  <si>
    <t>Protect Sheet Opens</t>
  </si>
  <si>
    <t>Outdoor  infiltration leakage rate,  VL =</t>
  </si>
  <si>
    <t>Per person sensible heat for light activity, QoL =</t>
  </si>
  <si>
    <t>Sensible heat from occupants,  QLo =</t>
  </si>
  <si>
    <t>Latent heat from the infiltration ,  QLin =</t>
  </si>
  <si>
    <t xml:space="preserve">Total latent load,  QL = </t>
  </si>
  <si>
    <r>
      <t xml:space="preserve">Dishwasher </t>
    </r>
    <r>
      <rPr>
        <b/>
        <sz val="12"/>
        <color rgb="FF000000"/>
        <rFont val="Arial"/>
        <family val="2"/>
      </rPr>
      <t xml:space="preserve">qd </t>
    </r>
    <r>
      <rPr>
        <sz val="12"/>
        <color rgb="FF000000"/>
        <rFont val="Arial"/>
        <family val="2"/>
      </rPr>
      <t xml:space="preserve">= </t>
    </r>
  </si>
  <si>
    <r>
      <t xml:space="preserve">Oven </t>
    </r>
    <r>
      <rPr>
        <b/>
        <sz val="12"/>
        <color rgb="FF000000"/>
        <rFont val="Arial"/>
        <family val="2"/>
      </rPr>
      <t xml:space="preserve">qo </t>
    </r>
    <r>
      <rPr>
        <sz val="12"/>
        <color rgb="FF000000"/>
        <rFont val="Arial"/>
        <family val="2"/>
      </rPr>
      <t>=</t>
    </r>
  </si>
  <si>
    <r>
      <t xml:space="preserve">Range </t>
    </r>
    <r>
      <rPr>
        <b/>
        <sz val="12"/>
        <color rgb="FF000000"/>
        <rFont val="Arial"/>
        <family val="2"/>
      </rPr>
      <t xml:space="preserve">qr </t>
    </r>
    <r>
      <rPr>
        <sz val="12"/>
        <color rgb="FF000000"/>
        <rFont val="Arial"/>
        <family val="2"/>
      </rPr>
      <t>=</t>
    </r>
  </si>
  <si>
    <r>
      <t>1.1*V</t>
    </r>
    <r>
      <rPr>
        <b/>
        <vertAlign val="subscript"/>
        <sz val="12"/>
        <color rgb="FF000000"/>
        <rFont val="Arial"/>
        <family val="2"/>
      </rPr>
      <t>L</t>
    </r>
    <r>
      <rPr>
        <b/>
        <sz val="12"/>
        <color rgb="FF000000"/>
        <rFont val="Arial"/>
        <family val="2"/>
      </rPr>
      <t>* ΔT</t>
    </r>
  </si>
  <si>
    <t>1.1 (w) ΔT</t>
  </si>
  <si>
    <r>
      <t>Btu/(hr-ft</t>
    </r>
    <r>
      <rPr>
        <b/>
        <vertAlign val="superscript"/>
        <sz val="12"/>
        <color theme="1"/>
        <rFont val="Arial"/>
        <family val="2"/>
      </rPr>
      <t>2</t>
    </r>
    <r>
      <rPr>
        <b/>
        <sz val="12"/>
        <color theme="1"/>
        <rFont val="Arial"/>
        <family val="2"/>
      </rPr>
      <t xml:space="preserve"> –F)</t>
    </r>
  </si>
  <si>
    <r>
      <t xml:space="preserve">U </t>
    </r>
    <r>
      <rPr>
        <b/>
        <sz val="12"/>
        <color theme="1"/>
        <rFont val="Arial"/>
        <family val="2"/>
      </rPr>
      <t>Btu/(hr-ft</t>
    </r>
    <r>
      <rPr>
        <b/>
        <vertAlign val="superscript"/>
        <sz val="12"/>
        <color theme="1"/>
        <rFont val="Arial"/>
        <family val="2"/>
      </rPr>
      <t>2</t>
    </r>
    <r>
      <rPr>
        <b/>
        <sz val="12"/>
        <color theme="1"/>
        <rFont val="Arial"/>
        <family val="2"/>
      </rPr>
      <t xml:space="preserve"> –F)</t>
    </r>
  </si>
  <si>
    <t>ΔT</t>
  </si>
  <si>
    <t>COOLING ZONE LOAD CONDITIONS - EXAMPLE ONLY</t>
  </si>
  <si>
    <t xml:space="preserve">Point-A      </t>
  </si>
  <si>
    <t>Copy and past your "Venmar" software results here.</t>
  </si>
  <si>
    <t>CHART POINTS-A &amp; B - EXAMPLE ONLY</t>
  </si>
  <si>
    <t>CHART POINTS-A &amp; B - PROBLEM</t>
  </si>
  <si>
    <t>Department of Energy Infiltration Modeling Guidelines web site:</t>
  </si>
  <si>
    <t>(Vv + Vin)*ρ*Cp*TD</t>
  </si>
  <si>
    <t>(Vv+ Vin)*ρ*Hfg*(Wi - Wo)</t>
  </si>
  <si>
    <r>
      <t>Btu/(hr-ft</t>
    </r>
    <r>
      <rPr>
        <vertAlign val="superscript"/>
        <sz val="12"/>
        <color theme="1"/>
        <rFont val="Arial"/>
        <family val="2"/>
      </rPr>
      <t>2</t>
    </r>
    <r>
      <rPr>
        <sz val="12"/>
        <color theme="1"/>
        <rFont val="Arial"/>
        <family val="2"/>
      </rPr>
      <t xml:space="preserve"> degF)</t>
    </r>
  </si>
  <si>
    <r>
      <t>ft</t>
    </r>
    <r>
      <rPr>
        <b/>
        <vertAlign val="superscript"/>
        <sz val="12"/>
        <color theme="1"/>
        <rFont val="Arial"/>
        <family val="2"/>
      </rPr>
      <t>2</t>
    </r>
  </si>
  <si>
    <r>
      <t>hr-ft</t>
    </r>
    <r>
      <rPr>
        <b/>
        <vertAlign val="superscript"/>
        <sz val="12"/>
        <color theme="1"/>
        <rFont val="Arial"/>
        <family val="2"/>
      </rPr>
      <t>2</t>
    </r>
    <r>
      <rPr>
        <b/>
        <sz val="12"/>
        <color theme="1"/>
        <rFont val="Arial"/>
        <family val="2"/>
      </rPr>
      <t xml:space="preserve"> degF/Btu</t>
    </r>
  </si>
  <si>
    <r>
      <t>Btu/(hr-ft</t>
    </r>
    <r>
      <rPr>
        <b/>
        <vertAlign val="superscript"/>
        <sz val="12"/>
        <color theme="1"/>
        <rFont val="Arial"/>
        <family val="2"/>
      </rPr>
      <t>2</t>
    </r>
    <r>
      <rPr>
        <b/>
        <sz val="12"/>
        <color theme="1"/>
        <rFont val="Arial"/>
        <family val="2"/>
      </rPr>
      <t xml:space="preserve"> degF)</t>
    </r>
  </si>
  <si>
    <r>
      <t xml:space="preserve"> R</t>
    </r>
    <r>
      <rPr>
        <b/>
        <vertAlign val="subscript"/>
        <sz val="12"/>
        <color rgb="FF000000"/>
        <rFont val="Arial"/>
        <family val="2"/>
      </rPr>
      <t>o</t>
    </r>
    <r>
      <rPr>
        <b/>
        <sz val="12"/>
        <color rgb="FF000000"/>
        <rFont val="Arial"/>
        <family val="2"/>
      </rPr>
      <t xml:space="preserve"> +R</t>
    </r>
    <r>
      <rPr>
        <b/>
        <vertAlign val="subscript"/>
        <sz val="12"/>
        <color rgb="FF000000"/>
        <rFont val="Arial"/>
        <family val="2"/>
      </rPr>
      <t>1</t>
    </r>
    <r>
      <rPr>
        <b/>
        <sz val="12"/>
        <color rgb="FF000000"/>
        <rFont val="Arial"/>
        <family val="2"/>
      </rPr>
      <t xml:space="preserve"> +R</t>
    </r>
    <r>
      <rPr>
        <b/>
        <vertAlign val="subscript"/>
        <sz val="12"/>
        <color rgb="FF000000"/>
        <rFont val="Arial"/>
        <family val="2"/>
      </rPr>
      <t>2</t>
    </r>
    <r>
      <rPr>
        <b/>
        <sz val="12"/>
        <color rgb="FF000000"/>
        <rFont val="Arial"/>
        <family val="2"/>
      </rPr>
      <t xml:space="preserve"> +R</t>
    </r>
    <r>
      <rPr>
        <b/>
        <vertAlign val="subscript"/>
        <sz val="12"/>
        <color rgb="FF000000"/>
        <rFont val="Arial"/>
        <family val="2"/>
      </rPr>
      <t>3</t>
    </r>
    <r>
      <rPr>
        <b/>
        <sz val="12"/>
        <color rgb="FF000000"/>
        <rFont val="Arial"/>
        <family val="2"/>
      </rPr>
      <t xml:space="preserve"> +R</t>
    </r>
    <r>
      <rPr>
        <b/>
        <vertAlign val="subscript"/>
        <sz val="12"/>
        <color rgb="FF000000"/>
        <rFont val="Arial"/>
        <family val="2"/>
      </rPr>
      <t>4</t>
    </r>
    <r>
      <rPr>
        <b/>
        <sz val="12"/>
        <color rgb="FF000000"/>
        <rFont val="Arial"/>
        <family val="2"/>
      </rPr>
      <t xml:space="preserve"> +R</t>
    </r>
    <r>
      <rPr>
        <b/>
        <vertAlign val="subscript"/>
        <sz val="12"/>
        <color rgb="FF000000"/>
        <rFont val="Arial"/>
        <family val="2"/>
      </rPr>
      <t>5</t>
    </r>
    <r>
      <rPr>
        <b/>
        <sz val="12"/>
        <color rgb="FF000000"/>
        <rFont val="Arial"/>
        <family val="2"/>
      </rPr>
      <t xml:space="preserve"> +R</t>
    </r>
    <r>
      <rPr>
        <b/>
        <vertAlign val="subscript"/>
        <sz val="12"/>
        <color rgb="FF000000"/>
        <rFont val="Arial"/>
        <family val="2"/>
      </rPr>
      <t xml:space="preserve">i </t>
    </r>
  </si>
  <si>
    <t>(Also see "Problem Solver" tab below.)</t>
  </si>
  <si>
    <t>3. Calculate the major pressure drop ΔP = (0.109136 V^1.9) / d^5.02 in the main duct.</t>
  </si>
  <si>
    <t>(4*A/π)^0.5</t>
  </si>
  <si>
    <t>Duct friction head,  ΔP per 100 feet =</t>
  </si>
  <si>
    <r>
      <t>(0.109136 q</t>
    </r>
    <r>
      <rPr>
        <b/>
        <vertAlign val="superscript"/>
        <sz val="12"/>
        <color rgb="FF000000"/>
        <rFont val="Arial"/>
        <family val="2"/>
      </rPr>
      <t>1.9</t>
    </r>
    <r>
      <rPr>
        <b/>
        <sz val="12"/>
        <color rgb="FF000000"/>
        <rFont val="Arial"/>
        <family val="2"/>
      </rPr>
      <t>) / d</t>
    </r>
    <r>
      <rPr>
        <b/>
        <vertAlign val="subscript"/>
        <sz val="12"/>
        <color rgb="FF000000"/>
        <rFont val="Arial"/>
        <family val="2"/>
      </rPr>
      <t>e</t>
    </r>
    <r>
      <rPr>
        <b/>
        <vertAlign val="superscript"/>
        <sz val="12"/>
        <color rgb="FF000000"/>
        <rFont val="Arial"/>
        <family val="2"/>
      </rPr>
      <t>5.02</t>
    </r>
  </si>
  <si>
    <t>Duct friction head,  ΔP per  =</t>
  </si>
  <si>
    <r>
      <t>(0.109136 Q</t>
    </r>
    <r>
      <rPr>
        <b/>
        <vertAlign val="superscript"/>
        <sz val="12"/>
        <color rgb="FF000000"/>
        <rFont val="Arial"/>
        <family val="2"/>
      </rPr>
      <t>1.9</t>
    </r>
    <r>
      <rPr>
        <b/>
        <sz val="12"/>
        <color rgb="FF000000"/>
        <rFont val="Arial"/>
        <family val="2"/>
      </rPr>
      <t>) / D</t>
    </r>
    <r>
      <rPr>
        <b/>
        <vertAlign val="superscript"/>
        <sz val="12"/>
        <color rgb="FF000000"/>
        <rFont val="Arial"/>
        <family val="2"/>
      </rPr>
      <t>5.02</t>
    </r>
  </si>
  <si>
    <t>12*(4*A/π)^0.5</t>
  </si>
  <si>
    <r>
      <t>v</t>
    </r>
    <r>
      <rPr>
        <b/>
        <vertAlign val="subscript"/>
        <sz val="12"/>
        <color rgb="FF000000"/>
        <rFont val="Arial"/>
        <family val="2"/>
      </rPr>
      <t>1</t>
    </r>
    <r>
      <rPr>
        <b/>
        <sz val="12"/>
        <color rgb="FF000000"/>
        <rFont val="Arial"/>
        <family val="2"/>
      </rPr>
      <t>= velocity before enlargement and v</t>
    </r>
    <r>
      <rPr>
        <b/>
        <vertAlign val="subscript"/>
        <sz val="12"/>
        <color rgb="FF000000"/>
        <rFont val="Arial"/>
        <family val="2"/>
      </rPr>
      <t>2</t>
    </r>
    <r>
      <rPr>
        <b/>
        <sz val="12"/>
        <color rgb="FF000000"/>
        <rFont val="Arial"/>
        <family val="2"/>
      </rPr>
      <t> = velocity after enlargement)</t>
    </r>
  </si>
  <si>
    <r>
      <t>Enlargement, tapered angle &lt; 8</t>
    </r>
    <r>
      <rPr>
        <vertAlign val="superscript"/>
        <sz val="12"/>
        <color rgb="FF000000"/>
        <rFont val="Arial"/>
        <family val="2"/>
      </rPr>
      <t>o</t>
    </r>
  </si>
  <si>
    <r>
      <t>Enlargement, tapered angle &gt; 8</t>
    </r>
    <r>
      <rPr>
        <vertAlign val="superscript"/>
        <sz val="12"/>
        <color rgb="FF000000"/>
        <rFont val="Arial"/>
        <family val="2"/>
      </rPr>
      <t>o</t>
    </r>
  </si>
  <si>
    <t>Pressure loss in H2O,   ΔP =</t>
  </si>
  <si>
    <t xml:space="preserve">  Pressure loss (V1 to V2),  ΔP =</t>
  </si>
  <si>
    <r>
      <t>(0.109136 q</t>
    </r>
    <r>
      <rPr>
        <b/>
        <vertAlign val="superscript"/>
        <sz val="14"/>
        <color rgb="FF000000"/>
        <rFont val="Arial"/>
        <family val="2"/>
      </rPr>
      <t>1.9</t>
    </r>
    <r>
      <rPr>
        <b/>
        <sz val="14"/>
        <color rgb="FF000000"/>
        <rFont val="Arial"/>
        <family val="2"/>
      </rPr>
      <t>) / d</t>
    </r>
    <r>
      <rPr>
        <b/>
        <vertAlign val="subscript"/>
        <sz val="14"/>
        <color rgb="FF000000"/>
        <rFont val="Arial"/>
        <family val="2"/>
      </rPr>
      <t>e</t>
    </r>
    <r>
      <rPr>
        <b/>
        <vertAlign val="superscript"/>
        <sz val="14"/>
        <color rgb="FF000000"/>
        <rFont val="Arial"/>
        <family val="2"/>
      </rPr>
      <t>5.02</t>
    </r>
  </si>
  <si>
    <r>
      <t>Enlargement, abrupt, tapered angle &gt; 8</t>
    </r>
    <r>
      <rPr>
        <b/>
        <vertAlign val="superscript"/>
        <sz val="14"/>
        <color rgb="FF000000"/>
        <rFont val="Arial"/>
        <family val="2"/>
      </rPr>
      <t>o</t>
    </r>
  </si>
  <si>
    <r>
      <t>Enlargement, tapered angle &lt; 8</t>
    </r>
    <r>
      <rPr>
        <b/>
        <vertAlign val="superscript"/>
        <sz val="14"/>
        <color rgb="FF000000"/>
        <rFont val="Arial"/>
        <family val="2"/>
      </rPr>
      <t>o</t>
    </r>
  </si>
  <si>
    <t>"Goal Seek" the value of H that will change the duct diameter D to 24"</t>
  </si>
  <si>
    <t>See "Math Tools" tab below for more.</t>
  </si>
  <si>
    <t xml:space="preserve">EXAMPLE ONLY </t>
  </si>
  <si>
    <t xml:space="preserve">USE THIS TO SOLVE DUCT PROBLEM </t>
  </si>
  <si>
    <t>Input values for W &amp; H and the spreadsheet will make the calculations</t>
  </si>
  <si>
    <t>Input values for W &amp; H and Excel's "GOAL SEEK" will optimize the calculations.</t>
  </si>
  <si>
    <t>A. Data &gt; What If &gt; Goal Seek</t>
  </si>
  <si>
    <t>B. Select cell G26 containing An equation.</t>
  </si>
  <si>
    <t>D. "By changing cell:" select cell G23 &gt; OK.</t>
  </si>
  <si>
    <t>C. Type "To value" 24.</t>
  </si>
  <si>
    <r>
      <t>m</t>
    </r>
    <r>
      <rPr>
        <b/>
        <vertAlign val="superscript"/>
        <sz val="12"/>
        <rFont val="Arial"/>
        <family val="2"/>
      </rPr>
      <t>2</t>
    </r>
  </si>
  <si>
    <r>
      <t>ft</t>
    </r>
    <r>
      <rPr>
        <b/>
        <vertAlign val="superscript"/>
        <sz val="12"/>
        <rFont val="Arial"/>
        <family val="2"/>
      </rPr>
      <t>2</t>
    </r>
  </si>
  <si>
    <r>
      <t>m</t>
    </r>
    <r>
      <rPr>
        <b/>
        <vertAlign val="superscript"/>
        <sz val="12"/>
        <rFont val="Arial"/>
        <family val="2"/>
      </rPr>
      <t>3</t>
    </r>
  </si>
  <si>
    <r>
      <t>ft</t>
    </r>
    <r>
      <rPr>
        <b/>
        <vertAlign val="superscript"/>
        <sz val="12"/>
        <rFont val="Arial"/>
        <family val="2"/>
      </rPr>
      <t>3</t>
    </r>
  </si>
  <si>
    <r>
      <t>m/s</t>
    </r>
    <r>
      <rPr>
        <b/>
        <vertAlign val="superscript"/>
        <sz val="12"/>
        <rFont val="Arial"/>
        <family val="2"/>
      </rPr>
      <t>2</t>
    </r>
  </si>
  <si>
    <r>
      <t>ft/sec</t>
    </r>
    <r>
      <rPr>
        <b/>
        <vertAlign val="superscript"/>
        <sz val="12"/>
        <rFont val="Arial"/>
        <family val="2"/>
      </rPr>
      <t>2</t>
    </r>
  </si>
  <si>
    <r>
      <t>sec</t>
    </r>
    <r>
      <rPr>
        <b/>
        <vertAlign val="superscript"/>
        <sz val="12"/>
        <rFont val="Arial"/>
        <family val="2"/>
      </rPr>
      <t>-1</t>
    </r>
  </si>
  <si>
    <r>
      <t>kg/m</t>
    </r>
    <r>
      <rPr>
        <b/>
        <vertAlign val="superscript"/>
        <sz val="12"/>
        <rFont val="Arial"/>
        <family val="2"/>
      </rPr>
      <t>3</t>
    </r>
  </si>
  <si>
    <r>
      <t>lbm/ft</t>
    </r>
    <r>
      <rPr>
        <b/>
        <vertAlign val="superscript"/>
        <sz val="12"/>
        <rFont val="Arial"/>
        <family val="2"/>
      </rPr>
      <t>3</t>
    </r>
  </si>
  <si>
    <r>
      <t>N/m</t>
    </r>
    <r>
      <rPr>
        <b/>
        <vertAlign val="superscript"/>
        <sz val="12"/>
        <rFont val="Arial"/>
        <family val="2"/>
      </rPr>
      <t>3</t>
    </r>
  </si>
  <si>
    <r>
      <t>lbf/ft</t>
    </r>
    <r>
      <rPr>
        <b/>
        <vertAlign val="superscript"/>
        <sz val="12"/>
        <rFont val="Arial"/>
        <family val="2"/>
      </rPr>
      <t>3</t>
    </r>
  </si>
  <si>
    <r>
      <t>lbf/ft</t>
    </r>
    <r>
      <rPr>
        <b/>
        <vertAlign val="superscript"/>
        <sz val="12"/>
        <rFont val="Arial"/>
        <family val="2"/>
      </rPr>
      <t>2</t>
    </r>
  </si>
  <si>
    <r>
      <t>m</t>
    </r>
    <r>
      <rPr>
        <b/>
        <vertAlign val="superscript"/>
        <sz val="12"/>
        <rFont val="Arial"/>
        <family val="2"/>
      </rPr>
      <t>3</t>
    </r>
    <r>
      <rPr>
        <b/>
        <sz val="12"/>
        <rFont val="Arial"/>
        <family val="2"/>
      </rPr>
      <t>/s</t>
    </r>
  </si>
  <si>
    <r>
      <t>ft</t>
    </r>
    <r>
      <rPr>
        <b/>
        <vertAlign val="superscript"/>
        <sz val="12"/>
        <rFont val="Arial"/>
        <family val="2"/>
      </rPr>
      <t>3</t>
    </r>
    <r>
      <rPr>
        <b/>
        <sz val="12"/>
        <rFont val="Arial"/>
        <family val="2"/>
      </rPr>
      <t>/sec</t>
    </r>
  </si>
  <si>
    <r>
      <t>m</t>
    </r>
    <r>
      <rPr>
        <b/>
        <vertAlign val="superscript"/>
        <sz val="12"/>
        <rFont val="Arial"/>
        <family val="2"/>
      </rPr>
      <t>3</t>
    </r>
    <r>
      <rPr>
        <b/>
        <sz val="12"/>
        <rFont val="Arial"/>
        <family val="2"/>
      </rPr>
      <t>/kg</t>
    </r>
  </si>
  <si>
    <r>
      <t>ft</t>
    </r>
    <r>
      <rPr>
        <b/>
        <vertAlign val="superscript"/>
        <sz val="12"/>
        <rFont val="Arial"/>
        <family val="2"/>
      </rPr>
      <t>3</t>
    </r>
    <r>
      <rPr>
        <b/>
        <sz val="12"/>
        <rFont val="Arial"/>
        <family val="2"/>
      </rPr>
      <t>/lbm</t>
    </r>
  </si>
  <si>
    <r>
      <t>M = Mega = 10</t>
    </r>
    <r>
      <rPr>
        <b/>
        <vertAlign val="superscript"/>
        <sz val="12"/>
        <rFont val="Arial"/>
        <family val="2"/>
      </rPr>
      <t>6</t>
    </r>
  </si>
  <si>
    <r>
      <t>k = kilo = 10</t>
    </r>
    <r>
      <rPr>
        <b/>
        <vertAlign val="superscript"/>
        <sz val="12"/>
        <rFont val="Arial"/>
        <family val="2"/>
      </rPr>
      <t>3</t>
    </r>
  </si>
  <si>
    <t>SEE "MATH TOOLS" TAB BELOW FOR MORE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</si>
</sst>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0.0"/>
    <numFmt numFmtId="165" formatCode="0.000"/>
    <numFmt numFmtId="166" formatCode="0.0000"/>
    <numFmt numFmtId="167" formatCode="0.00000"/>
    <numFmt numFmtId="168" formatCode="0.0000E+00"/>
    <numFmt numFmtId="169" formatCode="0.000000"/>
    <numFmt numFmtId="170" formatCode="General_)"/>
    <numFmt numFmtId="171" formatCode="0.000_)"/>
    <numFmt numFmtId="172" formatCode="0_)"/>
    <numFmt numFmtId="173" formatCode="_(* #,##0_);_(* \(#,##0\);_(* &quot;-&quot;??_);_(@_)"/>
  </numFmts>
  <fonts count="33" x14ac:knownFonts="1">
    <font>
      <sz val="11"/>
      <color theme="1"/>
      <name val="Calibri"/>
      <family val="2"/>
      <scheme val="minor"/>
    </font>
    <font>
      <u/>
      <sz val="11"/>
      <color theme="10"/>
      <name val="Calibri"/>
      <family val="2"/>
    </font>
    <font>
      <sz val="11"/>
      <color theme="1"/>
      <name val="Calibri"/>
      <family val="2"/>
      <scheme val="minor"/>
    </font>
    <font>
      <b/>
      <sz val="14"/>
      <color theme="1"/>
      <name val="Arial"/>
      <family val="2"/>
    </font>
    <font>
      <b/>
      <sz val="12"/>
      <color theme="1"/>
      <name val="Arial"/>
      <family val="2"/>
    </font>
    <font>
      <b/>
      <sz val="12"/>
      <name val="Arial"/>
      <family val="2"/>
    </font>
    <font>
      <sz val="10"/>
      <name val="Arial"/>
      <family val="2"/>
    </font>
    <font>
      <b/>
      <sz val="12"/>
      <color indexed="10"/>
      <name val="Arial"/>
      <family val="2"/>
    </font>
    <font>
      <b/>
      <u/>
      <sz val="11"/>
      <color theme="10"/>
      <name val="Calibri"/>
      <family val="2"/>
    </font>
    <font>
      <b/>
      <sz val="14"/>
      <name val="Arial"/>
      <family val="2"/>
    </font>
    <font>
      <b/>
      <sz val="16"/>
      <color theme="1"/>
      <name val="Arial"/>
      <family val="2"/>
    </font>
    <font>
      <sz val="12"/>
      <color theme="1"/>
      <name val="Arial"/>
      <family val="2"/>
    </font>
    <font>
      <u/>
      <sz val="12"/>
      <color theme="10"/>
      <name val="Arial"/>
      <family val="2"/>
    </font>
    <font>
      <sz val="12"/>
      <color indexed="10"/>
      <name val="Arial"/>
      <family val="2"/>
    </font>
    <font>
      <b/>
      <u/>
      <sz val="12"/>
      <color theme="10"/>
      <name val="Arial"/>
      <family val="2"/>
    </font>
    <font>
      <b/>
      <sz val="12"/>
      <color rgb="FF000000"/>
      <name val="Arial"/>
      <family val="2"/>
    </font>
    <font>
      <b/>
      <sz val="12"/>
      <color rgb="FFFF0000"/>
      <name val="Arial"/>
      <family val="2"/>
    </font>
    <font>
      <b/>
      <u/>
      <sz val="12"/>
      <color rgb="FF000000"/>
      <name val="Arial"/>
      <family val="2"/>
    </font>
    <font>
      <sz val="12"/>
      <color rgb="FF000000"/>
      <name val="Arial"/>
      <family val="2"/>
    </font>
    <font>
      <sz val="12"/>
      <name val="Arial"/>
      <family val="2"/>
    </font>
    <font>
      <b/>
      <sz val="12"/>
      <color indexed="12"/>
      <name val="Arial"/>
      <family val="2"/>
    </font>
    <font>
      <b/>
      <sz val="16"/>
      <name val="Arial"/>
      <family val="2"/>
    </font>
    <font>
      <b/>
      <vertAlign val="subscript"/>
      <sz val="12"/>
      <color rgb="FF000000"/>
      <name val="Arial"/>
      <family val="2"/>
    </font>
    <font>
      <b/>
      <vertAlign val="superscript"/>
      <sz val="12"/>
      <color theme="1"/>
      <name val="Arial"/>
      <family val="2"/>
    </font>
    <font>
      <sz val="12"/>
      <color indexed="12"/>
      <name val="Arial"/>
      <family val="2"/>
    </font>
    <font>
      <vertAlign val="superscript"/>
      <sz val="12"/>
      <color theme="1"/>
      <name val="Arial"/>
      <family val="2"/>
    </font>
    <font>
      <b/>
      <sz val="14"/>
      <color rgb="FF000000"/>
      <name val="Arial"/>
      <family val="2"/>
    </font>
    <font>
      <b/>
      <vertAlign val="superscript"/>
      <sz val="12"/>
      <color rgb="FF000000"/>
      <name val="Arial"/>
      <family val="2"/>
    </font>
    <font>
      <vertAlign val="superscript"/>
      <sz val="12"/>
      <color rgb="FF000000"/>
      <name val="Arial"/>
      <family val="2"/>
    </font>
    <font>
      <sz val="14"/>
      <color theme="1"/>
      <name val="Arial"/>
      <family val="2"/>
    </font>
    <font>
      <b/>
      <vertAlign val="superscript"/>
      <sz val="14"/>
      <color rgb="FF000000"/>
      <name val="Arial"/>
      <family val="2"/>
    </font>
    <font>
      <b/>
      <vertAlign val="subscript"/>
      <sz val="14"/>
      <color rgb="FF000000"/>
      <name val="Arial"/>
      <family val="2"/>
    </font>
    <font>
      <b/>
      <vertAlign val="superscript"/>
      <sz val="12"/>
      <name val="Arial"/>
      <family val="2"/>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40"/>
        <bgColor indexed="64"/>
      </patternFill>
    </fill>
    <fill>
      <patternFill patternType="solid">
        <fgColor indexed="13"/>
        <bgColor indexed="64"/>
      </patternFill>
    </fill>
    <fill>
      <patternFill patternType="solid">
        <fgColor indexed="11"/>
        <bgColor indexed="64"/>
      </patternFill>
    </fill>
    <fill>
      <patternFill patternType="solid">
        <fgColor rgb="FFFFC000"/>
        <bgColor indexed="64"/>
      </patternFill>
    </fill>
  </fills>
  <borders count="1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thin">
        <color indexed="64"/>
      </bottom>
      <diagonal/>
    </border>
  </borders>
  <cellStyleXfs count="5">
    <xf numFmtId="0" fontId="0" fillId="0" borderId="0"/>
    <xf numFmtId="0" fontId="1" fillId="0" borderId="0" applyNumberFormat="0" applyFill="0" applyBorder="0" applyAlignment="0" applyProtection="0">
      <alignment vertical="top"/>
      <protection locked="0"/>
    </xf>
    <xf numFmtId="9" fontId="2" fillId="0" borderId="0" applyFont="0" applyFill="0" applyBorder="0" applyAlignment="0" applyProtection="0"/>
    <xf numFmtId="0" fontId="6" fillId="0" borderId="0"/>
    <xf numFmtId="43" fontId="2" fillId="0" borderId="0" applyFont="0" applyFill="0" applyBorder="0" applyAlignment="0" applyProtection="0"/>
  </cellStyleXfs>
  <cellXfs count="558">
    <xf numFmtId="0" fontId="0" fillId="0" borderId="0" xfId="0"/>
    <xf numFmtId="0" fontId="3" fillId="0" borderId="0" xfId="0" applyFont="1"/>
    <xf numFmtId="0" fontId="5" fillId="0" borderId="0" xfId="0" applyFont="1"/>
    <xf numFmtId="0" fontId="5" fillId="0" borderId="0" xfId="3" applyFont="1" applyAlignment="1">
      <alignment horizontal="left"/>
    </xf>
    <xf numFmtId="0" fontId="5" fillId="0" borderId="0" xfId="0" applyFont="1" applyAlignment="1">
      <alignment horizontal="left"/>
    </xf>
    <xf numFmtId="0" fontId="7" fillId="0" borderId="5" xfId="0" applyFont="1" applyBorder="1" applyAlignment="1">
      <alignment horizontal="center"/>
    </xf>
    <xf numFmtId="0" fontId="5" fillId="0" borderId="13" xfId="0" applyFont="1" applyBorder="1" applyAlignment="1">
      <alignment horizontal="center"/>
    </xf>
    <xf numFmtId="0" fontId="5" fillId="0" borderId="15" xfId="0" applyFont="1" applyBorder="1" applyAlignment="1">
      <alignment horizontal="center"/>
    </xf>
    <xf numFmtId="0" fontId="5" fillId="0" borderId="6" xfId="0" applyFont="1" applyBorder="1" applyAlignment="1">
      <alignment horizontal="center"/>
    </xf>
    <xf numFmtId="0" fontId="4" fillId="0" borderId="0" xfId="0" applyFont="1"/>
    <xf numFmtId="0" fontId="8" fillId="0" borderId="0" xfId="1" applyFont="1" applyAlignment="1" applyProtection="1">
      <protection locked="0"/>
    </xf>
    <xf numFmtId="0" fontId="9" fillId="0" borderId="0" xfId="0" applyFont="1"/>
    <xf numFmtId="0" fontId="4" fillId="0" borderId="0" xfId="0" applyFont="1" applyBorder="1" applyAlignment="1">
      <alignment horizontal="left"/>
    </xf>
    <xf numFmtId="0" fontId="4" fillId="0" borderId="0" xfId="0" applyFont="1" applyProtection="1">
      <protection locked="0"/>
    </xf>
    <xf numFmtId="0" fontId="10" fillId="0" borderId="0" xfId="0" applyFont="1"/>
    <xf numFmtId="0" fontId="4" fillId="0" borderId="0" xfId="0" applyFont="1" applyAlignment="1">
      <alignment horizontal="center"/>
    </xf>
    <xf numFmtId="0" fontId="4" fillId="0" borderId="0" xfId="0" applyFont="1" applyAlignment="1">
      <alignment horizontal="left"/>
    </xf>
    <xf numFmtId="0" fontId="11" fillId="0" borderId="0" xfId="0" applyFont="1"/>
    <xf numFmtId="0" fontId="4" fillId="0" borderId="0" xfId="0" applyFont="1" applyAlignment="1">
      <alignment horizontal="right"/>
    </xf>
    <xf numFmtId="0" fontId="11" fillId="0" borderId="0" xfId="0" applyFont="1" applyProtection="1">
      <protection locked="0"/>
    </xf>
    <xf numFmtId="0" fontId="11" fillId="0" borderId="0" xfId="0" applyFont="1" applyAlignment="1">
      <alignment horizontal="right"/>
    </xf>
    <xf numFmtId="0" fontId="11" fillId="0" borderId="5" xfId="0" applyFont="1" applyBorder="1" applyProtection="1">
      <protection locked="0"/>
    </xf>
    <xf numFmtId="0" fontId="12" fillId="0" borderId="15" xfId="1" applyFont="1" applyBorder="1" applyAlignment="1" applyProtection="1">
      <protection locked="0"/>
    </xf>
    <xf numFmtId="0" fontId="11" fillId="0" borderId="15" xfId="0" applyFont="1" applyBorder="1" applyProtection="1">
      <protection locked="0"/>
    </xf>
    <xf numFmtId="0" fontId="11" fillId="0" borderId="6" xfId="0" applyFont="1" applyBorder="1" applyProtection="1">
      <protection locked="0"/>
    </xf>
    <xf numFmtId="0" fontId="5" fillId="0" borderId="0" xfId="3" applyFont="1"/>
    <xf numFmtId="0" fontId="7" fillId="0" borderId="0" xfId="3" applyFont="1" applyAlignment="1">
      <alignment horizontal="center"/>
    </xf>
    <xf numFmtId="0" fontId="4" fillId="0" borderId="0" xfId="0" applyFont="1" applyAlignment="1" applyProtection="1">
      <alignment horizontal="right"/>
      <protection locked="0"/>
    </xf>
    <xf numFmtId="0" fontId="14" fillId="0" borderId="0" xfId="1" applyFont="1" applyAlignment="1" applyProtection="1">
      <protection locked="0"/>
    </xf>
    <xf numFmtId="164" fontId="5" fillId="0" borderId="13" xfId="3" applyNumberFormat="1" applyFont="1" applyBorder="1" applyAlignment="1" applyProtection="1">
      <alignment horizontal="left"/>
      <protection locked="0"/>
    </xf>
    <xf numFmtId="0" fontId="15" fillId="0" borderId="0" xfId="0" applyFont="1"/>
    <xf numFmtId="0" fontId="5" fillId="0" borderId="0" xfId="3" applyFont="1" applyAlignment="1">
      <alignment horizontal="right"/>
    </xf>
    <xf numFmtId="164" fontId="4" fillId="0" borderId="13" xfId="0" applyNumberFormat="1" applyFont="1" applyBorder="1" applyAlignment="1" applyProtection="1">
      <alignment horizontal="left"/>
      <protection locked="0"/>
    </xf>
    <xf numFmtId="2" fontId="4" fillId="0" borderId="0" xfId="0" applyNumberFormat="1" applyFont="1" applyAlignment="1">
      <alignment horizontal="left"/>
    </xf>
    <xf numFmtId="0" fontId="4" fillId="0" borderId="5" xfId="0" applyFont="1" applyBorder="1" applyAlignment="1" applyProtection="1">
      <alignment horizontal="right"/>
      <protection locked="0"/>
    </xf>
    <xf numFmtId="0" fontId="14" fillId="0" borderId="15" xfId="1" applyFont="1" applyBorder="1" applyAlignment="1" applyProtection="1">
      <protection locked="0"/>
    </xf>
    <xf numFmtId="166" fontId="11" fillId="0" borderId="0" xfId="0" applyNumberFormat="1" applyFont="1" applyBorder="1" applyAlignment="1">
      <alignment horizontal="left"/>
    </xf>
    <xf numFmtId="0" fontId="4" fillId="0" borderId="0" xfId="0" applyFont="1" applyAlignment="1" applyProtection="1">
      <alignment horizontal="left"/>
      <protection locked="0"/>
    </xf>
    <xf numFmtId="0" fontId="4" fillId="0" borderId="0" xfId="0" applyFont="1" applyAlignment="1" applyProtection="1">
      <alignment horizontal="center"/>
      <protection locked="0"/>
    </xf>
    <xf numFmtId="0" fontId="16" fillId="0" borderId="0" xfId="0" applyFont="1" applyAlignment="1">
      <alignment horizontal="center"/>
    </xf>
    <xf numFmtId="9" fontId="4" fillId="0" borderId="0" xfId="2" applyFont="1" applyBorder="1" applyAlignment="1">
      <alignment horizontal="left"/>
    </xf>
    <xf numFmtId="3" fontId="4" fillId="0" borderId="0" xfId="0" applyNumberFormat="1" applyFont="1" applyBorder="1" applyAlignment="1">
      <alignment horizontal="left"/>
    </xf>
    <xf numFmtId="3" fontId="4" fillId="0" borderId="0" xfId="0" applyNumberFormat="1" applyFont="1" applyAlignment="1">
      <alignment horizontal="left"/>
    </xf>
    <xf numFmtId="0" fontId="11" fillId="0" borderId="0" xfId="0" applyFont="1" applyAlignment="1">
      <alignment horizontal="left"/>
    </xf>
    <xf numFmtId="0" fontId="4" fillId="0" borderId="0" xfId="0" applyFont="1" applyFill="1" applyBorder="1" applyAlignment="1">
      <alignment horizontal="right"/>
    </xf>
    <xf numFmtId="0" fontId="11" fillId="0" borderId="0" xfId="0" applyFont="1" applyAlignment="1" applyProtection="1">
      <alignment horizontal="left"/>
      <protection locked="0"/>
    </xf>
    <xf numFmtId="0" fontId="4" fillId="0" borderId="0" xfId="0" applyFont="1" applyBorder="1" applyAlignment="1" applyProtection="1">
      <alignment horizontal="left"/>
      <protection locked="0"/>
    </xf>
    <xf numFmtId="3" fontId="4" fillId="0" borderId="0" xfId="0" applyNumberFormat="1" applyFont="1" applyBorder="1" applyAlignment="1" applyProtection="1">
      <alignment horizontal="left"/>
      <protection locked="0"/>
    </xf>
    <xf numFmtId="0" fontId="11" fillId="0" borderId="0" xfId="0" applyFont="1" applyAlignment="1" applyProtection="1">
      <alignment horizontal="right"/>
      <protection locked="0"/>
    </xf>
    <xf numFmtId="2" fontId="11" fillId="0" borderId="0" xfId="0" applyNumberFormat="1" applyFont="1" applyAlignment="1" applyProtection="1">
      <alignment horizontal="left"/>
      <protection locked="0"/>
    </xf>
    <xf numFmtId="3" fontId="11" fillId="0" borderId="0" xfId="0" applyNumberFormat="1" applyFont="1" applyAlignment="1" applyProtection="1">
      <alignment horizontal="left"/>
      <protection locked="0"/>
    </xf>
    <xf numFmtId="0" fontId="4" fillId="0" borderId="1" xfId="0" applyFont="1" applyBorder="1" applyAlignment="1">
      <alignment horizontal="left"/>
    </xf>
    <xf numFmtId="0" fontId="4" fillId="0" borderId="1" xfId="0" applyFont="1" applyBorder="1" applyAlignment="1" applyProtection="1">
      <alignment horizontal="left"/>
      <protection locked="0"/>
    </xf>
    <xf numFmtId="0" fontId="4" fillId="0" borderId="2" xfId="0" applyFont="1" applyBorder="1" applyAlignment="1">
      <alignment horizontal="left"/>
    </xf>
    <xf numFmtId="0" fontId="4" fillId="0" borderId="2" xfId="0" applyFont="1" applyBorder="1" applyAlignment="1" applyProtection="1">
      <alignment horizontal="left"/>
      <protection locked="0"/>
    </xf>
    <xf numFmtId="3" fontId="4" fillId="0" borderId="2" xfId="0" applyNumberFormat="1" applyFont="1" applyBorder="1" applyAlignment="1">
      <alignment horizontal="left"/>
    </xf>
    <xf numFmtId="3" fontId="4" fillId="0" borderId="2" xfId="0" applyNumberFormat="1" applyFont="1" applyBorder="1" applyAlignment="1" applyProtection="1">
      <alignment horizontal="left"/>
      <protection locked="0"/>
    </xf>
    <xf numFmtId="164" fontId="4" fillId="0" borderId="2" xfId="0" applyNumberFormat="1" applyFont="1" applyBorder="1" applyAlignment="1">
      <alignment horizontal="left"/>
    </xf>
    <xf numFmtId="164" fontId="4" fillId="0" borderId="2" xfId="0" applyNumberFormat="1" applyFont="1" applyBorder="1" applyAlignment="1" applyProtection="1">
      <alignment horizontal="left"/>
      <protection locked="0"/>
    </xf>
    <xf numFmtId="9" fontId="4" fillId="0" borderId="2" xfId="2" applyFont="1" applyBorder="1" applyAlignment="1">
      <alignment horizontal="left"/>
    </xf>
    <xf numFmtId="9" fontId="4" fillId="0" borderId="2" xfId="2" applyFont="1" applyBorder="1" applyAlignment="1" applyProtection="1">
      <alignment horizontal="left"/>
      <protection locked="0"/>
    </xf>
    <xf numFmtId="0" fontId="4" fillId="0" borderId="2" xfId="0" applyFont="1" applyFill="1" applyBorder="1" applyAlignment="1">
      <alignment horizontal="left"/>
    </xf>
    <xf numFmtId="0" fontId="4" fillId="0" borderId="2" xfId="0" applyFont="1" applyFill="1" applyBorder="1" applyAlignment="1" applyProtection="1">
      <alignment horizontal="left"/>
      <protection locked="0"/>
    </xf>
    <xf numFmtId="3" fontId="4" fillId="0" borderId="3" xfId="2" applyNumberFormat="1" applyFont="1" applyBorder="1" applyAlignment="1">
      <alignment horizontal="left"/>
    </xf>
    <xf numFmtId="0" fontId="4" fillId="0" borderId="0" xfId="0" applyFont="1" applyAlignment="1"/>
    <xf numFmtId="3" fontId="4" fillId="0" borderId="3" xfId="2" applyNumberFormat="1" applyFont="1" applyBorder="1" applyAlignment="1" applyProtection="1">
      <alignment horizontal="left"/>
      <protection locked="0"/>
    </xf>
    <xf numFmtId="0" fontId="4" fillId="0" borderId="13" xfId="0" applyFont="1" applyBorder="1" applyAlignment="1">
      <alignment horizontal="left"/>
    </xf>
    <xf numFmtId="0" fontId="4" fillId="0" borderId="13" xfId="0" applyFont="1" applyBorder="1" applyAlignment="1" applyProtection="1">
      <alignment horizontal="left"/>
      <protection locked="0"/>
    </xf>
    <xf numFmtId="164" fontId="4" fillId="0" borderId="13" xfId="0" applyNumberFormat="1" applyFont="1" applyBorder="1" applyAlignment="1">
      <alignment horizontal="left"/>
    </xf>
    <xf numFmtId="0" fontId="11" fillId="0" borderId="0" xfId="0" applyFont="1" applyAlignment="1">
      <alignment horizontal="center"/>
    </xf>
    <xf numFmtId="0" fontId="4" fillId="0" borderId="0" xfId="0" quotePrefix="1" applyFont="1"/>
    <xf numFmtId="0" fontId="4" fillId="0" borderId="0" xfId="0" applyFont="1" applyFill="1" applyBorder="1" applyAlignment="1"/>
    <xf numFmtId="167" fontId="4" fillId="0" borderId="0" xfId="0" applyNumberFormat="1" applyFont="1" applyBorder="1" applyAlignment="1">
      <alignment horizontal="left"/>
    </xf>
    <xf numFmtId="164" fontId="4" fillId="0" borderId="0" xfId="0" applyNumberFormat="1" applyFont="1" applyBorder="1" applyAlignment="1">
      <alignment horizontal="left"/>
    </xf>
    <xf numFmtId="166" fontId="4" fillId="0" borderId="0" xfId="0" applyNumberFormat="1" applyFont="1" applyAlignment="1">
      <alignment horizontal="left"/>
    </xf>
    <xf numFmtId="164" fontId="4" fillId="0" borderId="0" xfId="0" applyNumberFormat="1" applyFont="1" applyAlignment="1">
      <alignment horizontal="left"/>
    </xf>
    <xf numFmtId="0" fontId="4" fillId="0" borderId="0" xfId="0" applyFont="1" applyBorder="1" applyAlignment="1">
      <alignment horizontal="right"/>
    </xf>
    <xf numFmtId="0" fontId="4" fillId="0" borderId="0" xfId="0" applyFont="1" applyBorder="1"/>
    <xf numFmtId="0" fontId="4" fillId="0" borderId="0" xfId="0" applyFont="1" applyBorder="1" applyAlignment="1" applyProtection="1">
      <alignment horizontal="right"/>
      <protection locked="0"/>
    </xf>
    <xf numFmtId="0" fontId="4" fillId="0" borderId="0" xfId="0" applyFont="1" applyBorder="1" applyProtection="1">
      <protection locked="0"/>
    </xf>
    <xf numFmtId="0" fontId="4" fillId="0" borderId="13" xfId="0" applyFont="1" applyBorder="1" applyAlignment="1">
      <alignment horizontal="center"/>
    </xf>
    <xf numFmtId="0" fontId="4" fillId="0" borderId="13" xfId="0" applyFont="1" applyBorder="1" applyAlignment="1" applyProtection="1">
      <alignment horizontal="center"/>
    </xf>
    <xf numFmtId="9" fontId="4" fillId="0" borderId="13" xfId="0" applyNumberFormat="1" applyFont="1" applyBorder="1" applyAlignment="1">
      <alignment horizontal="left"/>
    </xf>
    <xf numFmtId="9" fontId="4" fillId="0" borderId="13" xfId="0" applyNumberFormat="1" applyFont="1" applyBorder="1" applyAlignment="1" applyProtection="1">
      <alignment horizontal="left"/>
      <protection locked="0"/>
    </xf>
    <xf numFmtId="2" fontId="4" fillId="0" borderId="13" xfId="0" applyNumberFormat="1" applyFont="1" applyBorder="1" applyAlignment="1">
      <alignment horizontal="left"/>
    </xf>
    <xf numFmtId="2" fontId="4" fillId="0" borderId="13" xfId="0" applyNumberFormat="1" applyFont="1" applyBorder="1" applyAlignment="1" applyProtection="1">
      <alignment horizontal="left"/>
      <protection locked="0"/>
    </xf>
    <xf numFmtId="169" fontId="4" fillId="0" borderId="0" xfId="0" applyNumberFormat="1" applyFont="1" applyAlignment="1">
      <alignment horizontal="left"/>
    </xf>
    <xf numFmtId="167" fontId="11" fillId="0" borderId="0" xfId="0" applyNumberFormat="1" applyFont="1" applyAlignment="1">
      <alignment horizontal="left"/>
    </xf>
    <xf numFmtId="164" fontId="11" fillId="0" borderId="0" xfId="0" applyNumberFormat="1" applyFont="1" applyAlignment="1">
      <alignment horizontal="left"/>
    </xf>
    <xf numFmtId="0" fontId="11" fillId="0" borderId="0" xfId="0" applyFont="1" applyAlignment="1"/>
    <xf numFmtId="2" fontId="4" fillId="0" borderId="2" xfId="0" applyNumberFormat="1" applyFont="1" applyBorder="1" applyAlignment="1">
      <alignment horizontal="left"/>
    </xf>
    <xf numFmtId="2" fontId="4" fillId="0" borderId="2" xfId="0" applyNumberFormat="1" applyFont="1" applyBorder="1" applyAlignment="1" applyProtection="1">
      <alignment horizontal="left"/>
      <protection locked="0"/>
    </xf>
    <xf numFmtId="0" fontId="4" fillId="0" borderId="3" xfId="0" applyFont="1" applyBorder="1" applyAlignment="1">
      <alignment horizontal="left"/>
    </xf>
    <xf numFmtId="0" fontId="4" fillId="0" borderId="3" xfId="0" applyFont="1" applyBorder="1" applyAlignment="1" applyProtection="1">
      <alignment horizontal="left"/>
      <protection locked="0"/>
    </xf>
    <xf numFmtId="167" fontId="4" fillId="0" borderId="0" xfId="0" applyNumberFormat="1" applyFont="1" applyAlignment="1">
      <alignment horizontal="left"/>
    </xf>
    <xf numFmtId="165" fontId="4" fillId="0" borderId="0" xfId="0" applyNumberFormat="1" applyFont="1" applyAlignment="1">
      <alignment horizontal="left"/>
    </xf>
    <xf numFmtId="1" fontId="4" fillId="0" borderId="0" xfId="0" applyNumberFormat="1" applyFont="1" applyAlignment="1">
      <alignment horizontal="left"/>
    </xf>
    <xf numFmtId="0" fontId="5" fillId="0" borderId="0" xfId="0" applyFont="1" applyFill="1" applyBorder="1" applyAlignment="1">
      <alignment horizontal="left"/>
    </xf>
    <xf numFmtId="0" fontId="19" fillId="0" borderId="0" xfId="0" applyFont="1" applyFill="1" applyAlignment="1">
      <alignment horizontal="left"/>
    </xf>
    <xf numFmtId="0" fontId="3" fillId="0" borderId="0" xfId="0" applyFont="1" applyBorder="1" applyAlignment="1">
      <alignment horizontal="left"/>
    </xf>
    <xf numFmtId="0" fontId="11" fillId="0" borderId="14" xfId="0" applyFont="1" applyBorder="1" applyProtection="1">
      <protection locked="0"/>
    </xf>
    <xf numFmtId="0" fontId="11" fillId="0" borderId="11" xfId="0" applyFont="1" applyBorder="1" applyProtection="1">
      <protection locked="0"/>
    </xf>
    <xf numFmtId="0" fontId="11" fillId="0" borderId="4" xfId="0" applyFont="1" applyBorder="1" applyProtection="1">
      <protection locked="0"/>
    </xf>
    <xf numFmtId="0" fontId="4" fillId="0" borderId="4" xfId="0" applyFont="1" applyBorder="1" applyAlignment="1" applyProtection="1">
      <alignment horizontal="right"/>
      <protection locked="0"/>
    </xf>
    <xf numFmtId="0" fontId="4" fillId="0" borderId="4" xfId="0" applyFont="1" applyBorder="1" applyProtection="1">
      <protection locked="0"/>
    </xf>
    <xf numFmtId="0" fontId="4" fillId="0" borderId="12" xfId="0" applyFont="1" applyBorder="1" applyProtection="1">
      <protection locked="0"/>
    </xf>
    <xf numFmtId="0" fontId="11" fillId="0" borderId="0" xfId="0" applyFont="1" applyBorder="1" applyProtection="1">
      <protection locked="0"/>
    </xf>
    <xf numFmtId="0" fontId="11" fillId="0" borderId="7" xfId="0" applyFont="1" applyBorder="1" applyProtection="1">
      <protection locked="0"/>
    </xf>
    <xf numFmtId="0" fontId="11" fillId="0" borderId="9" xfId="0" applyFont="1" applyBorder="1" applyProtection="1">
      <protection locked="0"/>
    </xf>
    <xf numFmtId="0" fontId="11" fillId="0" borderId="10" xfId="0" applyFont="1" applyBorder="1" applyProtection="1">
      <protection locked="0"/>
    </xf>
    <xf numFmtId="0" fontId="11" fillId="0" borderId="12" xfId="0" applyFont="1" applyBorder="1" applyProtection="1">
      <protection locked="0"/>
    </xf>
    <xf numFmtId="0" fontId="11" fillId="0" borderId="0" xfId="0" applyFont="1" applyBorder="1" applyAlignment="1" applyProtection="1">
      <alignment horizontal="left"/>
      <protection locked="0"/>
    </xf>
    <xf numFmtId="0" fontId="4" fillId="0" borderId="14" xfId="0" applyFont="1" applyBorder="1" applyAlignment="1" applyProtection="1">
      <alignment horizontal="right"/>
      <protection locked="0"/>
    </xf>
    <xf numFmtId="0" fontId="4" fillId="0" borderId="14" xfId="0" applyFont="1" applyBorder="1" applyProtection="1">
      <protection locked="0"/>
    </xf>
    <xf numFmtId="0" fontId="4" fillId="0" borderId="8" xfId="0" applyFont="1" applyBorder="1" applyProtection="1">
      <protection locked="0"/>
    </xf>
    <xf numFmtId="0" fontId="17" fillId="0" borderId="9" xfId="0" applyFont="1" applyBorder="1" applyProtection="1">
      <protection locked="0"/>
    </xf>
    <xf numFmtId="0" fontId="11" fillId="0" borderId="7" xfId="0" applyFont="1" applyBorder="1"/>
    <xf numFmtId="0" fontId="11" fillId="0" borderId="14" xfId="0" applyFont="1" applyBorder="1"/>
    <xf numFmtId="0" fontId="11" fillId="0" borderId="8" xfId="0" applyFont="1" applyBorder="1"/>
    <xf numFmtId="0" fontId="11" fillId="0" borderId="0" xfId="0" applyFont="1" applyFill="1" applyAlignment="1">
      <alignment horizontal="center"/>
    </xf>
    <xf numFmtId="0" fontId="5" fillId="0" borderId="0" xfId="0" applyFont="1" applyFill="1" applyAlignment="1">
      <alignment horizontal="left"/>
    </xf>
    <xf numFmtId="0" fontId="5" fillId="0" borderId="0" xfId="0" applyFont="1" applyFill="1"/>
    <xf numFmtId="0" fontId="11" fillId="0" borderId="0" xfId="0" applyFont="1" applyFill="1"/>
    <xf numFmtId="164" fontId="4" fillId="0" borderId="1" xfId="0" applyNumberFormat="1" applyFont="1" applyBorder="1" applyAlignment="1" applyProtection="1">
      <alignment horizontal="left"/>
      <protection locked="0"/>
    </xf>
    <xf numFmtId="164" fontId="4" fillId="0" borderId="3" xfId="0" applyNumberFormat="1" applyFont="1" applyBorder="1" applyAlignment="1" applyProtection="1">
      <alignment horizontal="left"/>
      <protection locked="0"/>
    </xf>
    <xf numFmtId="164" fontId="4" fillId="0" borderId="1" xfId="0" applyNumberFormat="1" applyFont="1" applyBorder="1" applyAlignment="1" applyProtection="1">
      <alignment horizontal="left"/>
    </xf>
    <xf numFmtId="164" fontId="4" fillId="0" borderId="3" xfId="0" applyNumberFormat="1" applyFont="1" applyBorder="1" applyAlignment="1" applyProtection="1">
      <alignment horizontal="left"/>
    </xf>
    <xf numFmtId="0" fontId="12" fillId="0" borderId="0" xfId="1" applyFont="1" applyAlignment="1" applyProtection="1"/>
    <xf numFmtId="0" fontId="12" fillId="0" borderId="0" xfId="1" applyFont="1" applyAlignment="1" applyProtection="1">
      <alignment horizontal="left"/>
    </xf>
    <xf numFmtId="0" fontId="10" fillId="0" borderId="0" xfId="0" applyFont="1" applyProtection="1">
      <protection locked="0"/>
    </xf>
    <xf numFmtId="0" fontId="19" fillId="0" borderId="0" xfId="0" applyFont="1" applyProtection="1">
      <protection locked="0"/>
    </xf>
    <xf numFmtId="0" fontId="19" fillId="0" borderId="0" xfId="0" applyFont="1"/>
    <xf numFmtId="0" fontId="11" fillId="0" borderId="0" xfId="0" applyFont="1" applyAlignment="1" applyProtection="1">
      <alignment horizontal="center"/>
      <protection locked="0"/>
    </xf>
    <xf numFmtId="0" fontId="9" fillId="0" borderId="0" xfId="0" applyFont="1" applyAlignment="1">
      <alignment horizontal="left"/>
    </xf>
    <xf numFmtId="15" fontId="19" fillId="0" borderId="0" xfId="0" applyNumberFormat="1" applyFont="1"/>
    <xf numFmtId="0" fontId="5" fillId="0" borderId="0" xfId="0" applyFont="1" applyAlignment="1">
      <alignment horizontal="center"/>
    </xf>
    <xf numFmtId="0" fontId="13" fillId="0" borderId="0" xfId="0" applyFont="1" applyAlignment="1">
      <alignment horizontal="left"/>
    </xf>
    <xf numFmtId="0" fontId="5" fillId="0" borderId="0" xfId="0" applyFont="1" applyAlignment="1">
      <alignment horizontal="right"/>
    </xf>
    <xf numFmtId="0" fontId="5" fillId="0" borderId="0" xfId="0" applyFont="1" applyAlignment="1" applyProtection="1">
      <alignment horizontal="right"/>
      <protection locked="0"/>
    </xf>
    <xf numFmtId="0" fontId="11" fillId="0" borderId="0" xfId="0" quotePrefix="1" applyFont="1" applyAlignment="1" applyProtection="1">
      <alignment horizontal="right"/>
      <protection locked="0"/>
    </xf>
    <xf numFmtId="166" fontId="5" fillId="0" borderId="0" xfId="0" applyNumberFormat="1" applyFont="1" applyAlignment="1" applyProtection="1">
      <alignment horizontal="center"/>
      <protection locked="0"/>
    </xf>
    <xf numFmtId="169" fontId="5" fillId="0" borderId="0" xfId="0" applyNumberFormat="1" applyFont="1" applyAlignment="1" applyProtection="1">
      <alignment horizontal="center"/>
      <protection locked="0"/>
    </xf>
    <xf numFmtId="0" fontId="5" fillId="0" borderId="0" xfId="0" applyFont="1" applyAlignment="1" applyProtection="1">
      <alignment horizontal="center"/>
      <protection locked="0"/>
    </xf>
    <xf numFmtId="2" fontId="5" fillId="0" borderId="0" xfId="0" applyNumberFormat="1" applyFont="1" applyAlignment="1" applyProtection="1">
      <alignment horizontal="left"/>
      <protection locked="0"/>
    </xf>
    <xf numFmtId="0" fontId="5" fillId="0" borderId="0" xfId="0" applyFont="1" applyAlignment="1" applyProtection="1">
      <alignment horizontal="left"/>
      <protection locked="0"/>
    </xf>
    <xf numFmtId="2" fontId="5" fillId="3" borderId="0" xfId="0" applyNumberFormat="1" applyFont="1" applyFill="1" applyAlignment="1" applyProtection="1">
      <alignment horizontal="left"/>
      <protection locked="0"/>
    </xf>
    <xf numFmtId="2" fontId="4" fillId="0" borderId="0" xfId="0" applyNumberFormat="1" applyFont="1" applyAlignment="1" applyProtection="1">
      <alignment horizontal="left"/>
      <protection locked="0"/>
    </xf>
    <xf numFmtId="0" fontId="7" fillId="0" borderId="0" xfId="0" applyFont="1" applyAlignment="1">
      <alignment horizontal="center"/>
    </xf>
    <xf numFmtId="2" fontId="5" fillId="4" borderId="13" xfId="0" applyNumberFormat="1" applyFont="1" applyFill="1" applyBorder="1" applyAlignment="1" applyProtection="1">
      <alignment horizontal="left"/>
      <protection locked="0"/>
    </xf>
    <xf numFmtId="2" fontId="5" fillId="5" borderId="13" xfId="0" applyNumberFormat="1" applyFont="1" applyFill="1" applyBorder="1" applyAlignment="1" applyProtection="1">
      <alignment horizontal="left"/>
      <protection locked="0"/>
    </xf>
    <xf numFmtId="166" fontId="4" fillId="0" borderId="0" xfId="0" applyNumberFormat="1" applyFont="1" applyAlignment="1" applyProtection="1">
      <alignment horizontal="left"/>
      <protection locked="0"/>
    </xf>
    <xf numFmtId="0" fontId="5" fillId="0" borderId="0" xfId="0" quotePrefix="1" applyFont="1" applyAlignment="1">
      <alignment horizontal="right"/>
    </xf>
    <xf numFmtId="164" fontId="5" fillId="6" borderId="13" xfId="0" applyNumberFormat="1" applyFont="1" applyFill="1" applyBorder="1" applyAlignment="1" applyProtection="1">
      <alignment horizontal="left"/>
      <protection locked="0"/>
    </xf>
    <xf numFmtId="2" fontId="5" fillId="7" borderId="13" xfId="0" applyNumberFormat="1" applyFont="1" applyFill="1" applyBorder="1" applyAlignment="1" applyProtection="1">
      <alignment horizontal="left"/>
      <protection locked="0"/>
    </xf>
    <xf numFmtId="0" fontId="20" fillId="0" borderId="0" xfId="0" applyFont="1" applyAlignment="1">
      <alignment horizontal="left"/>
    </xf>
    <xf numFmtId="1" fontId="7" fillId="0" borderId="0" xfId="0" applyNumberFormat="1" applyFont="1" applyAlignment="1" applyProtection="1">
      <alignment horizontal="center"/>
      <protection locked="0"/>
    </xf>
    <xf numFmtId="0" fontId="11" fillId="3" borderId="0" xfId="0" applyFont="1" applyFill="1" applyBorder="1"/>
    <xf numFmtId="0" fontId="3" fillId="0" borderId="0" xfId="0" applyFont="1" applyProtection="1">
      <protection locked="0"/>
    </xf>
    <xf numFmtId="0" fontId="21" fillId="0" borderId="0" xfId="0" applyFont="1" applyAlignment="1">
      <alignment horizontal="left"/>
    </xf>
    <xf numFmtId="0" fontId="7" fillId="0" borderId="0" xfId="0" applyFont="1" applyFill="1" applyBorder="1" applyAlignment="1">
      <alignment horizontal="left"/>
    </xf>
    <xf numFmtId="0" fontId="13" fillId="0" borderId="0" xfId="0" applyFont="1" applyFill="1" applyAlignment="1">
      <alignment horizontal="left"/>
    </xf>
    <xf numFmtId="0" fontId="5" fillId="0" borderId="0" xfId="3" applyFont="1" applyBorder="1" applyProtection="1"/>
    <xf numFmtId="0" fontId="7" fillId="0" borderId="0" xfId="3" applyFont="1" applyBorder="1" applyAlignment="1" applyProtection="1">
      <alignment horizontal="center"/>
    </xf>
    <xf numFmtId="0" fontId="5" fillId="0" borderId="0" xfId="3" applyFont="1" applyBorder="1" applyAlignment="1" applyProtection="1">
      <alignment horizontal="right"/>
    </xf>
    <xf numFmtId="0" fontId="5" fillId="0" borderId="0" xfId="3" applyFont="1" applyBorder="1" applyAlignment="1" applyProtection="1">
      <alignment horizontal="left"/>
    </xf>
    <xf numFmtId="0" fontId="12" fillId="0" borderId="0" xfId="1" applyFont="1" applyAlignment="1" applyProtection="1">
      <protection locked="0"/>
    </xf>
    <xf numFmtId="166" fontId="11" fillId="0" borderId="0" xfId="0" applyNumberFormat="1" applyFont="1" applyBorder="1" applyAlignment="1" applyProtection="1">
      <alignment horizontal="left"/>
      <protection locked="0"/>
    </xf>
    <xf numFmtId="0" fontId="11" fillId="0" borderId="0" xfId="0" applyFont="1" applyBorder="1" applyAlignment="1" applyProtection="1">
      <alignment horizontal="center"/>
      <protection locked="0"/>
    </xf>
    <xf numFmtId="0" fontId="4" fillId="0" borderId="0" xfId="0" applyFont="1" applyProtection="1"/>
    <xf numFmtId="0" fontId="11" fillId="0" borderId="0" xfId="0" applyFont="1" applyAlignment="1" applyProtection="1">
      <alignment horizontal="right"/>
    </xf>
    <xf numFmtId="0" fontId="11" fillId="0" borderId="0" xfId="0" applyFont="1" applyAlignment="1" applyProtection="1">
      <alignment horizontal="left"/>
    </xf>
    <xf numFmtId="0" fontId="11" fillId="0" borderId="0" xfId="0" applyFont="1" applyProtection="1"/>
    <xf numFmtId="0" fontId="15" fillId="0" borderId="0" xfId="0" applyFont="1" applyAlignment="1">
      <alignment horizontal="right"/>
    </xf>
    <xf numFmtId="0" fontId="18" fillId="0" borderId="0" xfId="0" applyFont="1"/>
    <xf numFmtId="0" fontId="16" fillId="0" borderId="0" xfId="0" applyFont="1" applyAlignment="1">
      <alignment horizontal="left"/>
    </xf>
    <xf numFmtId="0" fontId="11" fillId="0" borderId="0" xfId="0" applyFont="1" applyBorder="1" applyAlignment="1">
      <alignment horizontal="right"/>
    </xf>
    <xf numFmtId="165" fontId="11" fillId="0" borderId="0" xfId="0" applyNumberFormat="1" applyFont="1" applyBorder="1" applyAlignment="1">
      <alignment horizontal="left"/>
    </xf>
    <xf numFmtId="0" fontId="11" fillId="0" borderId="0" xfId="0" applyFont="1" applyBorder="1"/>
    <xf numFmtId="0" fontId="11" fillId="0" borderId="0" xfId="0" applyFont="1" applyBorder="1" applyAlignment="1">
      <alignment horizontal="left"/>
    </xf>
    <xf numFmtId="0" fontId="11" fillId="0" borderId="1" xfId="0" applyFont="1" applyBorder="1" applyAlignment="1">
      <alignment horizontal="center"/>
    </xf>
    <xf numFmtId="0" fontId="11" fillId="0" borderId="7" xfId="0" applyFont="1" applyBorder="1" applyAlignment="1">
      <alignment horizontal="right"/>
    </xf>
    <xf numFmtId="0" fontId="18" fillId="0" borderId="14" xfId="0" applyFont="1" applyBorder="1" applyAlignment="1">
      <alignment horizontal="right"/>
    </xf>
    <xf numFmtId="0" fontId="11" fillId="0" borderId="1" xfId="0" applyFont="1" applyBorder="1" applyAlignment="1" applyProtection="1">
      <alignment horizontal="center"/>
      <protection locked="0"/>
    </xf>
    <xf numFmtId="0" fontId="11" fillId="0" borderId="8" xfId="0" applyFont="1" applyBorder="1" applyAlignment="1">
      <alignment horizontal="center"/>
    </xf>
    <xf numFmtId="0" fontId="11" fillId="0" borderId="9" xfId="0" applyFont="1" applyBorder="1" applyAlignment="1">
      <alignment horizontal="right"/>
    </xf>
    <xf numFmtId="0" fontId="18" fillId="0" borderId="0" xfId="0" applyFont="1" applyBorder="1" applyAlignment="1">
      <alignment horizontal="right"/>
    </xf>
    <xf numFmtId="0" fontId="11" fillId="0" borderId="2" xfId="0" applyFont="1" applyBorder="1" applyAlignment="1" applyProtection="1">
      <alignment horizontal="center"/>
      <protection locked="0"/>
    </xf>
    <xf numFmtId="0" fontId="11" fillId="0" borderId="2" xfId="0" applyFont="1" applyBorder="1" applyAlignment="1">
      <alignment horizontal="center"/>
    </xf>
    <xf numFmtId="0" fontId="11" fillId="0" borderId="10" xfId="0" applyFont="1" applyBorder="1" applyAlignment="1">
      <alignment horizontal="center"/>
    </xf>
    <xf numFmtId="3" fontId="11" fillId="0" borderId="0" xfId="0" applyNumberFormat="1" applyFont="1"/>
    <xf numFmtId="0" fontId="11" fillId="0" borderId="11" xfId="0" applyFont="1" applyBorder="1" applyAlignment="1">
      <alignment horizontal="right"/>
    </xf>
    <xf numFmtId="0" fontId="18" fillId="0" borderId="4" xfId="0" applyFont="1" applyBorder="1" applyAlignment="1">
      <alignment horizontal="right"/>
    </xf>
    <xf numFmtId="0" fontId="11" fillId="0" borderId="3" xfId="0" applyFont="1" applyBorder="1" applyAlignment="1" applyProtection="1">
      <alignment horizontal="center"/>
      <protection locked="0"/>
    </xf>
    <xf numFmtId="0" fontId="11" fillId="0" borderId="3" xfId="0" applyFont="1" applyBorder="1" applyAlignment="1">
      <alignment horizontal="center"/>
    </xf>
    <xf numFmtId="0" fontId="11" fillId="0" borderId="12" xfId="0" applyFont="1" applyBorder="1" applyAlignment="1">
      <alignment horizontal="center"/>
    </xf>
    <xf numFmtId="3" fontId="4" fillId="0" borderId="13" xfId="0" applyNumberFormat="1" applyFont="1" applyBorder="1" applyAlignment="1">
      <alignment horizontal="center"/>
    </xf>
    <xf numFmtId="168" fontId="11" fillId="0" borderId="0" xfId="0" applyNumberFormat="1" applyFont="1" applyAlignment="1">
      <alignment horizontal="left"/>
    </xf>
    <xf numFmtId="0" fontId="16" fillId="0" borderId="0" xfId="0" applyFont="1" applyAlignment="1">
      <alignment horizontal="right"/>
    </xf>
    <xf numFmtId="2" fontId="11" fillId="0" borderId="0" xfId="0" applyNumberFormat="1" applyFont="1" applyAlignment="1">
      <alignment horizontal="right"/>
    </xf>
    <xf numFmtId="0" fontId="18" fillId="0" borderId="0" xfId="0" applyFont="1" applyAlignment="1">
      <alignment horizontal="right"/>
    </xf>
    <xf numFmtId="0" fontId="15" fillId="0" borderId="0" xfId="0" applyFont="1" applyAlignment="1">
      <alignment horizontal="left"/>
    </xf>
    <xf numFmtId="3" fontId="5" fillId="0" borderId="0" xfId="0" applyNumberFormat="1" applyFont="1" applyAlignment="1">
      <alignment horizontal="left"/>
    </xf>
    <xf numFmtId="2" fontId="11" fillId="0" borderId="0" xfId="0" applyNumberFormat="1" applyFont="1" applyAlignment="1">
      <alignment horizontal="left"/>
    </xf>
    <xf numFmtId="0" fontId="18" fillId="0" borderId="0" xfId="0" applyFont="1" applyAlignment="1">
      <alignment horizontal="left"/>
    </xf>
    <xf numFmtId="173" fontId="11" fillId="0" borderId="0" xfId="4" applyNumberFormat="1" applyFont="1"/>
    <xf numFmtId="2" fontId="18" fillId="0" borderId="0" xfId="0" applyNumberFormat="1" applyFont="1" applyAlignment="1">
      <alignment horizontal="left"/>
    </xf>
    <xf numFmtId="1" fontId="15" fillId="0" borderId="0" xfId="0" applyNumberFormat="1" applyFont="1" applyAlignment="1">
      <alignment horizontal="left"/>
    </xf>
    <xf numFmtId="3" fontId="5" fillId="0" borderId="0" xfId="0" applyNumberFormat="1" applyFont="1" applyBorder="1" applyAlignment="1">
      <alignment horizontal="left"/>
    </xf>
    <xf numFmtId="0" fontId="11" fillId="0" borderId="16" xfId="0" applyFont="1" applyBorder="1"/>
    <xf numFmtId="0" fontId="11" fillId="0" borderId="16" xfId="0" applyFont="1" applyBorder="1" applyAlignment="1">
      <alignment horizontal="right"/>
    </xf>
    <xf numFmtId="0" fontId="15" fillId="0" borderId="16" xfId="0" applyFont="1" applyBorder="1" applyAlignment="1">
      <alignment horizontal="right"/>
    </xf>
    <xf numFmtId="3" fontId="4" fillId="0" borderId="16" xfId="0" applyNumberFormat="1" applyFont="1" applyBorder="1" applyAlignment="1">
      <alignment horizontal="left"/>
    </xf>
    <xf numFmtId="3" fontId="4" fillId="0" borderId="13" xfId="0" applyNumberFormat="1" applyFont="1" applyBorder="1" applyAlignment="1">
      <alignment horizontal="left"/>
    </xf>
    <xf numFmtId="0" fontId="4" fillId="0" borderId="16" xfId="0" applyFont="1" applyBorder="1" applyAlignment="1">
      <alignment horizontal="right"/>
    </xf>
    <xf numFmtId="165" fontId="11" fillId="0" borderId="0" xfId="0" applyNumberFormat="1" applyFont="1" applyAlignment="1">
      <alignment horizontal="left"/>
    </xf>
    <xf numFmtId="0" fontId="16" fillId="0" borderId="0" xfId="0" applyFont="1" applyBorder="1" applyAlignment="1">
      <alignment horizontal="center"/>
    </xf>
    <xf numFmtId="3" fontId="11" fillId="0" borderId="0" xfId="0" applyNumberFormat="1" applyFont="1" applyAlignment="1">
      <alignment horizontal="left"/>
    </xf>
    <xf numFmtId="9" fontId="4" fillId="0" borderId="0" xfId="2" applyFont="1" applyAlignment="1">
      <alignment horizontal="left"/>
    </xf>
    <xf numFmtId="1" fontId="4" fillId="0" borderId="0" xfId="2" applyNumberFormat="1" applyFont="1" applyAlignment="1">
      <alignment horizontal="left"/>
    </xf>
    <xf numFmtId="0" fontId="5" fillId="0" borderId="0" xfId="0" applyFont="1" applyBorder="1" applyAlignment="1">
      <alignment horizontal="right"/>
    </xf>
    <xf numFmtId="165" fontId="15" fillId="0" borderId="0" xfId="0" applyNumberFormat="1" applyFont="1" applyAlignment="1">
      <alignment horizontal="left"/>
    </xf>
    <xf numFmtId="0" fontId="4" fillId="0" borderId="7" xfId="0" applyFont="1" applyBorder="1" applyAlignment="1">
      <alignment horizontal="center"/>
    </xf>
    <xf numFmtId="0" fontId="4" fillId="0" borderId="1" xfId="0" applyFont="1" applyBorder="1" applyAlignment="1">
      <alignment horizontal="center"/>
    </xf>
    <xf numFmtId="0" fontId="4" fillId="0" borderId="8" xfId="0" applyFont="1" applyBorder="1" applyAlignment="1">
      <alignment horizontal="center"/>
    </xf>
    <xf numFmtId="0" fontId="4" fillId="0" borderId="11" xfId="0" applyFont="1" applyBorder="1" applyAlignment="1">
      <alignment horizontal="center"/>
    </xf>
    <xf numFmtId="0" fontId="4" fillId="0" borderId="3" xfId="0" applyFont="1" applyBorder="1" applyAlignment="1">
      <alignment horizontal="center"/>
    </xf>
    <xf numFmtId="0" fontId="4" fillId="0" borderId="12" xfId="0" applyFont="1" applyBorder="1" applyAlignment="1">
      <alignment horizontal="center"/>
    </xf>
    <xf numFmtId="0" fontId="11" fillId="0" borderId="1" xfId="0" applyFont="1" applyBorder="1"/>
    <xf numFmtId="0" fontId="4" fillId="0" borderId="0" xfId="0" applyFont="1" applyBorder="1" applyAlignment="1">
      <alignment horizontal="center"/>
    </xf>
    <xf numFmtId="164" fontId="4" fillId="0" borderId="1" xfId="0" applyNumberFormat="1" applyFont="1" applyBorder="1" applyAlignment="1">
      <alignment horizontal="center"/>
    </xf>
    <xf numFmtId="165" fontId="4" fillId="0" borderId="2" xfId="0" applyNumberFormat="1" applyFont="1" applyBorder="1" applyAlignment="1">
      <alignment horizontal="center"/>
    </xf>
    <xf numFmtId="164" fontId="4" fillId="0" borderId="0" xfId="0" applyNumberFormat="1" applyFont="1" applyBorder="1" applyAlignment="1">
      <alignment horizontal="center"/>
    </xf>
    <xf numFmtId="164" fontId="4" fillId="0" borderId="2" xfId="0" applyNumberFormat="1" applyFont="1" applyBorder="1" applyAlignment="1">
      <alignment horizontal="center"/>
    </xf>
    <xf numFmtId="2" fontId="4" fillId="0" borderId="2" xfId="0" applyNumberFormat="1" applyFont="1" applyBorder="1" applyAlignment="1">
      <alignment horizontal="center"/>
    </xf>
    <xf numFmtId="0" fontId="4" fillId="0" borderId="2" xfId="0" applyFont="1" applyBorder="1" applyAlignment="1">
      <alignment horizontal="center"/>
    </xf>
    <xf numFmtId="0" fontId="11" fillId="0" borderId="2" xfId="0" applyFont="1" applyBorder="1"/>
    <xf numFmtId="0" fontId="11" fillId="0" borderId="9" xfId="0" applyFont="1" applyBorder="1"/>
    <xf numFmtId="0" fontId="11" fillId="0" borderId="10" xfId="0" applyFont="1" applyBorder="1"/>
    <xf numFmtId="0" fontId="4" fillId="0" borderId="10" xfId="0" applyFont="1" applyBorder="1" applyAlignment="1">
      <alignment horizontal="right"/>
    </xf>
    <xf numFmtId="0" fontId="11" fillId="0" borderId="2" xfId="0" applyFont="1" applyBorder="1" applyProtection="1">
      <protection locked="0"/>
    </xf>
    <xf numFmtId="0" fontId="4" fillId="0" borderId="10" xfId="0" applyFont="1" applyFill="1" applyBorder="1" applyAlignment="1">
      <alignment horizontal="right"/>
    </xf>
    <xf numFmtId="165" fontId="4" fillId="0" borderId="2" xfId="0" applyNumberFormat="1" applyFont="1" applyBorder="1" applyAlignment="1" applyProtection="1">
      <alignment horizontal="center"/>
      <protection locked="0"/>
    </xf>
    <xf numFmtId="2" fontId="4" fillId="0" borderId="0" xfId="0" applyNumberFormat="1" applyFont="1" applyBorder="1" applyAlignment="1">
      <alignment horizontal="center"/>
    </xf>
    <xf numFmtId="2" fontId="4" fillId="0" borderId="2" xfId="0" applyNumberFormat="1" applyFont="1" applyBorder="1" applyAlignment="1" applyProtection="1">
      <alignment horizontal="center"/>
      <protection locked="0"/>
    </xf>
    <xf numFmtId="166" fontId="4" fillId="0" borderId="0" xfId="0" applyNumberFormat="1" applyFont="1" applyBorder="1" applyAlignment="1">
      <alignment horizontal="center"/>
    </xf>
    <xf numFmtId="164" fontId="4" fillId="0" borderId="2" xfId="0" applyNumberFormat="1" applyFont="1" applyBorder="1" applyAlignment="1" applyProtection="1">
      <alignment horizontal="center"/>
      <protection locked="0"/>
    </xf>
    <xf numFmtId="165" fontId="4" fillId="0" borderId="0" xfId="0" applyNumberFormat="1" applyFont="1" applyBorder="1" applyAlignment="1">
      <alignment horizontal="center"/>
    </xf>
    <xf numFmtId="0" fontId="11" fillId="0" borderId="3" xfId="0" applyFont="1" applyBorder="1"/>
    <xf numFmtId="0" fontId="4" fillId="0" borderId="4" xfId="0" applyFont="1" applyBorder="1" applyAlignment="1">
      <alignment horizontal="center"/>
    </xf>
    <xf numFmtId="0" fontId="11" fillId="0" borderId="11" xfId="0" applyFont="1" applyBorder="1"/>
    <xf numFmtId="0" fontId="11" fillId="0" borderId="4" xfId="0" applyFont="1" applyBorder="1"/>
    <xf numFmtId="0" fontId="11" fillId="0" borderId="12" xfId="0" applyFont="1" applyBorder="1" applyAlignment="1">
      <alignment horizontal="right"/>
    </xf>
    <xf numFmtId="0" fontId="11" fillId="0" borderId="3" xfId="0" applyFont="1" applyBorder="1" applyProtection="1">
      <protection locked="0"/>
    </xf>
    <xf numFmtId="164" fontId="4" fillId="0" borderId="3" xfId="0" applyNumberFormat="1" applyFont="1" applyBorder="1" applyAlignment="1">
      <alignment horizontal="center"/>
    </xf>
    <xf numFmtId="2" fontId="4" fillId="0" borderId="0" xfId="0" applyNumberFormat="1" applyFont="1" applyBorder="1" applyAlignment="1">
      <alignment horizontal="left"/>
    </xf>
    <xf numFmtId="166" fontId="4" fillId="0" borderId="13" xfId="0" applyNumberFormat="1" applyFont="1" applyBorder="1" applyAlignment="1">
      <alignment horizontal="center"/>
    </xf>
    <xf numFmtId="0" fontId="4" fillId="0" borderId="12" xfId="0" applyFont="1" applyBorder="1" applyAlignment="1">
      <alignment horizontal="left"/>
    </xf>
    <xf numFmtId="165" fontId="4" fillId="0" borderId="0" xfId="0" applyNumberFormat="1" applyFont="1" applyBorder="1" applyAlignment="1">
      <alignment horizontal="left"/>
    </xf>
    <xf numFmtId="0" fontId="4" fillId="0" borderId="12" xfId="0" applyFont="1" applyBorder="1" applyAlignment="1">
      <alignment horizontal="right"/>
    </xf>
    <xf numFmtId="165" fontId="4" fillId="0" borderId="3" xfId="0" applyNumberFormat="1" applyFont="1" applyBorder="1" applyAlignment="1">
      <alignment horizontal="center"/>
    </xf>
    <xf numFmtId="164" fontId="4" fillId="0" borderId="13" xfId="0" applyNumberFormat="1" applyFont="1" applyBorder="1" applyAlignment="1">
      <alignment horizontal="center"/>
    </xf>
    <xf numFmtId="0" fontId="11" fillId="0" borderId="0" xfId="0" applyFont="1" applyBorder="1" applyAlignment="1">
      <alignment horizontal="center"/>
    </xf>
    <xf numFmtId="0" fontId="4" fillId="0" borderId="5" xfId="0" applyFont="1" applyBorder="1"/>
    <xf numFmtId="0" fontId="4" fillId="0" borderId="15" xfId="0" applyFont="1" applyBorder="1"/>
    <xf numFmtId="0" fontId="11" fillId="0" borderId="4" xfId="0" applyFont="1" applyBorder="1" applyAlignment="1">
      <alignment horizontal="right"/>
    </xf>
    <xf numFmtId="0" fontId="11" fillId="0" borderId="4" xfId="0" applyFont="1" applyBorder="1" applyAlignment="1">
      <alignment horizontal="center"/>
    </xf>
    <xf numFmtId="0" fontId="11" fillId="0" borderId="4" xfId="0" applyFont="1" applyBorder="1" applyAlignment="1" applyProtection="1">
      <alignment horizontal="center"/>
      <protection locked="0"/>
    </xf>
    <xf numFmtId="0" fontId="4" fillId="0" borderId="14" xfId="0" applyFont="1" applyBorder="1" applyAlignment="1">
      <alignment horizontal="center"/>
    </xf>
    <xf numFmtId="0" fontId="4" fillId="0" borderId="8" xfId="0" applyFont="1" applyFill="1" applyBorder="1" applyAlignment="1">
      <alignment horizontal="center"/>
    </xf>
    <xf numFmtId="0" fontId="11" fillId="0" borderId="1" xfId="0" applyFont="1" applyBorder="1" applyAlignment="1">
      <alignment horizontal="right"/>
    </xf>
    <xf numFmtId="0" fontId="11" fillId="0" borderId="14" xfId="0" applyFont="1" applyBorder="1" applyAlignment="1">
      <alignment horizontal="center"/>
    </xf>
    <xf numFmtId="1" fontId="11" fillId="0" borderId="1" xfId="0" applyNumberFormat="1" applyFont="1" applyBorder="1" applyAlignment="1">
      <alignment horizontal="center"/>
    </xf>
    <xf numFmtId="3" fontId="11" fillId="0" borderId="14" xfId="0" applyNumberFormat="1" applyFont="1" applyBorder="1" applyAlignment="1">
      <alignment horizontal="center"/>
    </xf>
    <xf numFmtId="164" fontId="11" fillId="0" borderId="2" xfId="0" applyNumberFormat="1" applyFont="1" applyBorder="1" applyAlignment="1">
      <alignment horizontal="center"/>
    </xf>
    <xf numFmtId="3" fontId="11" fillId="0" borderId="1" xfId="0" applyNumberFormat="1" applyFont="1" applyBorder="1" applyAlignment="1">
      <alignment horizontal="center"/>
    </xf>
    <xf numFmtId="166" fontId="11" fillId="0" borderId="8" xfId="0" applyNumberFormat="1" applyFont="1" applyBorder="1" applyAlignment="1" applyProtection="1">
      <alignment horizontal="center"/>
      <protection locked="0"/>
    </xf>
    <xf numFmtId="0" fontId="11" fillId="0" borderId="2" xfId="0" applyFont="1" applyBorder="1" applyAlignment="1">
      <alignment horizontal="right"/>
    </xf>
    <xf numFmtId="165" fontId="11" fillId="0" borderId="10" xfId="0" applyNumberFormat="1" applyFont="1" applyBorder="1" applyAlignment="1">
      <alignment horizontal="center"/>
    </xf>
    <xf numFmtId="3" fontId="11" fillId="0" borderId="0" xfId="0" applyNumberFormat="1" applyFont="1" applyBorder="1" applyAlignment="1">
      <alignment horizontal="center"/>
    </xf>
    <xf numFmtId="3" fontId="11" fillId="0" borderId="2" xfId="0" applyNumberFormat="1" applyFont="1" applyBorder="1" applyAlignment="1">
      <alignment horizontal="center"/>
    </xf>
    <xf numFmtId="165" fontId="11" fillId="0" borderId="10" xfId="0" applyNumberFormat="1" applyFont="1" applyBorder="1" applyAlignment="1" applyProtection="1">
      <alignment horizontal="center"/>
      <protection locked="0"/>
    </xf>
    <xf numFmtId="1" fontId="11" fillId="0" borderId="2" xfId="0" applyNumberFormat="1" applyFont="1" applyBorder="1" applyAlignment="1">
      <alignment horizontal="center"/>
    </xf>
    <xf numFmtId="166" fontId="11" fillId="0" borderId="10" xfId="0" applyNumberFormat="1" applyFont="1" applyBorder="1" applyAlignment="1" applyProtection="1">
      <alignment horizontal="center"/>
      <protection locked="0"/>
    </xf>
    <xf numFmtId="1" fontId="11" fillId="0" borderId="0" xfId="0" applyNumberFormat="1" applyFont="1" applyBorder="1" applyAlignment="1">
      <alignment horizontal="center"/>
    </xf>
    <xf numFmtId="0" fontId="11" fillId="0" borderId="3" xfId="0" applyFont="1" applyBorder="1" applyAlignment="1">
      <alignment horizontal="right"/>
    </xf>
    <xf numFmtId="1" fontId="11" fillId="0" borderId="3" xfId="0" applyNumberFormat="1" applyFont="1" applyBorder="1" applyAlignment="1">
      <alignment horizontal="center"/>
    </xf>
    <xf numFmtId="3" fontId="11" fillId="0" borderId="4" xfId="0" applyNumberFormat="1" applyFont="1" applyBorder="1" applyAlignment="1">
      <alignment horizontal="center"/>
    </xf>
    <xf numFmtId="164" fontId="11" fillId="0" borderId="3" xfId="0" applyNumberFormat="1" applyFont="1" applyBorder="1" applyAlignment="1">
      <alignment horizontal="center"/>
    </xf>
    <xf numFmtId="3" fontId="11" fillId="0" borderId="3" xfId="0" applyNumberFormat="1" applyFont="1" applyBorder="1" applyAlignment="1">
      <alignment horizontal="center"/>
    </xf>
    <xf numFmtId="166" fontId="11" fillId="0" borderId="12" xfId="0" applyNumberFormat="1" applyFont="1" applyBorder="1" applyAlignment="1" applyProtection="1">
      <alignment horizontal="center"/>
      <protection locked="0"/>
    </xf>
    <xf numFmtId="1" fontId="11" fillId="0" borderId="4" xfId="0" applyNumberFormat="1" applyFont="1" applyBorder="1" applyAlignment="1">
      <alignment horizontal="center"/>
    </xf>
    <xf numFmtId="3" fontId="4" fillId="0" borderId="12" xfId="0" applyNumberFormat="1" applyFont="1" applyBorder="1" applyAlignment="1">
      <alignment horizontal="center"/>
    </xf>
    <xf numFmtId="0" fontId="11" fillId="0" borderId="1" xfId="0" applyFont="1" applyBorder="1" applyAlignment="1">
      <alignment horizontal="left"/>
    </xf>
    <xf numFmtId="0" fontId="11" fillId="0" borderId="2" xfId="0" applyFont="1" applyBorder="1" applyAlignment="1">
      <alignment horizontal="left"/>
    </xf>
    <xf numFmtId="0" fontId="18" fillId="0" borderId="0" xfId="0" applyFont="1" applyAlignment="1">
      <alignment horizontal="center"/>
    </xf>
    <xf numFmtId="164" fontId="11" fillId="0" borderId="3" xfId="0" applyNumberFormat="1" applyFont="1" applyBorder="1" applyAlignment="1">
      <alignment horizontal="left"/>
    </xf>
    <xf numFmtId="0" fontId="4" fillId="0" borderId="0" xfId="0" applyNumberFormat="1" applyFont="1"/>
    <xf numFmtId="0" fontId="15" fillId="0" borderId="0" xfId="0" applyNumberFormat="1" applyFont="1"/>
    <xf numFmtId="0" fontId="11" fillId="0" borderId="1" xfId="0" applyFont="1" applyFill="1" applyBorder="1" applyAlignment="1">
      <alignment horizontal="center"/>
    </xf>
    <xf numFmtId="0" fontId="11" fillId="0" borderId="8" xfId="0" applyFont="1" applyFill="1" applyBorder="1" applyAlignment="1">
      <alignment horizontal="center"/>
    </xf>
    <xf numFmtId="0" fontId="11" fillId="0" borderId="3" xfId="0" applyFont="1" applyFill="1" applyBorder="1" applyAlignment="1">
      <alignment horizontal="center"/>
    </xf>
    <xf numFmtId="0" fontId="11" fillId="0" borderId="12" xfId="0" applyFont="1" applyFill="1" applyBorder="1" applyAlignment="1">
      <alignment horizontal="center"/>
    </xf>
    <xf numFmtId="0" fontId="11" fillId="0" borderId="2" xfId="0" applyFont="1" applyFill="1" applyBorder="1" applyAlignment="1">
      <alignment horizontal="center"/>
    </xf>
    <xf numFmtId="164" fontId="11" fillId="0" borderId="1" xfId="0" applyNumberFormat="1" applyFont="1" applyBorder="1" applyAlignment="1">
      <alignment horizontal="center"/>
    </xf>
    <xf numFmtId="0" fontId="11" fillId="0" borderId="7" xfId="0" applyFont="1" applyBorder="1" applyAlignment="1" applyProtection="1">
      <alignment horizontal="center"/>
      <protection locked="0"/>
    </xf>
    <xf numFmtId="0" fontId="11" fillId="0" borderId="8" xfId="0" applyFont="1" applyBorder="1" applyAlignment="1" applyProtection="1">
      <alignment horizontal="center"/>
      <protection locked="0"/>
    </xf>
    <xf numFmtId="0" fontId="11" fillId="0" borderId="9" xfId="0" applyFont="1" applyFill="1" applyBorder="1" applyAlignment="1">
      <alignment horizontal="center"/>
    </xf>
    <xf numFmtId="1" fontId="11" fillId="0" borderId="10" xfId="0" applyNumberFormat="1" applyFont="1" applyBorder="1" applyAlignment="1">
      <alignment horizontal="center"/>
    </xf>
    <xf numFmtId="0" fontId="11" fillId="0" borderId="9" xfId="0" applyFont="1" applyBorder="1" applyAlignment="1" applyProtection="1">
      <alignment horizontal="center"/>
      <protection locked="0"/>
    </xf>
    <xf numFmtId="0" fontId="11" fillId="0" borderId="10" xfId="0" applyFont="1" applyBorder="1" applyAlignment="1" applyProtection="1">
      <alignment horizontal="center"/>
      <protection locked="0"/>
    </xf>
    <xf numFmtId="0" fontId="11" fillId="0" borderId="3" xfId="0" applyFont="1" applyFill="1" applyBorder="1" applyAlignment="1">
      <alignment horizontal="right"/>
    </xf>
    <xf numFmtId="0" fontId="11" fillId="0" borderId="11" xfId="0" applyFont="1" applyBorder="1" applyAlignment="1" applyProtection="1">
      <alignment horizontal="center"/>
      <protection locked="0"/>
    </xf>
    <xf numFmtId="0" fontId="11" fillId="0" borderId="12" xfId="0" applyFont="1" applyBorder="1" applyAlignment="1" applyProtection="1">
      <alignment horizontal="center"/>
      <protection locked="0"/>
    </xf>
    <xf numFmtId="0" fontId="11" fillId="0" borderId="11" xfId="0" applyFont="1" applyFill="1" applyBorder="1" applyAlignment="1">
      <alignment horizontal="center"/>
    </xf>
    <xf numFmtId="0" fontId="4" fillId="0" borderId="9" xfId="0" applyFont="1" applyBorder="1" applyAlignment="1">
      <alignment horizontal="center"/>
    </xf>
    <xf numFmtId="0" fontId="11" fillId="0" borderId="12" xfId="0" applyFont="1" applyBorder="1"/>
    <xf numFmtId="0" fontId="4" fillId="0" borderId="7" xfId="0" applyFont="1" applyBorder="1" applyAlignment="1">
      <alignment horizontal="right"/>
    </xf>
    <xf numFmtId="0" fontId="11" fillId="0" borderId="14" xfId="0" applyFont="1" applyBorder="1" applyAlignment="1">
      <alignment horizontal="right"/>
    </xf>
    <xf numFmtId="0" fontId="11" fillId="0" borderId="10" xfId="0" applyFont="1" applyBorder="1" applyAlignment="1">
      <alignment horizontal="right"/>
    </xf>
    <xf numFmtId="3" fontId="4" fillId="0" borderId="13" xfId="0" applyNumberFormat="1" applyFont="1" applyBorder="1" applyAlignment="1" applyProtection="1">
      <alignment horizontal="center"/>
      <protection locked="0"/>
    </xf>
    <xf numFmtId="0" fontId="4" fillId="0" borderId="1" xfId="0" applyFont="1" applyBorder="1" applyAlignment="1" applyProtection="1">
      <alignment horizontal="left"/>
    </xf>
    <xf numFmtId="0" fontId="4" fillId="0" borderId="2" xfId="0" applyFont="1" applyBorder="1" applyAlignment="1" applyProtection="1">
      <alignment horizontal="left"/>
    </xf>
    <xf numFmtId="164" fontId="4" fillId="0" borderId="2" xfId="0" applyNumberFormat="1" applyFont="1" applyBorder="1" applyAlignment="1" applyProtection="1">
      <alignment horizontal="left"/>
    </xf>
    <xf numFmtId="9" fontId="4" fillId="0" borderId="2" xfId="2" applyFont="1" applyBorder="1" applyAlignment="1" applyProtection="1">
      <alignment horizontal="left"/>
    </xf>
    <xf numFmtId="0" fontId="4" fillId="0" borderId="3" xfId="0" applyFont="1" applyBorder="1" applyAlignment="1" applyProtection="1">
      <alignment horizontal="left"/>
    </xf>
    <xf numFmtId="0" fontId="7" fillId="0" borderId="0" xfId="0" applyFont="1" applyFill="1" applyBorder="1" applyAlignment="1" applyProtection="1">
      <alignment horizontal="left"/>
      <protection locked="0"/>
    </xf>
    <xf numFmtId="0" fontId="13" fillId="0" borderId="0" xfId="0" applyFont="1" applyFill="1" applyAlignment="1" applyProtection="1">
      <alignment horizontal="left"/>
      <protection locked="0"/>
    </xf>
    <xf numFmtId="165" fontId="11" fillId="0" borderId="0" xfId="0" applyNumberFormat="1" applyFont="1" applyBorder="1" applyProtection="1">
      <protection locked="0"/>
    </xf>
    <xf numFmtId="0" fontId="11" fillId="0" borderId="8" xfId="0" applyFont="1" applyBorder="1" applyProtection="1">
      <protection locked="0"/>
    </xf>
    <xf numFmtId="0" fontId="11" fillId="0" borderId="1" xfId="0" applyFont="1" applyBorder="1" applyAlignment="1" applyProtection="1">
      <alignment horizontal="left"/>
      <protection locked="0"/>
    </xf>
    <xf numFmtId="0" fontId="11" fillId="0" borderId="2" xfId="0" applyFont="1" applyBorder="1" applyAlignment="1" applyProtection="1">
      <alignment horizontal="left"/>
      <protection locked="0"/>
    </xf>
    <xf numFmtId="0" fontId="11" fillId="0" borderId="3" xfId="0" applyFont="1" applyBorder="1" applyAlignment="1" applyProtection="1">
      <alignment horizontal="left"/>
      <protection locked="0"/>
    </xf>
    <xf numFmtId="3" fontId="4" fillId="0" borderId="13" xfId="0" applyNumberFormat="1" applyFont="1" applyBorder="1" applyAlignment="1" applyProtection="1">
      <alignment horizontal="left"/>
    </xf>
    <xf numFmtId="0" fontId="11" fillId="2" borderId="0" xfId="0" applyFont="1" applyFill="1"/>
    <xf numFmtId="0" fontId="11" fillId="2" borderId="0" xfId="0" applyFont="1" applyFill="1" applyProtection="1">
      <protection locked="0"/>
    </xf>
    <xf numFmtId="0" fontId="11" fillId="2" borderId="0" xfId="0" applyFont="1" applyFill="1" applyBorder="1"/>
    <xf numFmtId="0" fontId="4" fillId="2" borderId="0" xfId="0" applyFont="1" applyFill="1"/>
    <xf numFmtId="0" fontId="11" fillId="0" borderId="2" xfId="0" applyFont="1" applyBorder="1" applyProtection="1"/>
    <xf numFmtId="0" fontId="11" fillId="0" borderId="0" xfId="0" applyFont="1" applyBorder="1" applyAlignment="1" applyProtection="1">
      <alignment horizontal="center"/>
    </xf>
    <xf numFmtId="165" fontId="4" fillId="0" borderId="2" xfId="0" applyNumberFormat="1" applyFont="1" applyBorder="1" applyAlignment="1" applyProtection="1">
      <alignment horizontal="center"/>
    </xf>
    <xf numFmtId="2" fontId="4" fillId="0" borderId="2" xfId="0" applyNumberFormat="1" applyFont="1" applyBorder="1" applyAlignment="1" applyProtection="1">
      <alignment horizontal="center"/>
    </xf>
    <xf numFmtId="164" fontId="4" fillId="0" borderId="2" xfId="0" applyNumberFormat="1" applyFont="1" applyBorder="1" applyAlignment="1" applyProtection="1">
      <alignment horizontal="center"/>
    </xf>
    <xf numFmtId="0" fontId="11" fillId="0" borderId="0" xfId="0" applyFont="1" applyBorder="1" applyProtection="1"/>
    <xf numFmtId="0" fontId="11" fillId="0" borderId="3" xfId="0" applyFont="1" applyBorder="1" applyProtection="1"/>
    <xf numFmtId="0" fontId="11" fillId="0" borderId="4" xfId="0" applyFont="1" applyBorder="1" applyProtection="1"/>
    <xf numFmtId="0" fontId="11" fillId="0" borderId="2" xfId="0" applyFont="1" applyBorder="1" applyAlignment="1" applyProtection="1">
      <alignment horizontal="center"/>
    </xf>
    <xf numFmtId="0" fontId="11" fillId="0" borderId="3" xfId="0" applyFont="1" applyBorder="1" applyAlignment="1" applyProtection="1">
      <alignment horizontal="center"/>
    </xf>
    <xf numFmtId="0" fontId="11" fillId="0" borderId="4" xfId="0" applyFont="1" applyBorder="1" applyAlignment="1" applyProtection="1">
      <alignment horizontal="center"/>
    </xf>
    <xf numFmtId="166" fontId="11" fillId="0" borderId="8" xfId="0" applyNumberFormat="1" applyFont="1" applyBorder="1" applyAlignment="1" applyProtection="1">
      <alignment horizontal="center"/>
    </xf>
    <xf numFmtId="165" fontId="11" fillId="0" borderId="10" xfId="0" applyNumberFormat="1" applyFont="1" applyBorder="1" applyAlignment="1" applyProtection="1">
      <alignment horizontal="center"/>
    </xf>
    <xf numFmtId="166" fontId="11" fillId="0" borderId="10" xfId="0" applyNumberFormat="1" applyFont="1" applyBorder="1" applyAlignment="1" applyProtection="1">
      <alignment horizontal="center"/>
    </xf>
    <xf numFmtId="166" fontId="11" fillId="0" borderId="12" xfId="0" applyNumberFormat="1" applyFont="1" applyBorder="1" applyAlignment="1" applyProtection="1">
      <alignment horizontal="center"/>
    </xf>
    <xf numFmtId="0" fontId="11" fillId="0" borderId="7" xfId="0" applyFont="1" applyBorder="1" applyAlignment="1" applyProtection="1">
      <alignment horizontal="center"/>
    </xf>
    <xf numFmtId="0" fontId="11" fillId="0" borderId="1" xfId="0" applyFont="1" applyBorder="1" applyAlignment="1" applyProtection="1">
      <alignment horizontal="center"/>
    </xf>
    <xf numFmtId="0" fontId="11" fillId="0" borderId="8" xfId="0" applyFont="1" applyBorder="1" applyAlignment="1" applyProtection="1">
      <alignment horizontal="center"/>
    </xf>
    <xf numFmtId="0" fontId="11" fillId="0" borderId="9" xfId="0" applyFont="1" applyBorder="1" applyAlignment="1" applyProtection="1">
      <alignment horizontal="center"/>
    </xf>
    <xf numFmtId="0" fontId="11" fillId="0" borderId="10" xfId="0" applyFont="1" applyBorder="1" applyAlignment="1" applyProtection="1">
      <alignment horizontal="center"/>
    </xf>
    <xf numFmtId="0" fontId="11" fillId="0" borderId="11" xfId="0" applyFont="1" applyBorder="1" applyAlignment="1" applyProtection="1">
      <alignment horizontal="center"/>
    </xf>
    <xf numFmtId="0" fontId="11" fillId="0" borderId="12" xfId="0" applyFont="1" applyBorder="1" applyAlignment="1" applyProtection="1">
      <alignment horizontal="center"/>
    </xf>
    <xf numFmtId="170" fontId="19" fillId="0" borderId="0" xfId="0" applyNumberFormat="1" applyFont="1" applyBorder="1" applyAlignment="1" applyProtection="1">
      <alignment horizontal="centerContinuous"/>
      <protection locked="0"/>
    </xf>
    <xf numFmtId="170" fontId="19" fillId="0" borderId="0" xfId="0" applyNumberFormat="1" applyFont="1" applyBorder="1" applyAlignment="1" applyProtection="1">
      <alignment horizontal="right"/>
      <protection locked="0"/>
    </xf>
    <xf numFmtId="170" fontId="19" fillId="0" borderId="0" xfId="0" applyNumberFormat="1" applyFont="1" applyBorder="1" applyAlignment="1" applyProtection="1">
      <alignment horizontal="left"/>
      <protection locked="0"/>
    </xf>
    <xf numFmtId="170" fontId="19" fillId="0" borderId="0" xfId="0" applyNumberFormat="1" applyFont="1" applyBorder="1" applyProtection="1">
      <protection locked="0"/>
    </xf>
    <xf numFmtId="170" fontId="19" fillId="0" borderId="0" xfId="0" applyNumberFormat="1" applyFont="1" applyBorder="1" applyAlignment="1">
      <alignment horizontal="left"/>
    </xf>
    <xf numFmtId="170" fontId="19" fillId="0" borderId="0" xfId="0" applyNumberFormat="1" applyFont="1" applyBorder="1" applyAlignment="1" applyProtection="1">
      <alignment horizontal="left"/>
    </xf>
    <xf numFmtId="170" fontId="19" fillId="0" borderId="0" xfId="0" applyNumberFormat="1" applyFont="1" applyBorder="1" applyAlignment="1">
      <alignment horizontal="right"/>
    </xf>
    <xf numFmtId="170" fontId="24" fillId="0" borderId="0" xfId="0" applyNumberFormat="1" applyFont="1" applyBorder="1" applyAlignment="1" applyProtection="1">
      <alignment horizontal="left"/>
      <protection locked="0"/>
    </xf>
    <xf numFmtId="170" fontId="19" fillId="0" borderId="0" xfId="0" applyNumberFormat="1" applyFont="1" applyBorder="1"/>
    <xf numFmtId="171" fontId="24" fillId="0" borderId="0" xfId="0" applyNumberFormat="1" applyFont="1" applyBorder="1" applyAlignment="1" applyProtection="1">
      <alignment horizontal="left"/>
      <protection locked="0"/>
    </xf>
    <xf numFmtId="170" fontId="24" fillId="0" borderId="0" xfId="0" applyNumberFormat="1" applyFont="1" applyBorder="1" applyProtection="1">
      <protection locked="0"/>
    </xf>
    <xf numFmtId="170" fontId="19" fillId="0" borderId="0" xfId="0" quotePrefix="1" applyNumberFormat="1" applyFont="1" applyBorder="1" applyAlignment="1" applyProtection="1">
      <alignment horizontal="left"/>
    </xf>
    <xf numFmtId="170" fontId="19" fillId="0" borderId="0" xfId="0" applyNumberFormat="1" applyFont="1" applyBorder="1" applyAlignment="1" applyProtection="1">
      <alignment horizontal="right"/>
    </xf>
    <xf numFmtId="171" fontId="19" fillId="0" borderId="0" xfId="0" applyNumberFormat="1" applyFont="1" applyBorder="1" applyProtection="1"/>
    <xf numFmtId="37" fontId="19" fillId="0" borderId="0" xfId="0" applyNumberFormat="1" applyFont="1" applyBorder="1" applyProtection="1"/>
    <xf numFmtId="170" fontId="24" fillId="0" borderId="0" xfId="0" applyNumberFormat="1" applyFont="1" applyBorder="1" applyAlignment="1" applyProtection="1">
      <alignment horizontal="right"/>
    </xf>
    <xf numFmtId="172" fontId="24" fillId="0" borderId="0" xfId="0" applyNumberFormat="1" applyFont="1" applyBorder="1" applyProtection="1">
      <protection locked="0"/>
    </xf>
    <xf numFmtId="43" fontId="19" fillId="0" borderId="0" xfId="4" applyFont="1" applyBorder="1" applyAlignment="1" applyProtection="1">
      <alignment horizontal="right"/>
    </xf>
    <xf numFmtId="172" fontId="24" fillId="0" borderId="0" xfId="0" applyNumberFormat="1" applyFont="1" applyBorder="1" applyAlignment="1" applyProtection="1">
      <alignment horizontal="right"/>
      <protection locked="0"/>
    </xf>
    <xf numFmtId="170" fontId="5" fillId="0" borderId="0" xfId="0" applyNumberFormat="1" applyFont="1" applyBorder="1" applyAlignment="1" applyProtection="1">
      <alignment horizontal="left"/>
    </xf>
    <xf numFmtId="170" fontId="5" fillId="0" borderId="0" xfId="0" applyNumberFormat="1" applyFont="1" applyBorder="1" applyAlignment="1">
      <alignment horizontal="left"/>
    </xf>
    <xf numFmtId="0" fontId="12" fillId="0" borderId="0" xfId="1" applyFont="1" applyAlignment="1" applyProtection="1">
      <alignment horizontal="left"/>
      <protection locked="0"/>
    </xf>
    <xf numFmtId="0" fontId="5" fillId="0" borderId="0" xfId="1" applyFont="1" applyAlignment="1" applyProtection="1">
      <alignment horizontal="left"/>
    </xf>
    <xf numFmtId="0" fontId="12" fillId="0" borderId="0" xfId="1" applyFont="1" applyBorder="1" applyAlignment="1" applyProtection="1">
      <alignment horizontal="left"/>
      <protection locked="0"/>
    </xf>
    <xf numFmtId="0" fontId="11" fillId="0" borderId="0" xfId="0" applyFont="1" applyBorder="1" applyAlignment="1" applyProtection="1">
      <alignment horizontal="right"/>
      <protection locked="0"/>
    </xf>
    <xf numFmtId="170" fontId="11" fillId="0" borderId="0" xfId="0" applyNumberFormat="1" applyFont="1" applyBorder="1"/>
    <xf numFmtId="0" fontId="11" fillId="0" borderId="14" xfId="0" applyFont="1" applyBorder="1" applyAlignment="1">
      <alignment horizontal="left"/>
    </xf>
    <xf numFmtId="0" fontId="11" fillId="0" borderId="8" xfId="0" applyFont="1" applyBorder="1" applyAlignment="1">
      <alignment horizontal="right"/>
    </xf>
    <xf numFmtId="16" fontId="11" fillId="0" borderId="1" xfId="0" quotePrefix="1" applyNumberFormat="1" applyFont="1" applyBorder="1" applyAlignment="1">
      <alignment horizontal="center"/>
    </xf>
    <xf numFmtId="0" fontId="11" fillId="0" borderId="2" xfId="0" quotePrefix="1" applyFont="1" applyBorder="1" applyAlignment="1">
      <alignment horizontal="center"/>
    </xf>
    <xf numFmtId="0" fontId="11" fillId="0" borderId="15" xfId="0" applyFont="1" applyBorder="1"/>
    <xf numFmtId="0" fontId="11" fillId="0" borderId="6" xfId="0" applyFont="1" applyBorder="1"/>
    <xf numFmtId="0" fontId="11" fillId="0" borderId="4" xfId="0" applyFont="1" applyBorder="1" applyAlignment="1">
      <alignment horizontal="left"/>
    </xf>
    <xf numFmtId="0" fontId="11" fillId="0" borderId="3" xfId="0" quotePrefix="1" applyFont="1" applyBorder="1" applyAlignment="1">
      <alignment horizontal="center"/>
    </xf>
    <xf numFmtId="0" fontId="4" fillId="0" borderId="0" xfId="0" applyFont="1" applyFill="1" applyBorder="1" applyAlignment="1">
      <alignment horizontal="left"/>
    </xf>
    <xf numFmtId="1" fontId="4" fillId="0" borderId="0" xfId="0" applyNumberFormat="1" applyFont="1" applyBorder="1" applyAlignment="1">
      <alignment horizontal="left"/>
    </xf>
    <xf numFmtId="0" fontId="4" fillId="0" borderId="5" xfId="0" applyFont="1" applyBorder="1" applyAlignment="1">
      <alignment horizontal="center"/>
    </xf>
    <xf numFmtId="0" fontId="4" fillId="0" borderId="6" xfId="0" applyFont="1" applyBorder="1" applyAlignment="1">
      <alignment horizontal="center"/>
    </xf>
    <xf numFmtId="9" fontId="11" fillId="0" borderId="0" xfId="2" applyFont="1" applyBorder="1" applyAlignment="1">
      <alignment horizontal="left"/>
    </xf>
    <xf numFmtId="0" fontId="4" fillId="0" borderId="4" xfId="0" applyFont="1" applyBorder="1" applyAlignment="1">
      <alignment horizontal="right"/>
    </xf>
    <xf numFmtId="1" fontId="11" fillId="0" borderId="12" xfId="0" applyNumberFormat="1" applyFont="1" applyBorder="1" applyAlignment="1">
      <alignment horizontal="center"/>
    </xf>
    <xf numFmtId="1" fontId="4" fillId="0" borderId="13" xfId="0" applyNumberFormat="1" applyFont="1" applyBorder="1" applyAlignment="1">
      <alignment horizontal="center"/>
    </xf>
    <xf numFmtId="17" fontId="11" fillId="0" borderId="0" xfId="0" applyNumberFormat="1" applyFont="1" applyAlignment="1">
      <alignment horizontal="left"/>
    </xf>
    <xf numFmtId="165" fontId="11" fillId="0" borderId="4" xfId="0" applyNumberFormat="1" applyFont="1" applyBorder="1" applyAlignment="1">
      <alignment horizontal="left"/>
    </xf>
    <xf numFmtId="0" fontId="4" fillId="0" borderId="15" xfId="0" applyFont="1" applyBorder="1" applyAlignment="1">
      <alignment horizontal="center"/>
    </xf>
    <xf numFmtId="0" fontId="4" fillId="0" borderId="14" xfId="0" applyFont="1" applyBorder="1" applyAlignment="1">
      <alignment horizontal="right"/>
    </xf>
    <xf numFmtId="3" fontId="11" fillId="0" borderId="7" xfId="0" applyNumberFormat="1" applyFont="1" applyBorder="1" applyAlignment="1">
      <alignment horizontal="center"/>
    </xf>
    <xf numFmtId="3" fontId="11" fillId="0" borderId="8" xfId="0" applyNumberFormat="1" applyFont="1" applyBorder="1" applyAlignment="1">
      <alignment horizontal="right"/>
    </xf>
    <xf numFmtId="3" fontId="11" fillId="0" borderId="9" xfId="0" applyNumberFormat="1" applyFont="1" applyBorder="1" applyAlignment="1">
      <alignment horizontal="center"/>
    </xf>
    <xf numFmtId="3" fontId="11" fillId="0" borderId="10" xfId="0" applyNumberFormat="1" applyFont="1" applyBorder="1" applyAlignment="1">
      <alignment horizontal="right"/>
    </xf>
    <xf numFmtId="0" fontId="4" fillId="0" borderId="5" xfId="0" applyFont="1" applyBorder="1" applyAlignment="1">
      <alignment horizontal="left"/>
    </xf>
    <xf numFmtId="0" fontId="4" fillId="0" borderId="6" xfId="0" applyFont="1" applyBorder="1" applyAlignment="1">
      <alignment horizontal="left"/>
    </xf>
    <xf numFmtId="3" fontId="11" fillId="0" borderId="11" xfId="0" applyNumberFormat="1" applyFont="1" applyBorder="1" applyAlignment="1">
      <alignment horizontal="center"/>
    </xf>
    <xf numFmtId="3" fontId="11" fillId="0" borderId="12" xfId="0" applyNumberFormat="1" applyFont="1" applyBorder="1" applyAlignment="1">
      <alignment horizontal="right"/>
    </xf>
    <xf numFmtId="3" fontId="4" fillId="0" borderId="13" xfId="0" applyNumberFormat="1" applyFont="1" applyBorder="1"/>
    <xf numFmtId="170" fontId="14" fillId="0" borderId="0" xfId="1" applyNumberFormat="1" applyFont="1" applyBorder="1" applyAlignment="1" applyProtection="1">
      <alignment horizontal="left"/>
    </xf>
    <xf numFmtId="0" fontId="16" fillId="0" borderId="0" xfId="0" applyFont="1" applyBorder="1" applyAlignment="1">
      <alignment horizontal="left"/>
    </xf>
    <xf numFmtId="0" fontId="4" fillId="0" borderId="6" xfId="0" applyFont="1" applyBorder="1"/>
    <xf numFmtId="37" fontId="4" fillId="0" borderId="0" xfId="4" applyNumberFormat="1" applyFont="1" applyAlignment="1">
      <alignment horizontal="left"/>
    </xf>
    <xf numFmtId="0" fontId="26" fillId="0" borderId="0" xfId="0" applyFont="1"/>
    <xf numFmtId="0" fontId="9" fillId="0" borderId="0" xfId="1" applyFont="1" applyAlignment="1" applyProtection="1"/>
    <xf numFmtId="0" fontId="3" fillId="0" borderId="0" xfId="0" applyFont="1" applyAlignment="1">
      <alignment horizontal="left"/>
    </xf>
    <xf numFmtId="170" fontId="9" fillId="0" borderId="0" xfId="0" applyNumberFormat="1" applyFont="1" applyBorder="1" applyAlignment="1">
      <alignment horizontal="left"/>
    </xf>
    <xf numFmtId="1" fontId="4" fillId="0" borderId="2" xfId="2" applyNumberFormat="1" applyFont="1" applyBorder="1" applyAlignment="1" applyProtection="1">
      <alignment horizontal="left"/>
      <protection locked="0"/>
    </xf>
    <xf numFmtId="165" fontId="11" fillId="0" borderId="2" xfId="0" applyNumberFormat="1" applyFont="1" applyBorder="1" applyAlignment="1" applyProtection="1">
      <alignment horizontal="center"/>
      <protection locked="0"/>
    </xf>
    <xf numFmtId="165" fontId="11" fillId="0" borderId="3" xfId="0" applyNumberFormat="1" applyFont="1" applyBorder="1" applyAlignment="1" applyProtection="1">
      <alignment horizontal="center"/>
      <protection locked="0"/>
    </xf>
    <xf numFmtId="9" fontId="11" fillId="0" borderId="2" xfId="0" applyNumberFormat="1" applyFont="1" applyBorder="1" applyAlignment="1" applyProtection="1">
      <alignment horizontal="center"/>
      <protection locked="0"/>
    </xf>
    <xf numFmtId="9" fontId="11" fillId="0" borderId="3" xfId="0" applyNumberFormat="1" applyFont="1" applyBorder="1" applyAlignment="1" applyProtection="1">
      <alignment horizontal="center"/>
      <protection locked="0"/>
    </xf>
    <xf numFmtId="165" fontId="4" fillId="0" borderId="1" xfId="0" applyNumberFormat="1" applyFont="1" applyBorder="1" applyAlignment="1" applyProtection="1">
      <alignment horizontal="left"/>
      <protection locked="0"/>
    </xf>
    <xf numFmtId="165" fontId="4" fillId="0" borderId="2" xfId="0" applyNumberFormat="1" applyFont="1" applyBorder="1" applyAlignment="1" applyProtection="1">
      <alignment horizontal="left"/>
      <protection locked="0"/>
    </xf>
    <xf numFmtId="165" fontId="4" fillId="0" borderId="3" xfId="0" applyNumberFormat="1" applyFont="1" applyBorder="1" applyAlignment="1" applyProtection="1">
      <alignment horizontal="left"/>
      <protection locked="0"/>
    </xf>
    <xf numFmtId="2" fontId="4" fillId="0" borderId="1" xfId="0" applyNumberFormat="1" applyFont="1" applyBorder="1" applyAlignment="1" applyProtection="1">
      <alignment horizontal="left"/>
      <protection locked="0"/>
    </xf>
    <xf numFmtId="2" fontId="11" fillId="0" borderId="2" xfId="0" applyNumberFormat="1" applyFont="1" applyBorder="1" applyAlignment="1" applyProtection="1">
      <alignment horizontal="center"/>
      <protection locked="0"/>
    </xf>
    <xf numFmtId="2" fontId="11" fillId="0" borderId="3" xfId="0" applyNumberFormat="1" applyFont="1" applyBorder="1" applyAlignment="1" applyProtection="1">
      <alignment horizontal="center"/>
      <protection locked="0"/>
    </xf>
    <xf numFmtId="0" fontId="4" fillId="0" borderId="5" xfId="0" applyFont="1" applyBorder="1" applyProtection="1">
      <protection locked="0"/>
    </xf>
    <xf numFmtId="171" fontId="19" fillId="0" borderId="0" xfId="0" applyNumberFormat="1" applyFont="1" applyBorder="1" applyProtection="1">
      <protection locked="0"/>
    </xf>
    <xf numFmtId="37" fontId="19" fillId="0" borderId="0" xfId="0" applyNumberFormat="1" applyFont="1" applyBorder="1" applyProtection="1">
      <protection locked="0"/>
    </xf>
    <xf numFmtId="170" fontId="24" fillId="0" borderId="0" xfId="0" applyNumberFormat="1" applyFont="1" applyBorder="1" applyAlignment="1" applyProtection="1">
      <alignment horizontal="right"/>
      <protection locked="0"/>
    </xf>
    <xf numFmtId="170" fontId="19" fillId="0" borderId="0" xfId="0" quotePrefix="1" applyNumberFormat="1" applyFont="1" applyBorder="1" applyAlignment="1" applyProtection="1">
      <alignment horizontal="left"/>
      <protection locked="0"/>
    </xf>
    <xf numFmtId="170" fontId="11" fillId="0" borderId="0" xfId="0" applyNumberFormat="1" applyFont="1" applyBorder="1" applyProtection="1">
      <protection locked="0"/>
    </xf>
    <xf numFmtId="1" fontId="4" fillId="0" borderId="0" xfId="0" applyNumberFormat="1" applyFont="1" applyAlignment="1" applyProtection="1">
      <alignment horizontal="left"/>
      <protection locked="0"/>
    </xf>
    <xf numFmtId="0" fontId="4" fillId="0" borderId="15" xfId="0" applyFont="1" applyBorder="1" applyProtection="1">
      <protection locked="0"/>
    </xf>
    <xf numFmtId="0" fontId="4" fillId="0" borderId="6" xfId="0" applyFont="1" applyBorder="1" applyProtection="1">
      <protection locked="0"/>
    </xf>
    <xf numFmtId="0" fontId="4" fillId="0" borderId="13" xfId="0" applyFont="1" applyBorder="1" applyAlignment="1"/>
    <xf numFmtId="0" fontId="16" fillId="0" borderId="0" xfId="0" applyFont="1" applyBorder="1" applyAlignment="1" applyProtection="1">
      <alignment horizontal="center"/>
      <protection locked="0"/>
    </xf>
    <xf numFmtId="164" fontId="4" fillId="0" borderId="0" xfId="0" applyNumberFormat="1" applyFont="1" applyBorder="1" applyAlignment="1" applyProtection="1">
      <alignment horizontal="left"/>
      <protection locked="0"/>
    </xf>
    <xf numFmtId="1" fontId="4" fillId="0" borderId="0" xfId="0" applyNumberFormat="1" applyFont="1" applyBorder="1" applyAlignment="1" applyProtection="1">
      <alignment horizontal="left"/>
      <protection locked="0"/>
    </xf>
    <xf numFmtId="166" fontId="11" fillId="0" borderId="0" xfId="0" applyNumberFormat="1" applyFont="1" applyAlignment="1">
      <alignment horizontal="left"/>
    </xf>
    <xf numFmtId="164" fontId="11" fillId="0" borderId="13" xfId="0" applyNumberFormat="1" applyFont="1" applyBorder="1" applyAlignment="1" applyProtection="1">
      <alignment horizontal="left"/>
      <protection locked="0"/>
    </xf>
    <xf numFmtId="0" fontId="4" fillId="0" borderId="14" xfId="0" applyFont="1" applyBorder="1" applyAlignment="1">
      <alignment horizontal="left"/>
    </xf>
    <xf numFmtId="0" fontId="4" fillId="0" borderId="10" xfId="0" applyFont="1" applyBorder="1" applyAlignment="1">
      <alignment horizontal="center"/>
    </xf>
    <xf numFmtId="0" fontId="4" fillId="0" borderId="1"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4" fillId="0" borderId="7" xfId="0" applyFont="1" applyBorder="1" applyAlignment="1" applyProtection="1">
      <alignment horizontal="center"/>
      <protection locked="0"/>
    </xf>
    <xf numFmtId="2" fontId="4" fillId="0" borderId="1" xfId="0" applyNumberFormat="1" applyFont="1" applyBorder="1" applyAlignment="1">
      <alignment horizontal="center"/>
    </xf>
    <xf numFmtId="165" fontId="4" fillId="0" borderId="8" xfId="0" applyNumberFormat="1" applyFont="1" applyBorder="1" applyAlignment="1">
      <alignment horizontal="center"/>
    </xf>
    <xf numFmtId="0" fontId="4" fillId="0" borderId="2" xfId="0" applyFont="1" applyBorder="1" applyAlignment="1" applyProtection="1">
      <alignment horizontal="center"/>
      <protection locked="0"/>
    </xf>
    <xf numFmtId="0" fontId="4" fillId="0" borderId="9" xfId="0" applyFont="1" applyBorder="1" applyAlignment="1" applyProtection="1">
      <alignment horizontal="center"/>
      <protection locked="0"/>
    </xf>
    <xf numFmtId="165" fontId="4" fillId="0" borderId="10" xfId="0" applyNumberFormat="1" applyFont="1" applyBorder="1" applyAlignment="1">
      <alignment horizontal="center"/>
    </xf>
    <xf numFmtId="0" fontId="11" fillId="0" borderId="0" xfId="0" applyFont="1" applyFill="1" applyBorder="1" applyAlignment="1" applyProtection="1">
      <alignment horizontal="center"/>
      <protection locked="0"/>
    </xf>
    <xf numFmtId="165" fontId="4" fillId="0" borderId="12" xfId="0" applyNumberFormat="1" applyFont="1" applyBorder="1" applyAlignment="1">
      <alignment horizontal="center"/>
    </xf>
    <xf numFmtId="0" fontId="4" fillId="0" borderId="3" xfId="0" applyFont="1" applyBorder="1" applyAlignment="1" applyProtection="1">
      <alignment horizontal="center"/>
      <protection locked="0"/>
    </xf>
    <xf numFmtId="2" fontId="4" fillId="0" borderId="3" xfId="0" applyNumberFormat="1" applyFont="1" applyBorder="1" applyAlignment="1">
      <alignment horizontal="center"/>
    </xf>
    <xf numFmtId="0" fontId="11" fillId="0" borderId="15" xfId="0" applyFont="1" applyBorder="1" applyAlignment="1">
      <alignment horizontal="right"/>
    </xf>
    <xf numFmtId="0" fontId="11" fillId="0" borderId="15" xfId="0" applyFont="1" applyBorder="1" applyAlignment="1">
      <alignment horizontal="left"/>
    </xf>
    <xf numFmtId="0" fontId="4" fillId="0" borderId="6" xfId="0" applyFont="1" applyBorder="1" applyAlignment="1" applyProtection="1">
      <alignment horizontal="center"/>
      <protection locked="0"/>
    </xf>
    <xf numFmtId="165" fontId="4" fillId="0" borderId="3" xfId="0" applyNumberFormat="1" applyFont="1" applyFill="1" applyBorder="1" applyAlignment="1">
      <alignment horizontal="center"/>
    </xf>
    <xf numFmtId="0" fontId="4" fillId="0" borderId="8" xfId="0" applyFont="1" applyBorder="1" applyAlignment="1"/>
    <xf numFmtId="0" fontId="4" fillId="0" borderId="3" xfId="0" applyFont="1" applyBorder="1" applyAlignment="1"/>
    <xf numFmtId="165" fontId="11" fillId="0" borderId="7" xfId="0" applyNumberFormat="1" applyFont="1" applyBorder="1" applyAlignment="1">
      <alignment horizontal="center"/>
    </xf>
    <xf numFmtId="165" fontId="11" fillId="0" borderId="8" xfId="0" applyNumberFormat="1" applyFont="1" applyBorder="1" applyAlignment="1">
      <alignment horizontal="center"/>
    </xf>
    <xf numFmtId="165" fontId="11" fillId="0" borderId="9" xfId="0" applyNumberFormat="1" applyFont="1" applyBorder="1" applyAlignment="1">
      <alignment horizontal="center"/>
    </xf>
    <xf numFmtId="165" fontId="11" fillId="0" borderId="11" xfId="0" applyNumberFormat="1" applyFont="1" applyBorder="1" applyAlignment="1">
      <alignment horizontal="center"/>
    </xf>
    <xf numFmtId="165" fontId="11" fillId="0" borderId="12" xfId="0" applyNumberFormat="1" applyFont="1" applyBorder="1" applyAlignment="1">
      <alignment horizontal="center"/>
    </xf>
    <xf numFmtId="0" fontId="29" fillId="0" borderId="0" xfId="0" applyFont="1" applyAlignment="1">
      <alignment horizontal="right"/>
    </xf>
    <xf numFmtId="0" fontId="29" fillId="0" borderId="0" xfId="0" applyFont="1" applyAlignment="1">
      <alignment horizontal="left"/>
    </xf>
    <xf numFmtId="0" fontId="29" fillId="0" borderId="0" xfId="0" applyFont="1"/>
    <xf numFmtId="0" fontId="3" fillId="0" borderId="0" xfId="0" applyFont="1" applyAlignment="1">
      <alignment horizontal="right"/>
    </xf>
    <xf numFmtId="0" fontId="26" fillId="0" borderId="0" xfId="0" applyFont="1" applyAlignment="1">
      <alignment horizontal="left"/>
    </xf>
    <xf numFmtId="1" fontId="4" fillId="2" borderId="13" xfId="0" applyNumberFormat="1" applyFont="1" applyFill="1" applyBorder="1" applyAlignment="1" applyProtection="1">
      <alignment horizontal="left"/>
    </xf>
    <xf numFmtId="1" fontId="4" fillId="0" borderId="13" xfId="0" applyNumberFormat="1" applyFont="1" applyBorder="1" applyAlignment="1">
      <alignment horizontal="left"/>
    </xf>
    <xf numFmtId="1" fontId="4" fillId="2" borderId="13" xfId="0" applyNumberFormat="1" applyFont="1" applyFill="1" applyBorder="1" applyAlignment="1" applyProtection="1">
      <alignment horizontal="left"/>
      <protection locked="0"/>
    </xf>
    <xf numFmtId="0" fontId="16" fillId="0" borderId="1" xfId="0" applyFont="1" applyFill="1" applyBorder="1" applyAlignment="1">
      <alignment horizontal="center"/>
    </xf>
    <xf numFmtId="9" fontId="4" fillId="2" borderId="1" xfId="0" applyNumberFormat="1" applyFont="1" applyFill="1" applyBorder="1" applyAlignment="1" applyProtection="1">
      <alignment horizontal="left"/>
      <protection locked="0"/>
    </xf>
    <xf numFmtId="0" fontId="4" fillId="2" borderId="2" xfId="0" applyFont="1" applyFill="1" applyBorder="1" applyAlignment="1" applyProtection="1">
      <alignment horizontal="left"/>
      <protection locked="0"/>
    </xf>
    <xf numFmtId="3" fontId="4" fillId="2" borderId="3" xfId="0" applyNumberFormat="1" applyFont="1" applyFill="1" applyBorder="1" applyAlignment="1" applyProtection="1">
      <alignment horizontal="left"/>
      <protection locked="0"/>
    </xf>
    <xf numFmtId="0" fontId="16" fillId="0" borderId="0" xfId="0" applyFont="1" applyAlignment="1" applyProtection="1">
      <alignment horizontal="center"/>
      <protection locked="0"/>
    </xf>
    <xf numFmtId="0" fontId="4" fillId="0" borderId="13" xfId="0" applyFont="1" applyFill="1" applyBorder="1" applyAlignment="1">
      <alignment horizontal="center"/>
    </xf>
    <xf numFmtId="0" fontId="11" fillId="0" borderId="5" xfId="0" applyFont="1" applyBorder="1"/>
    <xf numFmtId="0" fontId="4" fillId="0" borderId="6" xfId="0" applyFont="1" applyBorder="1" applyAlignment="1">
      <alignment horizontal="right"/>
    </xf>
    <xf numFmtId="0" fontId="11" fillId="0" borderId="15" xfId="0" applyFont="1" applyBorder="1" applyAlignment="1">
      <alignment horizontal="center"/>
    </xf>
    <xf numFmtId="0" fontId="11" fillId="0" borderId="13" xfId="0" applyFont="1" applyBorder="1" applyAlignment="1">
      <alignment horizontal="center"/>
    </xf>
    <xf numFmtId="0" fontId="4" fillId="0" borderId="15" xfId="0" applyFont="1" applyBorder="1" applyAlignment="1">
      <alignment horizontal="left"/>
    </xf>
    <xf numFmtId="0" fontId="11" fillId="2" borderId="13" xfId="0" applyFont="1" applyFill="1" applyBorder="1" applyAlignment="1" applyProtection="1">
      <alignment horizontal="center"/>
      <protection locked="0"/>
    </xf>
    <xf numFmtId="0" fontId="11" fillId="2" borderId="1" xfId="0" applyFont="1" applyFill="1" applyBorder="1" applyAlignment="1" applyProtection="1">
      <alignment horizontal="center"/>
      <protection locked="0"/>
    </xf>
    <xf numFmtId="0" fontId="11" fillId="2" borderId="14" xfId="0" applyFont="1" applyFill="1" applyBorder="1" applyAlignment="1" applyProtection="1">
      <alignment horizontal="center"/>
      <protection locked="0"/>
    </xf>
    <xf numFmtId="0" fontId="11" fillId="2" borderId="2" xfId="0" applyFont="1" applyFill="1" applyBorder="1" applyAlignment="1" applyProtection="1">
      <alignment horizontal="center"/>
      <protection locked="0"/>
    </xf>
    <xf numFmtId="0" fontId="11" fillId="2" borderId="0" xfId="0" applyFont="1" applyFill="1" applyBorder="1" applyAlignment="1" applyProtection="1">
      <alignment horizontal="center"/>
      <protection locked="0"/>
    </xf>
    <xf numFmtId="9" fontId="11" fillId="0" borderId="0" xfId="0" applyNumberFormat="1" applyFont="1" applyAlignment="1" applyProtection="1">
      <alignment horizontal="left"/>
      <protection locked="0"/>
    </xf>
    <xf numFmtId="2" fontId="11" fillId="2" borderId="2" xfId="0" applyNumberFormat="1" applyFont="1" applyFill="1" applyBorder="1" applyAlignment="1" applyProtection="1">
      <alignment horizontal="center"/>
      <protection locked="0"/>
    </xf>
    <xf numFmtId="0" fontId="11" fillId="0" borderId="4" xfId="0" applyFont="1" applyFill="1" applyBorder="1" applyAlignment="1">
      <alignment horizontal="right"/>
    </xf>
    <xf numFmtId="0" fontId="11" fillId="2" borderId="3" xfId="0" applyFont="1" applyFill="1" applyBorder="1" applyAlignment="1" applyProtection="1">
      <alignment horizontal="right"/>
      <protection locked="0"/>
    </xf>
    <xf numFmtId="0" fontId="11" fillId="2" borderId="4" xfId="0" applyFont="1" applyFill="1" applyBorder="1" applyAlignment="1" applyProtection="1">
      <alignment horizontal="left"/>
      <protection locked="0"/>
    </xf>
    <xf numFmtId="0" fontId="11" fillId="2" borderId="3" xfId="0" applyFont="1" applyFill="1" applyBorder="1" applyProtection="1">
      <protection locked="0"/>
    </xf>
    <xf numFmtId="0" fontId="11" fillId="2" borderId="4" xfId="0" applyFont="1" applyFill="1" applyBorder="1" applyAlignment="1" applyProtection="1">
      <alignment horizontal="center"/>
      <protection locked="0"/>
    </xf>
    <xf numFmtId="0" fontId="11" fillId="2" borderId="3" xfId="0" applyFont="1" applyFill="1" applyBorder="1" applyAlignment="1" applyProtection="1">
      <alignment horizontal="center"/>
      <protection locked="0"/>
    </xf>
    <xf numFmtId="0" fontId="11" fillId="0" borderId="5" xfId="0" applyFont="1" applyBorder="1" applyAlignment="1">
      <alignment horizontal="left"/>
    </xf>
    <xf numFmtId="1" fontId="11" fillId="0" borderId="5" xfId="0" applyNumberFormat="1" applyFont="1" applyFill="1" applyBorder="1" applyAlignment="1">
      <alignment horizontal="center"/>
    </xf>
    <xf numFmtId="164" fontId="11" fillId="2" borderId="15" xfId="0" applyNumberFormat="1" applyFont="1" applyFill="1" applyBorder="1" applyAlignment="1" applyProtection="1">
      <alignment horizontal="center"/>
      <protection locked="0"/>
    </xf>
    <xf numFmtId="0" fontId="11" fillId="0" borderId="6" xfId="0" applyFont="1" applyBorder="1" applyAlignment="1">
      <alignment horizontal="right"/>
    </xf>
    <xf numFmtId="1" fontId="11" fillId="0" borderId="13" xfId="0" applyNumberFormat="1" applyFont="1" applyBorder="1" applyAlignment="1">
      <alignment horizontal="center"/>
    </xf>
    <xf numFmtId="1" fontId="11" fillId="0" borderId="0" xfId="0" applyNumberFormat="1" applyFont="1"/>
    <xf numFmtId="0" fontId="5" fillId="0" borderId="13" xfId="3" applyFont="1" applyBorder="1" applyAlignment="1" applyProtection="1">
      <alignment horizontal="center"/>
      <protection locked="0"/>
    </xf>
    <xf numFmtId="0" fontId="5" fillId="0" borderId="0" xfId="3" applyFont="1" applyAlignment="1">
      <alignment horizontal="center"/>
    </xf>
    <xf numFmtId="164" fontId="5" fillId="0" borderId="0" xfId="3" applyNumberFormat="1" applyFont="1" applyAlignment="1">
      <alignment horizontal="center"/>
    </xf>
    <xf numFmtId="0" fontId="19" fillId="0" borderId="0" xfId="3" applyFont="1"/>
    <xf numFmtId="0" fontId="5" fillId="0" borderId="13" xfId="0" applyFont="1" applyBorder="1" applyAlignment="1" applyProtection="1">
      <alignment horizontal="center"/>
      <protection locked="0"/>
    </xf>
    <xf numFmtId="1" fontId="5" fillId="0" borderId="0" xfId="0" applyNumberFormat="1" applyFont="1" applyAlignment="1" applyProtection="1">
      <alignment horizontal="center"/>
      <protection locked="0"/>
    </xf>
    <xf numFmtId="0" fontId="5" fillId="0" borderId="7" xfId="0" applyFont="1" applyBorder="1" applyAlignment="1" applyProtection="1">
      <alignment horizontal="center"/>
      <protection locked="0"/>
    </xf>
    <xf numFmtId="0" fontId="5" fillId="0" borderId="1" xfId="0" applyFont="1" applyBorder="1" applyAlignment="1">
      <alignment horizontal="center"/>
    </xf>
    <xf numFmtId="0" fontId="5" fillId="0" borderId="14" xfId="0" applyFont="1" applyBorder="1" applyAlignment="1">
      <alignment horizontal="center"/>
    </xf>
    <xf numFmtId="166" fontId="5" fillId="0" borderId="1" xfId="0" applyNumberFormat="1" applyFont="1" applyBorder="1" applyAlignment="1">
      <alignment horizontal="center"/>
    </xf>
    <xf numFmtId="0" fontId="5" fillId="0" borderId="8" xfId="0" applyFont="1" applyBorder="1" applyAlignment="1">
      <alignment horizontal="center"/>
    </xf>
    <xf numFmtId="0" fontId="5" fillId="0" borderId="9" xfId="0" applyFont="1" applyBorder="1" applyAlignment="1" applyProtection="1">
      <alignment horizontal="center"/>
      <protection locked="0"/>
    </xf>
    <xf numFmtId="0" fontId="5" fillId="0" borderId="2" xfId="0" applyFont="1" applyBorder="1" applyAlignment="1">
      <alignment horizontal="center"/>
    </xf>
    <xf numFmtId="0" fontId="5" fillId="0" borderId="0" xfId="0" applyFont="1" applyBorder="1" applyAlignment="1">
      <alignment horizontal="center"/>
    </xf>
    <xf numFmtId="166" fontId="5" fillId="0" borderId="2" xfId="0" applyNumberFormat="1" applyFont="1" applyBorder="1" applyAlignment="1">
      <alignment horizontal="center"/>
    </xf>
    <xf numFmtId="0" fontId="5" fillId="0" borderId="10" xfId="0" applyFont="1" applyBorder="1" applyAlignment="1">
      <alignment horizontal="center"/>
    </xf>
    <xf numFmtId="0" fontId="5" fillId="0" borderId="0" xfId="0" quotePrefix="1" applyFont="1" applyBorder="1" applyAlignment="1">
      <alignment horizontal="center"/>
    </xf>
    <xf numFmtId="2" fontId="5" fillId="0" borderId="2" xfId="0" applyNumberFormat="1" applyFont="1" applyBorder="1" applyAlignment="1">
      <alignment horizontal="center"/>
    </xf>
    <xf numFmtId="167" fontId="5" fillId="0" borderId="0" xfId="0" applyNumberFormat="1" applyFont="1" applyBorder="1" applyAlignment="1">
      <alignment horizontal="center"/>
    </xf>
    <xf numFmtId="167" fontId="5" fillId="0" borderId="2" xfId="0" applyNumberFormat="1" applyFont="1" applyBorder="1" applyAlignment="1">
      <alignment horizontal="center"/>
    </xf>
    <xf numFmtId="165" fontId="5" fillId="0" borderId="2" xfId="0" applyNumberFormat="1" applyFont="1" applyBorder="1" applyAlignment="1">
      <alignment horizontal="center"/>
    </xf>
    <xf numFmtId="0" fontId="5" fillId="0" borderId="2" xfId="0" applyFont="1" applyFill="1" applyBorder="1" applyAlignment="1">
      <alignment horizontal="center"/>
    </xf>
    <xf numFmtId="0" fontId="5" fillId="0" borderId="0" xfId="0" applyFont="1" applyFill="1" applyBorder="1" applyAlignment="1">
      <alignment horizontal="center"/>
    </xf>
    <xf numFmtId="0" fontId="5" fillId="0" borderId="10" xfId="0" applyFont="1" applyFill="1" applyBorder="1" applyAlignment="1">
      <alignment horizontal="center"/>
    </xf>
    <xf numFmtId="0" fontId="5" fillId="0" borderId="11" xfId="0" applyFont="1" applyFill="1" applyBorder="1" applyAlignment="1" applyProtection="1">
      <alignment horizontal="center"/>
      <protection locked="0"/>
    </xf>
    <xf numFmtId="0" fontId="5" fillId="0" borderId="3" xfId="0" applyFont="1" applyFill="1" applyBorder="1" applyAlignment="1">
      <alignment horizontal="center"/>
    </xf>
    <xf numFmtId="0" fontId="5" fillId="0" borderId="4" xfId="0" applyFont="1" applyFill="1" applyBorder="1" applyAlignment="1">
      <alignment horizontal="center"/>
    </xf>
    <xf numFmtId="165" fontId="5" fillId="0" borderId="3" xfId="0" applyNumberFormat="1" applyFont="1" applyFill="1" applyBorder="1" applyAlignment="1">
      <alignment horizontal="center"/>
    </xf>
    <xf numFmtId="0" fontId="5" fillId="0" borderId="12" xfId="0" applyFont="1" applyFill="1" applyBorder="1" applyAlignment="1">
      <alignment horizontal="center"/>
    </xf>
    <xf numFmtId="0" fontId="5" fillId="0" borderId="1" xfId="0" applyFont="1" applyBorder="1" applyAlignment="1" applyProtection="1">
      <alignment horizontal="center"/>
      <protection locked="0"/>
    </xf>
    <xf numFmtId="0" fontId="5" fillId="0" borderId="2" xfId="0" applyFont="1" applyBorder="1" applyAlignment="1" applyProtection="1">
      <alignment horizontal="center"/>
      <protection locked="0"/>
    </xf>
    <xf numFmtId="1" fontId="5" fillId="0" borderId="2" xfId="0" applyNumberFormat="1" applyFont="1" applyBorder="1" applyAlignment="1">
      <alignment horizontal="center"/>
    </xf>
    <xf numFmtId="0" fontId="5" fillId="0" borderId="3" xfId="0" applyFont="1" applyFill="1" applyBorder="1" applyAlignment="1" applyProtection="1">
      <alignment horizontal="center"/>
      <protection locked="0"/>
    </xf>
    <xf numFmtId="1" fontId="5" fillId="0" borderId="3" xfId="0" applyNumberFormat="1" applyFont="1" applyBorder="1" applyAlignment="1">
      <alignment horizontal="center"/>
    </xf>
    <xf numFmtId="0" fontId="5" fillId="0" borderId="0" xfId="3" applyFont="1" applyBorder="1" applyProtection="1">
      <protection locked="0"/>
    </xf>
    <xf numFmtId="0" fontId="7" fillId="0" borderId="0" xfId="3" applyFont="1" applyBorder="1" applyAlignment="1" applyProtection="1">
      <alignment horizontal="center"/>
      <protection locked="0"/>
    </xf>
    <xf numFmtId="164" fontId="5" fillId="0" borderId="0" xfId="3" applyNumberFormat="1" applyFont="1" applyBorder="1" applyAlignment="1" applyProtection="1">
      <alignment horizontal="left"/>
      <protection locked="0"/>
    </xf>
    <xf numFmtId="0" fontId="5" fillId="0" borderId="0" xfId="3" applyFont="1" applyBorder="1" applyAlignment="1" applyProtection="1">
      <alignment horizontal="left"/>
      <protection locked="0"/>
    </xf>
    <xf numFmtId="0" fontId="5" fillId="0" borderId="0" xfId="3" applyFont="1" applyBorder="1" applyAlignment="1" applyProtection="1">
      <alignment horizontal="right"/>
      <protection locked="0"/>
    </xf>
    <xf numFmtId="0" fontId="11" fillId="0" borderId="13" xfId="0" applyFont="1" applyBorder="1" applyAlignment="1" applyProtection="1">
      <alignment horizontal="left"/>
      <protection locked="0"/>
    </xf>
    <xf numFmtId="2" fontId="4" fillId="0" borderId="0" xfId="0" applyNumberFormat="1" applyFont="1" applyBorder="1" applyAlignment="1" applyProtection="1">
      <alignment horizontal="left"/>
      <protection locked="0"/>
    </xf>
    <xf numFmtId="0" fontId="15" fillId="0" borderId="0" xfId="0" applyFont="1" applyBorder="1" applyAlignment="1" applyProtection="1">
      <alignment horizontal="right"/>
      <protection locked="0"/>
    </xf>
    <xf numFmtId="166" fontId="4" fillId="0" borderId="0" xfId="0" applyNumberFormat="1" applyFont="1" applyBorder="1" applyAlignment="1" applyProtection="1">
      <alignment horizontal="left"/>
      <protection locked="0"/>
    </xf>
    <xf numFmtId="3" fontId="4" fillId="0" borderId="13" xfId="0" applyNumberFormat="1" applyFont="1" applyBorder="1" applyAlignment="1" applyProtection="1">
      <alignment horizontal="left"/>
      <protection locked="0"/>
    </xf>
    <xf numFmtId="0" fontId="21" fillId="0" borderId="0" xfId="0" applyFont="1"/>
    <xf numFmtId="0" fontId="9" fillId="0" borderId="0" xfId="3" applyFont="1" applyAlignment="1">
      <alignment horizontal="left"/>
    </xf>
    <xf numFmtId="0" fontId="9" fillId="0" borderId="0" xfId="0" applyFont="1" applyAlignment="1" applyProtection="1">
      <alignment horizontal="left"/>
    </xf>
  </cellXfs>
  <cellStyles count="5">
    <cellStyle name="Comma" xfId="4" builtinId="3"/>
    <cellStyle name="Hyperlink" xfId="1" builtinId="8"/>
    <cellStyle name="Normal" xfId="0" builtinId="0"/>
    <cellStyle name="Normal_ENTHALPY" xfId="3" xr:uid="{00000000-0005-0000-0000-00000300000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jpeg"/><Relationship Id="rId13" Type="http://schemas.openxmlformats.org/officeDocument/2006/relationships/image" Target="../media/image14.jpeg"/><Relationship Id="rId3" Type="http://schemas.openxmlformats.org/officeDocument/2006/relationships/image" Target="../media/image4.jpeg"/><Relationship Id="rId7" Type="http://schemas.openxmlformats.org/officeDocument/2006/relationships/image" Target="../media/image8.jpeg"/><Relationship Id="rId12" Type="http://schemas.openxmlformats.org/officeDocument/2006/relationships/image" Target="../media/image13.jpeg"/><Relationship Id="rId17" Type="http://schemas.openxmlformats.org/officeDocument/2006/relationships/image" Target="../media/image18.jpeg"/><Relationship Id="rId2" Type="http://schemas.openxmlformats.org/officeDocument/2006/relationships/image" Target="../media/image3.jpeg"/><Relationship Id="rId16" Type="http://schemas.openxmlformats.org/officeDocument/2006/relationships/image" Target="../media/image17.jpeg"/><Relationship Id="rId1" Type="http://schemas.openxmlformats.org/officeDocument/2006/relationships/image" Target="../media/image2.jpeg"/><Relationship Id="rId6" Type="http://schemas.openxmlformats.org/officeDocument/2006/relationships/image" Target="../media/image7.jpeg"/><Relationship Id="rId11" Type="http://schemas.openxmlformats.org/officeDocument/2006/relationships/image" Target="../media/image12.jpeg"/><Relationship Id="rId5" Type="http://schemas.openxmlformats.org/officeDocument/2006/relationships/image" Target="../media/image6.jpeg"/><Relationship Id="rId15" Type="http://schemas.openxmlformats.org/officeDocument/2006/relationships/image" Target="../media/image16.jpeg"/><Relationship Id="rId10" Type="http://schemas.openxmlformats.org/officeDocument/2006/relationships/image" Target="../media/image11.jpeg"/><Relationship Id="rId4" Type="http://schemas.openxmlformats.org/officeDocument/2006/relationships/image" Target="../media/image5.jpeg"/><Relationship Id="rId9" Type="http://schemas.openxmlformats.org/officeDocument/2006/relationships/image" Target="../media/image10.jpeg"/><Relationship Id="rId14" Type="http://schemas.openxmlformats.org/officeDocument/2006/relationships/image" Target="../media/image15.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14.jpeg"/><Relationship Id="rId1" Type="http://schemas.openxmlformats.org/officeDocument/2006/relationships/image" Target="../media/image13.jpeg"/><Relationship Id="rId5" Type="http://schemas.openxmlformats.org/officeDocument/2006/relationships/image" Target="../media/image4.jpeg"/><Relationship Id="rId4" Type="http://schemas.openxmlformats.org/officeDocument/2006/relationships/image" Target="../media/image3.jpeg"/></Relationships>
</file>

<file path=xl/drawings/_rels/drawing4.xml.rels><?xml version="1.0" encoding="UTF-8" standalone="yes"?>
<Relationships xmlns="http://schemas.openxmlformats.org/package/2006/relationships"><Relationship Id="rId8" Type="http://schemas.openxmlformats.org/officeDocument/2006/relationships/image" Target="../media/image25.jpeg"/><Relationship Id="rId3" Type="http://schemas.openxmlformats.org/officeDocument/2006/relationships/image" Target="../media/image20.jpeg"/><Relationship Id="rId7" Type="http://schemas.openxmlformats.org/officeDocument/2006/relationships/image" Target="../media/image24.jpeg"/><Relationship Id="rId12" Type="http://schemas.openxmlformats.org/officeDocument/2006/relationships/image" Target="../media/image29.jpeg"/><Relationship Id="rId2" Type="http://schemas.openxmlformats.org/officeDocument/2006/relationships/image" Target="../media/image19.jpeg"/><Relationship Id="rId1" Type="http://schemas.openxmlformats.org/officeDocument/2006/relationships/image" Target="../media/image13.jpeg"/><Relationship Id="rId6" Type="http://schemas.openxmlformats.org/officeDocument/2006/relationships/image" Target="../media/image23.jpeg"/><Relationship Id="rId11" Type="http://schemas.openxmlformats.org/officeDocument/2006/relationships/image" Target="../media/image28.jpeg"/><Relationship Id="rId5" Type="http://schemas.openxmlformats.org/officeDocument/2006/relationships/image" Target="../media/image22.jpeg"/><Relationship Id="rId10" Type="http://schemas.openxmlformats.org/officeDocument/2006/relationships/image" Target="../media/image27.jpeg"/><Relationship Id="rId4" Type="http://schemas.openxmlformats.org/officeDocument/2006/relationships/image" Target="../media/image21.jpeg"/><Relationship Id="rId9" Type="http://schemas.openxmlformats.org/officeDocument/2006/relationships/image" Target="../media/image26.jpeg"/></Relationships>
</file>

<file path=xl/drawings/_rels/drawing5.xml.rels><?xml version="1.0" encoding="UTF-8" standalone="yes"?>
<Relationships xmlns="http://schemas.openxmlformats.org/package/2006/relationships"><Relationship Id="rId8" Type="http://schemas.openxmlformats.org/officeDocument/2006/relationships/image" Target="../media/image28.jpeg"/><Relationship Id="rId3" Type="http://schemas.openxmlformats.org/officeDocument/2006/relationships/image" Target="../media/image20.jpeg"/><Relationship Id="rId7" Type="http://schemas.openxmlformats.org/officeDocument/2006/relationships/image" Target="../media/image27.jpeg"/><Relationship Id="rId2" Type="http://schemas.openxmlformats.org/officeDocument/2006/relationships/image" Target="../media/image19.jpeg"/><Relationship Id="rId1" Type="http://schemas.openxmlformats.org/officeDocument/2006/relationships/image" Target="../media/image13.jpeg"/><Relationship Id="rId6" Type="http://schemas.openxmlformats.org/officeDocument/2006/relationships/image" Target="../media/image26.jpeg"/><Relationship Id="rId5" Type="http://schemas.openxmlformats.org/officeDocument/2006/relationships/image" Target="../media/image25.jpeg"/><Relationship Id="rId4" Type="http://schemas.openxmlformats.org/officeDocument/2006/relationships/image" Target="../media/image24.jpeg"/><Relationship Id="rId9" Type="http://schemas.openxmlformats.org/officeDocument/2006/relationships/image" Target="../media/image29.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2.jpeg"/><Relationship Id="rId2" Type="http://schemas.openxmlformats.org/officeDocument/2006/relationships/image" Target="../media/image31.jpeg"/><Relationship Id="rId1" Type="http://schemas.openxmlformats.org/officeDocument/2006/relationships/image" Target="../media/image30.jpeg"/><Relationship Id="rId5" Type="http://schemas.openxmlformats.org/officeDocument/2006/relationships/image" Target="../media/image34.png"/><Relationship Id="rId4" Type="http://schemas.openxmlformats.org/officeDocument/2006/relationships/image" Target="../media/image3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5.jpeg"/></Relationships>
</file>

<file path=xl/drawings/_rels/drawing9.xml.rels><?xml version="1.0" encoding="UTF-8" standalone="yes"?>
<Relationships xmlns="http://schemas.openxmlformats.org/package/2006/relationships"><Relationship Id="rId3" Type="http://schemas.openxmlformats.org/officeDocument/2006/relationships/image" Target="../media/image38.jpg"/><Relationship Id="rId7" Type="http://schemas.openxmlformats.org/officeDocument/2006/relationships/image" Target="../media/image42.jpg"/><Relationship Id="rId2" Type="http://schemas.openxmlformats.org/officeDocument/2006/relationships/image" Target="../media/image37.jpg"/><Relationship Id="rId1" Type="http://schemas.openxmlformats.org/officeDocument/2006/relationships/image" Target="../media/image36.tif"/><Relationship Id="rId6" Type="http://schemas.openxmlformats.org/officeDocument/2006/relationships/image" Target="../media/image41.jpg"/><Relationship Id="rId5" Type="http://schemas.openxmlformats.org/officeDocument/2006/relationships/image" Target="../media/image40.tif"/><Relationship Id="rId4" Type="http://schemas.openxmlformats.org/officeDocument/2006/relationships/image" Target="../media/image39.jpg"/></Relationships>
</file>

<file path=xl/drawings/drawing1.xml><?xml version="1.0" encoding="utf-8"?>
<xdr:wsDr xmlns:xdr="http://schemas.openxmlformats.org/drawingml/2006/spreadsheetDrawing" xmlns:a="http://schemas.openxmlformats.org/drawingml/2006/main">
  <xdr:twoCellAnchor>
    <xdr:from>
      <xdr:col>0</xdr:col>
      <xdr:colOff>285750</xdr:colOff>
      <xdr:row>74</xdr:row>
      <xdr:rowOff>180975</xdr:rowOff>
    </xdr:from>
    <xdr:to>
      <xdr:col>8</xdr:col>
      <xdr:colOff>428625</xdr:colOff>
      <xdr:row>95</xdr:row>
      <xdr:rowOff>180975</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285750" y="14582775"/>
          <a:ext cx="4953000" cy="400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b="1" baseline="0">
              <a:solidFill>
                <a:schemeClr val="dk1"/>
              </a:solidFill>
              <a:latin typeface="Arial" panose="020B0604020202020204" pitchFamily="34" charset="0"/>
              <a:ea typeface="+mn-ea"/>
              <a:cs typeface="Arial" panose="020B0604020202020204" pitchFamily="34" charset="0"/>
            </a:rPr>
            <a:t>AIR CONDITIONING AND PSYCHROMETRICS </a:t>
          </a:r>
        </a:p>
        <a:p>
          <a:pPr marL="0" marR="0" indent="0" defTabSz="914400" eaLnBrk="1" fontAlgn="auto" latinLnBrk="0" hangingPunct="1">
            <a:lnSpc>
              <a:spcPct val="100000"/>
            </a:lnSpc>
            <a:spcBef>
              <a:spcPts val="0"/>
            </a:spcBef>
            <a:spcAft>
              <a:spcPts val="0"/>
            </a:spcAft>
            <a:buClrTx/>
            <a:buSzTx/>
            <a:buFontTx/>
            <a:buNone/>
            <a:tabLst/>
            <a:defRPr/>
          </a:pPr>
          <a:r>
            <a:rPr lang="en-US" sz="1200" b="1">
              <a:solidFill>
                <a:schemeClr val="dk1"/>
              </a:solidFill>
              <a:latin typeface="Arial" panose="020B0604020202020204" pitchFamily="34" charset="0"/>
              <a:ea typeface="+mn-ea"/>
              <a:cs typeface="Arial" panose="020B0604020202020204" pitchFamily="34" charset="0"/>
            </a:rPr>
            <a:t>Heat, ventilating and cooling</a:t>
          </a:r>
          <a:r>
            <a:rPr lang="en-US" sz="1200" b="1" baseline="0">
              <a:solidFill>
                <a:schemeClr val="dk1"/>
              </a:solidFill>
              <a:latin typeface="Arial" panose="020B0604020202020204" pitchFamily="34" charset="0"/>
              <a:ea typeface="+mn-ea"/>
              <a:cs typeface="Arial" panose="020B0604020202020204" pitchFamily="34" charset="0"/>
            </a:rPr>
            <a:t> calculations determine equipment capacity  </a:t>
          </a:r>
          <a:r>
            <a:rPr lang="en-US" sz="1200" b="1">
              <a:solidFill>
                <a:schemeClr val="dk1"/>
              </a:solidFill>
              <a:latin typeface="Arial" panose="020B0604020202020204" pitchFamily="34" charset="0"/>
              <a:ea typeface="+mn-ea"/>
              <a:cs typeface="Arial" panose="020B0604020202020204" pitchFamily="34" charset="0"/>
            </a:rPr>
            <a:t>necessary to maintain a desirable environment in buildings in the United State's range of climates.  </a:t>
          </a:r>
        </a:p>
        <a:p>
          <a:r>
            <a:rPr lang="en-US" sz="1200" b="1" baseline="0">
              <a:solidFill>
                <a:schemeClr val="dk1"/>
              </a:solidFill>
              <a:latin typeface="Arial" panose="020B0604020202020204" pitchFamily="34" charset="0"/>
              <a:ea typeface="+mn-ea"/>
              <a:cs typeface="Arial" panose="020B0604020202020204" pitchFamily="34" charset="0"/>
            </a:rPr>
            <a:t>                                                                                                                                                      If the sizing is wrong problems such as insufficient cooling, insufficient moisture removal, and unnecessarily high electricity and gas bills.                                                                      -                                                                                                                                                           </a:t>
          </a:r>
        </a:p>
        <a:p>
          <a:endParaRPr lang="en-US" sz="1200" b="1" baseline="0">
            <a:solidFill>
              <a:schemeClr val="dk1"/>
            </a:solidFill>
            <a:latin typeface="Arial" panose="020B0604020202020204" pitchFamily="34" charset="0"/>
            <a:ea typeface="+mn-ea"/>
            <a:cs typeface="Arial" panose="020B0604020202020204" pitchFamily="34" charset="0"/>
          </a:endParaRPr>
        </a:p>
        <a:p>
          <a:r>
            <a:rPr lang="en-US" sz="1200" b="1" baseline="0">
              <a:solidFill>
                <a:schemeClr val="dk1"/>
              </a:solidFill>
              <a:latin typeface="Arial" panose="020B0604020202020204" pitchFamily="34" charset="0"/>
              <a:ea typeface="+mn-ea"/>
              <a:cs typeface="Arial" panose="020B0604020202020204" pitchFamily="34" charset="0"/>
            </a:rPr>
            <a:t>Use of the psychrometric chart will determine the volume flow rates of air to be pushed into the ducting system and the sizing of the major system components. </a:t>
          </a:r>
        </a:p>
        <a:p>
          <a:r>
            <a:rPr lang="en-US" sz="1200" b="1" baseline="0">
              <a:solidFill>
                <a:schemeClr val="dk1"/>
              </a:solidFill>
              <a:latin typeface="Arial" panose="020B0604020202020204" pitchFamily="34" charset="0"/>
              <a:ea typeface="+mn-ea"/>
              <a:cs typeface="Arial" panose="020B0604020202020204" pitchFamily="34" charset="0"/>
            </a:rPr>
            <a:t>                                                                                                                                                       The goal of air conditioning processes is to provide sufficient amount of fresh air at desirable temperature and humidity.                                                                                                                                                                                                                                   </a:t>
          </a:r>
        </a:p>
        <a:p>
          <a:endParaRPr lang="en-US" sz="1200" b="1" baseline="0">
            <a:solidFill>
              <a:schemeClr val="dk1"/>
            </a:solidFill>
            <a:latin typeface="Arial" panose="020B0604020202020204" pitchFamily="34" charset="0"/>
            <a:ea typeface="+mn-ea"/>
            <a:cs typeface="Arial" panose="020B0604020202020204" pitchFamily="34" charset="0"/>
          </a:endParaRPr>
        </a:p>
        <a:p>
          <a:r>
            <a:rPr lang="en-US" sz="1200" b="1" baseline="0">
              <a:solidFill>
                <a:schemeClr val="dk1"/>
              </a:solidFill>
              <a:latin typeface="Arial" panose="020B0604020202020204" pitchFamily="34" charset="0"/>
              <a:ea typeface="+mn-ea"/>
              <a:cs typeface="Arial" panose="020B0604020202020204" pitchFamily="34" charset="0"/>
            </a:rPr>
            <a:t>Outside air is taken in and must undergo one or several of the following processes:                                                                                                                                      </a:t>
          </a:r>
        </a:p>
        <a:p>
          <a:r>
            <a:rPr lang="en-US" sz="1200" b="1" baseline="0">
              <a:solidFill>
                <a:schemeClr val="dk1"/>
              </a:solidFill>
              <a:latin typeface="Arial" panose="020B0604020202020204" pitchFamily="34" charset="0"/>
              <a:ea typeface="+mn-ea"/>
              <a:cs typeface="Arial" panose="020B0604020202020204" pitchFamily="34" charset="0"/>
            </a:rPr>
            <a:t>                                                                                                                                                    TEMPERATURE AND HUMIDITY CONTROL OF COOLING AND HEATING</a:t>
          </a:r>
          <a:endParaRPr lang="en-US" sz="1200" b="1">
            <a:latin typeface="Arial" panose="020B0604020202020204" pitchFamily="34" charset="0"/>
            <a:cs typeface="Arial" panose="020B0604020202020204" pitchFamily="34" charset="0"/>
          </a:endParaRPr>
        </a:p>
      </xdr:txBody>
    </xdr:sp>
    <xdr:clientData/>
  </xdr:twoCellAnchor>
  <xdr:twoCellAnchor>
    <xdr:from>
      <xdr:col>0</xdr:col>
      <xdr:colOff>323850</xdr:colOff>
      <xdr:row>4</xdr:row>
      <xdr:rowOff>38100</xdr:rowOff>
    </xdr:from>
    <xdr:to>
      <xdr:col>8</xdr:col>
      <xdr:colOff>171450</xdr:colOff>
      <xdr:row>13</xdr:row>
      <xdr:rowOff>142875</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6496050" y="895350"/>
          <a:ext cx="4448175" cy="1819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chemeClr val="dk1"/>
              </a:solidFill>
              <a:latin typeface="+mn-lt"/>
              <a:ea typeface="+mn-ea"/>
              <a:cs typeface="+mn-cs"/>
            </a:rPr>
            <a:t>Some advantages of spreadsheet calculations over hand written include:</a:t>
          </a:r>
          <a:endParaRPr lang="en-US" sz="1100">
            <a:solidFill>
              <a:schemeClr val="dk1"/>
            </a:solidFill>
            <a:latin typeface="+mn-lt"/>
            <a:ea typeface="+mn-ea"/>
            <a:cs typeface="+mn-cs"/>
          </a:endParaRPr>
        </a:p>
        <a:p>
          <a:r>
            <a:rPr lang="en-US" sz="1100" b="1">
              <a:solidFill>
                <a:schemeClr val="dk1"/>
              </a:solidFill>
              <a:latin typeface="+mn-lt"/>
              <a:ea typeface="+mn-ea"/>
              <a:cs typeface="+mn-cs"/>
            </a:rPr>
            <a:t> 1. easier to read.</a:t>
          </a:r>
          <a:endParaRPr lang="en-US" sz="1100">
            <a:solidFill>
              <a:schemeClr val="dk1"/>
            </a:solidFill>
            <a:latin typeface="+mn-lt"/>
            <a:ea typeface="+mn-ea"/>
            <a:cs typeface="+mn-cs"/>
          </a:endParaRPr>
        </a:p>
        <a:p>
          <a:r>
            <a:rPr lang="en-US" sz="1100" b="1">
              <a:solidFill>
                <a:schemeClr val="dk1"/>
              </a:solidFill>
              <a:latin typeface="+mn-lt"/>
              <a:ea typeface="+mn-ea"/>
              <a:cs typeface="+mn-cs"/>
            </a:rPr>
            <a:t> 2. quickly recalled from archives.</a:t>
          </a:r>
          <a:endParaRPr lang="en-US" sz="1100">
            <a:solidFill>
              <a:schemeClr val="dk1"/>
            </a:solidFill>
            <a:latin typeface="+mn-lt"/>
            <a:ea typeface="+mn-ea"/>
            <a:cs typeface="+mn-cs"/>
          </a:endParaRPr>
        </a:p>
        <a:p>
          <a:r>
            <a:rPr lang="en-US" sz="1100" b="1">
              <a:solidFill>
                <a:schemeClr val="dk1"/>
              </a:solidFill>
              <a:latin typeface="+mn-lt"/>
              <a:ea typeface="+mn-ea"/>
              <a:cs typeface="+mn-cs"/>
            </a:rPr>
            <a:t> 3. greater accuracy.</a:t>
          </a:r>
          <a:endParaRPr lang="en-US" sz="1100">
            <a:solidFill>
              <a:schemeClr val="dk1"/>
            </a:solidFill>
            <a:latin typeface="+mn-lt"/>
            <a:ea typeface="+mn-ea"/>
            <a:cs typeface="+mn-cs"/>
          </a:endParaRPr>
        </a:p>
        <a:p>
          <a:r>
            <a:rPr lang="en-US" sz="1100" b="1">
              <a:solidFill>
                <a:schemeClr val="dk1"/>
              </a:solidFill>
              <a:latin typeface="+mn-lt"/>
              <a:ea typeface="+mn-ea"/>
              <a:cs typeface="+mn-cs"/>
            </a:rPr>
            <a:t> 4. faster with repeat use.</a:t>
          </a:r>
          <a:endParaRPr lang="en-US" sz="1100">
            <a:solidFill>
              <a:schemeClr val="dk1"/>
            </a:solidFill>
            <a:latin typeface="+mn-lt"/>
            <a:ea typeface="+mn-ea"/>
            <a:cs typeface="+mn-cs"/>
          </a:endParaRPr>
        </a:p>
        <a:p>
          <a:r>
            <a:rPr lang="en-US" sz="1100" b="1">
              <a:solidFill>
                <a:schemeClr val="dk1"/>
              </a:solidFill>
              <a:latin typeface="+mn-lt"/>
              <a:ea typeface="+mn-ea"/>
              <a:cs typeface="+mn-cs"/>
            </a:rPr>
            <a:t> 5. graphs are created automatically.</a:t>
          </a:r>
          <a:endParaRPr lang="en-US" sz="1100">
            <a:solidFill>
              <a:schemeClr val="dk1"/>
            </a:solidFill>
            <a:latin typeface="+mn-lt"/>
            <a:ea typeface="+mn-ea"/>
            <a:cs typeface="+mn-cs"/>
          </a:endParaRPr>
        </a:p>
        <a:p>
          <a:r>
            <a:rPr lang="en-US" sz="1100" b="1">
              <a:solidFill>
                <a:schemeClr val="dk1"/>
              </a:solidFill>
              <a:latin typeface="+mn-lt"/>
              <a:ea typeface="+mn-ea"/>
              <a:cs typeface="+mn-cs"/>
            </a:rPr>
            <a:t> 6. numerous useful formulas.</a:t>
          </a:r>
          <a:endParaRPr lang="en-US" sz="11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latin typeface="+mn-lt"/>
              <a:ea typeface="+mn-ea"/>
              <a:cs typeface="+mn-cs"/>
            </a:rPr>
            <a:t>7. "Goal Seek" enables optimization.                                                                                                      8. calculations and graphs may be pasted into documents and slide show presentations.</a:t>
          </a:r>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p>
      </xdr:txBody>
    </xdr:sp>
    <xdr:clientData/>
  </xdr:twoCellAnchor>
  <xdr:twoCellAnchor>
    <xdr:from>
      <xdr:col>10</xdr:col>
      <xdr:colOff>25399</xdr:colOff>
      <xdr:row>6</xdr:row>
      <xdr:rowOff>88900</xdr:rowOff>
    </xdr:from>
    <xdr:to>
      <xdr:col>14</xdr:col>
      <xdr:colOff>381000</xdr:colOff>
      <xdr:row>16</xdr:row>
      <xdr:rowOff>66675</xdr:rowOff>
    </xdr:to>
    <xdr:sp macro="" textlink="">
      <xdr:nvSpPr>
        <xdr:cNvPr id="4" name="TextBox 3">
          <a:extLst>
            <a:ext uri="{FF2B5EF4-FFF2-40B4-BE49-F238E27FC236}">
              <a16:creationId xmlns:a16="http://schemas.microsoft.com/office/drawing/2014/main" id="{6265925B-E12F-44B0-B286-D40CC9F507DC}"/>
            </a:ext>
          </a:extLst>
        </xdr:cNvPr>
        <xdr:cNvSpPr txBox="1"/>
      </xdr:nvSpPr>
      <xdr:spPr>
        <a:xfrm>
          <a:off x="5997574" y="1336675"/>
          <a:ext cx="4203701" cy="1892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chemeClr val="dk1"/>
              </a:solidFill>
              <a:effectLst/>
              <a:latin typeface="Arial" panose="020B0604020202020204" pitchFamily="34" charset="0"/>
              <a:ea typeface="+mn-ea"/>
              <a:cs typeface="Arial" panose="020B0604020202020204" pitchFamily="34" charset="0"/>
            </a:rPr>
            <a:t>DISCLAIMER: The materials contained in the online course are not intended as a representation or warranty on the part of John</a:t>
          </a:r>
          <a:r>
            <a:rPr lang="en-US" sz="1200" baseline="0">
              <a:solidFill>
                <a:schemeClr val="dk1"/>
              </a:solidFill>
              <a:effectLst/>
              <a:latin typeface="Arial" panose="020B0604020202020204" pitchFamily="34" charset="0"/>
              <a:ea typeface="+mn-ea"/>
              <a:cs typeface="Arial" panose="020B0604020202020204" pitchFamily="34" charset="0"/>
            </a:rPr>
            <a:t> Andrew LLC</a:t>
          </a:r>
          <a:r>
            <a:rPr lang="en-US" sz="1200">
              <a:solidFill>
                <a:schemeClr val="dk1"/>
              </a:solidFill>
              <a:effectLst/>
              <a:latin typeface="Arial" panose="020B0604020202020204" pitchFamily="34" charset="0"/>
              <a:ea typeface="+mn-ea"/>
              <a:cs typeface="Arial" panose="020B0604020202020204" pitchFamily="34" charset="0"/>
            </a:rPr>
            <a:t> or any other person/organization named herein. The materials are for general information only. They are not a substitute for competent professional advice. Application of this information to a specific project should be reviewed by a registered professional engineer. Anyone making use of the information set forth herein does so at their own risk and assumes any and all resulting liability arising therefrom. </a:t>
          </a:r>
        </a:p>
        <a:p>
          <a:r>
            <a:rPr lang="en-US" sz="1200">
              <a:solidFill>
                <a:schemeClr val="dk1"/>
              </a:solidFill>
              <a:effectLst/>
              <a:latin typeface="Arial" panose="020B0604020202020204" pitchFamily="34" charset="0"/>
              <a:ea typeface="+mn-ea"/>
              <a:cs typeface="Arial" panose="020B0604020202020204" pitchFamily="34" charset="0"/>
            </a:rPr>
            <a:t> </a:t>
          </a:r>
        </a:p>
        <a:p>
          <a:endParaRPr lang="en-US" sz="1100"/>
        </a:p>
      </xdr:txBody>
    </xdr:sp>
    <xdr:clientData/>
  </xdr:twoCellAnchor>
  <xdr:twoCellAnchor editAs="oneCell">
    <xdr:from>
      <xdr:col>7</xdr:col>
      <xdr:colOff>19050</xdr:colOff>
      <xdr:row>52</xdr:row>
      <xdr:rowOff>76200</xdr:rowOff>
    </xdr:from>
    <xdr:to>
      <xdr:col>10</xdr:col>
      <xdr:colOff>409873</xdr:colOff>
      <xdr:row>60</xdr:row>
      <xdr:rowOff>9734</xdr:rowOff>
    </xdr:to>
    <xdr:pic>
      <xdr:nvPicPr>
        <xdr:cNvPr id="9" name="Picture 8">
          <a:extLst>
            <a:ext uri="{FF2B5EF4-FFF2-40B4-BE49-F238E27FC236}">
              <a16:creationId xmlns:a16="http://schemas.microsoft.com/office/drawing/2014/main" id="{696A0BD1-DF32-7149-5076-9DD7E3994B0C}"/>
            </a:ext>
          </a:extLst>
        </xdr:cNvPr>
        <xdr:cNvPicPr>
          <a:picLocks noChangeAspect="1"/>
        </xdr:cNvPicPr>
      </xdr:nvPicPr>
      <xdr:blipFill>
        <a:blip xmlns:r="http://schemas.openxmlformats.org/officeDocument/2006/relationships" r:embed="rId1"/>
        <a:stretch>
          <a:fillRect/>
        </a:stretch>
      </xdr:blipFill>
      <xdr:spPr>
        <a:xfrm>
          <a:off x="4248150" y="10115550"/>
          <a:ext cx="2133898" cy="14956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228600</xdr:colOff>
      <xdr:row>148</xdr:row>
      <xdr:rowOff>152400</xdr:rowOff>
    </xdr:from>
    <xdr:to>
      <xdr:col>8</xdr:col>
      <xdr:colOff>600075</xdr:colOff>
      <xdr:row>155</xdr:row>
      <xdr:rowOff>57150</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457200" y="27813000"/>
          <a:ext cx="4695825" cy="1238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chemeClr val="dk1"/>
              </a:solidFill>
              <a:latin typeface="+mn-lt"/>
              <a:ea typeface="+mn-ea"/>
              <a:cs typeface="+mn-cs"/>
            </a:rPr>
            <a:t>The ASHRAE fundamentals handbook for summer and winter comfort zones</a:t>
          </a:r>
          <a:r>
            <a:rPr lang="en-US" sz="1100" b="1" baseline="0">
              <a:solidFill>
                <a:schemeClr val="dk1"/>
              </a:solidFill>
              <a:latin typeface="+mn-lt"/>
              <a:ea typeface="+mn-ea"/>
              <a:cs typeface="+mn-cs"/>
            </a:rPr>
            <a:t> </a:t>
          </a:r>
          <a:r>
            <a:rPr lang="en-US" sz="1100" b="1">
              <a:solidFill>
                <a:schemeClr val="dk1"/>
              </a:solidFill>
              <a:latin typeface="+mn-lt"/>
              <a:ea typeface="+mn-ea"/>
              <a:cs typeface="+mn-cs"/>
            </a:rPr>
            <a:t>recommended indoor temperature and relative humidity are:</a:t>
          </a:r>
        </a:p>
        <a:p>
          <a:r>
            <a:rPr lang="en-US" sz="1100" b="1">
              <a:solidFill>
                <a:schemeClr val="dk1"/>
              </a:solidFill>
              <a:latin typeface="+mn-lt"/>
              <a:ea typeface="+mn-ea"/>
              <a:cs typeface="+mn-cs"/>
            </a:rPr>
            <a:t>-                                                                                                                                                 1) Summer: 73 to 79°F; The load calculations are usually based at 75ºF dry bulb temperatures &amp; 50% relative humidity                                               -</a:t>
          </a:r>
        </a:p>
        <a:p>
          <a:r>
            <a:rPr lang="en-US" sz="1100" b="1">
              <a:solidFill>
                <a:schemeClr val="dk1"/>
              </a:solidFill>
              <a:latin typeface="+mn-lt"/>
              <a:ea typeface="+mn-ea"/>
              <a:cs typeface="+mn-cs"/>
            </a:rPr>
            <a:t>2) Winter: 70 to 72°F dry bulb temperatures, 20 - 30 % relative humidity.</a:t>
          </a:r>
        </a:p>
        <a:p>
          <a:endParaRPr lang="en-US" sz="1100"/>
        </a:p>
      </xdr:txBody>
    </xdr:sp>
    <xdr:clientData/>
  </xdr:twoCellAnchor>
  <xdr:twoCellAnchor editAs="oneCell">
    <xdr:from>
      <xdr:col>20</xdr:col>
      <xdr:colOff>317500</xdr:colOff>
      <xdr:row>166</xdr:row>
      <xdr:rowOff>127000</xdr:rowOff>
    </xdr:from>
    <xdr:to>
      <xdr:col>32</xdr:col>
      <xdr:colOff>69850</xdr:colOff>
      <xdr:row>193</xdr:row>
      <xdr:rowOff>82550</xdr:rowOff>
    </xdr:to>
    <xdr:pic>
      <xdr:nvPicPr>
        <xdr:cNvPr id="10" name="Picture 9" descr="M196 CHART-1.jpg">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cstate="print"/>
        <a:stretch>
          <a:fillRect/>
        </a:stretch>
      </xdr:blipFill>
      <xdr:spPr>
        <a:xfrm>
          <a:off x="12693650" y="33166050"/>
          <a:ext cx="7067550" cy="5308600"/>
        </a:xfrm>
        <a:prstGeom prst="rect">
          <a:avLst/>
        </a:prstGeom>
      </xdr:spPr>
    </xdr:pic>
    <xdr:clientData/>
  </xdr:twoCellAnchor>
  <xdr:twoCellAnchor editAs="oneCell">
    <xdr:from>
      <xdr:col>0</xdr:col>
      <xdr:colOff>142875</xdr:colOff>
      <xdr:row>173</xdr:row>
      <xdr:rowOff>85725</xdr:rowOff>
    </xdr:from>
    <xdr:to>
      <xdr:col>3</xdr:col>
      <xdr:colOff>209550</xdr:colOff>
      <xdr:row>188</xdr:row>
      <xdr:rowOff>3175</xdr:rowOff>
    </xdr:to>
    <xdr:pic>
      <xdr:nvPicPr>
        <xdr:cNvPr id="18" name="Picture 17" descr="Airflow Room Cooling-1.jpg">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2" cstate="print"/>
        <a:stretch>
          <a:fillRect/>
        </a:stretch>
      </xdr:blipFill>
      <xdr:spPr>
        <a:xfrm>
          <a:off x="142875" y="32404050"/>
          <a:ext cx="1228725" cy="3019425"/>
        </a:xfrm>
        <a:prstGeom prst="rect">
          <a:avLst/>
        </a:prstGeom>
      </xdr:spPr>
    </xdr:pic>
    <xdr:clientData/>
  </xdr:twoCellAnchor>
  <xdr:twoCellAnchor editAs="oneCell">
    <xdr:from>
      <xdr:col>5</xdr:col>
      <xdr:colOff>600075</xdr:colOff>
      <xdr:row>173</xdr:row>
      <xdr:rowOff>107950</xdr:rowOff>
    </xdr:from>
    <xdr:to>
      <xdr:col>7</xdr:col>
      <xdr:colOff>682625</xdr:colOff>
      <xdr:row>188</xdr:row>
      <xdr:rowOff>25400</xdr:rowOff>
    </xdr:to>
    <xdr:pic>
      <xdr:nvPicPr>
        <xdr:cNvPr id="20" name="Picture 19" descr="Airflow Room Cooling-2.jpg">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3" cstate="print"/>
        <a:stretch>
          <a:fillRect/>
        </a:stretch>
      </xdr:blipFill>
      <xdr:spPr>
        <a:xfrm>
          <a:off x="2981325" y="32426275"/>
          <a:ext cx="1254125" cy="3019425"/>
        </a:xfrm>
        <a:prstGeom prst="rect">
          <a:avLst/>
        </a:prstGeom>
      </xdr:spPr>
    </xdr:pic>
    <xdr:clientData/>
  </xdr:twoCellAnchor>
  <xdr:twoCellAnchor editAs="oneCell">
    <xdr:from>
      <xdr:col>2</xdr:col>
      <xdr:colOff>412750</xdr:colOff>
      <xdr:row>254</xdr:row>
      <xdr:rowOff>114300</xdr:rowOff>
    </xdr:from>
    <xdr:to>
      <xdr:col>5</xdr:col>
      <xdr:colOff>41275</xdr:colOff>
      <xdr:row>270</xdr:row>
      <xdr:rowOff>106006</xdr:rowOff>
    </xdr:to>
    <xdr:pic>
      <xdr:nvPicPr>
        <xdr:cNvPr id="24" name="Picture 23" descr="Airflow Room Cooling-3.jpg">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4" cstate="print"/>
        <a:stretch>
          <a:fillRect/>
        </a:stretch>
      </xdr:blipFill>
      <xdr:spPr>
        <a:xfrm>
          <a:off x="1143000" y="50514250"/>
          <a:ext cx="1336675" cy="3160356"/>
        </a:xfrm>
        <a:prstGeom prst="rect">
          <a:avLst/>
        </a:prstGeom>
      </xdr:spPr>
    </xdr:pic>
    <xdr:clientData/>
  </xdr:twoCellAnchor>
  <xdr:twoCellAnchor editAs="oneCell">
    <xdr:from>
      <xdr:col>0</xdr:col>
      <xdr:colOff>114299</xdr:colOff>
      <xdr:row>9</xdr:row>
      <xdr:rowOff>88901</xdr:rowOff>
    </xdr:from>
    <xdr:to>
      <xdr:col>10</xdr:col>
      <xdr:colOff>207568</xdr:colOff>
      <xdr:row>31</xdr:row>
      <xdr:rowOff>152401</xdr:rowOff>
    </xdr:to>
    <xdr:pic>
      <xdr:nvPicPr>
        <xdr:cNvPr id="21" name="Picture 20" descr="VENMAR-1.jpg">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5" cstate="print"/>
        <a:stretch>
          <a:fillRect/>
        </a:stretch>
      </xdr:blipFill>
      <xdr:spPr>
        <a:xfrm>
          <a:off x="114299" y="1930401"/>
          <a:ext cx="6214669" cy="4451350"/>
        </a:xfrm>
        <a:prstGeom prst="rect">
          <a:avLst/>
        </a:prstGeom>
      </xdr:spPr>
    </xdr:pic>
    <xdr:clientData/>
  </xdr:twoCellAnchor>
  <xdr:twoCellAnchor editAs="oneCell">
    <xdr:from>
      <xdr:col>1</xdr:col>
      <xdr:colOff>400050</xdr:colOff>
      <xdr:row>34</xdr:row>
      <xdr:rowOff>133350</xdr:rowOff>
    </xdr:from>
    <xdr:to>
      <xdr:col>5</xdr:col>
      <xdr:colOff>571500</xdr:colOff>
      <xdr:row>43</xdr:row>
      <xdr:rowOff>184150</xdr:rowOff>
    </xdr:to>
    <xdr:pic>
      <xdr:nvPicPr>
        <xdr:cNvPr id="27" name="Picture 26" descr="VENMAR-2.jpg">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6" cstate="print"/>
        <a:stretch>
          <a:fillRect/>
        </a:stretch>
      </xdr:blipFill>
      <xdr:spPr>
        <a:xfrm>
          <a:off x="628650" y="5915025"/>
          <a:ext cx="2324100" cy="1914525"/>
        </a:xfrm>
        <a:prstGeom prst="rect">
          <a:avLst/>
        </a:prstGeom>
      </xdr:spPr>
    </xdr:pic>
    <xdr:clientData/>
  </xdr:twoCellAnchor>
  <xdr:twoCellAnchor editAs="oneCell">
    <xdr:from>
      <xdr:col>1</xdr:col>
      <xdr:colOff>152400</xdr:colOff>
      <xdr:row>50</xdr:row>
      <xdr:rowOff>66675</xdr:rowOff>
    </xdr:from>
    <xdr:to>
      <xdr:col>9</xdr:col>
      <xdr:colOff>266700</xdr:colOff>
      <xdr:row>70</xdr:row>
      <xdr:rowOff>9525</xdr:rowOff>
    </xdr:to>
    <xdr:pic>
      <xdr:nvPicPr>
        <xdr:cNvPr id="28" name="Picture 27" descr="VENMAR-3.jpg">
          <a:extLst>
            <a:ext uri="{FF2B5EF4-FFF2-40B4-BE49-F238E27FC236}">
              <a16:creationId xmlns:a16="http://schemas.microsoft.com/office/drawing/2014/main" id="{00000000-0008-0000-0100-00001C000000}"/>
            </a:ext>
          </a:extLst>
        </xdr:cNvPr>
        <xdr:cNvPicPr>
          <a:picLocks noChangeAspect="1"/>
        </xdr:cNvPicPr>
      </xdr:nvPicPr>
      <xdr:blipFill>
        <a:blip xmlns:r="http://schemas.openxmlformats.org/officeDocument/2006/relationships" r:embed="rId7" cstate="print"/>
        <a:stretch>
          <a:fillRect/>
        </a:stretch>
      </xdr:blipFill>
      <xdr:spPr>
        <a:xfrm>
          <a:off x="393700" y="10239375"/>
          <a:ext cx="5384800" cy="3879850"/>
        </a:xfrm>
        <a:prstGeom prst="rect">
          <a:avLst/>
        </a:prstGeom>
      </xdr:spPr>
    </xdr:pic>
    <xdr:clientData/>
  </xdr:twoCellAnchor>
  <xdr:twoCellAnchor editAs="oneCell">
    <xdr:from>
      <xdr:col>1</xdr:col>
      <xdr:colOff>323850</xdr:colOff>
      <xdr:row>69</xdr:row>
      <xdr:rowOff>171450</xdr:rowOff>
    </xdr:from>
    <xdr:to>
      <xdr:col>4</xdr:col>
      <xdr:colOff>9525</xdr:colOff>
      <xdr:row>84</xdr:row>
      <xdr:rowOff>130175</xdr:rowOff>
    </xdr:to>
    <xdr:pic>
      <xdr:nvPicPr>
        <xdr:cNvPr id="32" name="Picture 31" descr="VENMAR-4.jpg">
          <a:extLst>
            <a:ext uri="{FF2B5EF4-FFF2-40B4-BE49-F238E27FC236}">
              <a16:creationId xmlns:a16="http://schemas.microsoft.com/office/drawing/2014/main" id="{00000000-0008-0000-0100-000020000000}"/>
            </a:ext>
          </a:extLst>
        </xdr:cNvPr>
        <xdr:cNvPicPr>
          <a:picLocks noChangeAspect="1"/>
        </xdr:cNvPicPr>
      </xdr:nvPicPr>
      <xdr:blipFill>
        <a:blip xmlns:r="http://schemas.openxmlformats.org/officeDocument/2006/relationships" r:embed="rId8" cstate="print"/>
        <a:stretch>
          <a:fillRect/>
        </a:stretch>
      </xdr:blipFill>
      <xdr:spPr>
        <a:xfrm>
          <a:off x="552450" y="19211925"/>
          <a:ext cx="1228725" cy="3038475"/>
        </a:xfrm>
        <a:prstGeom prst="rect">
          <a:avLst/>
        </a:prstGeom>
      </xdr:spPr>
    </xdr:pic>
    <xdr:clientData/>
  </xdr:twoCellAnchor>
  <xdr:twoCellAnchor editAs="oneCell">
    <xdr:from>
      <xdr:col>1</xdr:col>
      <xdr:colOff>66675</xdr:colOff>
      <xdr:row>87</xdr:row>
      <xdr:rowOff>104775</xdr:rowOff>
    </xdr:from>
    <xdr:to>
      <xdr:col>6</xdr:col>
      <xdr:colOff>209550</xdr:colOff>
      <xdr:row>93</xdr:row>
      <xdr:rowOff>38100</xdr:rowOff>
    </xdr:to>
    <xdr:pic>
      <xdr:nvPicPr>
        <xdr:cNvPr id="33" name="Picture 32" descr="VENMAR-5.jpg">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9" cstate="print"/>
        <a:stretch>
          <a:fillRect/>
        </a:stretch>
      </xdr:blipFill>
      <xdr:spPr>
        <a:xfrm>
          <a:off x="295275" y="22545675"/>
          <a:ext cx="2905125" cy="1152525"/>
        </a:xfrm>
        <a:prstGeom prst="rect">
          <a:avLst/>
        </a:prstGeom>
      </xdr:spPr>
    </xdr:pic>
    <xdr:clientData/>
  </xdr:twoCellAnchor>
  <xdr:twoCellAnchor editAs="oneCell">
    <xdr:from>
      <xdr:col>1</xdr:col>
      <xdr:colOff>374650</xdr:colOff>
      <xdr:row>96</xdr:row>
      <xdr:rowOff>25400</xdr:rowOff>
    </xdr:from>
    <xdr:to>
      <xdr:col>11</xdr:col>
      <xdr:colOff>184150</xdr:colOff>
      <xdr:row>117</xdr:row>
      <xdr:rowOff>9525</xdr:rowOff>
    </xdr:to>
    <xdr:pic>
      <xdr:nvPicPr>
        <xdr:cNvPr id="37" name="Picture 36" descr="VENMAR-6.jpg">
          <a:extLst>
            <a:ext uri="{FF2B5EF4-FFF2-40B4-BE49-F238E27FC236}">
              <a16:creationId xmlns:a16="http://schemas.microsoft.com/office/drawing/2014/main" id="{00000000-0008-0000-0100-000025000000}"/>
            </a:ext>
          </a:extLst>
        </xdr:cNvPr>
        <xdr:cNvPicPr>
          <a:picLocks noChangeAspect="1"/>
        </xdr:cNvPicPr>
      </xdr:nvPicPr>
      <xdr:blipFill>
        <a:blip xmlns:r="http://schemas.openxmlformats.org/officeDocument/2006/relationships" r:embed="rId10" cstate="print"/>
        <a:stretch>
          <a:fillRect/>
        </a:stretch>
      </xdr:blipFill>
      <xdr:spPr>
        <a:xfrm>
          <a:off x="615950" y="19278600"/>
          <a:ext cx="5949950" cy="4117975"/>
        </a:xfrm>
        <a:prstGeom prst="rect">
          <a:avLst/>
        </a:prstGeom>
      </xdr:spPr>
    </xdr:pic>
    <xdr:clientData/>
  </xdr:twoCellAnchor>
  <xdr:twoCellAnchor editAs="oneCell">
    <xdr:from>
      <xdr:col>1</xdr:col>
      <xdr:colOff>361950</xdr:colOff>
      <xdr:row>360</xdr:row>
      <xdr:rowOff>133350</xdr:rowOff>
    </xdr:from>
    <xdr:to>
      <xdr:col>8</xdr:col>
      <xdr:colOff>571500</xdr:colOff>
      <xdr:row>378</xdr:row>
      <xdr:rowOff>88900</xdr:rowOff>
    </xdr:to>
    <xdr:pic>
      <xdr:nvPicPr>
        <xdr:cNvPr id="34" name="Picture 33" descr="1 CHART SLOPES.jpg">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11" cstate="print"/>
        <a:stretch>
          <a:fillRect/>
        </a:stretch>
      </xdr:blipFill>
      <xdr:spPr>
        <a:xfrm>
          <a:off x="590550" y="66675000"/>
          <a:ext cx="4533900" cy="3619500"/>
        </a:xfrm>
        <a:prstGeom prst="rect">
          <a:avLst/>
        </a:prstGeom>
      </xdr:spPr>
    </xdr:pic>
    <xdr:clientData/>
  </xdr:twoCellAnchor>
  <xdr:twoCellAnchor editAs="oneCell">
    <xdr:from>
      <xdr:col>1</xdr:col>
      <xdr:colOff>400050</xdr:colOff>
      <xdr:row>121</xdr:row>
      <xdr:rowOff>152400</xdr:rowOff>
    </xdr:from>
    <xdr:to>
      <xdr:col>11</xdr:col>
      <xdr:colOff>276225</xdr:colOff>
      <xdr:row>140</xdr:row>
      <xdr:rowOff>0</xdr:rowOff>
    </xdr:to>
    <xdr:pic>
      <xdr:nvPicPr>
        <xdr:cNvPr id="38" name="Picture 37" descr="floor plan-4.jpg">
          <a:extLst>
            <a:ext uri="{FF2B5EF4-FFF2-40B4-BE49-F238E27FC236}">
              <a16:creationId xmlns:a16="http://schemas.microsoft.com/office/drawing/2014/main" id="{00000000-0008-0000-0100-000026000000}"/>
            </a:ext>
          </a:extLst>
        </xdr:cNvPr>
        <xdr:cNvPicPr>
          <a:picLocks noChangeAspect="1"/>
        </xdr:cNvPicPr>
      </xdr:nvPicPr>
      <xdr:blipFill>
        <a:blip xmlns:r="http://schemas.openxmlformats.org/officeDocument/2006/relationships" r:embed="rId12" cstate="print"/>
        <a:stretch>
          <a:fillRect/>
        </a:stretch>
      </xdr:blipFill>
      <xdr:spPr>
        <a:xfrm>
          <a:off x="641350" y="24326850"/>
          <a:ext cx="6016625" cy="3587750"/>
        </a:xfrm>
        <a:prstGeom prst="rect">
          <a:avLst/>
        </a:prstGeom>
      </xdr:spPr>
    </xdr:pic>
    <xdr:clientData/>
  </xdr:twoCellAnchor>
  <xdr:twoCellAnchor editAs="oneCell">
    <xdr:from>
      <xdr:col>1</xdr:col>
      <xdr:colOff>381000</xdr:colOff>
      <xdr:row>194</xdr:row>
      <xdr:rowOff>139700</xdr:rowOff>
    </xdr:from>
    <xdr:to>
      <xdr:col>14</xdr:col>
      <xdr:colOff>567066</xdr:colOff>
      <xdr:row>230</xdr:row>
      <xdr:rowOff>31750</xdr:rowOff>
    </xdr:to>
    <xdr:pic>
      <xdr:nvPicPr>
        <xdr:cNvPr id="39" name="Picture 38" descr="airflow room cooling-chart-abc-4.jpg">
          <a:extLst>
            <a:ext uri="{FF2B5EF4-FFF2-40B4-BE49-F238E27FC236}">
              <a16:creationId xmlns:a16="http://schemas.microsoft.com/office/drawing/2014/main" id="{00000000-0008-0000-0100-000027000000}"/>
            </a:ext>
          </a:extLst>
        </xdr:cNvPr>
        <xdr:cNvPicPr>
          <a:picLocks noChangeAspect="1"/>
        </xdr:cNvPicPr>
      </xdr:nvPicPr>
      <xdr:blipFill>
        <a:blip xmlns:r="http://schemas.openxmlformats.org/officeDocument/2006/relationships" r:embed="rId13" cstate="print"/>
        <a:stretch>
          <a:fillRect/>
        </a:stretch>
      </xdr:blipFill>
      <xdr:spPr>
        <a:xfrm>
          <a:off x="622300" y="38728650"/>
          <a:ext cx="8104516" cy="6978650"/>
        </a:xfrm>
        <a:prstGeom prst="rect">
          <a:avLst/>
        </a:prstGeom>
      </xdr:spPr>
    </xdr:pic>
    <xdr:clientData/>
  </xdr:twoCellAnchor>
  <xdr:twoCellAnchor>
    <xdr:from>
      <xdr:col>7</xdr:col>
      <xdr:colOff>790575</xdr:colOff>
      <xdr:row>169</xdr:row>
      <xdr:rowOff>142875</xdr:rowOff>
    </xdr:from>
    <xdr:to>
      <xdr:col>9</xdr:col>
      <xdr:colOff>390525</xdr:colOff>
      <xdr:row>173</xdr:row>
      <xdr:rowOff>180975</xdr:rowOff>
    </xdr:to>
    <xdr:sp macro="" textlink="">
      <xdr:nvSpPr>
        <xdr:cNvPr id="43" name="TextBox 42">
          <a:extLst>
            <a:ext uri="{FF2B5EF4-FFF2-40B4-BE49-F238E27FC236}">
              <a16:creationId xmlns:a16="http://schemas.microsoft.com/office/drawing/2014/main" id="{00000000-0008-0000-0100-00002B000000}"/>
            </a:ext>
          </a:extLst>
        </xdr:cNvPr>
        <xdr:cNvSpPr txBox="1"/>
      </xdr:nvSpPr>
      <xdr:spPr>
        <a:xfrm>
          <a:off x="4391025" y="31594425"/>
          <a:ext cx="1209675"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solidFill>
                <a:srgbClr val="FF0000"/>
              </a:solidFill>
            </a:rPr>
            <a:t>Input</a:t>
          </a:r>
          <a:r>
            <a:rPr lang="en-US" sz="1100">
              <a:solidFill>
                <a:srgbClr val="FF0000"/>
              </a:solidFill>
            </a:rPr>
            <a:t> </a:t>
          </a:r>
          <a:r>
            <a:rPr lang="en-US" sz="1100"/>
            <a:t>values from Venmar Chart software</a:t>
          </a:r>
          <a:r>
            <a:rPr lang="en-US" sz="1100" baseline="0"/>
            <a:t> as described above.</a:t>
          </a:r>
          <a:endParaRPr lang="en-US" sz="1100"/>
        </a:p>
      </xdr:txBody>
    </xdr:sp>
    <xdr:clientData/>
  </xdr:twoCellAnchor>
  <xdr:twoCellAnchor>
    <xdr:from>
      <xdr:col>7</xdr:col>
      <xdr:colOff>971550</xdr:colOff>
      <xdr:row>254</xdr:row>
      <xdr:rowOff>0</xdr:rowOff>
    </xdr:from>
    <xdr:to>
      <xdr:col>9</xdr:col>
      <xdr:colOff>571500</xdr:colOff>
      <xdr:row>258</xdr:row>
      <xdr:rowOff>19050</xdr:rowOff>
    </xdr:to>
    <xdr:sp macro="" textlink="">
      <xdr:nvSpPr>
        <xdr:cNvPr id="44" name="TextBox 43">
          <a:extLst>
            <a:ext uri="{FF2B5EF4-FFF2-40B4-BE49-F238E27FC236}">
              <a16:creationId xmlns:a16="http://schemas.microsoft.com/office/drawing/2014/main" id="{00000000-0008-0000-0100-00002C000000}"/>
            </a:ext>
          </a:extLst>
        </xdr:cNvPr>
        <xdr:cNvSpPr txBox="1"/>
      </xdr:nvSpPr>
      <xdr:spPr>
        <a:xfrm>
          <a:off x="4572000" y="46062900"/>
          <a:ext cx="1209675"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solidFill>
                <a:srgbClr val="FF0000"/>
              </a:solidFill>
            </a:rPr>
            <a:t>Input</a:t>
          </a:r>
          <a:r>
            <a:rPr lang="en-US" sz="1100">
              <a:solidFill>
                <a:srgbClr val="FF0000"/>
              </a:solidFill>
            </a:rPr>
            <a:t> </a:t>
          </a:r>
          <a:r>
            <a:rPr lang="en-US" sz="1100"/>
            <a:t>values from Venmar Chart software</a:t>
          </a:r>
          <a:r>
            <a:rPr lang="en-US" sz="1100" baseline="0"/>
            <a:t> as described above.</a:t>
          </a:r>
          <a:endParaRPr lang="en-US" sz="1100"/>
        </a:p>
      </xdr:txBody>
    </xdr:sp>
    <xdr:clientData/>
  </xdr:twoCellAnchor>
  <xdr:twoCellAnchor editAs="oneCell">
    <xdr:from>
      <xdr:col>11</xdr:col>
      <xdr:colOff>361950</xdr:colOff>
      <xdr:row>360</xdr:row>
      <xdr:rowOff>133350</xdr:rowOff>
    </xdr:from>
    <xdr:to>
      <xdr:col>18</xdr:col>
      <xdr:colOff>504825</xdr:colOff>
      <xdr:row>378</xdr:row>
      <xdr:rowOff>88900</xdr:rowOff>
    </xdr:to>
    <xdr:pic>
      <xdr:nvPicPr>
        <xdr:cNvPr id="52" name="Picture 51" descr="1 CHART SLOPES.jpg">
          <a:extLst>
            <a:ext uri="{FF2B5EF4-FFF2-40B4-BE49-F238E27FC236}">
              <a16:creationId xmlns:a16="http://schemas.microsoft.com/office/drawing/2014/main" id="{00000000-0008-0000-0100-000034000000}"/>
            </a:ext>
          </a:extLst>
        </xdr:cNvPr>
        <xdr:cNvPicPr>
          <a:picLocks noChangeAspect="1"/>
        </xdr:cNvPicPr>
      </xdr:nvPicPr>
      <xdr:blipFill>
        <a:blip xmlns:r="http://schemas.openxmlformats.org/officeDocument/2006/relationships" r:embed="rId11" cstate="print"/>
        <a:stretch>
          <a:fillRect/>
        </a:stretch>
      </xdr:blipFill>
      <xdr:spPr>
        <a:xfrm>
          <a:off x="590550" y="66513075"/>
          <a:ext cx="4533900" cy="3619500"/>
        </a:xfrm>
        <a:prstGeom prst="rect">
          <a:avLst/>
        </a:prstGeom>
      </xdr:spPr>
    </xdr:pic>
    <xdr:clientData/>
  </xdr:twoCellAnchor>
  <xdr:twoCellAnchor>
    <xdr:from>
      <xdr:col>17</xdr:col>
      <xdr:colOff>800100</xdr:colOff>
      <xdr:row>169</xdr:row>
      <xdr:rowOff>114300</xdr:rowOff>
    </xdr:from>
    <xdr:to>
      <xdr:col>19</xdr:col>
      <xdr:colOff>400050</xdr:colOff>
      <xdr:row>173</xdr:row>
      <xdr:rowOff>152400</xdr:rowOff>
    </xdr:to>
    <xdr:sp macro="" textlink="">
      <xdr:nvSpPr>
        <xdr:cNvPr id="54" name="TextBox 53">
          <a:extLst>
            <a:ext uri="{FF2B5EF4-FFF2-40B4-BE49-F238E27FC236}">
              <a16:creationId xmlns:a16="http://schemas.microsoft.com/office/drawing/2014/main" id="{00000000-0008-0000-0100-000036000000}"/>
            </a:ext>
          </a:extLst>
        </xdr:cNvPr>
        <xdr:cNvSpPr txBox="1"/>
      </xdr:nvSpPr>
      <xdr:spPr>
        <a:xfrm>
          <a:off x="10582275" y="31870650"/>
          <a:ext cx="1295400"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solidFill>
                <a:srgbClr val="FF0000"/>
              </a:solidFill>
            </a:rPr>
            <a:t>Input</a:t>
          </a:r>
          <a:r>
            <a:rPr lang="en-US" sz="1100">
              <a:solidFill>
                <a:srgbClr val="FF0000"/>
              </a:solidFill>
            </a:rPr>
            <a:t> </a:t>
          </a:r>
          <a:r>
            <a:rPr lang="en-US" sz="1100"/>
            <a:t>values from Venmar Chart software</a:t>
          </a:r>
          <a:r>
            <a:rPr lang="en-US" sz="1100" baseline="0"/>
            <a:t> as described above.</a:t>
          </a:r>
          <a:endParaRPr lang="en-US" sz="1100"/>
        </a:p>
      </xdr:txBody>
    </xdr:sp>
    <xdr:clientData/>
  </xdr:twoCellAnchor>
  <xdr:twoCellAnchor>
    <xdr:from>
      <xdr:col>17</xdr:col>
      <xdr:colOff>971550</xdr:colOff>
      <xdr:row>254</xdr:row>
      <xdr:rowOff>0</xdr:rowOff>
    </xdr:from>
    <xdr:to>
      <xdr:col>19</xdr:col>
      <xdr:colOff>571500</xdr:colOff>
      <xdr:row>258</xdr:row>
      <xdr:rowOff>19050</xdr:rowOff>
    </xdr:to>
    <xdr:sp macro="" textlink="">
      <xdr:nvSpPr>
        <xdr:cNvPr id="55" name="TextBox 54">
          <a:extLst>
            <a:ext uri="{FF2B5EF4-FFF2-40B4-BE49-F238E27FC236}">
              <a16:creationId xmlns:a16="http://schemas.microsoft.com/office/drawing/2014/main" id="{00000000-0008-0000-0100-000037000000}"/>
            </a:ext>
          </a:extLst>
        </xdr:cNvPr>
        <xdr:cNvSpPr txBox="1"/>
      </xdr:nvSpPr>
      <xdr:spPr>
        <a:xfrm>
          <a:off x="4572000" y="46158150"/>
          <a:ext cx="1209675"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solidFill>
                <a:srgbClr val="FF0000"/>
              </a:solidFill>
            </a:rPr>
            <a:t>Input</a:t>
          </a:r>
          <a:r>
            <a:rPr lang="en-US" sz="1100">
              <a:solidFill>
                <a:srgbClr val="FF0000"/>
              </a:solidFill>
            </a:rPr>
            <a:t> </a:t>
          </a:r>
          <a:r>
            <a:rPr lang="en-US" sz="1100"/>
            <a:t>values from Venmar Chart software</a:t>
          </a:r>
          <a:r>
            <a:rPr lang="en-US" sz="1100" baseline="0"/>
            <a:t> as described above.</a:t>
          </a:r>
          <a:endParaRPr lang="en-US" sz="1100"/>
        </a:p>
      </xdr:txBody>
    </xdr:sp>
    <xdr:clientData/>
  </xdr:twoCellAnchor>
  <xdr:twoCellAnchor editAs="oneCell">
    <xdr:from>
      <xdr:col>16</xdr:col>
      <xdr:colOff>133350</xdr:colOff>
      <xdr:row>194</xdr:row>
      <xdr:rowOff>120650</xdr:rowOff>
    </xdr:from>
    <xdr:to>
      <xdr:col>30</xdr:col>
      <xdr:colOff>22362</xdr:colOff>
      <xdr:row>230</xdr:row>
      <xdr:rowOff>12700</xdr:rowOff>
    </xdr:to>
    <xdr:pic>
      <xdr:nvPicPr>
        <xdr:cNvPr id="56" name="Picture 55" descr="Airflow Room Cooling-CHART-BLANK.jpg">
          <a:extLst>
            <a:ext uri="{FF2B5EF4-FFF2-40B4-BE49-F238E27FC236}">
              <a16:creationId xmlns:a16="http://schemas.microsoft.com/office/drawing/2014/main" id="{00000000-0008-0000-0100-000038000000}"/>
            </a:ext>
          </a:extLst>
        </xdr:cNvPr>
        <xdr:cNvPicPr>
          <a:picLocks noChangeAspect="1"/>
        </xdr:cNvPicPr>
      </xdr:nvPicPr>
      <xdr:blipFill>
        <a:blip xmlns:r="http://schemas.openxmlformats.org/officeDocument/2006/relationships" r:embed="rId14" cstate="print"/>
        <a:stretch>
          <a:fillRect/>
        </a:stretch>
      </xdr:blipFill>
      <xdr:spPr>
        <a:xfrm>
          <a:off x="9512300" y="38709600"/>
          <a:ext cx="8982212" cy="6978650"/>
        </a:xfrm>
        <a:prstGeom prst="rect">
          <a:avLst/>
        </a:prstGeom>
      </xdr:spPr>
    </xdr:pic>
    <xdr:clientData/>
  </xdr:twoCellAnchor>
  <xdr:twoCellAnchor editAs="oneCell">
    <xdr:from>
      <xdr:col>2</xdr:col>
      <xdr:colOff>304800</xdr:colOff>
      <xdr:row>276</xdr:row>
      <xdr:rowOff>180975</xdr:rowOff>
    </xdr:from>
    <xdr:to>
      <xdr:col>4</xdr:col>
      <xdr:colOff>600075</xdr:colOff>
      <xdr:row>293</xdr:row>
      <xdr:rowOff>5778</xdr:rowOff>
    </xdr:to>
    <xdr:pic>
      <xdr:nvPicPr>
        <xdr:cNvPr id="26" name="Picture 25" descr="Airflow Room Cooling-D.jpg">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15" cstate="print"/>
        <a:stretch>
          <a:fillRect/>
        </a:stretch>
      </xdr:blipFill>
      <xdr:spPr>
        <a:xfrm>
          <a:off x="1035050" y="54943375"/>
          <a:ext cx="1393825" cy="3215703"/>
        </a:xfrm>
        <a:prstGeom prst="rect">
          <a:avLst/>
        </a:prstGeom>
      </xdr:spPr>
    </xdr:pic>
    <xdr:clientData/>
  </xdr:twoCellAnchor>
  <xdr:twoCellAnchor editAs="oneCell">
    <xdr:from>
      <xdr:col>2</xdr:col>
      <xdr:colOff>311150</xdr:colOff>
      <xdr:row>311</xdr:row>
      <xdr:rowOff>28574</xdr:rowOff>
    </xdr:from>
    <xdr:to>
      <xdr:col>4</xdr:col>
      <xdr:colOff>581025</xdr:colOff>
      <xdr:row>327</xdr:row>
      <xdr:rowOff>11051</xdr:rowOff>
    </xdr:to>
    <xdr:pic>
      <xdr:nvPicPr>
        <xdr:cNvPr id="29" name="Picture 28" descr="Airflow Room Cooling-E.jpg">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16" cstate="print"/>
        <a:stretch>
          <a:fillRect/>
        </a:stretch>
      </xdr:blipFill>
      <xdr:spPr>
        <a:xfrm>
          <a:off x="1041400" y="61737874"/>
          <a:ext cx="1368425" cy="3163827"/>
        </a:xfrm>
        <a:prstGeom prst="rect">
          <a:avLst/>
        </a:prstGeom>
      </xdr:spPr>
    </xdr:pic>
    <xdr:clientData/>
  </xdr:twoCellAnchor>
  <xdr:twoCellAnchor editAs="oneCell">
    <xdr:from>
      <xdr:col>11</xdr:col>
      <xdr:colOff>552450</xdr:colOff>
      <xdr:row>311</xdr:row>
      <xdr:rowOff>19050</xdr:rowOff>
    </xdr:from>
    <xdr:to>
      <xdr:col>14</xdr:col>
      <xdr:colOff>161925</xdr:colOff>
      <xdr:row>327</xdr:row>
      <xdr:rowOff>20526</xdr:rowOff>
    </xdr:to>
    <xdr:pic>
      <xdr:nvPicPr>
        <xdr:cNvPr id="30" name="Picture 29" descr="Airflow Room Cooling-D-QUIZ-6.jpg">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17" cstate="print"/>
        <a:stretch>
          <a:fillRect/>
        </a:stretch>
      </xdr:blipFill>
      <xdr:spPr>
        <a:xfrm>
          <a:off x="6934200" y="61728350"/>
          <a:ext cx="1387475" cy="3182826"/>
        </a:xfrm>
        <a:prstGeom prst="rect">
          <a:avLst/>
        </a:prstGeom>
      </xdr:spPr>
    </xdr:pic>
    <xdr:clientData/>
  </xdr:twoCellAnchor>
  <xdr:twoCellAnchor>
    <xdr:from>
      <xdr:col>12</xdr:col>
      <xdr:colOff>114300</xdr:colOff>
      <xdr:row>50</xdr:row>
      <xdr:rowOff>190498</xdr:rowOff>
    </xdr:from>
    <xdr:to>
      <xdr:col>17</xdr:col>
      <xdr:colOff>781050</xdr:colOff>
      <xdr:row>73</xdr:row>
      <xdr:rowOff>76200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7105650" y="10363198"/>
          <a:ext cx="3663950" cy="44132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200" b="1">
            <a:solidFill>
              <a:schemeClr val="dk1"/>
            </a:solidFill>
            <a:effectLst/>
            <a:latin typeface="Arial" panose="020B0604020202020204" pitchFamily="34" charset="0"/>
            <a:ea typeface="+mn-ea"/>
            <a:cs typeface="Arial" panose="020B0604020202020204" pitchFamily="34" charset="0"/>
          </a:endParaRPr>
        </a:p>
        <a:p>
          <a:r>
            <a:rPr lang="en-US" sz="1200" b="1">
              <a:solidFill>
                <a:schemeClr val="dk1"/>
              </a:solidFill>
              <a:effectLst/>
              <a:latin typeface="Arial" panose="020B0604020202020204" pitchFamily="34" charset="0"/>
              <a:ea typeface="+mn-ea"/>
              <a:cs typeface="Arial" panose="020B0604020202020204" pitchFamily="34" charset="0"/>
            </a:rPr>
            <a:t>STANDARD EDITION  </a:t>
          </a:r>
          <a:r>
            <a:rPr lang="en-US" sz="1200">
              <a:solidFill>
                <a:schemeClr val="dk1"/>
              </a:solidFill>
              <a:effectLst/>
              <a:latin typeface="Arial" panose="020B0604020202020204" pitchFamily="34" charset="0"/>
              <a:ea typeface="+mn-ea"/>
              <a:cs typeface="Arial" panose="020B0604020202020204" pitchFamily="34" charset="0"/>
            </a:rPr>
            <a:t> </a:t>
          </a:r>
          <a:br>
            <a:rPr lang="en-US" sz="1200">
              <a:solidFill>
                <a:schemeClr val="dk1"/>
              </a:solidFill>
              <a:effectLst/>
              <a:latin typeface="Arial" panose="020B0604020202020204" pitchFamily="34" charset="0"/>
              <a:ea typeface="+mn-ea"/>
              <a:cs typeface="Arial" panose="020B0604020202020204" pitchFamily="34" charset="0"/>
            </a:rPr>
          </a:br>
          <a:endParaRPr lang="en-US" sz="1200">
            <a:solidFill>
              <a:schemeClr val="dk1"/>
            </a:solidFill>
            <a:effectLst/>
            <a:latin typeface="Arial" panose="020B0604020202020204" pitchFamily="34" charset="0"/>
            <a:ea typeface="+mn-ea"/>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The VenmarCES Psychrometric Chart and Analysis STANDARD EDITION is FREE for download for you without any distribution or pc installation limits. </a:t>
          </a:r>
        </a:p>
        <a:p>
          <a:endParaRPr lang="en-US" sz="1200">
            <a:solidFill>
              <a:schemeClr val="dk1"/>
            </a:solidFill>
            <a:effectLst/>
            <a:latin typeface="Arial" panose="020B0604020202020204" pitchFamily="34" charset="0"/>
            <a:ea typeface="+mn-ea"/>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The program utilizes the classic VenmarCES Psychrometric Chart and allows for plotting of state points, cooling coil process modeling and connection of any two state points desired.</a:t>
          </a:r>
          <a:endParaRPr lang="en-US" sz="1200">
            <a:effectLst/>
            <a:latin typeface="Arial" panose="020B0604020202020204" pitchFamily="34" charset="0"/>
            <a:cs typeface="Arial" panose="020B0604020202020204" pitchFamily="34" charset="0"/>
          </a:endParaRPr>
        </a:p>
        <a:p>
          <a:r>
            <a:rPr lang="en-US" sz="1200">
              <a:effectLst/>
              <a:latin typeface="Arial" panose="020B0604020202020204" pitchFamily="34" charset="0"/>
              <a:cs typeface="Arial" panose="020B0604020202020204" pitchFamily="34" charset="0"/>
            </a:rPr>
            <a:t> </a:t>
          </a:r>
        </a:p>
        <a:p>
          <a:r>
            <a:rPr lang="en-US" sz="1200">
              <a:solidFill>
                <a:schemeClr val="dk1"/>
              </a:solidFill>
              <a:effectLst/>
              <a:latin typeface="Arial" panose="020B0604020202020204" pitchFamily="34" charset="0"/>
              <a:ea typeface="+mn-ea"/>
              <a:cs typeface="Arial" panose="020B0604020202020204" pitchFamily="34" charset="0"/>
            </a:rPr>
            <a:t>Venmare CES HDPsyChart operates on any PC with Windows 2000, XP, Vista or Windows-7 operating systems. </a:t>
          </a:r>
        </a:p>
        <a:p>
          <a:endParaRPr lang="en-US" sz="1200">
            <a:solidFill>
              <a:schemeClr val="dk1"/>
            </a:solidFill>
            <a:effectLst/>
            <a:latin typeface="Arial" panose="020B0604020202020204" pitchFamily="34" charset="0"/>
            <a:ea typeface="+mn-ea"/>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Operation of the program is simple point and click, providing an easy-to-use program performing high level detailed process energy and psychrometric analysis. </a:t>
          </a:r>
        </a:p>
        <a:p>
          <a:endParaRPr lang="en-US" sz="1200">
            <a:effectLst/>
            <a:latin typeface="Arial" panose="020B0604020202020204" pitchFamily="34" charset="0"/>
            <a:cs typeface="Arial" panose="020B0604020202020204" pitchFamily="34" charset="0"/>
          </a:endParaRPr>
        </a:p>
        <a:p>
          <a:r>
            <a:rPr lang="en-US" sz="1200" b="1" i="0" u="sng" strike="noStrike">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http://www.handsdownsoftware.com/Downloads.htm</a:t>
          </a:r>
          <a:r>
            <a:rPr lang="en-US" sz="1200">
              <a:latin typeface="Arial" panose="020B0604020202020204" pitchFamily="34" charset="0"/>
              <a:cs typeface="Arial" panose="020B0604020202020204" pitchFamily="34" charset="0"/>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88900</xdr:colOff>
      <xdr:row>3</xdr:row>
      <xdr:rowOff>28575</xdr:rowOff>
    </xdr:from>
    <xdr:to>
      <xdr:col>7</xdr:col>
      <xdr:colOff>342900</xdr:colOff>
      <xdr:row>34</xdr:row>
      <xdr:rowOff>161926</xdr:rowOff>
    </xdr:to>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384175" y="676275"/>
          <a:ext cx="4816475" cy="61436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200" b="1">
            <a:solidFill>
              <a:schemeClr val="dk1"/>
            </a:solidFill>
            <a:latin typeface="Arial" panose="020B0604020202020204" pitchFamily="34" charset="0"/>
            <a:ea typeface="+mn-ea"/>
            <a:cs typeface="Arial" panose="020B0604020202020204" pitchFamily="34" charset="0"/>
          </a:endParaRPr>
        </a:p>
        <a:p>
          <a:r>
            <a:rPr lang="en-US" sz="1200" b="1">
              <a:solidFill>
                <a:schemeClr val="dk1"/>
              </a:solidFill>
              <a:latin typeface="Arial" panose="020B0604020202020204" pitchFamily="34" charset="0"/>
              <a:ea typeface="+mn-ea"/>
              <a:cs typeface="Arial" panose="020B0604020202020204" pitchFamily="34" charset="0"/>
            </a:rPr>
            <a:t>Building Sensible Qs and Latent Ql Heat Loads                                                                                                                                                </a:t>
          </a:r>
        </a:p>
        <a:p>
          <a:endParaRPr lang="en-US" sz="1200" b="1">
            <a:solidFill>
              <a:schemeClr val="dk1"/>
            </a:solidFill>
            <a:latin typeface="Arial" panose="020B0604020202020204" pitchFamily="34" charset="0"/>
            <a:ea typeface="+mn-ea"/>
            <a:cs typeface="Arial" panose="020B0604020202020204" pitchFamily="34" charset="0"/>
          </a:endParaRPr>
        </a:p>
        <a:p>
          <a:r>
            <a:rPr lang="en-US" sz="1200" b="1">
              <a:solidFill>
                <a:schemeClr val="dk1"/>
              </a:solidFill>
              <a:latin typeface="Arial" panose="020B0604020202020204" pitchFamily="34" charset="0"/>
              <a:ea typeface="+mn-ea"/>
              <a:cs typeface="Arial" panose="020B0604020202020204" pitchFamily="34" charset="0"/>
            </a:rPr>
            <a:t>The sensible heat load Qs </a:t>
          </a:r>
          <a:r>
            <a:rPr lang="en-US" sz="1200">
              <a:solidFill>
                <a:schemeClr val="dk1"/>
              </a:solidFill>
              <a:latin typeface="Arial" panose="020B0604020202020204" pitchFamily="34" charset="0"/>
              <a:ea typeface="+mn-ea"/>
              <a:cs typeface="Arial" panose="020B0604020202020204" pitchFamily="34" charset="0"/>
            </a:rPr>
            <a:t>comes</a:t>
          </a:r>
          <a:r>
            <a:rPr lang="en-US" sz="1200" baseline="0">
              <a:solidFill>
                <a:schemeClr val="dk1"/>
              </a:solidFill>
              <a:latin typeface="Arial" panose="020B0604020202020204" pitchFamily="34" charset="0"/>
              <a:ea typeface="+mn-ea"/>
              <a:cs typeface="Arial" panose="020B0604020202020204" pitchFamily="34" charset="0"/>
            </a:rPr>
            <a:t> </a:t>
          </a:r>
          <a:r>
            <a:rPr lang="en-US" sz="1200">
              <a:solidFill>
                <a:schemeClr val="dk1"/>
              </a:solidFill>
              <a:latin typeface="Arial" panose="020B0604020202020204" pitchFamily="34" charset="0"/>
              <a:ea typeface="+mn-ea"/>
              <a:cs typeface="Arial" panose="020B0604020202020204" pitchFamily="34" charset="0"/>
            </a:rPr>
            <a:t>from the following sources</a:t>
          </a:r>
          <a:r>
            <a:rPr lang="en-US" sz="1200" b="1">
              <a:solidFill>
                <a:schemeClr val="dk1"/>
              </a:solidFill>
              <a:latin typeface="Arial" panose="020B0604020202020204" pitchFamily="34" charset="0"/>
              <a:ea typeface="+mn-ea"/>
              <a:cs typeface="Arial" panose="020B0604020202020204" pitchFamily="34" charset="0"/>
            </a:rPr>
            <a:t>:                                                         1</a:t>
          </a:r>
          <a:r>
            <a:rPr lang="en-US" sz="1200">
              <a:solidFill>
                <a:schemeClr val="dk1"/>
              </a:solidFill>
              <a:latin typeface="Arial" panose="020B0604020202020204" pitchFamily="34" charset="0"/>
              <a:ea typeface="+mn-ea"/>
              <a:cs typeface="Arial" panose="020B0604020202020204" pitchFamily="34" charset="0"/>
            </a:rPr>
            <a:t>.</a:t>
          </a:r>
          <a:r>
            <a:rPr lang="en-US" sz="1200" b="1">
              <a:solidFill>
                <a:schemeClr val="dk1"/>
              </a:solidFill>
              <a:latin typeface="Arial" panose="020B0604020202020204" pitchFamily="34" charset="0"/>
              <a:ea typeface="+mn-ea"/>
              <a:cs typeface="Arial" panose="020B0604020202020204" pitchFamily="34" charset="0"/>
            </a:rPr>
            <a:t> </a:t>
          </a:r>
          <a:r>
            <a:rPr lang="en-US" sz="1200">
              <a:solidFill>
                <a:schemeClr val="dk1"/>
              </a:solidFill>
              <a:latin typeface="Arial" panose="020B0604020202020204" pitchFamily="34" charset="0"/>
              <a:ea typeface="+mn-ea"/>
              <a:cs typeface="Arial" panose="020B0604020202020204" pitchFamily="34" charset="0"/>
            </a:rPr>
            <a:t>Heat conducted through the building (walls, ceiling, floor, windows).</a:t>
          </a:r>
        </a:p>
        <a:p>
          <a:endParaRPr lang="en-US" sz="1200" b="1">
            <a:solidFill>
              <a:schemeClr val="dk1"/>
            </a:solidFill>
            <a:latin typeface="Arial" panose="020B0604020202020204" pitchFamily="34" charset="0"/>
            <a:ea typeface="+mn-ea"/>
            <a:cs typeface="Arial" panose="020B0604020202020204" pitchFamily="34" charset="0"/>
          </a:endParaRPr>
        </a:p>
        <a:p>
          <a:r>
            <a:rPr lang="en-US" sz="1200" b="1">
              <a:solidFill>
                <a:schemeClr val="dk1"/>
              </a:solidFill>
              <a:latin typeface="Arial" panose="020B0604020202020204" pitchFamily="34" charset="0"/>
              <a:ea typeface="+mn-ea"/>
              <a:cs typeface="Arial" panose="020B0604020202020204" pitchFamily="34" charset="0"/>
            </a:rPr>
            <a:t>2</a:t>
          </a:r>
          <a:r>
            <a:rPr lang="en-US" sz="1200">
              <a:solidFill>
                <a:schemeClr val="dk1"/>
              </a:solidFill>
              <a:latin typeface="Arial" panose="020B0604020202020204" pitchFamily="34" charset="0"/>
              <a:ea typeface="+mn-ea"/>
              <a:cs typeface="Arial" panose="020B0604020202020204" pitchFamily="34" charset="0"/>
            </a:rPr>
            <a:t>. Internal heat from lights, computers, ovens, and other appliances.</a:t>
          </a:r>
        </a:p>
        <a:p>
          <a:endParaRPr lang="en-US" sz="1200" b="1">
            <a:solidFill>
              <a:schemeClr val="dk1"/>
            </a:solidFill>
            <a:latin typeface="Arial" panose="020B0604020202020204" pitchFamily="34" charset="0"/>
            <a:ea typeface="+mn-ea"/>
            <a:cs typeface="Arial" panose="020B0604020202020204" pitchFamily="34" charset="0"/>
          </a:endParaRPr>
        </a:p>
        <a:p>
          <a:r>
            <a:rPr lang="en-US" sz="1200" b="1">
              <a:solidFill>
                <a:schemeClr val="dk1"/>
              </a:solidFill>
              <a:latin typeface="Arial" panose="020B0604020202020204" pitchFamily="34" charset="0"/>
              <a:ea typeface="+mn-ea"/>
              <a:cs typeface="Arial" panose="020B0604020202020204" pitchFamily="34" charset="0"/>
            </a:rPr>
            <a:t>3. </a:t>
          </a:r>
          <a:r>
            <a:rPr lang="en-US" sz="1200">
              <a:solidFill>
                <a:schemeClr val="dk1"/>
              </a:solidFill>
              <a:latin typeface="Arial" panose="020B0604020202020204" pitchFamily="34" charset="0"/>
              <a:ea typeface="+mn-ea"/>
              <a:cs typeface="Arial" panose="020B0604020202020204" pitchFamily="34" charset="0"/>
            </a:rPr>
            <a:t>Infiltration of outside air through cracks around windows and doors.</a:t>
          </a:r>
        </a:p>
        <a:p>
          <a:endParaRPr lang="en-US" sz="1200" b="1">
            <a:solidFill>
              <a:schemeClr val="dk1"/>
            </a:solidFill>
            <a:latin typeface="Arial" panose="020B0604020202020204" pitchFamily="34" charset="0"/>
            <a:ea typeface="+mn-ea"/>
            <a:cs typeface="Arial" panose="020B0604020202020204" pitchFamily="34" charset="0"/>
          </a:endParaRPr>
        </a:p>
        <a:p>
          <a:r>
            <a:rPr lang="en-US" sz="1200" b="1">
              <a:solidFill>
                <a:schemeClr val="dk1"/>
              </a:solidFill>
              <a:latin typeface="Arial" panose="020B0604020202020204" pitchFamily="34" charset="0"/>
              <a:ea typeface="+mn-ea"/>
              <a:cs typeface="Arial" panose="020B0604020202020204" pitchFamily="34" charset="0"/>
            </a:rPr>
            <a:t>4</a:t>
          </a:r>
          <a:r>
            <a:rPr lang="en-US" sz="1200">
              <a:solidFill>
                <a:schemeClr val="dk1"/>
              </a:solidFill>
              <a:latin typeface="Arial" panose="020B0604020202020204" pitchFamily="34" charset="0"/>
              <a:ea typeface="+mn-ea"/>
              <a:cs typeface="Arial" panose="020B0604020202020204" pitchFamily="34" charset="0"/>
            </a:rPr>
            <a:t>. People in the building.</a:t>
          </a:r>
        </a:p>
        <a:p>
          <a:endParaRPr lang="en-US" sz="1200" b="1">
            <a:solidFill>
              <a:schemeClr val="dk1"/>
            </a:solidFill>
            <a:latin typeface="Arial" panose="020B0604020202020204" pitchFamily="34" charset="0"/>
            <a:ea typeface="+mn-ea"/>
            <a:cs typeface="Arial" panose="020B0604020202020204" pitchFamily="34" charset="0"/>
          </a:endParaRPr>
        </a:p>
        <a:p>
          <a:r>
            <a:rPr lang="en-US" sz="1200" b="1">
              <a:solidFill>
                <a:schemeClr val="dk1"/>
              </a:solidFill>
              <a:latin typeface="Arial" panose="020B0604020202020204" pitchFamily="34" charset="0"/>
              <a:ea typeface="+mn-ea"/>
              <a:cs typeface="Arial" panose="020B0604020202020204" pitchFamily="34" charset="0"/>
            </a:rPr>
            <a:t>5. </a:t>
          </a:r>
          <a:r>
            <a:rPr lang="en-US" sz="1200">
              <a:solidFill>
                <a:schemeClr val="dk1"/>
              </a:solidFill>
              <a:latin typeface="Arial" panose="020B0604020202020204" pitchFamily="34" charset="0"/>
              <a:ea typeface="+mn-ea"/>
              <a:cs typeface="Arial" panose="020B0604020202020204" pitchFamily="34" charset="0"/>
            </a:rPr>
            <a:t>Sun radiation through windows.                                                                                                        The air in the building is circulated over a cooling coil to maintain temperature requirements determined from the equation:                                                                                                                                            </a:t>
          </a:r>
        </a:p>
        <a:p>
          <a:r>
            <a:rPr lang="en-US" sz="1200">
              <a:solidFill>
                <a:schemeClr val="dk1"/>
              </a:solidFill>
              <a:latin typeface="Arial" panose="020B0604020202020204" pitchFamily="34" charset="0"/>
              <a:ea typeface="+mn-ea"/>
              <a:cs typeface="Arial" panose="020B0604020202020204" pitchFamily="34" charset="0"/>
            </a:rPr>
            <a:t>                                                                                                                                                                                           </a:t>
          </a:r>
          <a:r>
            <a:rPr lang="en-US" sz="1200" b="1">
              <a:solidFill>
                <a:schemeClr val="dk1"/>
              </a:solidFill>
              <a:latin typeface="Arial" panose="020B0604020202020204" pitchFamily="34" charset="0"/>
              <a:ea typeface="+mn-ea"/>
              <a:cs typeface="Arial" panose="020B0604020202020204" pitchFamily="34" charset="0"/>
            </a:rPr>
            <a:t>Q</a:t>
          </a:r>
          <a:r>
            <a:rPr lang="en-US" sz="1200" b="1" baseline="-25000">
              <a:solidFill>
                <a:schemeClr val="dk1"/>
              </a:solidFill>
              <a:latin typeface="Arial" panose="020B0604020202020204" pitchFamily="34" charset="0"/>
              <a:ea typeface="+mn-ea"/>
              <a:cs typeface="Arial" panose="020B0604020202020204" pitchFamily="34" charset="0"/>
            </a:rPr>
            <a:t>s</a:t>
          </a:r>
          <a:r>
            <a:rPr lang="en-US" sz="1200" b="1">
              <a:solidFill>
                <a:schemeClr val="dk1"/>
              </a:solidFill>
              <a:latin typeface="Arial" panose="020B0604020202020204" pitchFamily="34" charset="0"/>
              <a:ea typeface="+mn-ea"/>
              <a:cs typeface="Arial" panose="020B0604020202020204" pitchFamily="34" charset="0"/>
            </a:rPr>
            <a:t> = 1.08 (w) (t</a:t>
          </a:r>
          <a:r>
            <a:rPr lang="en-US" sz="1200" b="1" baseline="-25000">
              <a:solidFill>
                <a:schemeClr val="dk1"/>
              </a:solidFill>
              <a:latin typeface="Arial" panose="020B0604020202020204" pitchFamily="34" charset="0"/>
              <a:ea typeface="+mn-ea"/>
              <a:cs typeface="Arial" panose="020B0604020202020204" pitchFamily="34" charset="0"/>
            </a:rPr>
            <a:t>s</a:t>
          </a:r>
          <a:r>
            <a:rPr lang="en-US" sz="1200" b="1">
              <a:solidFill>
                <a:schemeClr val="dk1"/>
              </a:solidFill>
              <a:latin typeface="Arial" panose="020B0604020202020204" pitchFamily="34" charset="0"/>
              <a:ea typeface="+mn-ea"/>
              <a:cs typeface="Arial" panose="020B0604020202020204" pitchFamily="34" charset="0"/>
            </a:rPr>
            <a:t> -t</a:t>
          </a:r>
          <a:r>
            <a:rPr lang="en-US" sz="1200" b="1" baseline="-25000">
              <a:solidFill>
                <a:schemeClr val="dk1"/>
              </a:solidFill>
              <a:latin typeface="Arial" panose="020B0604020202020204" pitchFamily="34" charset="0"/>
              <a:ea typeface="+mn-ea"/>
              <a:cs typeface="Arial" panose="020B0604020202020204" pitchFamily="34" charset="0"/>
            </a:rPr>
            <a:t>i</a:t>
          </a:r>
          <a:r>
            <a:rPr lang="en-US" sz="1200" b="1">
              <a:solidFill>
                <a:schemeClr val="dk1"/>
              </a:solidFill>
              <a:latin typeface="Arial" panose="020B0604020202020204" pitchFamily="34" charset="0"/>
              <a:ea typeface="+mn-ea"/>
              <a:cs typeface="Arial" panose="020B0604020202020204" pitchFamily="34" charset="0"/>
            </a:rPr>
            <a:t> ) </a:t>
          </a:r>
          <a:r>
            <a:rPr lang="en-US" sz="1200">
              <a:solidFill>
                <a:schemeClr val="dk1"/>
              </a:solidFill>
              <a:latin typeface="Arial" panose="020B0604020202020204" pitchFamily="34" charset="0"/>
              <a:ea typeface="+mn-ea"/>
              <a:cs typeface="Arial" panose="020B0604020202020204" pitchFamily="34" charset="0"/>
            </a:rPr>
            <a:t>                                                                                                                                                    </a:t>
          </a:r>
          <a:r>
            <a:rPr lang="en-US" sz="1200" b="1">
              <a:solidFill>
                <a:schemeClr val="dk1"/>
              </a:solidFill>
              <a:latin typeface="Arial" panose="020B0604020202020204" pitchFamily="34" charset="0"/>
              <a:ea typeface="+mn-ea"/>
              <a:cs typeface="Arial" panose="020B0604020202020204" pitchFamily="34" charset="0"/>
            </a:rPr>
            <a:t>w = </a:t>
          </a:r>
          <a:r>
            <a:rPr lang="en-US" sz="1200">
              <a:solidFill>
                <a:schemeClr val="dk1"/>
              </a:solidFill>
              <a:latin typeface="Arial" panose="020B0604020202020204" pitchFamily="34" charset="0"/>
              <a:ea typeface="+mn-ea"/>
              <a:cs typeface="Arial" panose="020B0604020202020204" pitchFamily="34" charset="0"/>
            </a:rPr>
            <a:t>cubic foot per minute of air circulation flow</a:t>
          </a:r>
        </a:p>
        <a:p>
          <a:r>
            <a:rPr lang="en-US" sz="1200" b="1">
              <a:solidFill>
                <a:schemeClr val="dk1"/>
              </a:solidFill>
              <a:latin typeface="Arial" panose="020B0604020202020204" pitchFamily="34" charset="0"/>
              <a:ea typeface="+mn-ea"/>
              <a:cs typeface="Arial" panose="020B0604020202020204" pitchFamily="34" charset="0"/>
            </a:rPr>
            <a:t>i</a:t>
          </a:r>
          <a:r>
            <a:rPr lang="en-US" sz="1200">
              <a:solidFill>
                <a:schemeClr val="dk1"/>
              </a:solidFill>
              <a:latin typeface="Arial" panose="020B0604020202020204" pitchFamily="34" charset="0"/>
              <a:ea typeface="+mn-ea"/>
              <a:cs typeface="Arial" panose="020B0604020202020204" pitchFamily="34" charset="0"/>
            </a:rPr>
            <a:t> = denotes inside air temperature</a:t>
          </a:r>
        </a:p>
        <a:p>
          <a:r>
            <a:rPr lang="en-US" sz="1200" b="1">
              <a:solidFill>
                <a:schemeClr val="dk1"/>
              </a:solidFill>
              <a:latin typeface="Arial" panose="020B0604020202020204" pitchFamily="34" charset="0"/>
              <a:ea typeface="+mn-ea"/>
              <a:cs typeface="Arial" panose="020B0604020202020204" pitchFamily="34" charset="0"/>
            </a:rPr>
            <a:t>s</a:t>
          </a:r>
          <a:r>
            <a:rPr lang="en-US" sz="1200">
              <a:solidFill>
                <a:schemeClr val="dk1"/>
              </a:solidFill>
              <a:latin typeface="Arial" panose="020B0604020202020204" pitchFamily="34" charset="0"/>
              <a:ea typeface="+mn-ea"/>
              <a:cs typeface="Arial" panose="020B0604020202020204" pitchFamily="34" charset="0"/>
            </a:rPr>
            <a:t> = denotes supply temperature of the air                                                                                       </a:t>
          </a:r>
        </a:p>
        <a:p>
          <a:r>
            <a:rPr lang="en-US" sz="1200">
              <a:solidFill>
                <a:schemeClr val="dk1"/>
              </a:solidFill>
              <a:latin typeface="Arial" panose="020B0604020202020204" pitchFamily="34" charset="0"/>
              <a:ea typeface="+mn-ea"/>
              <a:cs typeface="Arial" panose="020B0604020202020204" pitchFamily="34" charset="0"/>
            </a:rPr>
            <a:t>                                                                                                                                                                                 </a:t>
          </a:r>
          <a:r>
            <a:rPr lang="en-US" sz="1200" b="1">
              <a:solidFill>
                <a:schemeClr val="dk1"/>
              </a:solidFill>
              <a:latin typeface="Arial" panose="020B0604020202020204" pitchFamily="34" charset="0"/>
              <a:ea typeface="+mn-ea"/>
              <a:cs typeface="Arial" panose="020B0604020202020204" pitchFamily="34" charset="0"/>
            </a:rPr>
            <a:t>The latent heat load </a:t>
          </a:r>
          <a:r>
            <a:rPr lang="en-US" sz="1200">
              <a:solidFill>
                <a:schemeClr val="dk1"/>
              </a:solidFill>
              <a:latin typeface="Arial" panose="020B0604020202020204" pitchFamily="34" charset="0"/>
              <a:ea typeface="+mn-ea"/>
              <a:cs typeface="Arial" panose="020B0604020202020204" pitchFamily="34" charset="0"/>
            </a:rPr>
            <a:t>determines the amount of moisture that is added to the air in the building and must be removed from the air by the cooling coil to maintain humidity requirements. This is found from the equation</a:t>
          </a:r>
        </a:p>
        <a:p>
          <a:endParaRPr lang="en-US" sz="1200">
            <a:solidFill>
              <a:schemeClr val="dk1"/>
            </a:solidFill>
            <a:latin typeface="Arial" panose="020B0604020202020204" pitchFamily="34" charset="0"/>
            <a:ea typeface="+mn-ea"/>
            <a:cs typeface="Arial" panose="020B0604020202020204" pitchFamily="34" charset="0"/>
          </a:endParaRPr>
        </a:p>
        <a:p>
          <a:r>
            <a:rPr lang="en-US" sz="1200" b="1">
              <a:solidFill>
                <a:schemeClr val="dk1"/>
              </a:solidFill>
              <a:latin typeface="Arial" panose="020B0604020202020204" pitchFamily="34" charset="0"/>
              <a:ea typeface="+mn-ea"/>
              <a:cs typeface="Arial" panose="020B0604020202020204" pitchFamily="34" charset="0"/>
            </a:rPr>
            <a:t>Q</a:t>
          </a:r>
          <a:r>
            <a:rPr lang="en-US" sz="1200" b="1" baseline="-25000">
              <a:solidFill>
                <a:schemeClr val="dk1"/>
              </a:solidFill>
              <a:latin typeface="Arial" panose="020B0604020202020204" pitchFamily="34" charset="0"/>
              <a:ea typeface="+mn-ea"/>
              <a:cs typeface="Arial" panose="020B0604020202020204" pitchFamily="34" charset="0"/>
            </a:rPr>
            <a:t>l</a:t>
          </a:r>
          <a:r>
            <a:rPr lang="en-US" sz="1200" b="1">
              <a:solidFill>
                <a:schemeClr val="dk1"/>
              </a:solidFill>
              <a:latin typeface="Arial" panose="020B0604020202020204" pitchFamily="34" charset="0"/>
              <a:ea typeface="+mn-ea"/>
              <a:cs typeface="Arial" panose="020B0604020202020204" pitchFamily="34" charset="0"/>
            </a:rPr>
            <a:t> = 4840 (w) (W</a:t>
          </a:r>
          <a:r>
            <a:rPr lang="en-US" sz="1200" b="1" baseline="-25000">
              <a:solidFill>
                <a:schemeClr val="dk1"/>
              </a:solidFill>
              <a:latin typeface="Arial" panose="020B0604020202020204" pitchFamily="34" charset="0"/>
              <a:ea typeface="+mn-ea"/>
              <a:cs typeface="Arial" panose="020B0604020202020204" pitchFamily="34" charset="0"/>
            </a:rPr>
            <a:t>s</a:t>
          </a:r>
          <a:r>
            <a:rPr lang="en-US" sz="1200" b="1">
              <a:solidFill>
                <a:schemeClr val="dk1"/>
              </a:solidFill>
              <a:latin typeface="Arial" panose="020B0604020202020204" pitchFamily="34" charset="0"/>
              <a:ea typeface="+mn-ea"/>
              <a:cs typeface="Arial" panose="020B0604020202020204" pitchFamily="34" charset="0"/>
            </a:rPr>
            <a:t> - W</a:t>
          </a:r>
          <a:r>
            <a:rPr lang="en-US" sz="1200" b="1" baseline="-25000">
              <a:solidFill>
                <a:schemeClr val="dk1"/>
              </a:solidFill>
              <a:latin typeface="Arial" panose="020B0604020202020204" pitchFamily="34" charset="0"/>
              <a:ea typeface="+mn-ea"/>
              <a:cs typeface="Arial" panose="020B0604020202020204" pitchFamily="34" charset="0"/>
            </a:rPr>
            <a:t>i</a:t>
          </a:r>
          <a:r>
            <a:rPr lang="en-US" sz="1200" b="1">
              <a:solidFill>
                <a:schemeClr val="dk1"/>
              </a:solidFill>
              <a:latin typeface="Arial" panose="020B0604020202020204" pitchFamily="34" charset="0"/>
              <a:ea typeface="+mn-ea"/>
              <a:cs typeface="Arial" panose="020B0604020202020204" pitchFamily="34" charset="0"/>
            </a:rPr>
            <a:t> ) </a:t>
          </a:r>
          <a:endParaRPr lang="en-US" sz="1200">
            <a:solidFill>
              <a:schemeClr val="dk1"/>
            </a:solidFill>
            <a:latin typeface="Arial" panose="020B0604020202020204" pitchFamily="34" charset="0"/>
            <a:ea typeface="+mn-ea"/>
            <a:cs typeface="Arial" panose="020B0604020202020204" pitchFamily="34" charset="0"/>
          </a:endParaRPr>
        </a:p>
        <a:p>
          <a:r>
            <a:rPr lang="en-US" sz="1200" b="1" baseline="0">
              <a:solidFill>
                <a:schemeClr val="dk1"/>
              </a:solidFill>
              <a:latin typeface="Arial" panose="020B0604020202020204" pitchFamily="34" charset="0"/>
              <a:ea typeface="+mn-ea"/>
              <a:cs typeface="Arial" panose="020B0604020202020204" pitchFamily="34" charset="0"/>
            </a:rPr>
            <a:t>W</a:t>
          </a:r>
          <a:r>
            <a:rPr lang="en-US" sz="1200" b="1" baseline="-25000">
              <a:solidFill>
                <a:schemeClr val="dk1"/>
              </a:solidFill>
              <a:latin typeface="Arial" panose="020B0604020202020204" pitchFamily="34" charset="0"/>
              <a:ea typeface="+mn-ea"/>
              <a:cs typeface="Arial" panose="020B0604020202020204" pitchFamily="34" charset="0"/>
            </a:rPr>
            <a:t>i</a:t>
          </a:r>
          <a:r>
            <a:rPr lang="en-US" sz="1200" b="1">
              <a:solidFill>
                <a:schemeClr val="dk1"/>
              </a:solidFill>
              <a:latin typeface="Arial" panose="020B0604020202020204" pitchFamily="34" charset="0"/>
              <a:ea typeface="+mn-ea"/>
              <a:cs typeface="Arial" panose="020B0604020202020204" pitchFamily="34" charset="0"/>
            </a:rPr>
            <a:t> </a:t>
          </a:r>
          <a:r>
            <a:rPr lang="en-US" sz="1200">
              <a:solidFill>
                <a:schemeClr val="dk1"/>
              </a:solidFill>
              <a:latin typeface="Arial" panose="020B0604020202020204" pitchFamily="34" charset="0"/>
              <a:ea typeface="+mn-ea"/>
              <a:cs typeface="Arial" panose="020B0604020202020204" pitchFamily="34" charset="0"/>
            </a:rPr>
            <a:t>= pounds of moisture per pound of air in conditioned space</a:t>
          </a:r>
        </a:p>
        <a:p>
          <a:pPr marL="0" marR="0" indent="0" defTabSz="914400" eaLnBrk="1" fontAlgn="auto" latinLnBrk="0" hangingPunct="1">
            <a:lnSpc>
              <a:spcPct val="100000"/>
            </a:lnSpc>
            <a:spcBef>
              <a:spcPts val="0"/>
            </a:spcBef>
            <a:spcAft>
              <a:spcPts val="0"/>
            </a:spcAft>
            <a:buClrTx/>
            <a:buSzTx/>
            <a:buFontTx/>
            <a:buNone/>
            <a:tabLst/>
            <a:defRPr/>
          </a:pPr>
          <a:r>
            <a:rPr lang="en-US" sz="1200" b="1">
              <a:solidFill>
                <a:schemeClr val="dk1"/>
              </a:solidFill>
              <a:latin typeface="Arial" panose="020B0604020202020204" pitchFamily="34" charset="0"/>
              <a:ea typeface="+mn-ea"/>
              <a:cs typeface="Arial" panose="020B0604020202020204" pitchFamily="34" charset="0"/>
            </a:rPr>
            <a:t>W</a:t>
          </a:r>
          <a:r>
            <a:rPr lang="en-US" sz="1200" baseline="-25000">
              <a:solidFill>
                <a:schemeClr val="dk1"/>
              </a:solidFill>
              <a:latin typeface="Arial" panose="020B0604020202020204" pitchFamily="34" charset="0"/>
              <a:ea typeface="+mn-ea"/>
              <a:cs typeface="Arial" panose="020B0604020202020204" pitchFamily="34" charset="0"/>
            </a:rPr>
            <a:t>s</a:t>
          </a:r>
          <a:r>
            <a:rPr lang="en-US" sz="1200">
              <a:solidFill>
                <a:schemeClr val="dk1"/>
              </a:solidFill>
              <a:latin typeface="Arial" panose="020B0604020202020204" pitchFamily="34" charset="0"/>
              <a:ea typeface="+mn-ea"/>
              <a:cs typeface="Arial" panose="020B0604020202020204" pitchFamily="34" charset="0"/>
            </a:rPr>
            <a:t> = pounds of moisture per pound of a supply air                                                                                                                                                                                                                               The sensible heat ratio is used</a:t>
          </a:r>
          <a:r>
            <a:rPr lang="en-US" sz="1200" baseline="0">
              <a:solidFill>
                <a:schemeClr val="dk1"/>
              </a:solidFill>
              <a:latin typeface="Arial" panose="020B0604020202020204" pitchFamily="34" charset="0"/>
              <a:ea typeface="+mn-ea"/>
              <a:cs typeface="Arial" panose="020B0604020202020204" pitchFamily="34" charset="0"/>
            </a:rPr>
            <a:t> to</a:t>
          </a:r>
          <a:r>
            <a:rPr lang="en-US" sz="1200">
              <a:solidFill>
                <a:schemeClr val="dk1"/>
              </a:solidFill>
              <a:latin typeface="Arial" panose="020B0604020202020204" pitchFamily="34" charset="0"/>
              <a:ea typeface="+mn-ea"/>
              <a:cs typeface="Arial" panose="020B0604020202020204" pitchFamily="34" charset="0"/>
            </a:rPr>
            <a:t> find </a:t>
          </a:r>
          <a:r>
            <a:rPr lang="en-US" sz="1200" b="1">
              <a:solidFill>
                <a:schemeClr val="dk1"/>
              </a:solidFill>
              <a:latin typeface="Arial" panose="020B0604020202020204" pitchFamily="34" charset="0"/>
              <a:ea typeface="+mn-ea"/>
              <a:cs typeface="Arial" panose="020B0604020202020204" pitchFamily="34" charset="0"/>
            </a:rPr>
            <a:t>G,</a:t>
          </a:r>
          <a:r>
            <a:rPr lang="en-US" sz="1200">
              <a:solidFill>
                <a:schemeClr val="dk1"/>
              </a:solidFill>
              <a:latin typeface="Arial" panose="020B0604020202020204" pitchFamily="34" charset="0"/>
              <a:ea typeface="+mn-ea"/>
              <a:cs typeface="Arial" panose="020B0604020202020204" pitchFamily="34" charset="0"/>
            </a:rPr>
            <a:t> the moisture content of air, at different conditions using a psychrometric chart.                                                                                                                               </a:t>
          </a:r>
          <a:r>
            <a:rPr lang="en-US" sz="1200" b="1">
              <a:solidFill>
                <a:schemeClr val="dk1"/>
              </a:solidFill>
              <a:latin typeface="Arial" panose="020B0604020202020204" pitchFamily="34" charset="0"/>
              <a:ea typeface="+mn-ea"/>
              <a:cs typeface="Arial" panose="020B0604020202020204" pitchFamily="34" charset="0"/>
            </a:rPr>
            <a:t>SHR = Q</a:t>
          </a:r>
          <a:r>
            <a:rPr lang="en-US" sz="1200" b="1" baseline="-25000">
              <a:solidFill>
                <a:schemeClr val="dk1"/>
              </a:solidFill>
              <a:latin typeface="Arial" panose="020B0604020202020204" pitchFamily="34" charset="0"/>
              <a:ea typeface="+mn-ea"/>
              <a:cs typeface="Arial" panose="020B0604020202020204" pitchFamily="34" charset="0"/>
            </a:rPr>
            <a:t>s</a:t>
          </a:r>
          <a:r>
            <a:rPr lang="en-US" sz="1200" b="1">
              <a:solidFill>
                <a:schemeClr val="dk1"/>
              </a:solidFill>
              <a:latin typeface="Arial" panose="020B0604020202020204" pitchFamily="34" charset="0"/>
              <a:ea typeface="+mn-ea"/>
              <a:cs typeface="Arial" panose="020B0604020202020204" pitchFamily="34" charset="0"/>
            </a:rPr>
            <a:t> / (Q</a:t>
          </a:r>
          <a:r>
            <a:rPr lang="en-US" sz="1200" b="1" baseline="-25000">
              <a:solidFill>
                <a:schemeClr val="dk1"/>
              </a:solidFill>
              <a:latin typeface="Arial" panose="020B0604020202020204" pitchFamily="34" charset="0"/>
              <a:ea typeface="+mn-ea"/>
              <a:cs typeface="Arial" panose="020B0604020202020204" pitchFamily="34" charset="0"/>
            </a:rPr>
            <a:t>s </a:t>
          </a:r>
          <a:r>
            <a:rPr lang="en-US" sz="1200" b="1">
              <a:solidFill>
                <a:schemeClr val="dk1"/>
              </a:solidFill>
              <a:latin typeface="Arial" panose="020B0604020202020204" pitchFamily="34" charset="0"/>
              <a:ea typeface="+mn-ea"/>
              <a:cs typeface="Arial" panose="020B0604020202020204" pitchFamily="34" charset="0"/>
            </a:rPr>
            <a:t>+ Q</a:t>
          </a:r>
          <a:r>
            <a:rPr lang="en-US" sz="1200" b="1" baseline="-25000">
              <a:solidFill>
                <a:schemeClr val="dk1"/>
              </a:solidFill>
              <a:latin typeface="Arial" panose="020B0604020202020204" pitchFamily="34" charset="0"/>
              <a:ea typeface="+mn-ea"/>
              <a:cs typeface="Arial" panose="020B0604020202020204" pitchFamily="34" charset="0"/>
            </a:rPr>
            <a:t>L</a:t>
          </a:r>
          <a:r>
            <a:rPr lang="en-US" sz="1200" b="1">
              <a:solidFill>
                <a:schemeClr val="dk1"/>
              </a:solidFill>
              <a:latin typeface="Arial" panose="020B0604020202020204" pitchFamily="34" charset="0"/>
              <a:ea typeface="+mn-ea"/>
              <a:cs typeface="Arial" panose="020B0604020202020204" pitchFamily="34" charset="0"/>
            </a:rPr>
            <a:t> ) </a:t>
          </a:r>
          <a:endParaRPr lang="en-US" sz="1200">
            <a:solidFill>
              <a:schemeClr val="dk1"/>
            </a:solidFill>
            <a:latin typeface="Arial" panose="020B0604020202020204" pitchFamily="34" charset="0"/>
            <a:ea typeface="+mn-ea"/>
            <a:cs typeface="Arial" panose="020B0604020202020204" pitchFamily="34" charset="0"/>
          </a:endParaRPr>
        </a:p>
        <a:p>
          <a:endParaRPr lang="en-US" sz="1200">
            <a:solidFill>
              <a:schemeClr val="dk1"/>
            </a:solidFill>
            <a:latin typeface="Arial" panose="020B0604020202020204" pitchFamily="34" charset="0"/>
            <a:ea typeface="+mn-ea"/>
            <a:cs typeface="Arial" panose="020B0604020202020204" pitchFamily="34" charset="0"/>
          </a:endParaRPr>
        </a:p>
        <a:p>
          <a:endParaRPr lang="en-US" sz="1200">
            <a:solidFill>
              <a:schemeClr val="dk1"/>
            </a:solidFill>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latin typeface="Arial" panose="020B0604020202020204" pitchFamily="34" charset="0"/>
              <a:ea typeface="+mn-ea"/>
              <a:cs typeface="Arial" panose="020B0604020202020204" pitchFamily="34" charset="0"/>
            </a:rPr>
            <a:t>                                                                                                                      </a:t>
          </a:r>
        </a:p>
        <a:p>
          <a:endParaRPr lang="en-US" sz="1200">
            <a:solidFill>
              <a:schemeClr val="dk1"/>
            </a:solidFill>
            <a:latin typeface="Arial" panose="020B0604020202020204" pitchFamily="34" charset="0"/>
            <a:ea typeface="+mn-ea"/>
            <a:cs typeface="Arial" panose="020B0604020202020204" pitchFamily="34" charset="0"/>
          </a:endParaRPr>
        </a:p>
        <a:p>
          <a:endParaRPr lang="en-US" sz="1200">
            <a:solidFill>
              <a:schemeClr val="dk1"/>
            </a:solidFill>
            <a:latin typeface="Arial" panose="020B0604020202020204" pitchFamily="34" charset="0"/>
            <a:ea typeface="+mn-ea"/>
            <a:cs typeface="Arial" panose="020B0604020202020204" pitchFamily="34" charset="0"/>
          </a:endParaRPr>
        </a:p>
        <a:p>
          <a:endParaRPr lang="en-US" sz="1100"/>
        </a:p>
      </xdr:txBody>
    </xdr:sp>
    <xdr:clientData/>
  </xdr:twoCellAnchor>
  <xdr:twoCellAnchor>
    <xdr:from>
      <xdr:col>9</xdr:col>
      <xdr:colOff>123825</xdr:colOff>
      <xdr:row>214</xdr:row>
      <xdr:rowOff>161925</xdr:rowOff>
    </xdr:from>
    <xdr:to>
      <xdr:col>10</xdr:col>
      <xdr:colOff>85725</xdr:colOff>
      <xdr:row>215</xdr:row>
      <xdr:rowOff>133350</xdr:rowOff>
    </xdr:to>
    <xdr:sp macro="" textlink="">
      <xdr:nvSpPr>
        <xdr:cNvPr id="1026" name="Text Box 2">
          <a:extLst>
            <a:ext uri="{FF2B5EF4-FFF2-40B4-BE49-F238E27FC236}">
              <a16:creationId xmlns:a16="http://schemas.microsoft.com/office/drawing/2014/main" id="{00000000-0008-0000-0200-000002040000}"/>
            </a:ext>
          </a:extLst>
        </xdr:cNvPr>
        <xdr:cNvSpPr txBox="1">
          <a:spLocks noChangeArrowheads="1"/>
        </xdr:cNvSpPr>
      </xdr:nvSpPr>
      <xdr:spPr bwMode="auto">
        <a:xfrm>
          <a:off x="5267325" y="37595175"/>
          <a:ext cx="571500" cy="190500"/>
        </a:xfrm>
        <a:prstGeom prst="rect">
          <a:avLst/>
        </a:prstGeom>
        <a:noFill/>
        <a:ln w="9525">
          <a:noFill/>
          <a:miter lim="800000"/>
          <a:headEnd/>
          <a:tailEnd/>
        </a:ln>
      </xdr:spPr>
      <xdr:txBody>
        <a:bodyPr vertOverflow="clip" wrap="square" lIns="0" tIns="0" rIns="0" bIns="0" anchor="t" upright="1"/>
        <a:lstStyle/>
        <a:p>
          <a:pPr algn="l" rtl="0">
            <a:defRPr sz="1000"/>
          </a:pPr>
          <a:endParaRPr lang="en-US" sz="1350" b="0" i="0" u="none" strike="noStrike" baseline="0">
            <a:solidFill>
              <a:srgbClr val="000000"/>
            </a:solidFill>
            <a:latin typeface="Times New Roman"/>
            <a:cs typeface="Times New Roman"/>
          </a:endParaRPr>
        </a:p>
      </xdr:txBody>
    </xdr:sp>
    <xdr:clientData/>
  </xdr:twoCellAnchor>
  <xdr:twoCellAnchor editAs="oneCell">
    <xdr:from>
      <xdr:col>1</xdr:col>
      <xdr:colOff>28574</xdr:colOff>
      <xdr:row>37</xdr:row>
      <xdr:rowOff>133349</xdr:rowOff>
    </xdr:from>
    <xdr:to>
      <xdr:col>8</xdr:col>
      <xdr:colOff>392282</xdr:colOff>
      <xdr:row>59</xdr:row>
      <xdr:rowOff>38099</xdr:rowOff>
    </xdr:to>
    <xdr:pic>
      <xdr:nvPicPr>
        <xdr:cNvPr id="33" name="Picture 32" descr="floor plan-4.jpg">
          <a:extLst>
            <a:ext uri="{FF2B5EF4-FFF2-40B4-BE49-F238E27FC236}">
              <a16:creationId xmlns:a16="http://schemas.microsoft.com/office/drawing/2014/main" id="{00000000-0008-0000-0200-000021000000}"/>
            </a:ext>
          </a:extLst>
        </xdr:cNvPr>
        <xdr:cNvPicPr>
          <a:picLocks noChangeAspect="1"/>
        </xdr:cNvPicPr>
      </xdr:nvPicPr>
      <xdr:blipFill>
        <a:blip xmlns:r="http://schemas.openxmlformats.org/officeDocument/2006/relationships" r:embed="rId1" cstate="print"/>
        <a:stretch>
          <a:fillRect/>
        </a:stretch>
      </xdr:blipFill>
      <xdr:spPr>
        <a:xfrm>
          <a:off x="323849" y="7362824"/>
          <a:ext cx="6793083" cy="4314825"/>
        </a:xfrm>
        <a:prstGeom prst="rect">
          <a:avLst/>
        </a:prstGeom>
      </xdr:spPr>
    </xdr:pic>
    <xdr:clientData/>
  </xdr:twoCellAnchor>
  <xdr:twoCellAnchor editAs="oneCell">
    <xdr:from>
      <xdr:col>1</xdr:col>
      <xdr:colOff>200025</xdr:colOff>
      <xdr:row>95</xdr:row>
      <xdr:rowOff>171450</xdr:rowOff>
    </xdr:from>
    <xdr:to>
      <xdr:col>7</xdr:col>
      <xdr:colOff>342900</xdr:colOff>
      <xdr:row>123</xdr:row>
      <xdr:rowOff>152400</xdr:rowOff>
    </xdr:to>
    <xdr:pic>
      <xdr:nvPicPr>
        <xdr:cNvPr id="21" name="Picture 20" descr="airflow room cooling-chart-abc-4.jpg">
          <a:extLst>
            <a:ext uri="{FF2B5EF4-FFF2-40B4-BE49-F238E27FC236}">
              <a16:creationId xmlns:a16="http://schemas.microsoft.com/office/drawing/2014/main" id="{00000000-0008-0000-0200-000015000000}"/>
            </a:ext>
          </a:extLst>
        </xdr:cNvPr>
        <xdr:cNvPicPr>
          <a:picLocks noChangeAspect="1"/>
        </xdr:cNvPicPr>
      </xdr:nvPicPr>
      <xdr:blipFill>
        <a:blip xmlns:r="http://schemas.openxmlformats.org/officeDocument/2006/relationships" r:embed="rId2" cstate="print"/>
        <a:stretch>
          <a:fillRect/>
        </a:stretch>
      </xdr:blipFill>
      <xdr:spPr>
        <a:xfrm>
          <a:off x="495300" y="19040475"/>
          <a:ext cx="5819775" cy="5334000"/>
        </a:xfrm>
        <a:prstGeom prst="rect">
          <a:avLst/>
        </a:prstGeom>
      </xdr:spPr>
    </xdr:pic>
    <xdr:clientData/>
  </xdr:twoCellAnchor>
  <xdr:twoCellAnchor editAs="oneCell">
    <xdr:from>
      <xdr:col>10</xdr:col>
      <xdr:colOff>590550</xdr:colOff>
      <xdr:row>95</xdr:row>
      <xdr:rowOff>104775</xdr:rowOff>
    </xdr:from>
    <xdr:to>
      <xdr:col>17</xdr:col>
      <xdr:colOff>704850</xdr:colOff>
      <xdr:row>123</xdr:row>
      <xdr:rowOff>171450</xdr:rowOff>
    </xdr:to>
    <xdr:pic>
      <xdr:nvPicPr>
        <xdr:cNvPr id="22" name="Picture 21" descr="Airflow Room Cooling-CHART-BLANK.jpg">
          <a:extLst>
            <a:ext uri="{FF2B5EF4-FFF2-40B4-BE49-F238E27FC236}">
              <a16:creationId xmlns:a16="http://schemas.microsoft.com/office/drawing/2014/main" id="{00000000-0008-0000-0200-000016000000}"/>
            </a:ext>
          </a:extLst>
        </xdr:cNvPr>
        <xdr:cNvPicPr>
          <a:picLocks noChangeAspect="1"/>
        </xdr:cNvPicPr>
      </xdr:nvPicPr>
      <xdr:blipFill>
        <a:blip xmlns:r="http://schemas.openxmlformats.org/officeDocument/2006/relationships" r:embed="rId3" cstate="print"/>
        <a:stretch>
          <a:fillRect/>
        </a:stretch>
      </xdr:blipFill>
      <xdr:spPr>
        <a:xfrm>
          <a:off x="6943725" y="18973800"/>
          <a:ext cx="6638925" cy="5419725"/>
        </a:xfrm>
        <a:prstGeom prst="rect">
          <a:avLst/>
        </a:prstGeom>
      </xdr:spPr>
    </xdr:pic>
    <xdr:clientData/>
  </xdr:twoCellAnchor>
  <xdr:twoCellAnchor editAs="oneCell">
    <xdr:from>
      <xdr:col>2</xdr:col>
      <xdr:colOff>47625</xdr:colOff>
      <xdr:row>138</xdr:row>
      <xdr:rowOff>57150</xdr:rowOff>
    </xdr:from>
    <xdr:to>
      <xdr:col>4</xdr:col>
      <xdr:colOff>66675</xdr:colOff>
      <xdr:row>154</xdr:row>
      <xdr:rowOff>19050</xdr:rowOff>
    </xdr:to>
    <xdr:pic>
      <xdr:nvPicPr>
        <xdr:cNvPr id="24" name="Picture 23" descr="Airflow Room Cooling-1.jpg">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4" cstate="print"/>
        <a:stretch>
          <a:fillRect/>
        </a:stretch>
      </xdr:blipFill>
      <xdr:spPr>
        <a:xfrm>
          <a:off x="6400800" y="26774775"/>
          <a:ext cx="1228725" cy="3019425"/>
        </a:xfrm>
        <a:prstGeom prst="rect">
          <a:avLst/>
        </a:prstGeom>
      </xdr:spPr>
    </xdr:pic>
    <xdr:clientData/>
  </xdr:twoCellAnchor>
  <xdr:twoCellAnchor editAs="oneCell">
    <xdr:from>
      <xdr:col>5</xdr:col>
      <xdr:colOff>228600</xdr:colOff>
      <xdr:row>138</xdr:row>
      <xdr:rowOff>28575</xdr:rowOff>
    </xdr:from>
    <xdr:to>
      <xdr:col>6</xdr:col>
      <xdr:colOff>330200</xdr:colOff>
      <xdr:row>153</xdr:row>
      <xdr:rowOff>190500</xdr:rowOff>
    </xdr:to>
    <xdr:pic>
      <xdr:nvPicPr>
        <xdr:cNvPr id="26" name="Picture 25" descr="Airflow Room Cooling-2.jpg">
          <a:extLst>
            <a:ext uri="{FF2B5EF4-FFF2-40B4-BE49-F238E27FC236}">
              <a16:creationId xmlns:a16="http://schemas.microsoft.com/office/drawing/2014/main" id="{00000000-0008-0000-0200-00001A000000}"/>
            </a:ext>
          </a:extLst>
        </xdr:cNvPr>
        <xdr:cNvPicPr>
          <a:picLocks noChangeAspect="1"/>
        </xdr:cNvPicPr>
      </xdr:nvPicPr>
      <xdr:blipFill>
        <a:blip xmlns:r="http://schemas.openxmlformats.org/officeDocument/2006/relationships" r:embed="rId5" cstate="print"/>
        <a:stretch>
          <a:fillRect/>
        </a:stretch>
      </xdr:blipFill>
      <xdr:spPr>
        <a:xfrm>
          <a:off x="3152775" y="27012900"/>
          <a:ext cx="1254125" cy="30194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11</xdr:row>
      <xdr:rowOff>0</xdr:rowOff>
    </xdr:from>
    <xdr:to>
      <xdr:col>7</xdr:col>
      <xdr:colOff>352425</xdr:colOff>
      <xdr:row>30</xdr:row>
      <xdr:rowOff>130175</xdr:rowOff>
    </xdr:to>
    <xdr:pic>
      <xdr:nvPicPr>
        <xdr:cNvPr id="4" name="Picture 3" descr="floor plan-4.jpg">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stretch>
          <a:fillRect/>
        </a:stretch>
      </xdr:blipFill>
      <xdr:spPr>
        <a:xfrm>
          <a:off x="276225" y="2209800"/>
          <a:ext cx="5848350" cy="3797300"/>
        </a:xfrm>
        <a:prstGeom prst="rect">
          <a:avLst/>
        </a:prstGeom>
      </xdr:spPr>
    </xdr:pic>
    <xdr:clientData/>
  </xdr:twoCellAnchor>
  <xdr:twoCellAnchor editAs="oneCell">
    <xdr:from>
      <xdr:col>11</xdr:col>
      <xdr:colOff>114300</xdr:colOff>
      <xdr:row>144</xdr:row>
      <xdr:rowOff>146050</xdr:rowOff>
    </xdr:from>
    <xdr:to>
      <xdr:col>14</xdr:col>
      <xdr:colOff>409575</xdr:colOff>
      <xdr:row>162</xdr:row>
      <xdr:rowOff>57150</xdr:rowOff>
    </xdr:to>
    <xdr:pic>
      <xdr:nvPicPr>
        <xdr:cNvPr id="6" name="Picture 5" descr="R-VALUES ZIP CODE 29600.jpg">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2" cstate="print"/>
        <a:stretch>
          <a:fillRect/>
        </a:stretch>
      </xdr:blipFill>
      <xdr:spPr>
        <a:xfrm>
          <a:off x="12293600" y="2000250"/>
          <a:ext cx="2143125" cy="3686175"/>
        </a:xfrm>
        <a:prstGeom prst="rect">
          <a:avLst/>
        </a:prstGeom>
      </xdr:spPr>
    </xdr:pic>
    <xdr:clientData/>
  </xdr:twoCellAnchor>
  <xdr:twoCellAnchor editAs="oneCell">
    <xdr:from>
      <xdr:col>15</xdr:col>
      <xdr:colOff>47625</xdr:colOff>
      <xdr:row>145</xdr:row>
      <xdr:rowOff>28575</xdr:rowOff>
    </xdr:from>
    <xdr:to>
      <xdr:col>18</xdr:col>
      <xdr:colOff>457200</xdr:colOff>
      <xdr:row>155</xdr:row>
      <xdr:rowOff>139700</xdr:rowOff>
    </xdr:to>
    <xdr:pic>
      <xdr:nvPicPr>
        <xdr:cNvPr id="7" name="Picture 6" descr="R-VALUES ZIP CODE 29600-2.jpg">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3" cstate="print"/>
        <a:stretch>
          <a:fillRect/>
        </a:stretch>
      </xdr:blipFill>
      <xdr:spPr>
        <a:xfrm>
          <a:off x="14665325" y="2073275"/>
          <a:ext cx="2066925" cy="2225675"/>
        </a:xfrm>
        <a:prstGeom prst="rect">
          <a:avLst/>
        </a:prstGeom>
      </xdr:spPr>
    </xdr:pic>
    <xdr:clientData/>
  </xdr:twoCellAnchor>
  <xdr:twoCellAnchor>
    <xdr:from>
      <xdr:col>1</xdr:col>
      <xdr:colOff>447675</xdr:colOff>
      <xdr:row>115</xdr:row>
      <xdr:rowOff>180975</xdr:rowOff>
    </xdr:from>
    <xdr:to>
      <xdr:col>8</xdr:col>
      <xdr:colOff>200025</xdr:colOff>
      <xdr:row>138</xdr:row>
      <xdr:rowOff>28575</xdr:rowOff>
    </xdr:to>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685800" y="23488650"/>
          <a:ext cx="5638800" cy="444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The </a:t>
          </a:r>
          <a:r>
            <a:rPr lang="en-US" sz="1200" b="1">
              <a:latin typeface="Arial" panose="020B0604020202020204" pitchFamily="34" charset="0"/>
              <a:cs typeface="Arial" panose="020B0604020202020204" pitchFamily="34" charset="0"/>
            </a:rPr>
            <a:t>R-value</a:t>
          </a:r>
          <a:r>
            <a:rPr lang="en-US" sz="1200">
              <a:latin typeface="Arial" panose="020B0604020202020204" pitchFamily="34" charset="0"/>
              <a:cs typeface="Arial" panose="020B0604020202020204" pitchFamily="34" charset="0"/>
            </a:rPr>
            <a:t> is a measure of </a:t>
          </a:r>
          <a:r>
            <a:rPr lang="en-US" sz="1200">
              <a:latin typeface="Arial" panose="020B0604020202020204" pitchFamily="34" charset="0"/>
              <a:cs typeface="Arial" panose="020B0604020202020204" pitchFamily="34" charset="0"/>
              <a:hlinkClick xmlns:r="http://schemas.openxmlformats.org/officeDocument/2006/relationships" r:id=""/>
            </a:rPr>
            <a:t>thermal resistance</a:t>
          </a:r>
          <a:r>
            <a:rPr lang="en-US" sz="1200">
              <a:latin typeface="Arial" panose="020B0604020202020204" pitchFamily="34" charset="0"/>
              <a:cs typeface="Arial" panose="020B0604020202020204" pitchFamily="34" charset="0"/>
            </a:rPr>
            <a:t> </a:t>
          </a:r>
          <a:r>
            <a:rPr lang="en-US" sz="1200" baseline="30000">
              <a:latin typeface="Arial" panose="020B0604020202020204" pitchFamily="34" charset="0"/>
              <a:cs typeface="Arial" panose="020B0604020202020204" pitchFamily="34" charset="0"/>
              <a:hlinkClick xmlns:r="http://schemas.openxmlformats.org/officeDocument/2006/relationships" r:id=""/>
            </a:rPr>
            <a:t>[1]</a:t>
          </a:r>
          <a:r>
            <a:rPr lang="en-US" sz="1200">
              <a:latin typeface="Arial" panose="020B0604020202020204" pitchFamily="34" charset="0"/>
              <a:cs typeface="Arial" panose="020B0604020202020204" pitchFamily="34" charset="0"/>
            </a:rPr>
            <a:t> used in the building and </a:t>
          </a:r>
          <a:r>
            <a:rPr lang="en-US" sz="1200" u="none">
              <a:latin typeface="Arial" panose="020B0604020202020204" pitchFamily="34" charset="0"/>
              <a:cs typeface="Arial" panose="020B0604020202020204" pitchFamily="34" charset="0"/>
              <a:hlinkClick xmlns:r="http://schemas.openxmlformats.org/officeDocument/2006/relationships" r:id=""/>
            </a:rPr>
            <a:t>construction</a:t>
          </a:r>
          <a:r>
            <a:rPr lang="en-US" sz="1200" u="none">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industry.</a:t>
          </a: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Under uniform conditions it is the ratio of the temperature difference across an insulator and the </a:t>
          </a:r>
          <a:r>
            <a:rPr lang="en-US" sz="1200">
              <a:latin typeface="Arial" panose="020B0604020202020204" pitchFamily="34" charset="0"/>
              <a:cs typeface="Arial" panose="020B0604020202020204" pitchFamily="34" charset="0"/>
              <a:hlinkClick xmlns:r="http://schemas.openxmlformats.org/officeDocument/2006/relationships" r:id=""/>
            </a:rPr>
            <a:t>heat flux</a:t>
          </a:r>
          <a:r>
            <a:rPr lang="en-US" sz="1200">
              <a:latin typeface="Arial" panose="020B0604020202020204" pitchFamily="34" charset="0"/>
              <a:cs typeface="Arial" panose="020B0604020202020204" pitchFamily="34" charset="0"/>
            </a:rPr>
            <a:t> (heat transfer per unit area, ) through it or .</a:t>
          </a: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The R-value being discussed is the unit thermal resistance.                                                                                                                         </a:t>
          </a:r>
          <a:r>
            <a:rPr lang="en-US" sz="1200" b="1">
              <a:latin typeface="Arial" panose="020B0604020202020204" pitchFamily="34" charset="0"/>
              <a:cs typeface="Arial" panose="020B0604020202020204" pitchFamily="34" charset="0"/>
            </a:rPr>
            <a:t>U-value</a:t>
          </a: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The </a:t>
          </a:r>
          <a:r>
            <a:rPr lang="en-US" sz="1200" i="1">
              <a:latin typeface="Arial" panose="020B0604020202020204" pitchFamily="34" charset="0"/>
              <a:cs typeface="Arial" panose="020B0604020202020204" pitchFamily="34" charset="0"/>
            </a:rPr>
            <a:t>U-value</a:t>
          </a:r>
          <a:r>
            <a:rPr lang="en-US" sz="1200">
              <a:latin typeface="Arial" panose="020B0604020202020204" pitchFamily="34" charset="0"/>
              <a:cs typeface="Arial" panose="020B0604020202020204" pitchFamily="34" charset="0"/>
            </a:rPr>
            <a:t> (or </a:t>
          </a:r>
          <a:r>
            <a:rPr lang="en-US" sz="1200" i="1">
              <a:latin typeface="Arial" panose="020B0604020202020204" pitchFamily="34" charset="0"/>
              <a:cs typeface="Arial" panose="020B0604020202020204" pitchFamily="34" charset="0"/>
            </a:rPr>
            <a:t>U-factor</a:t>
          </a:r>
          <a:r>
            <a:rPr lang="en-US" sz="1200">
              <a:latin typeface="Arial" panose="020B0604020202020204" pitchFamily="34" charset="0"/>
              <a:cs typeface="Arial" panose="020B0604020202020204" pitchFamily="34" charset="0"/>
            </a:rPr>
            <a:t>), more correctly called the </a:t>
          </a:r>
          <a:r>
            <a:rPr lang="en-US" sz="1200">
              <a:latin typeface="Arial" panose="020B0604020202020204" pitchFamily="34" charset="0"/>
              <a:cs typeface="Arial" panose="020B0604020202020204" pitchFamily="34" charset="0"/>
              <a:hlinkClick xmlns:r="http://schemas.openxmlformats.org/officeDocument/2006/relationships" r:id=""/>
            </a:rPr>
            <a:t>overall heat transfer coefficient</a:t>
          </a:r>
          <a:r>
            <a:rPr lang="en-US" sz="1200">
              <a:latin typeface="Arial" panose="020B0604020202020204" pitchFamily="34" charset="0"/>
              <a:cs typeface="Arial" panose="020B0604020202020204" pitchFamily="34" charset="0"/>
            </a:rPr>
            <a:t>, describes how well a building element conducts heat. It measures the rate of heat transfer through a building element over a given area, under standardized conditions. </a:t>
          </a: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The usual standard is at a temperature gradient of 24 °C, at 50% </a:t>
          </a:r>
          <a:r>
            <a:rPr lang="en-US" sz="1200">
              <a:latin typeface="Arial" panose="020B0604020202020204" pitchFamily="34" charset="0"/>
              <a:cs typeface="Arial" panose="020B0604020202020204" pitchFamily="34" charset="0"/>
              <a:hlinkClick xmlns:r="http://schemas.openxmlformats.org/officeDocument/2006/relationships" r:id=""/>
            </a:rPr>
            <a:t>humidity</a:t>
          </a:r>
          <a:r>
            <a:rPr lang="en-US" sz="1200">
              <a:latin typeface="Arial" panose="020B0604020202020204" pitchFamily="34" charset="0"/>
              <a:cs typeface="Arial" panose="020B0604020202020204" pitchFamily="34" charset="0"/>
            </a:rPr>
            <a:t> with no wind</a:t>
          </a:r>
          <a:r>
            <a:rPr lang="en-US" sz="1200" baseline="30000">
              <a:latin typeface="Arial" panose="020B0604020202020204" pitchFamily="34" charset="0"/>
              <a:cs typeface="Arial" panose="020B0604020202020204" pitchFamily="34" charset="0"/>
              <a:hlinkClick xmlns:r="http://schemas.openxmlformats.org/officeDocument/2006/relationships" r:id=""/>
            </a:rPr>
            <a:t>[6]</a:t>
          </a:r>
          <a:r>
            <a:rPr lang="en-US" sz="1200">
              <a:latin typeface="Arial" panose="020B0604020202020204" pitchFamily="34" charset="0"/>
              <a:cs typeface="Arial" panose="020B0604020202020204" pitchFamily="34" charset="0"/>
            </a:rPr>
            <a:t> (a smaller </a:t>
          </a:r>
          <a:r>
            <a:rPr lang="en-US" sz="1200" i="1">
              <a:latin typeface="Arial" panose="020B0604020202020204" pitchFamily="34" charset="0"/>
              <a:cs typeface="Arial" panose="020B0604020202020204" pitchFamily="34" charset="0"/>
            </a:rPr>
            <a:t>U-value</a:t>
          </a:r>
          <a:r>
            <a:rPr lang="en-US" sz="1200">
              <a:latin typeface="Arial" panose="020B0604020202020204" pitchFamily="34" charset="0"/>
              <a:cs typeface="Arial" panose="020B0604020202020204" pitchFamily="34" charset="0"/>
            </a:rPr>
            <a:t> is better at reducing heat transfer).</a:t>
          </a:r>
        </a:p>
        <a:p>
          <a:endParaRPr lang="en-US" sz="1200" i="1">
            <a:latin typeface="Arial" panose="020B0604020202020204" pitchFamily="34" charset="0"/>
            <a:cs typeface="Arial" panose="020B0604020202020204" pitchFamily="34" charset="0"/>
          </a:endParaRPr>
        </a:p>
        <a:p>
          <a:r>
            <a:rPr lang="en-US" sz="1200" i="1">
              <a:latin typeface="Arial" panose="020B0604020202020204" pitchFamily="34" charset="0"/>
              <a:cs typeface="Arial" panose="020B0604020202020204" pitchFamily="34" charset="0"/>
            </a:rPr>
            <a:t>U</a:t>
          </a:r>
          <a:r>
            <a:rPr lang="en-US" sz="1200">
              <a:latin typeface="Arial" panose="020B0604020202020204" pitchFamily="34" charset="0"/>
              <a:cs typeface="Arial" panose="020B0604020202020204" pitchFamily="34" charset="0"/>
            </a:rPr>
            <a:t> is the inverse of </a:t>
          </a:r>
          <a:r>
            <a:rPr lang="en-US" sz="1200" i="1">
              <a:latin typeface="Arial" panose="020B0604020202020204" pitchFamily="34" charset="0"/>
              <a:cs typeface="Arial" panose="020B0604020202020204" pitchFamily="34" charset="0"/>
            </a:rPr>
            <a:t>R</a:t>
          </a:r>
          <a:r>
            <a:rPr lang="en-US" sz="1200">
              <a:latin typeface="Arial" panose="020B0604020202020204" pitchFamily="34" charset="0"/>
              <a:cs typeface="Arial" panose="020B0604020202020204" pitchFamily="34" charset="0"/>
            </a:rPr>
            <a:t> with SI units of W/(m²K) and US units of BTU/(h °F ft²);</a:t>
          </a:r>
        </a:p>
        <a:p>
          <a:br>
            <a:rPr lang="en-US" sz="1200">
              <a:latin typeface="Arial" panose="020B0604020202020204" pitchFamily="34" charset="0"/>
              <a:cs typeface="Arial" panose="020B0604020202020204" pitchFamily="34" charset="0"/>
            </a:rPr>
          </a:br>
          <a:r>
            <a:rPr lang="en-US" sz="1200">
              <a:latin typeface="Arial" panose="020B0604020202020204" pitchFamily="34" charset="0"/>
              <a:cs typeface="Arial" panose="020B0604020202020204" pitchFamily="34" charset="0"/>
            </a:rPr>
            <a:t>where </a:t>
          </a:r>
          <a:r>
            <a:rPr lang="en-US" sz="1200" i="1">
              <a:latin typeface="Arial" panose="020B0604020202020204" pitchFamily="34" charset="0"/>
              <a:cs typeface="Arial" panose="020B0604020202020204" pitchFamily="34" charset="0"/>
            </a:rPr>
            <a:t>k</a:t>
          </a:r>
          <a:r>
            <a:rPr lang="en-US" sz="1200">
              <a:latin typeface="Arial" panose="020B0604020202020204" pitchFamily="34" charset="0"/>
              <a:cs typeface="Arial" panose="020B0604020202020204" pitchFamily="34" charset="0"/>
            </a:rPr>
            <a:t> is the material's thermal conductivity and </a:t>
          </a:r>
          <a:r>
            <a:rPr lang="en-US" sz="1200" i="1">
              <a:latin typeface="Arial" panose="020B0604020202020204" pitchFamily="34" charset="0"/>
              <a:cs typeface="Arial" panose="020B0604020202020204" pitchFamily="34" charset="0"/>
            </a:rPr>
            <a:t>L</a:t>
          </a:r>
          <a:r>
            <a:rPr lang="en-US" sz="1200">
              <a:latin typeface="Arial" panose="020B0604020202020204" pitchFamily="34" charset="0"/>
              <a:cs typeface="Arial" panose="020B0604020202020204" pitchFamily="34" charset="0"/>
            </a:rPr>
            <a:t> is its thickness.</a:t>
          </a: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See also: </a:t>
          </a:r>
          <a:r>
            <a:rPr lang="en-US" sz="1200">
              <a:latin typeface="Arial" panose="020B0604020202020204" pitchFamily="34" charset="0"/>
              <a:cs typeface="Arial" panose="020B0604020202020204" pitchFamily="34" charset="0"/>
              <a:hlinkClick xmlns:r="http://schemas.openxmlformats.org/officeDocument/2006/relationships" r:id=""/>
            </a:rPr>
            <a:t>tog (unit)</a:t>
          </a:r>
          <a:r>
            <a:rPr lang="en-US" sz="1200">
              <a:latin typeface="Arial" panose="020B0604020202020204" pitchFamily="34" charset="0"/>
              <a:cs typeface="Arial" panose="020B0604020202020204" pitchFamily="34" charset="0"/>
            </a:rPr>
            <a:t> or Thermal Overall Grade (where 1 tog = 0.1 m² K / W), used for </a:t>
          </a:r>
          <a:r>
            <a:rPr lang="en-US" sz="1200">
              <a:latin typeface="Arial" panose="020B0604020202020204" pitchFamily="34" charset="0"/>
              <a:cs typeface="Arial" panose="020B0604020202020204" pitchFamily="34" charset="0"/>
              <a:hlinkClick xmlns:r="http://schemas.openxmlformats.org/officeDocument/2006/relationships" r:id=""/>
            </a:rPr>
            <a:t>duvet</a:t>
          </a:r>
          <a:r>
            <a:rPr lang="en-US" sz="1200">
              <a:latin typeface="Arial" panose="020B0604020202020204" pitchFamily="34" charset="0"/>
              <a:cs typeface="Arial" panose="020B0604020202020204" pitchFamily="34" charset="0"/>
            </a:rPr>
            <a:t> rating.</a:t>
          </a:r>
        </a:p>
        <a:p>
          <a:endParaRPr lang="en-US" sz="1100"/>
        </a:p>
      </xdr:txBody>
    </xdr:sp>
    <xdr:clientData/>
  </xdr:twoCellAnchor>
  <xdr:twoCellAnchor>
    <xdr:from>
      <xdr:col>9</xdr:col>
      <xdr:colOff>285506</xdr:colOff>
      <xdr:row>16</xdr:row>
      <xdr:rowOff>47624</xdr:rowOff>
    </xdr:from>
    <xdr:to>
      <xdr:col>18</xdr:col>
      <xdr:colOff>247649</xdr:colOff>
      <xdr:row>22</xdr:row>
      <xdr:rowOff>0</xdr:rowOff>
    </xdr:to>
    <xdr:sp macro="" textlink="">
      <xdr:nvSpPr>
        <xdr:cNvPr id="9" name="TextBox 8">
          <a:extLst>
            <a:ext uri="{FF2B5EF4-FFF2-40B4-BE49-F238E27FC236}">
              <a16:creationId xmlns:a16="http://schemas.microsoft.com/office/drawing/2014/main" id="{00000000-0008-0000-0300-000009000000}"/>
            </a:ext>
          </a:extLst>
        </xdr:cNvPr>
        <xdr:cNvSpPr txBox="1"/>
      </xdr:nvSpPr>
      <xdr:spPr>
        <a:xfrm>
          <a:off x="6191006" y="3200399"/>
          <a:ext cx="5048493" cy="10953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i="0" u="sng" baseline="0">
              <a:solidFill>
                <a:schemeClr val="dk1"/>
              </a:solidFill>
              <a:latin typeface="+mn-lt"/>
              <a:ea typeface="+mn-ea"/>
              <a:cs typeface="+mn-cs"/>
            </a:rPr>
            <a:t>Sensible Heat is the heat content causing an increase in dry-bulb temperature. </a:t>
          </a:r>
        </a:p>
        <a:p>
          <a:r>
            <a:rPr lang="en-US" sz="1100" b="1" i="0" u="sng" baseline="0">
              <a:solidFill>
                <a:schemeClr val="dk1"/>
              </a:solidFill>
              <a:latin typeface="+mn-lt"/>
              <a:ea typeface="+mn-ea"/>
              <a:cs typeface="+mn-cs"/>
            </a:rPr>
            <a:t>                                                                                                                                                                  Latent Heat is the heat content due to the presence of water vapor in the atmosphere. It is the heat which was required to evaporate the given amount of moisture. </a:t>
          </a:r>
          <a:endParaRPr lang="en-US" sz="1100" b="1" i="0"/>
        </a:p>
      </xdr:txBody>
    </xdr:sp>
    <xdr:clientData/>
  </xdr:twoCellAnchor>
  <xdr:twoCellAnchor editAs="oneCell">
    <xdr:from>
      <xdr:col>10</xdr:col>
      <xdr:colOff>28575</xdr:colOff>
      <xdr:row>78</xdr:row>
      <xdr:rowOff>19050</xdr:rowOff>
    </xdr:from>
    <xdr:to>
      <xdr:col>12</xdr:col>
      <xdr:colOff>269875</xdr:colOff>
      <xdr:row>92</xdr:row>
      <xdr:rowOff>120650</xdr:rowOff>
    </xdr:to>
    <xdr:pic>
      <xdr:nvPicPr>
        <xdr:cNvPr id="12" name="Picture 11" descr="CHART-WINTER-INDOOR.jpg">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4" cstate="print"/>
        <a:stretch>
          <a:fillRect/>
        </a:stretch>
      </xdr:blipFill>
      <xdr:spPr>
        <a:xfrm>
          <a:off x="266700" y="22040850"/>
          <a:ext cx="1228725" cy="3019425"/>
        </a:xfrm>
        <a:prstGeom prst="rect">
          <a:avLst/>
        </a:prstGeom>
      </xdr:spPr>
    </xdr:pic>
    <xdr:clientData/>
  </xdr:twoCellAnchor>
  <xdr:twoCellAnchor editAs="oneCell">
    <xdr:from>
      <xdr:col>12</xdr:col>
      <xdr:colOff>581025</xdr:colOff>
      <xdr:row>78</xdr:row>
      <xdr:rowOff>47625</xdr:rowOff>
    </xdr:from>
    <xdr:to>
      <xdr:col>14</xdr:col>
      <xdr:colOff>504825</xdr:colOff>
      <xdr:row>92</xdr:row>
      <xdr:rowOff>130175</xdr:rowOff>
    </xdr:to>
    <xdr:pic>
      <xdr:nvPicPr>
        <xdr:cNvPr id="13" name="Picture 12" descr="CHART-WINTER-OUTDOOR.jpg">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5" cstate="print"/>
        <a:stretch>
          <a:fillRect/>
        </a:stretch>
      </xdr:blipFill>
      <xdr:spPr>
        <a:xfrm>
          <a:off x="2200275" y="22069425"/>
          <a:ext cx="1228725" cy="3000375"/>
        </a:xfrm>
        <a:prstGeom prst="rect">
          <a:avLst/>
        </a:prstGeom>
      </xdr:spPr>
    </xdr:pic>
    <xdr:clientData/>
  </xdr:twoCellAnchor>
  <xdr:twoCellAnchor editAs="oneCell">
    <xdr:from>
      <xdr:col>15</xdr:col>
      <xdr:colOff>584200</xdr:colOff>
      <xdr:row>77</xdr:row>
      <xdr:rowOff>203200</xdr:rowOff>
    </xdr:from>
    <xdr:to>
      <xdr:col>18</xdr:col>
      <xdr:colOff>38100</xdr:colOff>
      <xdr:row>92</xdr:row>
      <xdr:rowOff>107950</xdr:rowOff>
    </xdr:to>
    <xdr:pic>
      <xdr:nvPicPr>
        <xdr:cNvPr id="16" name="Picture 15" descr="CHART-WINTER-X.jpg">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6" cstate="print"/>
        <a:stretch>
          <a:fillRect/>
        </a:stretch>
      </xdr:blipFill>
      <xdr:spPr>
        <a:xfrm>
          <a:off x="9855200" y="14592300"/>
          <a:ext cx="1257300" cy="3038475"/>
        </a:xfrm>
        <a:prstGeom prst="rect">
          <a:avLst/>
        </a:prstGeom>
      </xdr:spPr>
    </xdr:pic>
    <xdr:clientData/>
  </xdr:twoCellAnchor>
  <xdr:twoCellAnchor editAs="oneCell">
    <xdr:from>
      <xdr:col>1</xdr:col>
      <xdr:colOff>95250</xdr:colOff>
      <xdr:row>207</xdr:row>
      <xdr:rowOff>161925</xdr:rowOff>
    </xdr:from>
    <xdr:to>
      <xdr:col>8</xdr:col>
      <xdr:colOff>358775</xdr:colOff>
      <xdr:row>229</xdr:row>
      <xdr:rowOff>171450</xdr:rowOff>
    </xdr:to>
    <xdr:pic>
      <xdr:nvPicPr>
        <xdr:cNvPr id="17" name="Picture 16" descr="F FACTORS-1.jpg">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7" cstate="print"/>
        <a:stretch>
          <a:fillRect/>
        </a:stretch>
      </xdr:blipFill>
      <xdr:spPr>
        <a:xfrm>
          <a:off x="333375" y="41995725"/>
          <a:ext cx="6502400" cy="4200525"/>
        </a:xfrm>
        <a:prstGeom prst="rect">
          <a:avLst/>
        </a:prstGeom>
      </xdr:spPr>
    </xdr:pic>
    <xdr:clientData/>
  </xdr:twoCellAnchor>
  <xdr:twoCellAnchor editAs="oneCell">
    <xdr:from>
      <xdr:col>9</xdr:col>
      <xdr:colOff>177800</xdr:colOff>
      <xdr:row>50</xdr:row>
      <xdr:rowOff>38100</xdr:rowOff>
    </xdr:from>
    <xdr:to>
      <xdr:col>24</xdr:col>
      <xdr:colOff>6350</xdr:colOff>
      <xdr:row>71</xdr:row>
      <xdr:rowOff>123825</xdr:rowOff>
    </xdr:to>
    <xdr:pic>
      <xdr:nvPicPr>
        <xdr:cNvPr id="18" name="Picture 17" descr="CHART-WINTER-2.jpg">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8" cstate="print"/>
        <a:stretch>
          <a:fillRect/>
        </a:stretch>
      </xdr:blipFill>
      <xdr:spPr>
        <a:xfrm>
          <a:off x="6083300" y="9915525"/>
          <a:ext cx="8572500" cy="4305300"/>
        </a:xfrm>
        <a:prstGeom prst="rect">
          <a:avLst/>
        </a:prstGeom>
      </xdr:spPr>
    </xdr:pic>
    <xdr:clientData/>
  </xdr:twoCellAnchor>
  <xdr:twoCellAnchor editAs="oneCell">
    <xdr:from>
      <xdr:col>10</xdr:col>
      <xdr:colOff>590550</xdr:colOff>
      <xdr:row>95</xdr:row>
      <xdr:rowOff>76200</xdr:rowOff>
    </xdr:from>
    <xdr:to>
      <xdr:col>17</xdr:col>
      <xdr:colOff>438150</xdr:colOff>
      <xdr:row>104</xdr:row>
      <xdr:rowOff>190500</xdr:rowOff>
    </xdr:to>
    <xdr:pic>
      <xdr:nvPicPr>
        <xdr:cNvPr id="15" name="Picture 14" descr="GLASS AREA.jpg">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9" cstate="print"/>
        <a:stretch>
          <a:fillRect/>
        </a:stretch>
      </xdr:blipFill>
      <xdr:spPr>
        <a:xfrm>
          <a:off x="6686550" y="10210800"/>
          <a:ext cx="4200525" cy="2019300"/>
        </a:xfrm>
        <a:prstGeom prst="rect">
          <a:avLst/>
        </a:prstGeom>
      </xdr:spPr>
    </xdr:pic>
    <xdr:clientData/>
  </xdr:twoCellAnchor>
  <xdr:twoCellAnchor editAs="oneCell">
    <xdr:from>
      <xdr:col>1</xdr:col>
      <xdr:colOff>276225</xdr:colOff>
      <xdr:row>180</xdr:row>
      <xdr:rowOff>19050</xdr:rowOff>
    </xdr:from>
    <xdr:to>
      <xdr:col>6</xdr:col>
      <xdr:colOff>104775</xdr:colOff>
      <xdr:row>203</xdr:row>
      <xdr:rowOff>123825</xdr:rowOff>
    </xdr:to>
    <xdr:pic>
      <xdr:nvPicPr>
        <xdr:cNvPr id="14" name="Picture 13" descr="SLAB ON GRADE-1.jpg">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10" cstate="print"/>
        <a:stretch>
          <a:fillRect/>
        </a:stretch>
      </xdr:blipFill>
      <xdr:spPr>
        <a:xfrm>
          <a:off x="514350" y="33347025"/>
          <a:ext cx="4629150" cy="4600575"/>
        </a:xfrm>
        <a:prstGeom prst="rect">
          <a:avLst/>
        </a:prstGeom>
      </xdr:spPr>
    </xdr:pic>
    <xdr:clientData/>
  </xdr:twoCellAnchor>
  <xdr:twoCellAnchor editAs="oneCell">
    <xdr:from>
      <xdr:col>11</xdr:col>
      <xdr:colOff>0</xdr:colOff>
      <xdr:row>164</xdr:row>
      <xdr:rowOff>0</xdr:rowOff>
    </xdr:from>
    <xdr:to>
      <xdr:col>14</xdr:col>
      <xdr:colOff>533400</xdr:colOff>
      <xdr:row>175</xdr:row>
      <xdr:rowOff>104775</xdr:rowOff>
    </xdr:to>
    <xdr:pic>
      <xdr:nvPicPr>
        <xdr:cNvPr id="21" name="Picture 20" descr="R-VALUES-2.jpg">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11" cstate="print"/>
        <a:stretch>
          <a:fillRect/>
        </a:stretch>
      </xdr:blipFill>
      <xdr:spPr>
        <a:xfrm>
          <a:off x="6667500" y="30432375"/>
          <a:ext cx="2362200" cy="2333625"/>
        </a:xfrm>
        <a:prstGeom prst="rect">
          <a:avLst/>
        </a:prstGeom>
      </xdr:spPr>
    </xdr:pic>
    <xdr:clientData/>
  </xdr:twoCellAnchor>
  <xdr:twoCellAnchor editAs="oneCell">
    <xdr:from>
      <xdr:col>9</xdr:col>
      <xdr:colOff>76200</xdr:colOff>
      <xdr:row>177</xdr:row>
      <xdr:rowOff>66675</xdr:rowOff>
    </xdr:from>
    <xdr:to>
      <xdr:col>19</xdr:col>
      <xdr:colOff>314325</xdr:colOff>
      <xdr:row>184</xdr:row>
      <xdr:rowOff>0</xdr:rowOff>
    </xdr:to>
    <xdr:pic>
      <xdr:nvPicPr>
        <xdr:cNvPr id="22" name="Picture 21" descr="R-VALUES-1.jpg">
          <a:extLst>
            <a:ext uri="{FF2B5EF4-FFF2-40B4-BE49-F238E27FC236}">
              <a16:creationId xmlns:a16="http://schemas.microsoft.com/office/drawing/2014/main" id="{00000000-0008-0000-0300-000016000000}"/>
            </a:ext>
          </a:extLst>
        </xdr:cNvPr>
        <xdr:cNvPicPr>
          <a:picLocks noChangeAspect="1"/>
        </xdr:cNvPicPr>
      </xdr:nvPicPr>
      <xdr:blipFill>
        <a:blip xmlns:r="http://schemas.openxmlformats.org/officeDocument/2006/relationships" r:embed="rId12" cstate="print"/>
        <a:stretch>
          <a:fillRect/>
        </a:stretch>
      </xdr:blipFill>
      <xdr:spPr>
        <a:xfrm>
          <a:off x="5981700" y="33004125"/>
          <a:ext cx="5934075" cy="12858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447675</xdr:colOff>
      <xdr:row>11</xdr:row>
      <xdr:rowOff>19050</xdr:rowOff>
    </xdr:from>
    <xdr:to>
      <xdr:col>7</xdr:col>
      <xdr:colOff>714375</xdr:colOff>
      <xdr:row>30</xdr:row>
      <xdr:rowOff>158750</xdr:rowOff>
    </xdr:to>
    <xdr:pic>
      <xdr:nvPicPr>
        <xdr:cNvPr id="2" name="Picture 1" descr="floor plan-4.jp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stretch>
          <a:fillRect/>
        </a:stretch>
      </xdr:blipFill>
      <xdr:spPr>
        <a:xfrm>
          <a:off x="742950" y="2314575"/>
          <a:ext cx="5172075" cy="3778250"/>
        </a:xfrm>
        <a:prstGeom prst="rect">
          <a:avLst/>
        </a:prstGeom>
      </xdr:spPr>
    </xdr:pic>
    <xdr:clientData/>
  </xdr:twoCellAnchor>
  <xdr:twoCellAnchor editAs="oneCell">
    <xdr:from>
      <xdr:col>11</xdr:col>
      <xdr:colOff>114300</xdr:colOff>
      <xdr:row>145</xdr:row>
      <xdr:rowOff>146050</xdr:rowOff>
    </xdr:from>
    <xdr:to>
      <xdr:col>14</xdr:col>
      <xdr:colOff>409575</xdr:colOff>
      <xdr:row>162</xdr:row>
      <xdr:rowOff>47625</xdr:rowOff>
    </xdr:to>
    <xdr:pic>
      <xdr:nvPicPr>
        <xdr:cNvPr id="3" name="Picture 2" descr="R-VALUES ZIP CODE 29600.jp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stretch>
          <a:fillRect/>
        </a:stretch>
      </xdr:blipFill>
      <xdr:spPr>
        <a:xfrm>
          <a:off x="6781800" y="26530300"/>
          <a:ext cx="2124075" cy="3644900"/>
        </a:xfrm>
        <a:prstGeom prst="rect">
          <a:avLst/>
        </a:prstGeom>
      </xdr:spPr>
    </xdr:pic>
    <xdr:clientData/>
  </xdr:twoCellAnchor>
  <xdr:twoCellAnchor editAs="oneCell">
    <xdr:from>
      <xdr:col>15</xdr:col>
      <xdr:colOff>47625</xdr:colOff>
      <xdr:row>146</xdr:row>
      <xdr:rowOff>28575</xdr:rowOff>
    </xdr:from>
    <xdr:to>
      <xdr:col>18</xdr:col>
      <xdr:colOff>457200</xdr:colOff>
      <xdr:row>155</xdr:row>
      <xdr:rowOff>215900</xdr:rowOff>
    </xdr:to>
    <xdr:pic>
      <xdr:nvPicPr>
        <xdr:cNvPr id="4" name="Picture 3" descr="R-VALUES ZIP CODE 29600-2.jpg">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stretch>
          <a:fillRect/>
        </a:stretch>
      </xdr:blipFill>
      <xdr:spPr>
        <a:xfrm>
          <a:off x="9391650" y="26603325"/>
          <a:ext cx="2057400" cy="2206625"/>
        </a:xfrm>
        <a:prstGeom prst="rect">
          <a:avLst/>
        </a:prstGeom>
      </xdr:spPr>
    </xdr:pic>
    <xdr:clientData/>
  </xdr:twoCellAnchor>
  <xdr:twoCellAnchor>
    <xdr:from>
      <xdr:col>1</xdr:col>
      <xdr:colOff>447675</xdr:colOff>
      <xdr:row>114</xdr:row>
      <xdr:rowOff>180974</xdr:rowOff>
    </xdr:from>
    <xdr:to>
      <xdr:col>8</xdr:col>
      <xdr:colOff>200025</xdr:colOff>
      <xdr:row>137</xdr:row>
      <xdr:rowOff>123825</xdr:rowOff>
    </xdr:to>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742950" y="23117174"/>
          <a:ext cx="5467350" cy="45529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The </a:t>
          </a:r>
          <a:r>
            <a:rPr lang="en-US" sz="1200" b="1">
              <a:latin typeface="Arial" panose="020B0604020202020204" pitchFamily="34" charset="0"/>
              <a:cs typeface="Arial" panose="020B0604020202020204" pitchFamily="34" charset="0"/>
            </a:rPr>
            <a:t>R-value</a:t>
          </a:r>
          <a:r>
            <a:rPr lang="en-US" sz="1200">
              <a:latin typeface="Arial" panose="020B0604020202020204" pitchFamily="34" charset="0"/>
              <a:cs typeface="Arial" panose="020B0604020202020204" pitchFamily="34" charset="0"/>
            </a:rPr>
            <a:t> is a measure of </a:t>
          </a:r>
          <a:r>
            <a:rPr lang="en-US" sz="1200">
              <a:latin typeface="Arial" panose="020B0604020202020204" pitchFamily="34" charset="0"/>
              <a:cs typeface="Arial" panose="020B0604020202020204" pitchFamily="34" charset="0"/>
              <a:hlinkClick xmlns:r="http://schemas.openxmlformats.org/officeDocument/2006/relationships" r:id=""/>
            </a:rPr>
            <a:t>thermal resistance</a:t>
          </a:r>
          <a:r>
            <a:rPr lang="en-US" sz="1200">
              <a:latin typeface="Arial" panose="020B0604020202020204" pitchFamily="34" charset="0"/>
              <a:cs typeface="Arial" panose="020B0604020202020204" pitchFamily="34" charset="0"/>
            </a:rPr>
            <a:t> </a:t>
          </a:r>
          <a:r>
            <a:rPr lang="en-US" sz="1200" baseline="30000">
              <a:latin typeface="Arial" panose="020B0604020202020204" pitchFamily="34" charset="0"/>
              <a:cs typeface="Arial" panose="020B0604020202020204" pitchFamily="34" charset="0"/>
              <a:hlinkClick xmlns:r="http://schemas.openxmlformats.org/officeDocument/2006/relationships" r:id=""/>
            </a:rPr>
            <a:t>[1]</a:t>
          </a:r>
          <a:r>
            <a:rPr lang="en-US" sz="1200">
              <a:latin typeface="Arial" panose="020B0604020202020204" pitchFamily="34" charset="0"/>
              <a:cs typeface="Arial" panose="020B0604020202020204" pitchFamily="34" charset="0"/>
            </a:rPr>
            <a:t> used in the building and </a:t>
          </a:r>
          <a:r>
            <a:rPr lang="en-US" sz="1200" u="none">
              <a:latin typeface="Arial" panose="020B0604020202020204" pitchFamily="34" charset="0"/>
              <a:cs typeface="Arial" panose="020B0604020202020204" pitchFamily="34" charset="0"/>
              <a:hlinkClick xmlns:r="http://schemas.openxmlformats.org/officeDocument/2006/relationships" r:id=""/>
            </a:rPr>
            <a:t>construction</a:t>
          </a:r>
          <a:r>
            <a:rPr lang="en-US" sz="1200" u="none">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industry.</a:t>
          </a: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Under uniform conditions it is the ratio of the temperature difference across an insulator and the </a:t>
          </a:r>
          <a:r>
            <a:rPr lang="en-US" sz="1200">
              <a:latin typeface="Arial" panose="020B0604020202020204" pitchFamily="34" charset="0"/>
              <a:cs typeface="Arial" panose="020B0604020202020204" pitchFamily="34" charset="0"/>
              <a:hlinkClick xmlns:r="http://schemas.openxmlformats.org/officeDocument/2006/relationships" r:id=""/>
            </a:rPr>
            <a:t>heat flux</a:t>
          </a:r>
          <a:r>
            <a:rPr lang="en-US" sz="1200">
              <a:latin typeface="Arial" panose="020B0604020202020204" pitchFamily="34" charset="0"/>
              <a:cs typeface="Arial" panose="020B0604020202020204" pitchFamily="34" charset="0"/>
            </a:rPr>
            <a:t> (heat transfer per unit area, ) through it or .</a:t>
          </a: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The R-value being discussed is the unit thermal resistance.                                                                                                                         </a:t>
          </a:r>
          <a:r>
            <a:rPr lang="en-US" sz="1200" b="1">
              <a:latin typeface="Arial" panose="020B0604020202020204" pitchFamily="34" charset="0"/>
              <a:cs typeface="Arial" panose="020B0604020202020204" pitchFamily="34" charset="0"/>
            </a:rPr>
            <a:t>U-value</a:t>
          </a: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The </a:t>
          </a:r>
          <a:r>
            <a:rPr lang="en-US" sz="1200" i="1">
              <a:latin typeface="Arial" panose="020B0604020202020204" pitchFamily="34" charset="0"/>
              <a:cs typeface="Arial" panose="020B0604020202020204" pitchFamily="34" charset="0"/>
            </a:rPr>
            <a:t>U-value</a:t>
          </a:r>
          <a:r>
            <a:rPr lang="en-US" sz="1200">
              <a:latin typeface="Arial" panose="020B0604020202020204" pitchFamily="34" charset="0"/>
              <a:cs typeface="Arial" panose="020B0604020202020204" pitchFamily="34" charset="0"/>
            </a:rPr>
            <a:t> (or </a:t>
          </a:r>
          <a:r>
            <a:rPr lang="en-US" sz="1200" i="1">
              <a:latin typeface="Arial" panose="020B0604020202020204" pitchFamily="34" charset="0"/>
              <a:cs typeface="Arial" panose="020B0604020202020204" pitchFamily="34" charset="0"/>
            </a:rPr>
            <a:t>U-factor</a:t>
          </a:r>
          <a:r>
            <a:rPr lang="en-US" sz="1200">
              <a:latin typeface="Arial" panose="020B0604020202020204" pitchFamily="34" charset="0"/>
              <a:cs typeface="Arial" panose="020B0604020202020204" pitchFamily="34" charset="0"/>
            </a:rPr>
            <a:t>), more correctly called the </a:t>
          </a:r>
          <a:r>
            <a:rPr lang="en-US" sz="1200">
              <a:latin typeface="Arial" panose="020B0604020202020204" pitchFamily="34" charset="0"/>
              <a:cs typeface="Arial" panose="020B0604020202020204" pitchFamily="34" charset="0"/>
              <a:hlinkClick xmlns:r="http://schemas.openxmlformats.org/officeDocument/2006/relationships" r:id=""/>
            </a:rPr>
            <a:t>overall heat transfer coefficient</a:t>
          </a:r>
          <a:r>
            <a:rPr lang="en-US" sz="1200">
              <a:latin typeface="Arial" panose="020B0604020202020204" pitchFamily="34" charset="0"/>
              <a:cs typeface="Arial" panose="020B0604020202020204" pitchFamily="34" charset="0"/>
            </a:rPr>
            <a:t>, describes how well a building element conducts heat. </a:t>
          </a: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It measures the rate of heat transfer through a building element over a given area, under standardized conditions. </a:t>
          </a: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The usual standard is at a temperature gradient of 24 °C, at 50% </a:t>
          </a:r>
          <a:r>
            <a:rPr lang="en-US" sz="1200">
              <a:latin typeface="Arial" panose="020B0604020202020204" pitchFamily="34" charset="0"/>
              <a:cs typeface="Arial" panose="020B0604020202020204" pitchFamily="34" charset="0"/>
              <a:hlinkClick xmlns:r="http://schemas.openxmlformats.org/officeDocument/2006/relationships" r:id=""/>
            </a:rPr>
            <a:t>humidity</a:t>
          </a:r>
          <a:r>
            <a:rPr lang="en-US" sz="1200">
              <a:latin typeface="Arial" panose="020B0604020202020204" pitchFamily="34" charset="0"/>
              <a:cs typeface="Arial" panose="020B0604020202020204" pitchFamily="34" charset="0"/>
            </a:rPr>
            <a:t> with no wind</a:t>
          </a:r>
          <a:r>
            <a:rPr lang="en-US" sz="1200" baseline="30000">
              <a:latin typeface="Arial" panose="020B0604020202020204" pitchFamily="34" charset="0"/>
              <a:cs typeface="Arial" panose="020B0604020202020204" pitchFamily="34" charset="0"/>
              <a:hlinkClick xmlns:r="http://schemas.openxmlformats.org/officeDocument/2006/relationships" r:id=""/>
            </a:rPr>
            <a:t>[6]</a:t>
          </a:r>
          <a:r>
            <a:rPr lang="en-US" sz="1200">
              <a:latin typeface="Arial" panose="020B0604020202020204" pitchFamily="34" charset="0"/>
              <a:cs typeface="Arial" panose="020B0604020202020204" pitchFamily="34" charset="0"/>
            </a:rPr>
            <a:t> (a smaller </a:t>
          </a:r>
          <a:r>
            <a:rPr lang="en-US" sz="1200" i="1">
              <a:latin typeface="Arial" panose="020B0604020202020204" pitchFamily="34" charset="0"/>
              <a:cs typeface="Arial" panose="020B0604020202020204" pitchFamily="34" charset="0"/>
            </a:rPr>
            <a:t>U-value</a:t>
          </a:r>
          <a:r>
            <a:rPr lang="en-US" sz="1200">
              <a:latin typeface="Arial" panose="020B0604020202020204" pitchFamily="34" charset="0"/>
              <a:cs typeface="Arial" panose="020B0604020202020204" pitchFamily="34" charset="0"/>
            </a:rPr>
            <a:t> is better at reducing heat transfer).</a:t>
          </a:r>
        </a:p>
        <a:p>
          <a:r>
            <a:rPr lang="en-US" sz="1200" i="1">
              <a:latin typeface="Arial" panose="020B0604020202020204" pitchFamily="34" charset="0"/>
              <a:cs typeface="Arial" panose="020B0604020202020204" pitchFamily="34" charset="0"/>
            </a:rPr>
            <a:t>U</a:t>
          </a:r>
          <a:r>
            <a:rPr lang="en-US" sz="1200">
              <a:latin typeface="Arial" panose="020B0604020202020204" pitchFamily="34" charset="0"/>
              <a:cs typeface="Arial" panose="020B0604020202020204" pitchFamily="34" charset="0"/>
            </a:rPr>
            <a:t> is the inverse of </a:t>
          </a:r>
          <a:r>
            <a:rPr lang="en-US" sz="1200" i="1">
              <a:latin typeface="Arial" panose="020B0604020202020204" pitchFamily="34" charset="0"/>
              <a:cs typeface="Arial" panose="020B0604020202020204" pitchFamily="34" charset="0"/>
            </a:rPr>
            <a:t>R</a:t>
          </a:r>
          <a:r>
            <a:rPr lang="en-US" sz="1200">
              <a:latin typeface="Arial" panose="020B0604020202020204" pitchFamily="34" charset="0"/>
              <a:cs typeface="Arial" panose="020B0604020202020204" pitchFamily="34" charset="0"/>
            </a:rPr>
            <a:t> with SI units of W/(m²K) and US units of BTU/(h °F ft²);</a:t>
          </a:r>
        </a:p>
        <a:p>
          <a:br>
            <a:rPr lang="en-US" sz="1200">
              <a:latin typeface="Arial" panose="020B0604020202020204" pitchFamily="34" charset="0"/>
              <a:cs typeface="Arial" panose="020B0604020202020204" pitchFamily="34" charset="0"/>
            </a:rPr>
          </a:br>
          <a:r>
            <a:rPr lang="en-US" sz="1200">
              <a:latin typeface="Arial" panose="020B0604020202020204" pitchFamily="34" charset="0"/>
              <a:cs typeface="Arial" panose="020B0604020202020204" pitchFamily="34" charset="0"/>
            </a:rPr>
            <a:t>where </a:t>
          </a:r>
          <a:r>
            <a:rPr lang="en-US" sz="1200" i="1">
              <a:latin typeface="Arial" panose="020B0604020202020204" pitchFamily="34" charset="0"/>
              <a:cs typeface="Arial" panose="020B0604020202020204" pitchFamily="34" charset="0"/>
            </a:rPr>
            <a:t>k</a:t>
          </a:r>
          <a:r>
            <a:rPr lang="en-US" sz="1200">
              <a:latin typeface="Arial" panose="020B0604020202020204" pitchFamily="34" charset="0"/>
              <a:cs typeface="Arial" panose="020B0604020202020204" pitchFamily="34" charset="0"/>
            </a:rPr>
            <a:t> is the material's thermal conductivity and </a:t>
          </a:r>
          <a:r>
            <a:rPr lang="en-US" sz="1200" i="1">
              <a:latin typeface="Arial" panose="020B0604020202020204" pitchFamily="34" charset="0"/>
              <a:cs typeface="Arial" panose="020B0604020202020204" pitchFamily="34" charset="0"/>
            </a:rPr>
            <a:t>L</a:t>
          </a:r>
          <a:r>
            <a:rPr lang="en-US" sz="1200">
              <a:latin typeface="Arial" panose="020B0604020202020204" pitchFamily="34" charset="0"/>
              <a:cs typeface="Arial" panose="020B0604020202020204" pitchFamily="34" charset="0"/>
            </a:rPr>
            <a:t> is its thickness.</a:t>
          </a: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See also: </a:t>
          </a:r>
          <a:r>
            <a:rPr lang="en-US" sz="1200">
              <a:latin typeface="Arial" panose="020B0604020202020204" pitchFamily="34" charset="0"/>
              <a:cs typeface="Arial" panose="020B0604020202020204" pitchFamily="34" charset="0"/>
              <a:hlinkClick xmlns:r="http://schemas.openxmlformats.org/officeDocument/2006/relationships" r:id=""/>
            </a:rPr>
            <a:t>tog (unit)</a:t>
          </a:r>
          <a:r>
            <a:rPr lang="en-US" sz="1200">
              <a:latin typeface="Arial" panose="020B0604020202020204" pitchFamily="34" charset="0"/>
              <a:cs typeface="Arial" panose="020B0604020202020204" pitchFamily="34" charset="0"/>
            </a:rPr>
            <a:t> or Thermal Overall Grade (where 1 tog = 0.1 m² K / W), used for </a:t>
          </a:r>
          <a:r>
            <a:rPr lang="en-US" sz="1200">
              <a:latin typeface="Arial" panose="020B0604020202020204" pitchFamily="34" charset="0"/>
              <a:cs typeface="Arial" panose="020B0604020202020204" pitchFamily="34" charset="0"/>
              <a:hlinkClick xmlns:r="http://schemas.openxmlformats.org/officeDocument/2006/relationships" r:id=""/>
            </a:rPr>
            <a:t>duvet</a:t>
          </a:r>
          <a:r>
            <a:rPr lang="en-US" sz="1200">
              <a:latin typeface="Arial" panose="020B0604020202020204" pitchFamily="34" charset="0"/>
              <a:cs typeface="Arial" panose="020B0604020202020204" pitchFamily="34" charset="0"/>
            </a:rPr>
            <a:t> rating.</a:t>
          </a:r>
        </a:p>
        <a:p>
          <a:endParaRPr lang="en-US" sz="1100"/>
        </a:p>
      </xdr:txBody>
    </xdr:sp>
    <xdr:clientData/>
  </xdr:twoCellAnchor>
  <xdr:twoCellAnchor>
    <xdr:from>
      <xdr:col>10</xdr:col>
      <xdr:colOff>323850</xdr:colOff>
      <xdr:row>16</xdr:row>
      <xdr:rowOff>76200</xdr:rowOff>
    </xdr:from>
    <xdr:to>
      <xdr:col>19</xdr:col>
      <xdr:colOff>9525</xdr:colOff>
      <xdr:row>21</xdr:row>
      <xdr:rowOff>161925</xdr:rowOff>
    </xdr:to>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6191250" y="3228975"/>
          <a:ext cx="4895850" cy="1038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i="0" u="sng" baseline="0">
              <a:solidFill>
                <a:schemeClr val="dk1"/>
              </a:solidFill>
              <a:latin typeface="+mn-lt"/>
              <a:ea typeface="+mn-ea"/>
              <a:cs typeface="+mn-cs"/>
            </a:rPr>
            <a:t>Sensible Heat is the heat content causing an increase in dry-bulb temperature. </a:t>
          </a:r>
        </a:p>
        <a:p>
          <a:r>
            <a:rPr lang="en-US" sz="1100" b="1" i="0" u="none" baseline="0">
              <a:solidFill>
                <a:schemeClr val="dk1"/>
              </a:solidFill>
              <a:latin typeface="+mn-lt"/>
              <a:ea typeface="+mn-ea"/>
              <a:cs typeface="+mn-cs"/>
            </a:rPr>
            <a:t>-                                                                                                                                                             </a:t>
          </a:r>
          <a:r>
            <a:rPr lang="en-US" sz="1100" b="1" i="0" u="sng" baseline="0">
              <a:solidFill>
                <a:schemeClr val="dk1"/>
              </a:solidFill>
              <a:latin typeface="+mn-lt"/>
              <a:ea typeface="+mn-ea"/>
              <a:cs typeface="+mn-cs"/>
            </a:rPr>
            <a:t>Latent Heat is the heat content due to the presence of water vapor in the atmosphere. It is the heat which was required to evaporate the given amount of moisture. </a:t>
          </a:r>
          <a:endParaRPr lang="en-US" sz="1100" b="1" i="0"/>
        </a:p>
      </xdr:txBody>
    </xdr:sp>
    <xdr:clientData/>
  </xdr:twoCellAnchor>
  <xdr:twoCellAnchor editAs="oneCell">
    <xdr:from>
      <xdr:col>0</xdr:col>
      <xdr:colOff>66675</xdr:colOff>
      <xdr:row>207</xdr:row>
      <xdr:rowOff>0</xdr:rowOff>
    </xdr:from>
    <xdr:to>
      <xdr:col>8</xdr:col>
      <xdr:colOff>644525</xdr:colOff>
      <xdr:row>229</xdr:row>
      <xdr:rowOff>9525</xdr:rowOff>
    </xdr:to>
    <xdr:pic>
      <xdr:nvPicPr>
        <xdr:cNvPr id="10" name="Picture 9" descr="F FACTORS-1.jpg">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4" cstate="print"/>
        <a:stretch>
          <a:fillRect/>
        </a:stretch>
      </xdr:blipFill>
      <xdr:spPr>
        <a:xfrm>
          <a:off x="66675" y="38471475"/>
          <a:ext cx="6588125" cy="4200525"/>
        </a:xfrm>
        <a:prstGeom prst="rect">
          <a:avLst/>
        </a:prstGeom>
      </xdr:spPr>
    </xdr:pic>
    <xdr:clientData/>
  </xdr:twoCellAnchor>
  <xdr:twoCellAnchor editAs="oneCell">
    <xdr:from>
      <xdr:col>10</xdr:col>
      <xdr:colOff>273050</xdr:colOff>
      <xdr:row>49</xdr:row>
      <xdr:rowOff>133350</xdr:rowOff>
    </xdr:from>
    <xdr:to>
      <xdr:col>25</xdr:col>
      <xdr:colOff>368300</xdr:colOff>
      <xdr:row>71</xdr:row>
      <xdr:rowOff>0</xdr:rowOff>
    </xdr:to>
    <xdr:pic>
      <xdr:nvPicPr>
        <xdr:cNvPr id="12" name="Picture 11" descr="CHART-WINTER-2.jpg">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5" cstate="print"/>
        <a:stretch>
          <a:fillRect/>
        </a:stretch>
      </xdr:blipFill>
      <xdr:spPr>
        <a:xfrm>
          <a:off x="6378575" y="9696450"/>
          <a:ext cx="8972550" cy="4267200"/>
        </a:xfrm>
        <a:prstGeom prst="rect">
          <a:avLst/>
        </a:prstGeom>
      </xdr:spPr>
    </xdr:pic>
    <xdr:clientData/>
  </xdr:twoCellAnchor>
  <xdr:twoCellAnchor editAs="oneCell">
    <xdr:from>
      <xdr:col>10</xdr:col>
      <xdr:colOff>590550</xdr:colOff>
      <xdr:row>95</xdr:row>
      <xdr:rowOff>76200</xdr:rowOff>
    </xdr:from>
    <xdr:to>
      <xdr:col>17</xdr:col>
      <xdr:colOff>447675</xdr:colOff>
      <xdr:row>104</xdr:row>
      <xdr:rowOff>152400</xdr:rowOff>
    </xdr:to>
    <xdr:pic>
      <xdr:nvPicPr>
        <xdr:cNvPr id="13" name="Picture 12" descr="GLASS AREA.jpg">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6" cstate="print"/>
        <a:stretch>
          <a:fillRect/>
        </a:stretch>
      </xdr:blipFill>
      <xdr:spPr>
        <a:xfrm>
          <a:off x="6667500" y="18573750"/>
          <a:ext cx="4152900" cy="1971675"/>
        </a:xfrm>
        <a:prstGeom prst="rect">
          <a:avLst/>
        </a:prstGeom>
      </xdr:spPr>
    </xdr:pic>
    <xdr:clientData/>
  </xdr:twoCellAnchor>
  <xdr:twoCellAnchor editAs="oneCell">
    <xdr:from>
      <xdr:col>0</xdr:col>
      <xdr:colOff>0</xdr:colOff>
      <xdr:row>179</xdr:row>
      <xdr:rowOff>104775</xdr:rowOff>
    </xdr:from>
    <xdr:to>
      <xdr:col>6</xdr:col>
      <xdr:colOff>114300</xdr:colOff>
      <xdr:row>203</xdr:row>
      <xdr:rowOff>19050</xdr:rowOff>
    </xdr:to>
    <xdr:pic>
      <xdr:nvPicPr>
        <xdr:cNvPr id="15" name="Picture 14" descr="SLAB ON GRADE-1.jpg">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7" cstate="print"/>
        <a:stretch>
          <a:fillRect/>
        </a:stretch>
      </xdr:blipFill>
      <xdr:spPr>
        <a:xfrm>
          <a:off x="0" y="33242250"/>
          <a:ext cx="4629150" cy="4600575"/>
        </a:xfrm>
        <a:prstGeom prst="rect">
          <a:avLst/>
        </a:prstGeom>
      </xdr:spPr>
    </xdr:pic>
    <xdr:clientData/>
  </xdr:twoCellAnchor>
  <xdr:twoCellAnchor editAs="oneCell">
    <xdr:from>
      <xdr:col>11</xdr:col>
      <xdr:colOff>542925</xdr:colOff>
      <xdr:row>163</xdr:row>
      <xdr:rowOff>47625</xdr:rowOff>
    </xdr:from>
    <xdr:to>
      <xdr:col>15</xdr:col>
      <xdr:colOff>457200</xdr:colOff>
      <xdr:row>174</xdr:row>
      <xdr:rowOff>85725</xdr:rowOff>
    </xdr:to>
    <xdr:pic>
      <xdr:nvPicPr>
        <xdr:cNvPr id="16" name="Picture 15" descr="R-VALUES-2.jpg">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8" cstate="print"/>
        <a:stretch>
          <a:fillRect/>
        </a:stretch>
      </xdr:blipFill>
      <xdr:spPr>
        <a:xfrm>
          <a:off x="6743700" y="30070425"/>
          <a:ext cx="2362200" cy="2333625"/>
        </a:xfrm>
        <a:prstGeom prst="rect">
          <a:avLst/>
        </a:prstGeom>
      </xdr:spPr>
    </xdr:pic>
    <xdr:clientData/>
  </xdr:twoCellAnchor>
  <xdr:twoCellAnchor editAs="oneCell">
    <xdr:from>
      <xdr:col>10</xdr:col>
      <xdr:colOff>95250</xdr:colOff>
      <xdr:row>176</xdr:row>
      <xdr:rowOff>57150</xdr:rowOff>
    </xdr:from>
    <xdr:to>
      <xdr:col>20</xdr:col>
      <xdr:colOff>200025</xdr:colOff>
      <xdr:row>182</xdr:row>
      <xdr:rowOff>171450</xdr:rowOff>
    </xdr:to>
    <xdr:pic>
      <xdr:nvPicPr>
        <xdr:cNvPr id="17" name="Picture 16" descr="R-VALUES-1.jpg">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9" cstate="print"/>
        <a:stretch>
          <a:fillRect/>
        </a:stretch>
      </xdr:blipFill>
      <xdr:spPr>
        <a:xfrm>
          <a:off x="5962650" y="32613600"/>
          <a:ext cx="5934075" cy="12858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161925</xdr:colOff>
      <xdr:row>6</xdr:row>
      <xdr:rowOff>136525</xdr:rowOff>
    </xdr:from>
    <xdr:to>
      <xdr:col>5</xdr:col>
      <xdr:colOff>558800</xdr:colOff>
      <xdr:row>13</xdr:row>
      <xdr:rowOff>50800</xdr:rowOff>
    </xdr:to>
    <xdr:pic>
      <xdr:nvPicPr>
        <xdr:cNvPr id="3" name="Picture 2" descr="RECTANGLE - CIRCLE.jpg">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stretch>
          <a:fillRect/>
        </a:stretch>
      </xdr:blipFill>
      <xdr:spPr>
        <a:xfrm>
          <a:off x="1038225" y="1450975"/>
          <a:ext cx="2549525" cy="1304925"/>
        </a:xfrm>
        <a:prstGeom prst="rect">
          <a:avLst/>
        </a:prstGeom>
      </xdr:spPr>
    </xdr:pic>
    <xdr:clientData/>
  </xdr:twoCellAnchor>
  <xdr:twoCellAnchor>
    <xdr:from>
      <xdr:col>10</xdr:col>
      <xdr:colOff>523875</xdr:colOff>
      <xdr:row>41</xdr:row>
      <xdr:rowOff>171450</xdr:rowOff>
    </xdr:from>
    <xdr:to>
      <xdr:col>15</xdr:col>
      <xdr:colOff>314325</xdr:colOff>
      <xdr:row>48</xdr:row>
      <xdr:rowOff>95250</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6867525" y="9286875"/>
          <a:ext cx="3314700" cy="1285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200" b="1">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Air velocities in ducts should not exceed certain limits to avoid high pressure losses and unacceptable noise generation. The values below are common guidelines for some typical applications.   </a:t>
          </a:r>
        </a:p>
      </xdr:txBody>
    </xdr:sp>
    <xdr:clientData/>
  </xdr:twoCellAnchor>
  <xdr:twoCellAnchor editAs="oneCell">
    <xdr:from>
      <xdr:col>7</xdr:col>
      <xdr:colOff>314325</xdr:colOff>
      <xdr:row>169</xdr:row>
      <xdr:rowOff>142874</xdr:rowOff>
    </xdr:from>
    <xdr:to>
      <xdr:col>14</xdr:col>
      <xdr:colOff>762589</xdr:colOff>
      <xdr:row>194</xdr:row>
      <xdr:rowOff>133349</xdr:rowOff>
    </xdr:to>
    <xdr:pic>
      <xdr:nvPicPr>
        <xdr:cNvPr id="7" name="Picture 6" descr="FAN ZONES-2.jpg">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cstate="print"/>
        <a:stretch>
          <a:fillRect/>
        </a:stretch>
      </xdr:blipFill>
      <xdr:spPr>
        <a:xfrm>
          <a:off x="4876800" y="38471474"/>
          <a:ext cx="4982164" cy="5133975"/>
        </a:xfrm>
        <a:prstGeom prst="rect">
          <a:avLst/>
        </a:prstGeom>
      </xdr:spPr>
    </xdr:pic>
    <xdr:clientData/>
  </xdr:twoCellAnchor>
  <xdr:twoCellAnchor editAs="oneCell">
    <xdr:from>
      <xdr:col>1</xdr:col>
      <xdr:colOff>352425</xdr:colOff>
      <xdr:row>54</xdr:row>
      <xdr:rowOff>171450</xdr:rowOff>
    </xdr:from>
    <xdr:to>
      <xdr:col>11</xdr:col>
      <xdr:colOff>38100</xdr:colOff>
      <xdr:row>73</xdr:row>
      <xdr:rowOff>101600</xdr:rowOff>
    </xdr:to>
    <xdr:pic>
      <xdr:nvPicPr>
        <xdr:cNvPr id="10" name="Picture 9" descr="DUCTING-1.jpg">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3" cstate="print"/>
        <a:stretch>
          <a:fillRect/>
        </a:stretch>
      </xdr:blipFill>
      <xdr:spPr>
        <a:xfrm>
          <a:off x="685800" y="15135225"/>
          <a:ext cx="6610350" cy="3549650"/>
        </a:xfrm>
        <a:prstGeom prst="rect">
          <a:avLst/>
        </a:prstGeom>
      </xdr:spPr>
    </xdr:pic>
    <xdr:clientData/>
  </xdr:twoCellAnchor>
  <xdr:twoCellAnchor editAs="oneCell">
    <xdr:from>
      <xdr:col>1</xdr:col>
      <xdr:colOff>444500</xdr:colOff>
      <xdr:row>113</xdr:row>
      <xdr:rowOff>111125</xdr:rowOff>
    </xdr:from>
    <xdr:to>
      <xdr:col>9</xdr:col>
      <xdr:colOff>733425</xdr:colOff>
      <xdr:row>128</xdr:row>
      <xdr:rowOff>152400</xdr:rowOff>
    </xdr:to>
    <xdr:pic>
      <xdr:nvPicPr>
        <xdr:cNvPr id="14" name="Picture 13" descr="DUCTING-MASTER-0.jpg">
          <a:extLst>
            <a:ext uri="{FF2B5EF4-FFF2-40B4-BE49-F238E27FC236}">
              <a16:creationId xmlns:a16="http://schemas.microsoft.com/office/drawing/2014/main" id="{00000000-0008-0000-0500-00000E000000}"/>
            </a:ext>
          </a:extLst>
        </xdr:cNvPr>
        <xdr:cNvPicPr>
          <a:picLocks noChangeAspect="1"/>
        </xdr:cNvPicPr>
      </xdr:nvPicPr>
      <xdr:blipFill>
        <a:blip xmlns:r="http://schemas.openxmlformats.org/officeDocument/2006/relationships" r:embed="rId4" cstate="print"/>
        <a:stretch>
          <a:fillRect/>
        </a:stretch>
      </xdr:blipFill>
      <xdr:spPr>
        <a:xfrm>
          <a:off x="774700" y="18094325"/>
          <a:ext cx="5419725" cy="2898775"/>
        </a:xfrm>
        <a:prstGeom prst="rect">
          <a:avLst/>
        </a:prstGeom>
      </xdr:spPr>
    </xdr:pic>
    <xdr:clientData/>
  </xdr:twoCellAnchor>
  <xdr:twoCellAnchor editAs="oneCell">
    <xdr:from>
      <xdr:col>10</xdr:col>
      <xdr:colOff>714375</xdr:colOff>
      <xdr:row>31</xdr:row>
      <xdr:rowOff>57150</xdr:rowOff>
    </xdr:from>
    <xdr:to>
      <xdr:col>14</xdr:col>
      <xdr:colOff>105074</xdr:colOff>
      <xdr:row>38</xdr:row>
      <xdr:rowOff>152609</xdr:rowOff>
    </xdr:to>
    <xdr:pic>
      <xdr:nvPicPr>
        <xdr:cNvPr id="2" name="Picture 1">
          <a:extLst>
            <a:ext uri="{FF2B5EF4-FFF2-40B4-BE49-F238E27FC236}">
              <a16:creationId xmlns:a16="http://schemas.microsoft.com/office/drawing/2014/main" id="{7AC26283-4812-1A04-699D-5534B7E929A4}"/>
            </a:ext>
          </a:extLst>
        </xdr:cNvPr>
        <xdr:cNvPicPr>
          <a:picLocks noChangeAspect="1"/>
        </xdr:cNvPicPr>
      </xdr:nvPicPr>
      <xdr:blipFill>
        <a:blip xmlns:r="http://schemas.openxmlformats.org/officeDocument/2006/relationships" r:embed="rId5"/>
        <a:stretch>
          <a:fillRect/>
        </a:stretch>
      </xdr:blipFill>
      <xdr:spPr>
        <a:xfrm>
          <a:off x="7058025" y="6381750"/>
          <a:ext cx="2143424" cy="149563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171450</xdr:colOff>
      <xdr:row>34</xdr:row>
      <xdr:rowOff>152400</xdr:rowOff>
    </xdr:from>
    <xdr:to>
      <xdr:col>12</xdr:col>
      <xdr:colOff>566814</xdr:colOff>
      <xdr:row>65</xdr:row>
      <xdr:rowOff>171450</xdr:rowOff>
    </xdr:to>
    <xdr:pic>
      <xdr:nvPicPr>
        <xdr:cNvPr id="2" name="Picture 1" descr="DEGREE DAYS ON WEB-1.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504825" y="7077075"/>
          <a:ext cx="8110614" cy="59245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600075</xdr:colOff>
      <xdr:row>90</xdr:row>
      <xdr:rowOff>28574</xdr:rowOff>
    </xdr:from>
    <xdr:to>
      <xdr:col>6</xdr:col>
      <xdr:colOff>466725</xdr:colOff>
      <xdr:row>103</xdr:row>
      <xdr:rowOff>47625</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981075" y="18945224"/>
          <a:ext cx="5114925" cy="2552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b="0" i="0">
            <a:solidFill>
              <a:schemeClr val="dk1"/>
            </a:solidFill>
            <a:latin typeface="+mn-lt"/>
            <a:ea typeface="+mn-ea"/>
            <a:cs typeface="+mn-cs"/>
          </a:endParaRPr>
        </a:p>
        <a:p>
          <a:r>
            <a:rPr lang="en-US" sz="1100" b="0" i="0">
              <a:solidFill>
                <a:schemeClr val="dk1"/>
              </a:solidFill>
              <a:latin typeface="+mn-lt"/>
              <a:ea typeface="+mn-ea"/>
              <a:cs typeface="+mn-cs"/>
            </a:rPr>
            <a:t>1 Btu = quantity of heat needed to raise 1 lb of water from 59.5</a:t>
          </a:r>
          <a:r>
            <a:rPr lang="en-US" sz="1100" b="0" i="0" baseline="30000">
              <a:solidFill>
                <a:schemeClr val="dk1"/>
              </a:solidFill>
              <a:latin typeface="+mn-lt"/>
              <a:ea typeface="+mn-ea"/>
              <a:cs typeface="+mn-cs"/>
            </a:rPr>
            <a:t>o</a:t>
          </a:r>
          <a:r>
            <a:rPr lang="en-US" sz="1100" b="0" i="0">
              <a:solidFill>
                <a:schemeClr val="dk1"/>
              </a:solidFill>
              <a:latin typeface="+mn-lt"/>
              <a:ea typeface="+mn-ea"/>
              <a:cs typeface="+mn-cs"/>
            </a:rPr>
            <a:t>F to 60.5</a:t>
          </a:r>
          <a:r>
            <a:rPr lang="en-US" sz="1100" b="0" i="0" baseline="30000">
              <a:solidFill>
                <a:schemeClr val="dk1"/>
              </a:solidFill>
              <a:latin typeface="+mn-lt"/>
              <a:ea typeface="+mn-ea"/>
              <a:cs typeface="+mn-cs"/>
            </a:rPr>
            <a:t>o</a:t>
          </a:r>
          <a:r>
            <a:rPr lang="en-US" sz="1100" b="0" i="0">
              <a:solidFill>
                <a:schemeClr val="dk1"/>
              </a:solidFill>
              <a:latin typeface="+mn-lt"/>
              <a:ea typeface="+mn-ea"/>
              <a:cs typeface="+mn-cs"/>
            </a:rPr>
            <a:t>F (i.e. 1</a:t>
          </a:r>
          <a:r>
            <a:rPr lang="en-US" sz="1100" b="0" i="0" baseline="30000">
              <a:solidFill>
                <a:schemeClr val="dk1"/>
              </a:solidFill>
              <a:latin typeface="+mn-lt"/>
              <a:ea typeface="+mn-ea"/>
              <a:cs typeface="+mn-cs"/>
            </a:rPr>
            <a:t>o</a:t>
          </a:r>
          <a:r>
            <a:rPr lang="en-US" sz="1100" b="0" i="0">
              <a:solidFill>
                <a:schemeClr val="dk1"/>
              </a:solidFill>
              <a:latin typeface="+mn-lt"/>
              <a:ea typeface="+mn-ea"/>
              <a:cs typeface="+mn-cs"/>
            </a:rPr>
            <a:t>F) under 1 atm pressure.</a:t>
          </a:r>
          <a:br>
            <a:rPr lang="en-US" sz="1100"/>
          </a:br>
          <a:endParaRPr lang="en-US" sz="1100"/>
        </a:p>
        <a:p>
          <a:r>
            <a:rPr lang="en-US" sz="1100" b="0" i="0">
              <a:solidFill>
                <a:schemeClr val="dk1"/>
              </a:solidFill>
              <a:latin typeface="+mn-lt"/>
              <a:ea typeface="+mn-ea"/>
              <a:cs typeface="+mn-cs"/>
            </a:rPr>
            <a:t>1 Btu = 778.16 ft-lbs = 1055 J (1 joule = 1 N-m) = 252.2 cal</a:t>
          </a:r>
          <a:br>
            <a:rPr lang="en-US" sz="1100"/>
          </a:br>
          <a:endParaRPr lang="en-US" sz="1100"/>
        </a:p>
        <a:p>
          <a:r>
            <a:rPr lang="en-US" sz="1100" b="0" i="0">
              <a:solidFill>
                <a:schemeClr val="dk1"/>
              </a:solidFill>
              <a:latin typeface="+mn-lt"/>
              <a:ea typeface="+mn-ea"/>
              <a:cs typeface="+mn-cs"/>
            </a:rPr>
            <a:t>1 cal = amount of heat required to raise 1 g of watr from 14.5</a:t>
          </a:r>
          <a:r>
            <a:rPr lang="en-US" sz="1100" b="0" i="0" baseline="30000">
              <a:solidFill>
                <a:schemeClr val="dk1"/>
              </a:solidFill>
              <a:latin typeface="+mn-lt"/>
              <a:ea typeface="+mn-ea"/>
              <a:cs typeface="+mn-cs"/>
            </a:rPr>
            <a:t>o</a:t>
          </a:r>
          <a:r>
            <a:rPr lang="en-US" sz="1100" b="0" i="0">
              <a:solidFill>
                <a:schemeClr val="dk1"/>
              </a:solidFill>
              <a:latin typeface="+mn-lt"/>
              <a:ea typeface="+mn-ea"/>
              <a:cs typeface="+mn-cs"/>
            </a:rPr>
            <a:t>C to 15.5</a:t>
          </a:r>
          <a:r>
            <a:rPr lang="en-US" sz="1100" b="0" i="0" baseline="30000">
              <a:solidFill>
                <a:schemeClr val="dk1"/>
              </a:solidFill>
              <a:latin typeface="+mn-lt"/>
              <a:ea typeface="+mn-ea"/>
              <a:cs typeface="+mn-cs"/>
            </a:rPr>
            <a:t>o</a:t>
          </a:r>
          <a:r>
            <a:rPr lang="en-US" sz="1100" b="0" i="0">
              <a:solidFill>
                <a:schemeClr val="dk1"/>
              </a:solidFill>
              <a:latin typeface="+mn-lt"/>
              <a:ea typeface="+mn-ea"/>
              <a:cs typeface="+mn-cs"/>
            </a:rPr>
            <a:t>C (i.e. 1</a:t>
          </a:r>
          <a:r>
            <a:rPr lang="en-US" sz="1100" b="0" i="0" baseline="30000">
              <a:solidFill>
                <a:schemeClr val="dk1"/>
              </a:solidFill>
              <a:latin typeface="+mn-lt"/>
              <a:ea typeface="+mn-ea"/>
              <a:cs typeface="+mn-cs"/>
            </a:rPr>
            <a:t>o</a:t>
          </a:r>
          <a:r>
            <a:rPr lang="en-US" sz="1100" b="0" i="0">
              <a:solidFill>
                <a:schemeClr val="dk1"/>
              </a:solidFill>
              <a:latin typeface="+mn-lt"/>
              <a:ea typeface="+mn-ea"/>
              <a:cs typeface="+mn-cs"/>
            </a:rPr>
            <a:t>C)</a:t>
          </a:r>
          <a:br>
            <a:rPr lang="en-US" sz="1100"/>
          </a:br>
          <a:endParaRPr lang="en-US" sz="1100"/>
        </a:p>
        <a:p>
          <a:r>
            <a:rPr lang="en-US" sz="1100" b="0" i="0">
              <a:solidFill>
                <a:schemeClr val="dk1"/>
              </a:solidFill>
              <a:latin typeface="+mn-lt"/>
              <a:ea typeface="+mn-ea"/>
              <a:cs typeface="+mn-cs"/>
            </a:rPr>
            <a:t>1 cal = 4.184 joules (J)</a:t>
          </a:r>
          <a:br>
            <a:rPr lang="en-US"/>
          </a:br>
          <a:endParaRPr lang="en-US"/>
        </a:p>
        <a:p>
          <a:r>
            <a:rPr lang="en-US"/>
            <a:t>1 atmosphere = 1.01325 bar = 101.3 kPa = 14.696 psi (lbf/in2)= 760 mmHg                                             </a:t>
          </a:r>
        </a:p>
        <a:p>
          <a:endParaRPr lang="en-US"/>
        </a:p>
        <a:p>
          <a:r>
            <a:rPr lang="en-US"/>
            <a:t>1 pascal = 0.000145037738 pounds per square inch</a:t>
          </a:r>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644525</xdr:colOff>
      <xdr:row>19</xdr:row>
      <xdr:rowOff>50800</xdr:rowOff>
    </xdr:from>
    <xdr:to>
      <xdr:col>2</xdr:col>
      <xdr:colOff>1590675</xdr:colOff>
      <xdr:row>29</xdr:row>
      <xdr:rowOff>116142</xdr:rowOff>
    </xdr:to>
    <xdr:pic>
      <xdr:nvPicPr>
        <xdr:cNvPr id="2" name="Picture 1">
          <a:extLst>
            <a:ext uri="{FF2B5EF4-FFF2-40B4-BE49-F238E27FC236}">
              <a16:creationId xmlns:a16="http://schemas.microsoft.com/office/drawing/2014/main" id="{784D939A-FE26-4A28-A29C-154B89344D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4425" y="3911600"/>
          <a:ext cx="2946400" cy="2033842"/>
        </a:xfrm>
        <a:prstGeom prst="rect">
          <a:avLst/>
        </a:prstGeom>
      </xdr:spPr>
    </xdr:pic>
    <xdr:clientData/>
  </xdr:twoCellAnchor>
  <xdr:twoCellAnchor editAs="oneCell">
    <xdr:from>
      <xdr:col>4</xdr:col>
      <xdr:colOff>371475</xdr:colOff>
      <xdr:row>4</xdr:row>
      <xdr:rowOff>44451</xdr:rowOff>
    </xdr:from>
    <xdr:to>
      <xdr:col>6</xdr:col>
      <xdr:colOff>333375</xdr:colOff>
      <xdr:row>8</xdr:row>
      <xdr:rowOff>157672</xdr:rowOff>
    </xdr:to>
    <xdr:pic>
      <xdr:nvPicPr>
        <xdr:cNvPr id="4" name="Picture 3">
          <a:extLst>
            <a:ext uri="{FF2B5EF4-FFF2-40B4-BE49-F238E27FC236}">
              <a16:creationId xmlns:a16="http://schemas.microsoft.com/office/drawing/2014/main" id="{9D023DCB-C2BD-4B5C-A06E-03E7A3195E6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73950" y="647701"/>
          <a:ext cx="1314450" cy="849821"/>
        </a:xfrm>
        <a:prstGeom prst="rect">
          <a:avLst/>
        </a:prstGeom>
      </xdr:spPr>
    </xdr:pic>
    <xdr:clientData/>
  </xdr:twoCellAnchor>
  <xdr:twoCellAnchor editAs="oneCell">
    <xdr:from>
      <xdr:col>1</xdr:col>
      <xdr:colOff>0</xdr:colOff>
      <xdr:row>47</xdr:row>
      <xdr:rowOff>0</xdr:rowOff>
    </xdr:from>
    <xdr:to>
      <xdr:col>2</xdr:col>
      <xdr:colOff>82550</xdr:colOff>
      <xdr:row>54</xdr:row>
      <xdr:rowOff>155575</xdr:rowOff>
    </xdr:to>
    <xdr:pic>
      <xdr:nvPicPr>
        <xdr:cNvPr id="6" name="Picture 5">
          <a:extLst>
            <a:ext uri="{FF2B5EF4-FFF2-40B4-BE49-F238E27FC236}">
              <a16:creationId xmlns:a16="http://schemas.microsoft.com/office/drawing/2014/main" id="{686BB496-B8F3-4A15-9676-DA4E862DB61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47650" y="9401175"/>
          <a:ext cx="2082800" cy="1444625"/>
        </a:xfrm>
        <a:prstGeom prst="rect">
          <a:avLst/>
        </a:prstGeom>
      </xdr:spPr>
    </xdr:pic>
    <xdr:clientData/>
  </xdr:twoCellAnchor>
  <xdr:twoCellAnchor editAs="oneCell">
    <xdr:from>
      <xdr:col>2</xdr:col>
      <xdr:colOff>860425</xdr:colOff>
      <xdr:row>46</xdr:row>
      <xdr:rowOff>190500</xdr:rowOff>
    </xdr:from>
    <xdr:to>
      <xdr:col>5</xdr:col>
      <xdr:colOff>234950</xdr:colOff>
      <xdr:row>54</xdr:row>
      <xdr:rowOff>193675</xdr:rowOff>
    </xdr:to>
    <xdr:pic>
      <xdr:nvPicPr>
        <xdr:cNvPr id="7" name="Picture 6">
          <a:extLst>
            <a:ext uri="{FF2B5EF4-FFF2-40B4-BE49-F238E27FC236}">
              <a16:creationId xmlns:a16="http://schemas.microsoft.com/office/drawing/2014/main" id="{8CA25C0C-B63D-4651-BA09-0D213DB1937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330575" y="9442450"/>
          <a:ext cx="2581275" cy="1577975"/>
        </a:xfrm>
        <a:prstGeom prst="rect">
          <a:avLst/>
        </a:prstGeom>
      </xdr:spPr>
    </xdr:pic>
    <xdr:clientData/>
  </xdr:twoCellAnchor>
  <xdr:oneCellAnchor>
    <xdr:from>
      <xdr:col>7</xdr:col>
      <xdr:colOff>434976</xdr:colOff>
      <xdr:row>11</xdr:row>
      <xdr:rowOff>165100</xdr:rowOff>
    </xdr:from>
    <xdr:ext cx="2579300" cy="2828925"/>
    <xdr:pic>
      <xdr:nvPicPr>
        <xdr:cNvPr id="8" name="Picture 7">
          <a:extLst>
            <a:ext uri="{FF2B5EF4-FFF2-40B4-BE49-F238E27FC236}">
              <a16:creationId xmlns:a16="http://schemas.microsoft.com/office/drawing/2014/main" id="{CC95FAE1-7C2D-46BC-9EB4-925B224AD1D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7264401" y="2479675"/>
          <a:ext cx="2579300" cy="2828925"/>
        </a:xfrm>
        <a:prstGeom prst="rect">
          <a:avLst/>
        </a:prstGeom>
      </xdr:spPr>
    </xdr:pic>
    <xdr:clientData/>
  </xdr:oneCellAnchor>
  <xdr:oneCellAnchor>
    <xdr:from>
      <xdr:col>4</xdr:col>
      <xdr:colOff>88900</xdr:colOff>
      <xdr:row>11</xdr:row>
      <xdr:rowOff>53975</xdr:rowOff>
    </xdr:from>
    <xdr:ext cx="2317338" cy="3257550"/>
    <xdr:pic>
      <xdr:nvPicPr>
        <xdr:cNvPr id="10" name="Picture 9">
          <a:extLst>
            <a:ext uri="{FF2B5EF4-FFF2-40B4-BE49-F238E27FC236}">
              <a16:creationId xmlns:a16="http://schemas.microsoft.com/office/drawing/2014/main" id="{AAF1EDC5-0ABF-4F65-AC43-A6C641595FE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5022850" y="2339975"/>
          <a:ext cx="2317338" cy="3257550"/>
        </a:xfrm>
        <a:prstGeom prst="rect">
          <a:avLst/>
        </a:prstGeom>
      </xdr:spPr>
    </xdr:pic>
    <xdr:clientData/>
  </xdr:oneCellAnchor>
  <xdr:oneCellAnchor>
    <xdr:from>
      <xdr:col>4</xdr:col>
      <xdr:colOff>352425</xdr:colOff>
      <xdr:row>4</xdr:row>
      <xdr:rowOff>50801</xdr:rowOff>
    </xdr:from>
    <xdr:ext cx="1314450" cy="849821"/>
    <xdr:pic>
      <xdr:nvPicPr>
        <xdr:cNvPr id="11" name="Picture 10">
          <a:extLst>
            <a:ext uri="{FF2B5EF4-FFF2-40B4-BE49-F238E27FC236}">
              <a16:creationId xmlns:a16="http://schemas.microsoft.com/office/drawing/2014/main" id="{1DE7CAA1-FBDB-496B-9F6A-90582B5F8D5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89825" y="698501"/>
          <a:ext cx="1314450" cy="849821"/>
        </a:xfrm>
        <a:prstGeom prst="rect">
          <a:avLst/>
        </a:prstGeom>
      </xdr:spPr>
    </xdr:pic>
    <xdr:clientData/>
  </xdr:oneCellAnchor>
  <xdr:oneCellAnchor>
    <xdr:from>
      <xdr:col>11</xdr:col>
      <xdr:colOff>31750</xdr:colOff>
      <xdr:row>28</xdr:row>
      <xdr:rowOff>69850</xdr:rowOff>
    </xdr:from>
    <xdr:ext cx="4612488" cy="4073525"/>
    <xdr:pic>
      <xdr:nvPicPr>
        <xdr:cNvPr id="12" name="Picture 11">
          <a:extLst>
            <a:ext uri="{FF2B5EF4-FFF2-40B4-BE49-F238E27FC236}">
              <a16:creationId xmlns:a16="http://schemas.microsoft.com/office/drawing/2014/main" id="{E5F44CB8-DB05-4789-B104-21EDB71B7973}"/>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9607550" y="5702300"/>
          <a:ext cx="4612488" cy="407352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cribd.com/doc/7267863/HVAC-Engineering-Cookbook" TargetMode="External"/><Relationship Id="rId1" Type="http://schemas.openxmlformats.org/officeDocument/2006/relationships/hyperlink" Target="http://www.ageng.ndsu.nodak.edu/envr/psyc/2.HT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www.handsdownsoftware.com/Downloads.htm" TargetMode="External"/><Relationship Id="rId2" Type="http://schemas.openxmlformats.org/officeDocument/2006/relationships/hyperlink" Target="http://www.handsdownsoftware.com/Downloads.htm" TargetMode="External"/><Relationship Id="rId1" Type="http://schemas.openxmlformats.org/officeDocument/2006/relationships/hyperlink" Target="http://www.humiditycontrol.co.uk/chart.pdf"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handsdownsoftware.com/Downloads.htm" TargetMode="External"/><Relationship Id="rId1" Type="http://schemas.openxmlformats.org/officeDocument/2006/relationships/hyperlink" Target="http://www.handsdownsoftware.com/Downloads.htm"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ibpsa-boston.com/minutes/IBPSAboston-presentations_2011-09-16_Gowri.pdf" TargetMode="External"/><Relationship Id="rId7" Type="http://schemas.openxmlformats.org/officeDocument/2006/relationships/printerSettings" Target="../printerSettings/printerSettings4.bin"/><Relationship Id="rId2" Type="http://schemas.openxmlformats.org/officeDocument/2006/relationships/hyperlink" Target="http://www.ornl.gov/sci/roofs+walls/insulation/ins_16.html" TargetMode="External"/><Relationship Id="rId1" Type="http://schemas.openxmlformats.org/officeDocument/2006/relationships/hyperlink" Target="http://www.hvacware.net/engrproj.html" TargetMode="External"/><Relationship Id="rId6" Type="http://schemas.openxmlformats.org/officeDocument/2006/relationships/hyperlink" Target="http://www.ashrae.org/File%20Library/docLib/.../200418145036_347.pdf" TargetMode="External"/><Relationship Id="rId5" Type="http://schemas.openxmlformats.org/officeDocument/2006/relationships/hyperlink" Target="http://www.engineeringtoolbox.com/" TargetMode="External"/><Relationship Id="rId4" Type="http://schemas.openxmlformats.org/officeDocument/2006/relationships/hyperlink" Target="http://www.epa.gov/iaq/largebldgs/i-beam/text/hvac.html" TargetMode="Externa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ibpsa-boston.com/minutes/IBPSAboston-presentations_2011-09-16_Gowri.pdf" TargetMode="External"/><Relationship Id="rId7" Type="http://schemas.openxmlformats.org/officeDocument/2006/relationships/hyperlink" Target="http://www.ornl.gov/sci/buildings/2012/Session%20PDFs/92_New.pdf" TargetMode="External"/><Relationship Id="rId2" Type="http://schemas.openxmlformats.org/officeDocument/2006/relationships/hyperlink" Target="http://www.ornl.gov/sci/roofs+walls/insulation/ins_16.html" TargetMode="External"/><Relationship Id="rId1" Type="http://schemas.openxmlformats.org/officeDocument/2006/relationships/hyperlink" Target="http://www.hvacware.net/engrproj.html" TargetMode="External"/><Relationship Id="rId6" Type="http://schemas.openxmlformats.org/officeDocument/2006/relationships/hyperlink" Target="http://www.ashrae.org/File%20Library/docLib/.../200418145036_347.pdf" TargetMode="External"/><Relationship Id="rId5" Type="http://schemas.openxmlformats.org/officeDocument/2006/relationships/hyperlink" Target="http://www.engineeringtoolbox.com/" TargetMode="External"/><Relationship Id="rId4" Type="http://schemas.openxmlformats.org/officeDocument/2006/relationships/hyperlink" Target="http://www.epa.gov/iaq/largebldgs/i-beam/text/hvac.html" TargetMode="External"/><Relationship Id="rId9"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weatherdatadepot.com/?pi_ad_id=6251685145&amp;gclid=CI3m-PCK9q8CFcyb7Qod6j92FA"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inotek.com/conversions.html"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39"/>
  <sheetViews>
    <sheetView tabSelected="1" zoomScaleNormal="100" workbookViewId="0">
      <selection activeCell="M1" sqref="M1"/>
    </sheetView>
  </sheetViews>
  <sheetFormatPr defaultColWidth="8.7109375" defaultRowHeight="15" x14ac:dyDescent="0.2"/>
  <cols>
    <col min="1" max="1" width="4.5703125" style="17" customWidth="1"/>
    <col min="2" max="4" width="8.7109375" style="17"/>
    <col min="5" max="5" width="15.28515625" style="17" customWidth="1"/>
    <col min="6" max="10" width="8.7109375" style="17"/>
    <col min="11" max="11" width="23.5703125" style="17" customWidth="1"/>
    <col min="12" max="12" width="16.7109375" style="17" customWidth="1"/>
    <col min="13" max="14" width="8.7109375" style="17"/>
    <col min="15" max="15" width="11.5703125" style="17" customWidth="1"/>
    <col min="16" max="16" width="9.28515625" style="17" customWidth="1"/>
    <col min="17" max="16384" width="8.7109375" style="17"/>
  </cols>
  <sheetData>
    <row r="1" spans="1:21" ht="20.25" x14ac:dyDescent="0.3">
      <c r="A1" s="9"/>
      <c r="B1" s="129" t="s">
        <v>812</v>
      </c>
      <c r="C1" s="16"/>
      <c r="D1" s="18"/>
      <c r="E1" s="18"/>
      <c r="F1" s="18"/>
      <c r="L1" s="19"/>
      <c r="M1" s="19"/>
      <c r="O1" s="19"/>
      <c r="P1" s="19"/>
      <c r="Q1" s="19"/>
      <c r="R1" s="19"/>
      <c r="S1" s="19"/>
      <c r="T1" s="19"/>
      <c r="U1" s="19"/>
    </row>
    <row r="2" spans="1:21" ht="15.75" x14ac:dyDescent="0.25">
      <c r="A2" s="9"/>
      <c r="D2" s="20"/>
      <c r="E2" s="30"/>
      <c r="F2" s="20"/>
      <c r="L2" s="19"/>
      <c r="M2" s="19"/>
      <c r="N2" s="19"/>
      <c r="O2" s="19"/>
      <c r="P2" s="19"/>
      <c r="Q2" s="19"/>
      <c r="R2" s="19"/>
      <c r="S2" s="19"/>
      <c r="T2" s="19"/>
      <c r="U2" s="19"/>
    </row>
    <row r="3" spans="1:21" ht="15.75" x14ac:dyDescent="0.25">
      <c r="G3" s="9"/>
      <c r="L3" s="19"/>
      <c r="M3" s="19"/>
      <c r="N3" s="19"/>
      <c r="O3" s="19"/>
      <c r="P3" s="19"/>
      <c r="Q3" s="19"/>
      <c r="R3" s="19"/>
      <c r="S3" s="19"/>
      <c r="T3" s="19"/>
      <c r="U3" s="19"/>
    </row>
    <row r="4" spans="1:21" ht="15.75" x14ac:dyDescent="0.25">
      <c r="B4" s="2" t="s">
        <v>739</v>
      </c>
      <c r="L4" s="19"/>
      <c r="M4" s="19"/>
      <c r="N4" s="19"/>
      <c r="O4" s="19"/>
      <c r="P4" s="19"/>
      <c r="Q4" s="19"/>
      <c r="R4" s="19"/>
      <c r="S4" s="19"/>
      <c r="T4" s="19"/>
      <c r="U4" s="19"/>
    </row>
    <row r="5" spans="1:21" ht="15.75" x14ac:dyDescent="0.25">
      <c r="K5" s="9" t="s">
        <v>822</v>
      </c>
      <c r="L5" s="9"/>
      <c r="M5" s="9"/>
      <c r="O5" s="130"/>
      <c r="P5" s="130"/>
      <c r="Q5" s="130"/>
      <c r="R5" s="130"/>
      <c r="S5" s="19"/>
      <c r="T5" s="19"/>
      <c r="U5" s="19"/>
    </row>
    <row r="6" spans="1:21" x14ac:dyDescent="0.2">
      <c r="K6" s="17" t="s">
        <v>823</v>
      </c>
      <c r="O6" s="130"/>
      <c r="P6" s="130"/>
      <c r="Q6" s="130"/>
      <c r="R6" s="130"/>
      <c r="S6" s="19"/>
      <c r="T6" s="19"/>
      <c r="U6" s="19"/>
    </row>
    <row r="7" spans="1:21" x14ac:dyDescent="0.2">
      <c r="O7" s="130"/>
      <c r="P7" s="130"/>
      <c r="Q7" s="130"/>
      <c r="R7" s="130"/>
      <c r="S7" s="19"/>
      <c r="T7" s="19"/>
      <c r="U7" s="19"/>
    </row>
    <row r="8" spans="1:21" x14ac:dyDescent="0.2">
      <c r="O8" s="130"/>
      <c r="P8" s="130"/>
      <c r="Q8" s="130"/>
      <c r="R8" s="130"/>
      <c r="S8" s="19"/>
      <c r="T8" s="19"/>
      <c r="U8" s="19"/>
    </row>
    <row r="9" spans="1:21" x14ac:dyDescent="0.2">
      <c r="O9" s="130"/>
      <c r="P9" s="130"/>
      <c r="Q9" s="130"/>
      <c r="R9" s="130"/>
      <c r="S9" s="19"/>
      <c r="T9" s="19"/>
      <c r="U9" s="19"/>
    </row>
    <row r="10" spans="1:21" x14ac:dyDescent="0.2">
      <c r="O10" s="130"/>
      <c r="P10" s="130"/>
      <c r="Q10" s="130"/>
      <c r="R10" s="130"/>
      <c r="S10" s="19"/>
      <c r="T10" s="19"/>
      <c r="U10" s="19"/>
    </row>
    <row r="11" spans="1:21" x14ac:dyDescent="0.2">
      <c r="O11" s="130"/>
      <c r="P11" s="130"/>
      <c r="Q11" s="130"/>
      <c r="R11" s="130"/>
      <c r="S11" s="19"/>
      <c r="T11" s="19"/>
      <c r="U11" s="19"/>
    </row>
    <row r="12" spans="1:21" x14ac:dyDescent="0.2">
      <c r="O12" s="130"/>
      <c r="P12" s="130"/>
      <c r="Q12" s="130"/>
      <c r="R12" s="130"/>
      <c r="S12" s="19"/>
      <c r="T12" s="19"/>
      <c r="U12" s="19"/>
    </row>
    <row r="13" spans="1:21" x14ac:dyDescent="0.2">
      <c r="K13" s="131"/>
      <c r="L13" s="131"/>
      <c r="M13" s="131"/>
      <c r="N13" s="131"/>
      <c r="O13" s="131"/>
      <c r="P13" s="131"/>
      <c r="Q13" s="131"/>
      <c r="R13" s="131"/>
      <c r="S13" s="19"/>
      <c r="T13" s="19"/>
      <c r="U13" s="19"/>
    </row>
    <row r="14" spans="1:21" x14ac:dyDescent="0.2">
      <c r="K14" s="131"/>
      <c r="L14" s="131"/>
      <c r="M14" s="131"/>
      <c r="N14" s="131"/>
      <c r="O14" s="131"/>
      <c r="P14" s="131"/>
      <c r="Q14" s="131"/>
      <c r="R14" s="131"/>
      <c r="S14" s="19"/>
      <c r="T14" s="19"/>
      <c r="U14" s="19"/>
    </row>
    <row r="15" spans="1:21" x14ac:dyDescent="0.2">
      <c r="K15" s="131"/>
      <c r="L15" s="131"/>
      <c r="M15" s="131"/>
      <c r="N15" s="131"/>
      <c r="O15" s="131"/>
      <c r="P15" s="131"/>
      <c r="Q15" s="131"/>
      <c r="R15" s="131"/>
      <c r="S15" s="19"/>
      <c r="T15" s="19"/>
      <c r="U15" s="19"/>
    </row>
    <row r="16" spans="1:21" ht="15.75" x14ac:dyDescent="0.25">
      <c r="B16" s="9" t="s">
        <v>712</v>
      </c>
      <c r="C16" s="119"/>
      <c r="K16" s="131"/>
      <c r="L16" s="131"/>
      <c r="M16" s="131"/>
      <c r="N16" s="131"/>
      <c r="O16" s="131"/>
      <c r="P16" s="131"/>
      <c r="Q16" s="131"/>
      <c r="R16" s="131"/>
      <c r="S16" s="19"/>
      <c r="T16" s="19"/>
      <c r="U16" s="19"/>
    </row>
    <row r="17" spans="2:21" ht="15.75" x14ac:dyDescent="0.25">
      <c r="B17" s="120" t="s">
        <v>713</v>
      </c>
      <c r="C17" s="119"/>
      <c r="L17" s="19"/>
      <c r="M17" s="19"/>
      <c r="N17" s="19"/>
      <c r="O17" s="19"/>
      <c r="P17" s="19"/>
      <c r="Q17" s="19"/>
      <c r="R17" s="19"/>
      <c r="S17" s="19"/>
      <c r="T17" s="19"/>
      <c r="U17" s="19"/>
    </row>
    <row r="18" spans="2:21" ht="15.75" x14ac:dyDescent="0.25">
      <c r="B18" s="120" t="s">
        <v>714</v>
      </c>
      <c r="C18" s="119"/>
      <c r="L18" s="19"/>
      <c r="M18" s="19"/>
      <c r="N18" s="19"/>
      <c r="O18" s="19"/>
      <c r="P18" s="19"/>
      <c r="Q18" s="19"/>
      <c r="R18" s="19"/>
      <c r="S18" s="19"/>
      <c r="T18" s="19"/>
      <c r="U18" s="19"/>
    </row>
    <row r="19" spans="2:21" ht="18" x14ac:dyDescent="0.25">
      <c r="B19" s="121" t="s">
        <v>715</v>
      </c>
      <c r="C19" s="119"/>
      <c r="J19" s="19"/>
      <c r="K19" s="557" t="s">
        <v>824</v>
      </c>
      <c r="L19" s="133" t="s">
        <v>825</v>
      </c>
      <c r="M19" s="19"/>
      <c r="Q19" s="19"/>
      <c r="R19" s="19"/>
      <c r="S19" s="19"/>
      <c r="T19" s="19"/>
      <c r="U19" s="19"/>
    </row>
    <row r="20" spans="2:21" ht="15.75" x14ac:dyDescent="0.25">
      <c r="B20" s="120" t="s">
        <v>716</v>
      </c>
      <c r="C20" s="119"/>
      <c r="J20" s="38">
        <v>1</v>
      </c>
      <c r="K20" s="13" t="s">
        <v>826</v>
      </c>
      <c r="L20" s="10" t="s">
        <v>826</v>
      </c>
      <c r="M20" s="19"/>
      <c r="Q20" s="19"/>
      <c r="R20" s="19"/>
      <c r="S20" s="19"/>
      <c r="T20" s="19"/>
      <c r="U20" s="19"/>
    </row>
    <row r="21" spans="2:21" ht="15.75" x14ac:dyDescent="0.25">
      <c r="B21" s="120" t="s">
        <v>717</v>
      </c>
      <c r="C21" s="122"/>
      <c r="J21" s="38">
        <v>2</v>
      </c>
      <c r="K21" s="13" t="s">
        <v>827</v>
      </c>
      <c r="L21" s="10" t="s">
        <v>827</v>
      </c>
      <c r="M21" s="19"/>
      <c r="Q21" s="19"/>
      <c r="R21" s="19"/>
      <c r="S21" s="19"/>
      <c r="T21" s="19"/>
      <c r="U21" s="19"/>
    </row>
    <row r="22" spans="2:21" ht="15.75" x14ac:dyDescent="0.25">
      <c r="J22" s="38">
        <v>3</v>
      </c>
      <c r="K22" s="13" t="s">
        <v>828</v>
      </c>
      <c r="L22" s="10" t="s">
        <v>828</v>
      </c>
      <c r="M22" s="19"/>
      <c r="Q22" s="19"/>
      <c r="R22" s="19"/>
      <c r="S22" s="19"/>
      <c r="T22" s="19"/>
      <c r="U22" s="19"/>
    </row>
    <row r="23" spans="2:21" ht="15.75" x14ac:dyDescent="0.25">
      <c r="B23" s="9" t="s">
        <v>718</v>
      </c>
      <c r="C23" s="119"/>
      <c r="J23" s="38">
        <v>4</v>
      </c>
      <c r="K23" s="13" t="s">
        <v>832</v>
      </c>
      <c r="L23" s="10" t="s">
        <v>832</v>
      </c>
      <c r="M23" s="19"/>
      <c r="Q23" s="19"/>
      <c r="R23" s="19"/>
      <c r="S23" s="19"/>
      <c r="T23" s="19"/>
      <c r="U23" s="19"/>
    </row>
    <row r="24" spans="2:21" ht="15.75" x14ac:dyDescent="0.25">
      <c r="B24" s="120" t="s">
        <v>713</v>
      </c>
      <c r="C24" s="119"/>
      <c r="J24" s="38">
        <v>5</v>
      </c>
      <c r="K24" s="13" t="s">
        <v>829</v>
      </c>
      <c r="L24" s="10" t="s">
        <v>829</v>
      </c>
      <c r="M24" s="19"/>
      <c r="Q24" s="19"/>
      <c r="R24" s="19"/>
      <c r="S24" s="19"/>
      <c r="T24" s="19"/>
      <c r="U24" s="19"/>
    </row>
    <row r="25" spans="2:21" ht="15.75" x14ac:dyDescent="0.25">
      <c r="B25" s="120" t="s">
        <v>719</v>
      </c>
      <c r="C25" s="119"/>
      <c r="J25" s="38">
        <v>6</v>
      </c>
      <c r="K25" s="13" t="s">
        <v>830</v>
      </c>
      <c r="L25" s="10" t="s">
        <v>830</v>
      </c>
      <c r="M25" s="19"/>
      <c r="Q25" s="19"/>
      <c r="R25" s="19"/>
      <c r="S25" s="19"/>
      <c r="T25" s="19"/>
      <c r="U25" s="19"/>
    </row>
    <row r="26" spans="2:21" ht="15.75" x14ac:dyDescent="0.25">
      <c r="B26" s="121" t="s">
        <v>720</v>
      </c>
      <c r="C26" s="119"/>
      <c r="J26" s="38">
        <v>7</v>
      </c>
      <c r="K26" s="13" t="s">
        <v>174</v>
      </c>
      <c r="L26" s="10" t="s">
        <v>174</v>
      </c>
      <c r="M26" s="19"/>
      <c r="Q26" s="19"/>
      <c r="R26" s="19"/>
      <c r="S26" s="19"/>
      <c r="T26" s="19"/>
      <c r="U26" s="19"/>
    </row>
    <row r="27" spans="2:21" ht="15.75" x14ac:dyDescent="0.25">
      <c r="B27" s="120" t="s">
        <v>716</v>
      </c>
      <c r="C27" s="119"/>
      <c r="J27" s="38">
        <v>8</v>
      </c>
      <c r="K27" s="13" t="s">
        <v>831</v>
      </c>
      <c r="L27" s="10" t="s">
        <v>831</v>
      </c>
      <c r="M27" s="19"/>
      <c r="Q27" s="19"/>
      <c r="R27" s="19"/>
      <c r="S27" s="19"/>
      <c r="T27" s="19"/>
      <c r="U27" s="19"/>
    </row>
    <row r="28" spans="2:21" ht="15.75" x14ac:dyDescent="0.25">
      <c r="B28" s="120" t="s">
        <v>717</v>
      </c>
      <c r="L28" s="19"/>
      <c r="M28" s="19"/>
      <c r="N28" s="19"/>
      <c r="O28" s="19"/>
      <c r="P28" s="19"/>
      <c r="Q28" s="19"/>
      <c r="R28" s="19"/>
      <c r="S28" s="19"/>
      <c r="T28" s="19"/>
      <c r="U28" s="19"/>
    </row>
    <row r="29" spans="2:21" x14ac:dyDescent="0.2">
      <c r="L29" s="19"/>
      <c r="M29" s="19"/>
      <c r="N29" s="19"/>
      <c r="O29" s="19"/>
      <c r="P29" s="19"/>
      <c r="Q29" s="19"/>
      <c r="R29" s="19"/>
      <c r="S29" s="19"/>
      <c r="T29" s="19"/>
      <c r="U29" s="19"/>
    </row>
    <row r="30" spans="2:21" ht="15.75" x14ac:dyDescent="0.25">
      <c r="B30" s="120" t="s">
        <v>710</v>
      </c>
      <c r="L30" s="19"/>
      <c r="M30" s="19"/>
      <c r="N30" s="19"/>
      <c r="O30" s="19"/>
      <c r="P30" s="19"/>
      <c r="Q30" s="19"/>
      <c r="R30" s="19"/>
      <c r="S30" s="19"/>
      <c r="T30" s="19"/>
      <c r="U30" s="19"/>
    </row>
    <row r="31" spans="2:21" ht="15.75" x14ac:dyDescent="0.25">
      <c r="B31" s="97" t="s">
        <v>711</v>
      </c>
      <c r="L31" s="19"/>
      <c r="M31" s="19"/>
      <c r="N31" s="19"/>
      <c r="O31" s="19"/>
      <c r="P31" s="19"/>
      <c r="Q31" s="19"/>
      <c r="R31" s="19"/>
      <c r="S31" s="19"/>
      <c r="T31" s="19"/>
      <c r="U31" s="19"/>
    </row>
    <row r="32" spans="2:21" ht="15.75" x14ac:dyDescent="0.25">
      <c r="B32" s="98" t="s">
        <v>819</v>
      </c>
      <c r="L32" s="19"/>
      <c r="M32" s="19"/>
      <c r="N32" s="19"/>
      <c r="O32" s="19"/>
      <c r="P32" s="19"/>
      <c r="Q32" s="19"/>
      <c r="R32" s="19"/>
      <c r="S32" s="19"/>
      <c r="T32" s="19"/>
      <c r="U32" s="19"/>
    </row>
    <row r="33" spans="2:21" x14ac:dyDescent="0.2">
      <c r="L33" s="19"/>
      <c r="M33" s="19"/>
      <c r="N33" s="19"/>
      <c r="O33" s="19"/>
      <c r="P33" s="19"/>
      <c r="Q33" s="19"/>
      <c r="R33" s="19"/>
      <c r="S33" s="19"/>
      <c r="T33" s="19"/>
      <c r="U33" s="19"/>
    </row>
    <row r="34" spans="2:21" x14ac:dyDescent="0.2">
      <c r="B34" s="17" t="s">
        <v>951</v>
      </c>
      <c r="U34" s="19"/>
    </row>
    <row r="35" spans="2:21" x14ac:dyDescent="0.2">
      <c r="U35" s="19"/>
    </row>
    <row r="36" spans="2:21" ht="15.75" x14ac:dyDescent="0.25">
      <c r="B36" s="9" t="s">
        <v>740</v>
      </c>
      <c r="L36" s="19"/>
      <c r="M36" s="19"/>
      <c r="N36" s="19"/>
      <c r="O36" s="19"/>
      <c r="P36" s="19"/>
      <c r="Q36" s="19"/>
      <c r="R36" s="19"/>
      <c r="S36" s="19"/>
      <c r="T36" s="19"/>
      <c r="U36" s="19"/>
    </row>
    <row r="37" spans="2:21" ht="15.75" x14ac:dyDescent="0.25">
      <c r="B37" s="120" t="s">
        <v>724</v>
      </c>
      <c r="L37" s="19"/>
      <c r="M37" s="19"/>
      <c r="N37" s="19"/>
      <c r="O37" s="19"/>
      <c r="P37" s="19"/>
      <c r="Q37" s="19"/>
      <c r="R37" s="19"/>
      <c r="S37" s="19"/>
      <c r="T37" s="19"/>
      <c r="U37" s="19"/>
    </row>
    <row r="38" spans="2:21" ht="16.5" thickBot="1" x14ac:dyDescent="0.3">
      <c r="E38" s="20"/>
      <c r="F38" s="39" t="s">
        <v>3</v>
      </c>
      <c r="L38" s="19"/>
      <c r="M38" s="19"/>
      <c r="N38" s="19"/>
      <c r="O38" s="19"/>
      <c r="P38" s="19"/>
      <c r="Q38" s="19"/>
      <c r="R38" s="19"/>
      <c r="S38" s="19"/>
      <c r="T38" s="19"/>
      <c r="U38" s="19"/>
    </row>
    <row r="39" spans="2:21" ht="15.75" x14ac:dyDescent="0.25">
      <c r="E39" s="18" t="s">
        <v>106</v>
      </c>
      <c r="F39" s="123">
        <v>28</v>
      </c>
      <c r="G39" s="9" t="s">
        <v>88</v>
      </c>
      <c r="L39" s="19"/>
      <c r="M39" s="19"/>
      <c r="N39" s="19"/>
      <c r="O39" s="19"/>
      <c r="P39" s="19"/>
      <c r="Q39" s="19"/>
      <c r="R39" s="19"/>
      <c r="S39" s="19"/>
      <c r="T39" s="19"/>
      <c r="U39" s="19"/>
    </row>
    <row r="40" spans="2:21" ht="16.5" thickBot="1" x14ac:dyDescent="0.3">
      <c r="E40" s="18" t="s">
        <v>673</v>
      </c>
      <c r="F40" s="124">
        <v>16</v>
      </c>
      <c r="G40" s="9" t="s">
        <v>88</v>
      </c>
      <c r="L40" s="19"/>
      <c r="M40" s="19"/>
      <c r="N40" s="19"/>
      <c r="O40" s="19"/>
      <c r="P40" s="19"/>
      <c r="Q40" s="19"/>
      <c r="R40" s="19"/>
      <c r="S40" s="19"/>
      <c r="T40" s="19"/>
      <c r="U40" s="19"/>
    </row>
    <row r="41" spans="2:21" ht="15.75" x14ac:dyDescent="0.25">
      <c r="E41" s="20"/>
      <c r="F41" s="39" t="s">
        <v>1</v>
      </c>
      <c r="L41" s="19"/>
      <c r="M41" s="19"/>
      <c r="N41" s="19"/>
      <c r="O41" s="19"/>
      <c r="P41" s="19"/>
      <c r="Q41" s="19"/>
      <c r="R41" s="19"/>
      <c r="S41" s="19"/>
      <c r="T41" s="19"/>
      <c r="U41" s="19"/>
    </row>
    <row r="42" spans="2:21" ht="16.5" thickBot="1" x14ac:dyDescent="0.3">
      <c r="E42" s="18" t="s">
        <v>107</v>
      </c>
      <c r="F42" s="16" t="s">
        <v>108</v>
      </c>
      <c r="G42" s="9"/>
      <c r="L42" s="19"/>
      <c r="M42" s="19"/>
      <c r="N42" s="19"/>
      <c r="O42" s="19"/>
      <c r="P42" s="19"/>
      <c r="Q42" s="19"/>
      <c r="R42" s="19"/>
      <c r="S42" s="19"/>
      <c r="T42" s="19"/>
      <c r="U42" s="19"/>
    </row>
    <row r="43" spans="2:21" ht="16.5" thickBot="1" x14ac:dyDescent="0.3">
      <c r="E43" s="18" t="s">
        <v>2</v>
      </c>
      <c r="F43" s="479">
        <f>1.3*((F39*F40)^0.625 / (F39 + F40)^0.25)</f>
        <v>22.915479118387115</v>
      </c>
      <c r="G43" s="9" t="s">
        <v>721</v>
      </c>
      <c r="L43" s="19"/>
      <c r="M43" s="19"/>
      <c r="N43" s="19"/>
      <c r="O43" s="19"/>
      <c r="P43" s="19"/>
      <c r="Q43" s="19"/>
      <c r="R43" s="19"/>
      <c r="S43" s="19"/>
      <c r="T43" s="19"/>
      <c r="U43" s="19"/>
    </row>
    <row r="44" spans="2:21" x14ac:dyDescent="0.2">
      <c r="L44" s="19"/>
      <c r="M44" s="19"/>
      <c r="N44" s="19"/>
      <c r="O44" s="19"/>
      <c r="P44" s="19"/>
      <c r="Q44" s="19"/>
      <c r="R44" s="19"/>
      <c r="S44" s="19"/>
      <c r="T44" s="19"/>
      <c r="U44" s="19"/>
    </row>
    <row r="45" spans="2:21" ht="15.75" x14ac:dyDescent="0.25">
      <c r="B45" s="9" t="s">
        <v>722</v>
      </c>
      <c r="L45" s="19"/>
      <c r="M45" s="19"/>
      <c r="N45" s="19"/>
      <c r="O45" s="19"/>
      <c r="P45" s="19"/>
      <c r="Q45" s="19"/>
      <c r="R45" s="19"/>
      <c r="S45" s="19"/>
      <c r="T45" s="19"/>
      <c r="U45" s="19"/>
    </row>
    <row r="46" spans="2:21" ht="15.75" x14ac:dyDescent="0.25">
      <c r="B46" s="120" t="s">
        <v>725</v>
      </c>
      <c r="L46" s="19"/>
      <c r="M46" s="19"/>
      <c r="N46" s="19"/>
      <c r="O46" s="19"/>
      <c r="P46" s="19"/>
      <c r="Q46" s="19"/>
      <c r="R46" s="19"/>
      <c r="S46" s="19"/>
      <c r="T46" s="19"/>
      <c r="U46" s="19"/>
    </row>
    <row r="47" spans="2:21" ht="16.5" thickBot="1" x14ac:dyDescent="0.3">
      <c r="E47" s="20"/>
      <c r="F47" s="39" t="s">
        <v>3</v>
      </c>
      <c r="L47" s="19"/>
      <c r="M47" s="19"/>
      <c r="N47" s="19"/>
      <c r="O47" s="19"/>
      <c r="P47" s="19"/>
      <c r="Q47" s="19"/>
      <c r="R47" s="19"/>
      <c r="S47" s="19"/>
      <c r="T47" s="19"/>
      <c r="U47" s="19"/>
    </row>
    <row r="48" spans="2:21" ht="15.75" x14ac:dyDescent="0.25">
      <c r="E48" s="18" t="s">
        <v>106</v>
      </c>
      <c r="F48" s="125">
        <v>28</v>
      </c>
      <c r="G48" s="9" t="s">
        <v>88</v>
      </c>
      <c r="L48" s="19"/>
      <c r="M48" s="19"/>
      <c r="N48" s="19"/>
      <c r="O48" s="19"/>
      <c r="P48" s="19"/>
      <c r="Q48" s="19"/>
      <c r="R48" s="19"/>
      <c r="S48" s="19"/>
      <c r="T48" s="19"/>
      <c r="U48" s="19"/>
    </row>
    <row r="49" spans="2:21" ht="16.5" thickBot="1" x14ac:dyDescent="0.3">
      <c r="E49" s="18" t="s">
        <v>673</v>
      </c>
      <c r="F49" s="126">
        <v>17.453502983702826</v>
      </c>
      <c r="G49" s="9" t="s">
        <v>88</v>
      </c>
      <c r="L49" s="19"/>
      <c r="M49" s="19"/>
      <c r="N49" s="19"/>
      <c r="O49" s="19"/>
      <c r="P49" s="19"/>
      <c r="Q49" s="19"/>
      <c r="R49" s="19"/>
      <c r="S49" s="19"/>
      <c r="T49" s="19"/>
      <c r="U49" s="19"/>
    </row>
    <row r="50" spans="2:21" ht="15.75" x14ac:dyDescent="0.25">
      <c r="E50" s="20"/>
      <c r="F50" s="39" t="s">
        <v>1</v>
      </c>
      <c r="L50" s="19"/>
      <c r="M50" s="19"/>
      <c r="N50" s="19"/>
      <c r="O50" s="19"/>
      <c r="P50" s="19"/>
      <c r="Q50" s="19"/>
      <c r="R50" s="19"/>
      <c r="S50" s="19"/>
      <c r="T50" s="19"/>
      <c r="U50" s="19"/>
    </row>
    <row r="51" spans="2:21" ht="16.5" thickBot="1" x14ac:dyDescent="0.3">
      <c r="E51" s="18" t="s">
        <v>107</v>
      </c>
      <c r="F51" s="16" t="s">
        <v>108</v>
      </c>
      <c r="G51" s="9"/>
      <c r="L51" s="19"/>
      <c r="M51" s="19"/>
      <c r="N51" s="19"/>
      <c r="O51" s="19"/>
      <c r="P51" s="19"/>
      <c r="Q51" s="19"/>
      <c r="R51" s="19"/>
      <c r="S51" s="19"/>
      <c r="T51" s="19"/>
      <c r="U51" s="19"/>
    </row>
    <row r="52" spans="2:21" ht="16.5" thickBot="1" x14ac:dyDescent="0.3">
      <c r="E52" s="18" t="s">
        <v>2</v>
      </c>
      <c r="F52" s="478">
        <f>1.3*((F48*F49)^0.625 / (F48 + F49)^0.25)</f>
        <v>23.999484319330389</v>
      </c>
      <c r="G52" s="9" t="s">
        <v>721</v>
      </c>
      <c r="L52" s="19"/>
      <c r="M52" s="19"/>
      <c r="N52" s="19"/>
      <c r="O52" s="19"/>
      <c r="P52" s="19"/>
      <c r="Q52" s="19"/>
      <c r="R52" s="19"/>
      <c r="S52" s="19"/>
      <c r="T52" s="19"/>
      <c r="U52" s="19"/>
    </row>
    <row r="53" spans="2:21" x14ac:dyDescent="0.2">
      <c r="L53" s="19"/>
      <c r="M53" s="19"/>
      <c r="N53" s="19"/>
      <c r="O53" s="19"/>
      <c r="P53" s="19"/>
      <c r="Q53" s="19"/>
      <c r="R53" s="19"/>
      <c r="S53" s="19"/>
      <c r="T53" s="19"/>
      <c r="U53" s="19"/>
    </row>
    <row r="54" spans="2:21" x14ac:dyDescent="0.2">
      <c r="L54" s="19"/>
      <c r="M54" s="19"/>
      <c r="N54" s="19"/>
      <c r="O54" s="19"/>
      <c r="P54" s="19"/>
      <c r="Q54" s="19"/>
      <c r="R54" s="19"/>
      <c r="S54" s="19"/>
      <c r="T54" s="19"/>
      <c r="U54" s="19"/>
    </row>
    <row r="55" spans="2:21" ht="15.75" x14ac:dyDescent="0.25">
      <c r="B55" s="9" t="s">
        <v>727</v>
      </c>
      <c r="L55" s="19"/>
      <c r="M55" s="19"/>
      <c r="N55" s="19"/>
      <c r="O55" s="19"/>
      <c r="P55" s="19"/>
      <c r="Q55" s="19"/>
      <c r="R55" s="19"/>
      <c r="S55" s="19"/>
      <c r="T55" s="19"/>
      <c r="U55" s="19"/>
    </row>
    <row r="56" spans="2:21" ht="15.75" x14ac:dyDescent="0.25">
      <c r="B56" s="9" t="s">
        <v>728</v>
      </c>
      <c r="L56" s="19"/>
      <c r="M56" s="19"/>
      <c r="N56" s="19"/>
      <c r="O56" s="19"/>
      <c r="P56" s="19"/>
      <c r="Q56" s="19"/>
      <c r="R56" s="19"/>
      <c r="S56" s="19"/>
      <c r="T56" s="19"/>
      <c r="U56" s="19"/>
    </row>
    <row r="57" spans="2:21" ht="15.75" x14ac:dyDescent="0.25">
      <c r="B57" s="9" t="s">
        <v>729</v>
      </c>
      <c r="L57" s="19"/>
      <c r="M57" s="19"/>
      <c r="N57" s="19"/>
      <c r="O57" s="19"/>
      <c r="P57" s="19"/>
      <c r="Q57" s="19"/>
      <c r="R57" s="19"/>
      <c r="S57" s="19"/>
      <c r="T57" s="19"/>
      <c r="U57" s="19"/>
    </row>
    <row r="58" spans="2:21" ht="15.75" x14ac:dyDescent="0.25">
      <c r="B58" s="9" t="s">
        <v>730</v>
      </c>
      <c r="L58" s="19"/>
      <c r="M58" s="19"/>
      <c r="N58" s="19"/>
      <c r="O58" s="19"/>
      <c r="P58" s="19"/>
      <c r="Q58" s="19"/>
      <c r="R58" s="19"/>
      <c r="S58" s="19"/>
      <c r="T58" s="19"/>
      <c r="U58" s="19"/>
    </row>
    <row r="59" spans="2:21" x14ac:dyDescent="0.2">
      <c r="L59" s="19"/>
      <c r="M59" s="19"/>
      <c r="N59" s="19"/>
      <c r="O59" s="19"/>
      <c r="P59" s="19"/>
      <c r="Q59" s="19"/>
      <c r="R59" s="19"/>
      <c r="S59" s="19"/>
      <c r="T59" s="19"/>
      <c r="U59" s="19"/>
    </row>
    <row r="60" spans="2:21" x14ac:dyDescent="0.2">
      <c r="L60" s="19"/>
      <c r="M60" s="19"/>
      <c r="N60" s="19"/>
      <c r="O60" s="19"/>
      <c r="P60" s="19"/>
      <c r="Q60" s="19"/>
      <c r="R60" s="19"/>
      <c r="S60" s="19"/>
      <c r="T60" s="19"/>
      <c r="U60" s="19"/>
    </row>
    <row r="61" spans="2:21" x14ac:dyDescent="0.2">
      <c r="L61" s="19"/>
      <c r="M61" s="19"/>
      <c r="N61" s="19"/>
      <c r="O61" s="19"/>
      <c r="P61" s="19"/>
      <c r="Q61" s="19"/>
      <c r="R61" s="19"/>
      <c r="S61" s="19"/>
      <c r="T61" s="19"/>
      <c r="U61" s="19"/>
    </row>
    <row r="62" spans="2:21" ht="15.75" x14ac:dyDescent="0.25">
      <c r="B62" s="9" t="s">
        <v>723</v>
      </c>
      <c r="L62" s="19"/>
      <c r="M62" s="19"/>
      <c r="N62" s="19"/>
      <c r="O62" s="19"/>
      <c r="P62" s="19"/>
      <c r="Q62" s="19"/>
      <c r="R62" s="19"/>
      <c r="S62" s="19"/>
      <c r="T62" s="19"/>
      <c r="U62" s="19"/>
    </row>
    <row r="63" spans="2:21" ht="15.75" x14ac:dyDescent="0.25">
      <c r="B63" s="120" t="s">
        <v>726</v>
      </c>
      <c r="L63" s="19"/>
      <c r="M63" s="19"/>
      <c r="N63" s="19"/>
      <c r="O63" s="19"/>
      <c r="P63" s="19"/>
      <c r="Q63" s="19"/>
      <c r="R63" s="19"/>
      <c r="S63" s="19"/>
      <c r="T63" s="19"/>
      <c r="U63" s="19"/>
    </row>
    <row r="64" spans="2:21" ht="16.5" thickBot="1" x14ac:dyDescent="0.3">
      <c r="E64" s="20"/>
      <c r="F64" s="39" t="s">
        <v>3</v>
      </c>
      <c r="L64" s="19"/>
      <c r="M64" s="19"/>
      <c r="N64" s="19"/>
      <c r="O64" s="19"/>
      <c r="P64" s="19"/>
      <c r="Q64" s="19"/>
      <c r="R64" s="19"/>
      <c r="S64" s="19"/>
      <c r="T64" s="19"/>
      <c r="U64" s="19"/>
    </row>
    <row r="65" spans="2:21" ht="15.75" x14ac:dyDescent="0.25">
      <c r="E65" s="18" t="s">
        <v>106</v>
      </c>
      <c r="F65" s="123">
        <v>28</v>
      </c>
      <c r="G65" s="9" t="s">
        <v>88</v>
      </c>
      <c r="L65" s="19"/>
      <c r="M65" s="19"/>
      <c r="N65" s="19"/>
      <c r="O65" s="19"/>
      <c r="P65" s="19"/>
      <c r="Q65" s="19"/>
      <c r="R65" s="19"/>
      <c r="S65" s="19"/>
      <c r="T65" s="19"/>
      <c r="U65" s="19"/>
    </row>
    <row r="66" spans="2:21" ht="16.5" thickBot="1" x14ac:dyDescent="0.3">
      <c r="E66" s="18" t="s">
        <v>673</v>
      </c>
      <c r="F66" s="124">
        <v>16</v>
      </c>
      <c r="G66" s="9" t="s">
        <v>88</v>
      </c>
      <c r="L66" s="19"/>
      <c r="M66" s="19"/>
      <c r="N66" s="19"/>
      <c r="O66" s="19"/>
      <c r="P66" s="19"/>
      <c r="Q66" s="19"/>
      <c r="R66" s="19"/>
      <c r="S66" s="19"/>
      <c r="T66" s="19"/>
      <c r="U66" s="19"/>
    </row>
    <row r="67" spans="2:21" ht="15.75" x14ac:dyDescent="0.25">
      <c r="E67" s="20"/>
      <c r="F67" s="39" t="s">
        <v>1</v>
      </c>
      <c r="L67" s="19"/>
      <c r="M67" s="19"/>
      <c r="N67" s="19"/>
      <c r="O67" s="19"/>
      <c r="P67" s="19"/>
      <c r="Q67" s="19"/>
      <c r="R67" s="19"/>
      <c r="S67" s="19"/>
      <c r="T67" s="19"/>
      <c r="U67" s="19"/>
    </row>
    <row r="68" spans="2:21" ht="16.5" thickBot="1" x14ac:dyDescent="0.3">
      <c r="E68" s="18" t="s">
        <v>107</v>
      </c>
      <c r="F68" s="16" t="s">
        <v>108</v>
      </c>
      <c r="G68" s="9"/>
      <c r="L68" s="19"/>
      <c r="M68" s="19"/>
      <c r="N68" s="19"/>
      <c r="O68" s="19"/>
      <c r="P68" s="19"/>
      <c r="Q68" s="19"/>
      <c r="R68" s="19"/>
      <c r="S68" s="19"/>
      <c r="T68" s="19"/>
      <c r="U68" s="19"/>
    </row>
    <row r="69" spans="2:21" ht="16.5" thickBot="1" x14ac:dyDescent="0.3">
      <c r="E69" s="18" t="s">
        <v>2</v>
      </c>
      <c r="F69" s="480">
        <f>1.3*((F65*F66)^0.625 / (F65 + F66)^0.25)</f>
        <v>22.915479118387115</v>
      </c>
      <c r="G69" s="9" t="s">
        <v>721</v>
      </c>
      <c r="L69" s="19"/>
      <c r="M69" s="19"/>
      <c r="N69" s="19"/>
      <c r="O69" s="19"/>
      <c r="P69" s="19"/>
      <c r="Q69" s="19"/>
      <c r="R69" s="19"/>
      <c r="S69" s="19"/>
      <c r="T69" s="19"/>
      <c r="U69" s="19"/>
    </row>
    <row r="70" spans="2:21" x14ac:dyDescent="0.2">
      <c r="L70" s="19"/>
      <c r="M70" s="19"/>
      <c r="N70" s="19"/>
      <c r="O70" s="19"/>
      <c r="P70" s="19"/>
      <c r="Q70" s="19"/>
      <c r="R70" s="19"/>
      <c r="S70" s="19"/>
      <c r="T70" s="19"/>
      <c r="U70" s="19"/>
    </row>
    <row r="71" spans="2:21" ht="15.75" x14ac:dyDescent="0.25">
      <c r="B71" s="9" t="s">
        <v>727</v>
      </c>
      <c r="L71" s="19"/>
      <c r="M71" s="19"/>
      <c r="N71" s="19"/>
      <c r="O71" s="19"/>
      <c r="P71" s="19"/>
      <c r="Q71" s="19"/>
      <c r="R71" s="19"/>
      <c r="S71" s="19"/>
      <c r="T71" s="19"/>
      <c r="U71" s="19"/>
    </row>
    <row r="72" spans="2:21" ht="15.75" x14ac:dyDescent="0.25">
      <c r="B72" s="9" t="s">
        <v>728</v>
      </c>
      <c r="L72" s="19"/>
      <c r="M72" s="19"/>
      <c r="N72" s="19"/>
      <c r="O72" s="19"/>
      <c r="P72" s="19"/>
      <c r="Q72" s="19"/>
      <c r="R72" s="19"/>
      <c r="S72" s="19"/>
      <c r="T72" s="19"/>
      <c r="U72" s="19"/>
    </row>
    <row r="73" spans="2:21" ht="15.75" x14ac:dyDescent="0.25">
      <c r="B73" s="9" t="s">
        <v>729</v>
      </c>
      <c r="L73" s="19"/>
      <c r="M73" s="19"/>
      <c r="N73" s="19"/>
      <c r="O73" s="19"/>
      <c r="P73" s="19"/>
      <c r="Q73" s="19"/>
      <c r="R73" s="19"/>
      <c r="S73" s="19"/>
      <c r="T73" s="19"/>
      <c r="U73" s="19"/>
    </row>
    <row r="74" spans="2:21" ht="15.75" x14ac:dyDescent="0.25">
      <c r="B74" s="9" t="s">
        <v>730</v>
      </c>
      <c r="L74" s="19"/>
      <c r="M74" s="19"/>
      <c r="N74" s="19"/>
      <c r="O74" s="19"/>
      <c r="P74" s="19"/>
      <c r="Q74" s="19"/>
      <c r="R74" s="19"/>
      <c r="S74" s="19"/>
      <c r="T74" s="19"/>
      <c r="U74" s="19"/>
    </row>
    <row r="75" spans="2:21" x14ac:dyDescent="0.2">
      <c r="L75" s="19"/>
      <c r="M75" s="19"/>
      <c r="N75" s="19"/>
      <c r="O75" s="19"/>
      <c r="P75" s="19"/>
      <c r="Q75" s="19"/>
      <c r="R75" s="19"/>
      <c r="S75" s="19"/>
      <c r="T75" s="19"/>
      <c r="U75" s="19"/>
    </row>
    <row r="76" spans="2:21" x14ac:dyDescent="0.2">
      <c r="L76" s="19"/>
      <c r="M76" s="19"/>
      <c r="N76" s="19"/>
      <c r="O76" s="19"/>
      <c r="P76" s="19"/>
      <c r="Q76" s="19"/>
      <c r="R76" s="19"/>
      <c r="S76" s="19"/>
      <c r="T76" s="19"/>
      <c r="U76" s="19"/>
    </row>
    <row r="77" spans="2:21" x14ac:dyDescent="0.2">
      <c r="L77" s="19"/>
      <c r="M77" s="19"/>
      <c r="N77" s="19"/>
      <c r="O77" s="19"/>
      <c r="P77" s="19"/>
      <c r="Q77" s="19"/>
      <c r="R77" s="19"/>
      <c r="S77" s="19"/>
      <c r="T77" s="19"/>
      <c r="U77" s="19"/>
    </row>
    <row r="78" spans="2:21" x14ac:dyDescent="0.2">
      <c r="L78" s="19"/>
      <c r="M78" s="19"/>
      <c r="N78" s="19"/>
      <c r="O78" s="19"/>
      <c r="P78" s="19"/>
      <c r="Q78" s="19"/>
      <c r="R78" s="19"/>
      <c r="S78" s="19"/>
      <c r="T78" s="19"/>
      <c r="U78" s="19"/>
    </row>
    <row r="79" spans="2:21" x14ac:dyDescent="0.2">
      <c r="L79" s="19"/>
      <c r="M79" s="19"/>
      <c r="N79" s="19"/>
      <c r="O79" s="19"/>
      <c r="P79" s="19"/>
      <c r="Q79" s="19"/>
      <c r="R79" s="19"/>
      <c r="S79" s="19"/>
      <c r="T79" s="19"/>
      <c r="U79" s="19"/>
    </row>
    <row r="80" spans="2:21" x14ac:dyDescent="0.2">
      <c r="L80" s="19"/>
      <c r="M80" s="19"/>
      <c r="N80" s="19"/>
      <c r="O80" s="19"/>
      <c r="P80" s="19"/>
      <c r="Q80" s="19"/>
      <c r="R80" s="19"/>
      <c r="S80" s="19"/>
      <c r="T80" s="19"/>
      <c r="U80" s="19"/>
    </row>
    <row r="81" spans="12:21" x14ac:dyDescent="0.2">
      <c r="L81" s="19"/>
      <c r="M81" s="19"/>
      <c r="N81" s="19"/>
      <c r="O81" s="19"/>
      <c r="P81" s="19"/>
      <c r="Q81" s="19"/>
      <c r="R81" s="19"/>
      <c r="S81" s="19"/>
      <c r="T81" s="19"/>
      <c r="U81" s="19"/>
    </row>
    <row r="82" spans="12:21" x14ac:dyDescent="0.2">
      <c r="L82" s="19"/>
      <c r="M82" s="19"/>
      <c r="N82" s="19"/>
      <c r="O82" s="19"/>
      <c r="P82" s="19"/>
      <c r="Q82" s="19"/>
      <c r="R82" s="19"/>
      <c r="S82" s="19"/>
      <c r="T82" s="19"/>
      <c r="U82" s="19"/>
    </row>
    <row r="83" spans="12:21" x14ac:dyDescent="0.2">
      <c r="L83" s="19"/>
      <c r="M83" s="19"/>
      <c r="N83" s="19"/>
      <c r="O83" s="19"/>
      <c r="P83" s="19"/>
      <c r="Q83" s="19"/>
      <c r="R83" s="19"/>
      <c r="S83" s="19"/>
      <c r="T83" s="19"/>
      <c r="U83" s="19"/>
    </row>
    <row r="84" spans="12:21" x14ac:dyDescent="0.2">
      <c r="L84" s="19"/>
      <c r="M84" s="19"/>
      <c r="N84" s="19"/>
      <c r="O84" s="19"/>
      <c r="P84" s="19"/>
      <c r="Q84" s="19"/>
      <c r="R84" s="19"/>
      <c r="S84" s="19"/>
      <c r="T84" s="19"/>
      <c r="U84" s="19"/>
    </row>
    <row r="85" spans="12:21" x14ac:dyDescent="0.2">
      <c r="L85" s="19"/>
      <c r="M85" s="19"/>
      <c r="N85" s="19"/>
      <c r="O85" s="19"/>
      <c r="P85" s="19"/>
      <c r="Q85" s="19"/>
      <c r="R85" s="19"/>
      <c r="S85" s="19"/>
      <c r="T85" s="19"/>
      <c r="U85" s="19"/>
    </row>
    <row r="86" spans="12:21" x14ac:dyDescent="0.2">
      <c r="L86" s="19"/>
      <c r="M86" s="19"/>
      <c r="N86" s="19"/>
      <c r="O86" s="19"/>
      <c r="P86" s="19"/>
      <c r="Q86" s="19"/>
      <c r="R86" s="19"/>
      <c r="S86" s="19"/>
      <c r="T86" s="19"/>
      <c r="U86" s="19"/>
    </row>
    <row r="87" spans="12:21" x14ac:dyDescent="0.2">
      <c r="L87" s="19"/>
      <c r="M87" s="19"/>
      <c r="N87" s="19"/>
      <c r="O87" s="19"/>
      <c r="P87" s="19"/>
      <c r="Q87" s="19"/>
      <c r="R87" s="19"/>
      <c r="S87" s="19"/>
      <c r="T87" s="19"/>
      <c r="U87" s="19"/>
    </row>
    <row r="88" spans="12:21" x14ac:dyDescent="0.2">
      <c r="L88" s="19"/>
      <c r="M88" s="19"/>
      <c r="N88" s="19"/>
      <c r="O88" s="19"/>
      <c r="P88" s="19"/>
      <c r="Q88" s="19"/>
      <c r="R88" s="19"/>
      <c r="S88" s="19"/>
      <c r="T88" s="19"/>
      <c r="U88" s="19"/>
    </row>
    <row r="89" spans="12:21" x14ac:dyDescent="0.2">
      <c r="L89" s="19"/>
      <c r="M89" s="19"/>
      <c r="N89" s="19"/>
      <c r="O89" s="19"/>
      <c r="P89" s="19"/>
      <c r="Q89" s="19"/>
      <c r="R89" s="19"/>
      <c r="S89" s="19"/>
      <c r="T89" s="19"/>
      <c r="U89" s="19"/>
    </row>
    <row r="90" spans="12:21" x14ac:dyDescent="0.2">
      <c r="L90" s="19"/>
      <c r="M90" s="19"/>
      <c r="N90" s="19"/>
      <c r="O90" s="19"/>
      <c r="P90" s="19"/>
      <c r="Q90" s="19"/>
      <c r="R90" s="19"/>
      <c r="S90" s="19"/>
      <c r="T90" s="19"/>
      <c r="U90" s="19"/>
    </row>
    <row r="91" spans="12:21" x14ac:dyDescent="0.2">
      <c r="L91" s="19"/>
      <c r="M91" s="19"/>
      <c r="N91" s="19"/>
      <c r="O91" s="19"/>
      <c r="P91" s="19"/>
      <c r="Q91" s="19"/>
      <c r="R91" s="19"/>
      <c r="S91" s="19"/>
      <c r="T91" s="19"/>
      <c r="U91" s="19"/>
    </row>
    <row r="92" spans="12:21" x14ac:dyDescent="0.2">
      <c r="L92" s="19"/>
      <c r="M92" s="19"/>
      <c r="N92" s="19"/>
      <c r="O92" s="19"/>
      <c r="P92" s="19"/>
      <c r="Q92" s="19"/>
      <c r="R92" s="19"/>
      <c r="S92" s="19"/>
      <c r="T92" s="19"/>
      <c r="U92" s="19"/>
    </row>
    <row r="93" spans="12:21" x14ac:dyDescent="0.2">
      <c r="L93" s="19"/>
      <c r="M93" s="19"/>
      <c r="N93" s="19"/>
      <c r="O93" s="19"/>
      <c r="P93" s="19"/>
      <c r="Q93" s="19"/>
      <c r="R93" s="19"/>
      <c r="S93" s="19"/>
      <c r="T93" s="19"/>
      <c r="U93" s="19"/>
    </row>
    <row r="94" spans="12:21" x14ac:dyDescent="0.2">
      <c r="L94" s="19"/>
      <c r="M94" s="19"/>
      <c r="N94" s="19"/>
      <c r="O94" s="19"/>
      <c r="P94" s="19"/>
      <c r="Q94" s="19"/>
      <c r="R94" s="19"/>
      <c r="S94" s="19"/>
      <c r="T94" s="19"/>
      <c r="U94" s="19"/>
    </row>
    <row r="95" spans="12:21" x14ac:dyDescent="0.2">
      <c r="L95" s="19"/>
      <c r="M95" s="19"/>
      <c r="N95" s="19"/>
      <c r="O95" s="19"/>
      <c r="P95" s="19"/>
      <c r="Q95" s="19"/>
      <c r="R95" s="19"/>
      <c r="S95" s="19"/>
      <c r="T95" s="19"/>
      <c r="U95" s="19"/>
    </row>
    <row r="96" spans="12:21" x14ac:dyDescent="0.2">
      <c r="M96" s="19"/>
      <c r="N96" s="19"/>
      <c r="O96" s="19"/>
      <c r="P96" s="19"/>
      <c r="Q96" s="19"/>
      <c r="R96" s="19"/>
      <c r="S96" s="19"/>
      <c r="T96" s="19"/>
      <c r="U96" s="19"/>
    </row>
    <row r="97" spans="2:21" x14ac:dyDescent="0.2">
      <c r="M97" s="19"/>
      <c r="N97" s="19"/>
      <c r="O97" s="19"/>
      <c r="P97" s="19"/>
      <c r="Q97" s="19"/>
      <c r="R97" s="19"/>
      <c r="S97" s="19"/>
      <c r="T97" s="19"/>
      <c r="U97" s="19"/>
    </row>
    <row r="98" spans="2:21" x14ac:dyDescent="0.2">
      <c r="M98" s="19"/>
      <c r="N98" s="19"/>
      <c r="O98" s="19"/>
      <c r="P98" s="19"/>
      <c r="Q98" s="19"/>
      <c r="R98" s="19"/>
      <c r="S98" s="19"/>
      <c r="T98" s="19"/>
      <c r="U98" s="19"/>
    </row>
    <row r="99" spans="2:21" ht="15.75" x14ac:dyDescent="0.25">
      <c r="B99" s="9" t="s">
        <v>741</v>
      </c>
      <c r="L99" s="19"/>
      <c r="M99" s="19"/>
      <c r="N99" s="19"/>
      <c r="O99" s="19"/>
      <c r="P99" s="19"/>
      <c r="Q99" s="19"/>
      <c r="R99" s="19"/>
      <c r="S99" s="19"/>
      <c r="T99" s="19"/>
      <c r="U99" s="19"/>
    </row>
    <row r="100" spans="2:21" ht="15.75" x14ac:dyDescent="0.25">
      <c r="B100" s="9" t="s">
        <v>625</v>
      </c>
      <c r="L100" s="19"/>
      <c r="M100" s="19"/>
      <c r="N100" s="19"/>
      <c r="O100" s="19"/>
      <c r="P100" s="19"/>
      <c r="Q100" s="19"/>
      <c r="R100" s="19"/>
      <c r="S100" s="19"/>
      <c r="T100" s="19"/>
      <c r="U100" s="19"/>
    </row>
    <row r="101" spans="2:21" x14ac:dyDescent="0.2">
      <c r="B101" s="127" t="s">
        <v>624</v>
      </c>
      <c r="L101" s="19"/>
      <c r="M101" s="19"/>
      <c r="N101" s="19"/>
      <c r="O101" s="19"/>
      <c r="P101" s="19"/>
      <c r="Q101" s="19"/>
      <c r="R101" s="19"/>
      <c r="S101" s="19"/>
      <c r="T101" s="19"/>
      <c r="U101" s="19"/>
    </row>
    <row r="102" spans="2:21" x14ac:dyDescent="0.2">
      <c r="L102" s="19"/>
      <c r="M102" s="19"/>
      <c r="N102" s="19"/>
      <c r="O102" s="19"/>
      <c r="P102" s="19"/>
      <c r="Q102" s="19"/>
      <c r="R102" s="19"/>
      <c r="S102" s="19"/>
      <c r="T102" s="19"/>
      <c r="U102" s="19"/>
    </row>
    <row r="103" spans="2:21" ht="15.75" x14ac:dyDescent="0.25">
      <c r="B103" s="16" t="s">
        <v>511</v>
      </c>
      <c r="L103" s="19"/>
      <c r="M103" s="19"/>
      <c r="N103" s="19"/>
      <c r="O103" s="19"/>
      <c r="P103" s="19"/>
      <c r="Q103" s="19"/>
      <c r="R103" s="19"/>
      <c r="S103" s="19"/>
      <c r="T103" s="19"/>
      <c r="U103" s="19"/>
    </row>
    <row r="104" spans="2:21" x14ac:dyDescent="0.2">
      <c r="B104" s="128" t="s">
        <v>510</v>
      </c>
      <c r="L104" s="19"/>
      <c r="M104" s="19"/>
      <c r="N104" s="19"/>
      <c r="O104" s="19"/>
      <c r="P104" s="19"/>
      <c r="Q104" s="19"/>
      <c r="R104" s="19"/>
      <c r="S104" s="19"/>
      <c r="T104" s="19"/>
      <c r="U104" s="19"/>
    </row>
    <row r="105" spans="2:21" x14ac:dyDescent="0.2">
      <c r="L105" s="19"/>
      <c r="M105" s="19"/>
      <c r="N105" s="19"/>
      <c r="O105" s="19"/>
      <c r="P105" s="19"/>
      <c r="Q105" s="19"/>
      <c r="R105" s="19"/>
      <c r="S105" s="19"/>
      <c r="T105" s="19"/>
      <c r="U105" s="19"/>
    </row>
    <row r="106" spans="2:21" ht="15.75" x14ac:dyDescent="0.25">
      <c r="B106" s="9"/>
      <c r="L106" s="19"/>
      <c r="M106" s="19"/>
      <c r="N106" s="19"/>
      <c r="O106" s="19"/>
      <c r="P106" s="19"/>
      <c r="Q106" s="19"/>
      <c r="R106" s="19"/>
      <c r="S106" s="19"/>
      <c r="T106" s="19"/>
      <c r="U106" s="19"/>
    </row>
    <row r="107" spans="2:21" x14ac:dyDescent="0.2">
      <c r="D107" s="17" t="s">
        <v>821</v>
      </c>
      <c r="L107" s="19"/>
      <c r="M107" s="19"/>
      <c r="N107" s="19"/>
      <c r="O107" s="19"/>
      <c r="P107" s="19"/>
      <c r="Q107" s="19"/>
      <c r="R107" s="19"/>
      <c r="S107" s="19"/>
      <c r="T107" s="19"/>
      <c r="U107" s="19"/>
    </row>
    <row r="108" spans="2:21" x14ac:dyDescent="0.2">
      <c r="L108" s="19"/>
      <c r="M108" s="19"/>
      <c r="N108" s="19"/>
      <c r="O108" s="19"/>
      <c r="P108" s="19"/>
      <c r="Q108" s="19"/>
      <c r="R108" s="19"/>
      <c r="S108" s="19"/>
      <c r="T108" s="19"/>
      <c r="U108" s="19"/>
    </row>
    <row r="109" spans="2:21" x14ac:dyDescent="0.2">
      <c r="L109" s="19"/>
      <c r="M109" s="19"/>
      <c r="N109" s="19"/>
      <c r="O109" s="19"/>
      <c r="P109" s="19"/>
      <c r="Q109" s="19"/>
      <c r="R109" s="19"/>
      <c r="S109" s="19"/>
      <c r="T109" s="19"/>
      <c r="U109" s="19"/>
    </row>
    <row r="110" spans="2:21" x14ac:dyDescent="0.2">
      <c r="L110" s="19"/>
      <c r="M110" s="19"/>
      <c r="N110" s="19"/>
      <c r="O110" s="19"/>
      <c r="P110" s="19"/>
      <c r="Q110" s="19"/>
      <c r="R110" s="19"/>
      <c r="S110" s="19"/>
      <c r="T110" s="19"/>
      <c r="U110" s="19"/>
    </row>
    <row r="111" spans="2:21" x14ac:dyDescent="0.2">
      <c r="L111" s="19"/>
      <c r="M111" s="19"/>
      <c r="N111" s="19"/>
      <c r="O111" s="19"/>
      <c r="P111" s="19"/>
      <c r="Q111" s="19"/>
      <c r="R111" s="19"/>
      <c r="S111" s="19"/>
      <c r="T111" s="19"/>
      <c r="U111" s="19"/>
    </row>
    <row r="112" spans="2:21" x14ac:dyDescent="0.2">
      <c r="L112" s="19"/>
      <c r="M112" s="19"/>
      <c r="N112" s="19"/>
      <c r="O112" s="19"/>
      <c r="P112" s="19"/>
      <c r="Q112" s="19"/>
      <c r="R112" s="19"/>
      <c r="S112" s="19"/>
      <c r="T112" s="19"/>
      <c r="U112" s="19"/>
    </row>
    <row r="113" spans="12:21" x14ac:dyDescent="0.2">
      <c r="L113" s="19"/>
      <c r="M113" s="19"/>
      <c r="N113" s="19"/>
      <c r="O113" s="19"/>
      <c r="P113" s="19"/>
      <c r="Q113" s="19"/>
      <c r="R113" s="19"/>
      <c r="S113" s="19"/>
      <c r="T113" s="19"/>
      <c r="U113" s="19"/>
    </row>
    <row r="114" spans="12:21" x14ac:dyDescent="0.2">
      <c r="L114" s="19"/>
      <c r="M114" s="19"/>
      <c r="N114" s="19"/>
      <c r="O114" s="19"/>
      <c r="P114" s="19"/>
      <c r="Q114" s="19"/>
      <c r="R114" s="19"/>
      <c r="S114" s="19"/>
      <c r="T114" s="19"/>
      <c r="U114" s="19"/>
    </row>
    <row r="115" spans="12:21" x14ac:dyDescent="0.2">
      <c r="L115" s="19"/>
      <c r="M115" s="19"/>
      <c r="N115" s="19"/>
      <c r="O115" s="19"/>
      <c r="P115" s="19"/>
      <c r="Q115" s="19"/>
      <c r="R115" s="19"/>
      <c r="S115" s="19"/>
      <c r="T115" s="19"/>
      <c r="U115" s="19"/>
    </row>
    <row r="116" spans="12:21" x14ac:dyDescent="0.2">
      <c r="L116" s="19"/>
      <c r="M116" s="19"/>
      <c r="N116" s="19"/>
      <c r="O116" s="19"/>
      <c r="P116" s="19"/>
      <c r="Q116" s="19"/>
      <c r="R116" s="19"/>
      <c r="S116" s="19"/>
      <c r="T116" s="19"/>
      <c r="U116" s="19"/>
    </row>
    <row r="117" spans="12:21" x14ac:dyDescent="0.2">
      <c r="L117" s="19"/>
      <c r="M117" s="19"/>
      <c r="N117" s="19"/>
      <c r="O117" s="19"/>
      <c r="P117" s="19"/>
      <c r="Q117" s="19"/>
      <c r="R117" s="19"/>
      <c r="S117" s="19"/>
      <c r="T117" s="19"/>
      <c r="U117" s="19"/>
    </row>
    <row r="118" spans="12:21" x14ac:dyDescent="0.2">
      <c r="L118" s="19"/>
      <c r="M118" s="19"/>
      <c r="N118" s="19"/>
      <c r="O118" s="19"/>
      <c r="P118" s="19"/>
      <c r="Q118" s="19"/>
      <c r="R118" s="19"/>
      <c r="S118" s="19"/>
      <c r="T118" s="19"/>
      <c r="U118" s="19"/>
    </row>
    <row r="119" spans="12:21" x14ac:dyDescent="0.2">
      <c r="L119" s="19"/>
      <c r="M119" s="19"/>
      <c r="N119" s="19"/>
      <c r="O119" s="19"/>
      <c r="P119" s="19"/>
      <c r="Q119" s="19"/>
      <c r="R119" s="19"/>
      <c r="S119" s="19"/>
      <c r="T119" s="19"/>
      <c r="U119" s="19"/>
    </row>
    <row r="120" spans="12:21" x14ac:dyDescent="0.2">
      <c r="L120" s="19"/>
      <c r="M120" s="19"/>
      <c r="N120" s="19"/>
      <c r="O120" s="19"/>
      <c r="P120" s="19"/>
      <c r="Q120" s="19"/>
      <c r="R120" s="19"/>
      <c r="S120" s="19"/>
      <c r="T120" s="19"/>
      <c r="U120" s="19"/>
    </row>
    <row r="121" spans="12:21" x14ac:dyDescent="0.2">
      <c r="L121" s="19"/>
      <c r="M121" s="19"/>
      <c r="N121" s="19"/>
      <c r="O121" s="19"/>
      <c r="P121" s="19"/>
      <c r="Q121" s="19"/>
      <c r="R121" s="19"/>
      <c r="S121" s="19"/>
      <c r="T121" s="19"/>
      <c r="U121" s="19"/>
    </row>
    <row r="122" spans="12:21" x14ac:dyDescent="0.2">
      <c r="L122" s="19"/>
      <c r="M122" s="19"/>
      <c r="N122" s="19"/>
      <c r="O122" s="19"/>
      <c r="P122" s="19"/>
      <c r="Q122" s="19"/>
      <c r="R122" s="19"/>
      <c r="S122" s="19"/>
      <c r="T122" s="19"/>
      <c r="U122" s="19"/>
    </row>
    <row r="123" spans="12:21" x14ac:dyDescent="0.2">
      <c r="L123" s="19"/>
      <c r="M123" s="19"/>
      <c r="N123" s="19"/>
      <c r="O123" s="19"/>
      <c r="P123" s="19"/>
      <c r="Q123" s="19"/>
      <c r="R123" s="19"/>
      <c r="S123" s="19"/>
      <c r="T123" s="19"/>
      <c r="U123" s="19"/>
    </row>
    <row r="124" spans="12:21" x14ac:dyDescent="0.2">
      <c r="L124" s="19"/>
      <c r="M124" s="19"/>
      <c r="N124" s="19"/>
      <c r="O124" s="19"/>
      <c r="P124" s="19"/>
      <c r="Q124" s="19"/>
      <c r="R124" s="19"/>
      <c r="S124" s="19"/>
      <c r="T124" s="19"/>
      <c r="U124" s="19"/>
    </row>
    <row r="125" spans="12:21" x14ac:dyDescent="0.2">
      <c r="L125" s="19"/>
      <c r="M125" s="19"/>
      <c r="N125" s="19"/>
      <c r="O125" s="19"/>
      <c r="P125" s="19"/>
      <c r="Q125" s="19"/>
      <c r="R125" s="19"/>
      <c r="S125" s="19"/>
      <c r="T125" s="19"/>
      <c r="U125" s="19"/>
    </row>
    <row r="126" spans="12:21" x14ac:dyDescent="0.2">
      <c r="L126" s="19"/>
      <c r="M126" s="19"/>
      <c r="N126" s="19"/>
      <c r="O126" s="19"/>
      <c r="P126" s="19"/>
      <c r="Q126" s="19"/>
      <c r="R126" s="19"/>
      <c r="S126" s="19"/>
      <c r="T126" s="19"/>
      <c r="U126" s="19"/>
    </row>
    <row r="127" spans="12:21" x14ac:dyDescent="0.2">
      <c r="L127" s="19"/>
      <c r="M127" s="19"/>
      <c r="N127" s="19"/>
      <c r="O127" s="19"/>
      <c r="P127" s="19"/>
      <c r="Q127" s="19"/>
      <c r="R127" s="19"/>
      <c r="S127" s="19"/>
      <c r="T127" s="19"/>
      <c r="U127" s="19"/>
    </row>
    <row r="128" spans="12:21" x14ac:dyDescent="0.2">
      <c r="L128" s="19"/>
      <c r="M128" s="19"/>
      <c r="N128" s="19"/>
      <c r="O128" s="19"/>
      <c r="P128" s="19"/>
      <c r="Q128" s="19"/>
      <c r="R128" s="19"/>
      <c r="S128" s="19"/>
      <c r="T128" s="19"/>
      <c r="U128" s="19"/>
    </row>
    <row r="129" spans="12:21" x14ac:dyDescent="0.2">
      <c r="L129" s="19"/>
      <c r="M129" s="19"/>
      <c r="N129" s="19"/>
      <c r="O129" s="19"/>
      <c r="P129" s="19"/>
      <c r="Q129" s="19"/>
      <c r="R129" s="19"/>
      <c r="S129" s="19"/>
      <c r="T129" s="19"/>
      <c r="U129" s="19"/>
    </row>
    <row r="130" spans="12:21" x14ac:dyDescent="0.2">
      <c r="L130" s="19"/>
      <c r="M130" s="19"/>
      <c r="N130" s="19"/>
      <c r="O130" s="19"/>
      <c r="P130" s="19"/>
      <c r="Q130" s="19"/>
      <c r="R130" s="19"/>
      <c r="S130" s="19"/>
      <c r="T130" s="19"/>
      <c r="U130" s="19"/>
    </row>
    <row r="131" spans="12:21" x14ac:dyDescent="0.2">
      <c r="L131" s="19"/>
      <c r="M131" s="19"/>
      <c r="N131" s="19"/>
      <c r="O131" s="19"/>
      <c r="P131" s="19"/>
      <c r="Q131" s="19"/>
      <c r="R131" s="19"/>
      <c r="S131" s="19"/>
      <c r="T131" s="19"/>
      <c r="U131" s="19"/>
    </row>
    <row r="132" spans="12:21" x14ac:dyDescent="0.2">
      <c r="L132" s="19"/>
      <c r="M132" s="19"/>
      <c r="N132" s="19"/>
      <c r="O132" s="19"/>
      <c r="P132" s="19"/>
      <c r="Q132" s="19"/>
      <c r="R132" s="19"/>
      <c r="S132" s="19"/>
      <c r="T132" s="19"/>
      <c r="U132" s="19"/>
    </row>
    <row r="133" spans="12:21" x14ac:dyDescent="0.2">
      <c r="L133" s="19"/>
      <c r="M133" s="19"/>
      <c r="N133" s="19"/>
      <c r="O133" s="19"/>
      <c r="P133" s="19"/>
      <c r="Q133" s="19"/>
      <c r="R133" s="19"/>
      <c r="S133" s="19"/>
      <c r="T133" s="19"/>
      <c r="U133" s="19"/>
    </row>
    <row r="134" spans="12:21" x14ac:dyDescent="0.2">
      <c r="L134" s="19"/>
      <c r="M134" s="19"/>
      <c r="N134" s="19"/>
      <c r="O134" s="19"/>
      <c r="P134" s="19"/>
      <c r="Q134" s="19"/>
      <c r="R134" s="19"/>
      <c r="S134" s="19"/>
      <c r="T134" s="19"/>
      <c r="U134" s="19"/>
    </row>
    <row r="135" spans="12:21" x14ac:dyDescent="0.2">
      <c r="L135" s="19"/>
      <c r="M135" s="19"/>
      <c r="N135" s="19"/>
      <c r="O135" s="19"/>
      <c r="P135" s="19"/>
      <c r="Q135" s="19"/>
      <c r="R135" s="19"/>
      <c r="S135" s="19"/>
      <c r="T135" s="19"/>
      <c r="U135" s="19"/>
    </row>
    <row r="136" spans="12:21" x14ac:dyDescent="0.2">
      <c r="L136" s="19"/>
      <c r="M136" s="19"/>
      <c r="N136" s="19"/>
      <c r="O136" s="19"/>
      <c r="P136" s="19"/>
      <c r="Q136" s="19"/>
      <c r="R136" s="19"/>
      <c r="S136" s="19"/>
      <c r="T136" s="19"/>
      <c r="U136" s="19"/>
    </row>
    <row r="137" spans="12:21" x14ac:dyDescent="0.2">
      <c r="L137" s="19"/>
      <c r="M137" s="19"/>
      <c r="N137" s="19"/>
      <c r="O137" s="19"/>
      <c r="P137" s="19"/>
      <c r="Q137" s="19"/>
      <c r="R137" s="19"/>
      <c r="S137" s="19"/>
      <c r="T137" s="19"/>
      <c r="U137" s="19"/>
    </row>
    <row r="138" spans="12:21" x14ac:dyDescent="0.2">
      <c r="L138" s="19"/>
      <c r="M138" s="19"/>
      <c r="N138" s="19"/>
      <c r="O138" s="19"/>
      <c r="P138" s="19"/>
      <c r="Q138" s="19"/>
      <c r="R138" s="19"/>
      <c r="S138" s="19"/>
      <c r="T138" s="19"/>
      <c r="U138" s="19"/>
    </row>
    <row r="139" spans="12:21" x14ac:dyDescent="0.2">
      <c r="L139" s="19"/>
      <c r="M139" s="19"/>
      <c r="N139" s="19"/>
      <c r="O139" s="19"/>
      <c r="P139" s="19"/>
      <c r="Q139" s="19"/>
      <c r="R139" s="19"/>
      <c r="S139" s="19"/>
      <c r="T139" s="19"/>
      <c r="U139" s="19"/>
    </row>
  </sheetData>
  <sheetProtection sheet="1" objects="1" scenarios="1" selectLockedCells="1"/>
  <hyperlinks>
    <hyperlink ref="B101" r:id="rId1" xr:uid="{00000000-0004-0000-0000-000000000000}"/>
    <hyperlink ref="B104" r:id="rId2" xr:uid="{00000000-0004-0000-0000-000001000000}"/>
    <hyperlink ref="L20" location="COOLING_!A1" display="COOLING" xr:uid="{6B13A30C-BA7A-4D74-B97F-064731AD6090}"/>
    <hyperlink ref="L21" location="'COOLING-LOAD'!A1" display="COOLING LOAD" xr:uid="{CD233AB4-0083-4507-90D1-0E01A3665672}"/>
    <hyperlink ref="L22" location="'HEATING '!A1" display="HEATING" xr:uid="{BA3BD14D-38DB-4276-A50C-8BDA1FCBB5A0}"/>
    <hyperlink ref="L23" location="'PROBLEM SOLVER'!A1" display="PROBLEM SOLVER" xr:uid="{727DCD02-597E-4797-B966-B22BA53281EC}"/>
    <hyperlink ref="L24" location="DUCTING!A1" display="DUCTING" xr:uid="{59A210DA-D6F1-4A26-A97E-8C64890B77BF}"/>
    <hyperlink ref="L25" location="'DEGREE DAYS'!A1" display="DEGREE DAYS" xr:uid="{62F51394-AE5D-46CC-BDD4-240442617956}"/>
    <hyperlink ref="L26" location="UNITS!A1" display="UNITS" xr:uid="{FEFCA8BF-7C7D-46C9-9F0C-6DA3DF460D1F}"/>
    <hyperlink ref="L27" location="'MATH TOOLS'!A1" display="MATH TOOLS" xr:uid="{DB754484-5398-4B7E-AB78-3070351FEAF0}"/>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82"/>
  <sheetViews>
    <sheetView zoomScaleNormal="100" workbookViewId="0"/>
  </sheetViews>
  <sheetFormatPr defaultColWidth="8.7109375" defaultRowHeight="15" x14ac:dyDescent="0.2"/>
  <cols>
    <col min="1" max="1" width="3.42578125" style="17" customWidth="1"/>
    <col min="2" max="3" width="7" style="17" customWidth="1"/>
    <col min="4" max="6" width="8.7109375" style="17"/>
    <col min="7" max="7" width="8.42578125" style="17" customWidth="1"/>
    <col min="8" max="8" width="15" style="17" customWidth="1"/>
    <col min="9" max="9" width="11.85546875" style="17" customWidth="1"/>
    <col min="10" max="10" width="8.7109375" style="17"/>
    <col min="11" max="11" width="3.7109375" style="17" customWidth="1"/>
    <col min="12" max="12" width="8.7109375" style="17"/>
    <col min="13" max="13" width="8" style="17" customWidth="1"/>
    <col min="14" max="17" width="8.7109375" style="17"/>
    <col min="18" max="18" width="15" style="17" customWidth="1"/>
    <col min="19" max="19" width="10.42578125" style="17" customWidth="1"/>
    <col min="20" max="16384" width="8.7109375" style="17"/>
  </cols>
  <sheetData>
    <row r="1" spans="1:20" ht="20.25" x14ac:dyDescent="0.3">
      <c r="B1" s="14" t="s">
        <v>812</v>
      </c>
      <c r="C1" s="16"/>
      <c r="D1" s="18"/>
      <c r="E1" s="18"/>
      <c r="G1" s="18"/>
      <c r="K1" s="19"/>
      <c r="L1" s="19"/>
      <c r="M1" s="19"/>
      <c r="N1" s="19"/>
      <c r="O1" s="19"/>
      <c r="P1" s="19"/>
      <c r="Q1" s="19"/>
      <c r="R1" s="19"/>
      <c r="S1" s="19"/>
      <c r="T1" s="19"/>
    </row>
    <row r="2" spans="1:20" ht="18.75" thickBot="1" x14ac:dyDescent="0.3">
      <c r="A2" s="9"/>
      <c r="B2" s="9"/>
      <c r="D2" s="20"/>
      <c r="E2" s="20"/>
      <c r="F2" s="20"/>
      <c r="H2" s="9"/>
      <c r="K2" s="19"/>
      <c r="L2" s="19"/>
      <c r="M2" s="11" t="s">
        <v>326</v>
      </c>
      <c r="R2" s="19"/>
      <c r="S2" s="19"/>
      <c r="T2" s="19"/>
    </row>
    <row r="3" spans="1:20" ht="15.75" thickBot="1" x14ac:dyDescent="0.25">
      <c r="D3" s="20"/>
      <c r="E3" s="20"/>
      <c r="F3" s="20"/>
      <c r="K3" s="19"/>
      <c r="L3" s="21"/>
      <c r="M3" s="22" t="s">
        <v>325</v>
      </c>
      <c r="N3" s="23"/>
      <c r="O3" s="23"/>
      <c r="P3" s="23"/>
      <c r="Q3" s="24"/>
      <c r="R3" s="19"/>
      <c r="S3" s="19"/>
      <c r="T3" s="19"/>
    </row>
    <row r="4" spans="1:20" ht="18" x14ac:dyDescent="0.25">
      <c r="B4" s="11" t="s">
        <v>512</v>
      </c>
      <c r="D4" s="20"/>
      <c r="E4" s="20"/>
      <c r="F4" s="20"/>
      <c r="K4" s="19"/>
      <c r="L4" s="19"/>
      <c r="M4" s="20"/>
      <c r="R4" s="19"/>
      <c r="S4" s="19"/>
      <c r="T4" s="19"/>
    </row>
    <row r="6" spans="1:20" ht="18" x14ac:dyDescent="0.25">
      <c r="B6" s="99" t="s">
        <v>400</v>
      </c>
    </row>
    <row r="7" spans="1:20" ht="15.75" x14ac:dyDescent="0.25">
      <c r="C7" s="27"/>
      <c r="D7" s="28" t="s">
        <v>220</v>
      </c>
      <c r="E7" s="19"/>
      <c r="F7" s="19"/>
      <c r="G7" s="19"/>
      <c r="H7" s="19"/>
      <c r="M7" s="97" t="s">
        <v>711</v>
      </c>
    </row>
    <row r="8" spans="1:20" ht="15.75" x14ac:dyDescent="0.25">
      <c r="M8" s="98" t="s">
        <v>819</v>
      </c>
    </row>
    <row r="9" spans="1:20" ht="15.75" x14ac:dyDescent="0.25">
      <c r="B9" s="30" t="s">
        <v>426</v>
      </c>
      <c r="D9" s="9"/>
      <c r="E9" s="9"/>
    </row>
    <row r="10" spans="1:20" ht="16.5" thickBot="1" x14ac:dyDescent="0.3">
      <c r="K10" s="19"/>
      <c r="L10" s="19"/>
      <c r="M10" s="9" t="s">
        <v>468</v>
      </c>
      <c r="O10" s="25"/>
      <c r="P10" s="26" t="s">
        <v>177</v>
      </c>
      <c r="Q10" s="25"/>
      <c r="R10" s="19"/>
      <c r="S10" s="19"/>
      <c r="T10" s="19"/>
    </row>
    <row r="11" spans="1:20" ht="16.5" thickBot="1" x14ac:dyDescent="0.3">
      <c r="K11" s="19"/>
      <c r="L11" s="19"/>
      <c r="O11" s="18" t="s">
        <v>478</v>
      </c>
      <c r="P11" s="29">
        <v>22</v>
      </c>
      <c r="Q11" s="3" t="s">
        <v>179</v>
      </c>
      <c r="R11" s="19"/>
      <c r="S11" s="19"/>
      <c r="T11" s="19"/>
    </row>
    <row r="12" spans="1:20" ht="15.75" x14ac:dyDescent="0.25">
      <c r="K12" s="19"/>
      <c r="L12" s="19"/>
      <c r="P12" s="26" t="s">
        <v>1</v>
      </c>
      <c r="R12" s="19"/>
      <c r="S12" s="19"/>
      <c r="T12" s="19"/>
    </row>
    <row r="13" spans="1:20" ht="15.75" x14ac:dyDescent="0.25">
      <c r="B13" s="9"/>
      <c r="D13" s="9"/>
      <c r="E13" s="9"/>
      <c r="K13" s="19"/>
      <c r="L13" s="19"/>
      <c r="O13" s="18" t="s">
        <v>479</v>
      </c>
      <c r="P13" s="3" t="s">
        <v>181</v>
      </c>
      <c r="Q13" s="3"/>
      <c r="R13" s="19"/>
      <c r="S13" s="19"/>
      <c r="T13" s="19"/>
    </row>
    <row r="14" spans="1:20" ht="15.75" x14ac:dyDescent="0.25">
      <c r="B14" s="20"/>
      <c r="K14" s="19"/>
      <c r="L14" s="19"/>
      <c r="O14" s="31" t="s">
        <v>271</v>
      </c>
      <c r="P14" s="3">
        <f>(9*P11/5) + 32</f>
        <v>71.599999999999994</v>
      </c>
      <c r="Q14" s="3" t="s">
        <v>12</v>
      </c>
      <c r="R14" s="19"/>
      <c r="S14" s="19"/>
      <c r="T14" s="19"/>
    </row>
    <row r="15" spans="1:20" x14ac:dyDescent="0.2">
      <c r="K15" s="19"/>
      <c r="L15" s="19"/>
      <c r="R15" s="19"/>
      <c r="S15" s="19"/>
      <c r="T15" s="19"/>
    </row>
    <row r="16" spans="1:20" ht="16.5" thickBot="1" x14ac:dyDescent="0.3">
      <c r="K16" s="19"/>
      <c r="L16" s="19"/>
      <c r="M16" s="9" t="s">
        <v>469</v>
      </c>
      <c r="P16" s="26" t="s">
        <v>177</v>
      </c>
      <c r="R16" s="19"/>
      <c r="S16" s="19"/>
      <c r="T16" s="19"/>
    </row>
    <row r="17" spans="11:20" ht="16.5" thickBot="1" x14ac:dyDescent="0.3">
      <c r="K17" s="19"/>
      <c r="L17" s="19"/>
      <c r="O17" s="18" t="s">
        <v>437</v>
      </c>
      <c r="P17" s="32">
        <v>85</v>
      </c>
      <c r="Q17" s="16" t="s">
        <v>436</v>
      </c>
      <c r="R17" s="19"/>
      <c r="S17" s="19"/>
      <c r="T17" s="19"/>
    </row>
    <row r="18" spans="11:20" ht="15.75" x14ac:dyDescent="0.25">
      <c r="K18" s="19"/>
      <c r="L18" s="19"/>
      <c r="O18" s="20"/>
      <c r="P18" s="26" t="s">
        <v>1</v>
      </c>
      <c r="R18" s="19"/>
      <c r="S18" s="19"/>
      <c r="T18" s="19"/>
    </row>
    <row r="19" spans="11:20" ht="15.75" x14ac:dyDescent="0.25">
      <c r="K19" s="19"/>
      <c r="L19" s="19"/>
      <c r="O19" s="18" t="s">
        <v>439</v>
      </c>
      <c r="P19" s="9" t="s">
        <v>438</v>
      </c>
      <c r="R19" s="19"/>
      <c r="S19" s="19"/>
      <c r="T19" s="19"/>
    </row>
    <row r="20" spans="11:20" ht="15.75" x14ac:dyDescent="0.25">
      <c r="K20" s="19"/>
      <c r="L20" s="19"/>
      <c r="O20" s="20" t="s">
        <v>2</v>
      </c>
      <c r="P20" s="33">
        <f>P17*0.4299</f>
        <v>36.541499999999999</v>
      </c>
      <c r="Q20" s="9" t="s">
        <v>381</v>
      </c>
      <c r="R20" s="19"/>
      <c r="S20" s="19"/>
      <c r="T20" s="19"/>
    </row>
    <row r="21" spans="11:20" x14ac:dyDescent="0.2">
      <c r="K21" s="19"/>
      <c r="L21" s="19"/>
      <c r="R21" s="19"/>
      <c r="S21" s="19"/>
      <c r="T21" s="19"/>
    </row>
    <row r="31" spans="11:20" ht="18" x14ac:dyDescent="0.25">
      <c r="M31" s="1" t="s">
        <v>32</v>
      </c>
    </row>
    <row r="32" spans="11:20" ht="16.5" thickBot="1" x14ac:dyDescent="0.3">
      <c r="N32" s="9"/>
      <c r="O32" s="15"/>
      <c r="P32" s="18"/>
      <c r="Q32" s="16"/>
    </row>
    <row r="33" spans="2:17" ht="18.75" thickBot="1" x14ac:dyDescent="0.3">
      <c r="C33" s="34"/>
      <c r="D33" s="35" t="s">
        <v>220</v>
      </c>
      <c r="E33" s="23"/>
      <c r="F33" s="23"/>
      <c r="G33" s="23"/>
      <c r="H33" s="23"/>
      <c r="I33" s="24"/>
      <c r="M33" s="1" t="s">
        <v>33</v>
      </c>
      <c r="N33" s="9"/>
      <c r="O33" s="15"/>
      <c r="P33" s="18"/>
      <c r="Q33" s="16"/>
    </row>
    <row r="34" spans="2:17" ht="15.75" x14ac:dyDescent="0.25">
      <c r="B34" s="9" t="s">
        <v>4</v>
      </c>
      <c r="C34" s="17" t="s">
        <v>428</v>
      </c>
      <c r="M34" s="9" t="s">
        <v>677</v>
      </c>
      <c r="N34" s="9"/>
      <c r="O34" s="15"/>
      <c r="P34" s="18"/>
      <c r="Q34" s="16"/>
    </row>
    <row r="35" spans="2:17" ht="15.75" x14ac:dyDescent="0.25">
      <c r="M35" s="9" t="s">
        <v>676</v>
      </c>
      <c r="N35" s="9"/>
      <c r="O35" s="15"/>
      <c r="P35" s="18"/>
      <c r="Q35" s="16"/>
    </row>
    <row r="36" spans="2:17" ht="15.75" x14ac:dyDescent="0.25">
      <c r="M36" s="9" t="s">
        <v>34</v>
      </c>
      <c r="N36" s="9"/>
      <c r="O36" s="15"/>
      <c r="P36" s="18"/>
      <c r="Q36" s="16"/>
    </row>
    <row r="37" spans="2:17" ht="15.75" x14ac:dyDescent="0.25">
      <c r="M37" s="9" t="s">
        <v>35</v>
      </c>
      <c r="N37" s="9"/>
      <c r="O37" s="15"/>
      <c r="P37" s="18"/>
      <c r="Q37" s="16"/>
    </row>
    <row r="38" spans="2:17" ht="15.75" x14ac:dyDescent="0.25">
      <c r="G38" s="9" t="s">
        <v>815</v>
      </c>
      <c r="M38" s="9"/>
      <c r="N38" s="9"/>
      <c r="O38" s="15"/>
      <c r="P38" s="18"/>
      <c r="Q38" s="16"/>
    </row>
    <row r="39" spans="2:17" ht="18" x14ac:dyDescent="0.25">
      <c r="G39" s="9" t="s">
        <v>692</v>
      </c>
      <c r="M39" s="1" t="s">
        <v>36</v>
      </c>
      <c r="N39" s="9"/>
      <c r="O39" s="15"/>
      <c r="P39" s="18"/>
      <c r="Q39" s="16"/>
    </row>
    <row r="40" spans="2:17" ht="15.75" x14ac:dyDescent="0.25">
      <c r="M40" s="9" t="s">
        <v>37</v>
      </c>
      <c r="N40" s="9"/>
      <c r="O40" s="15"/>
      <c r="P40" s="18"/>
      <c r="Q40" s="16"/>
    </row>
    <row r="41" spans="2:17" ht="15.75" x14ac:dyDescent="0.25">
      <c r="M41" s="9" t="s">
        <v>38</v>
      </c>
      <c r="N41" s="9"/>
      <c r="O41" s="15"/>
      <c r="P41" s="18"/>
      <c r="Q41" s="16"/>
    </row>
    <row r="42" spans="2:17" ht="15.75" x14ac:dyDescent="0.25">
      <c r="D42" s="9"/>
      <c r="H42" s="36"/>
      <c r="M42" s="9" t="s">
        <v>663</v>
      </c>
      <c r="N42" s="9"/>
      <c r="O42" s="15"/>
      <c r="P42" s="18"/>
      <c r="Q42" s="16"/>
    </row>
    <row r="43" spans="2:17" ht="15.75" x14ac:dyDescent="0.25">
      <c r="M43" s="9" t="s">
        <v>39</v>
      </c>
      <c r="N43" s="9"/>
      <c r="O43" s="15"/>
      <c r="P43" s="18"/>
      <c r="Q43" s="16"/>
    </row>
    <row r="44" spans="2:17" ht="15.75" x14ac:dyDescent="0.25">
      <c r="M44" s="9" t="s">
        <v>40</v>
      </c>
      <c r="N44" s="9"/>
      <c r="O44" s="15"/>
      <c r="P44" s="18"/>
      <c r="Q44" s="16"/>
    </row>
    <row r="45" spans="2:17" ht="15.75" x14ac:dyDescent="0.25">
      <c r="M45" s="9"/>
      <c r="N45" s="9"/>
      <c r="O45" s="15"/>
      <c r="P45" s="18"/>
      <c r="Q45" s="16"/>
    </row>
    <row r="46" spans="2:17" ht="18" x14ac:dyDescent="0.25">
      <c r="B46" s="9" t="s">
        <v>5</v>
      </c>
      <c r="C46" s="17" t="s">
        <v>429</v>
      </c>
      <c r="M46" s="1" t="s">
        <v>33</v>
      </c>
      <c r="N46" s="9"/>
      <c r="O46" s="15"/>
      <c r="P46" s="18"/>
      <c r="Q46" s="16"/>
    </row>
    <row r="47" spans="2:17" ht="15.75" x14ac:dyDescent="0.25">
      <c r="M47" s="9" t="s">
        <v>41</v>
      </c>
      <c r="N47" s="9"/>
      <c r="O47" s="15"/>
      <c r="P47" s="18"/>
      <c r="Q47" s="16"/>
    </row>
    <row r="48" spans="2:17" ht="15.75" x14ac:dyDescent="0.25">
      <c r="M48" s="9" t="s">
        <v>42</v>
      </c>
      <c r="N48" s="9"/>
      <c r="O48" s="15"/>
      <c r="P48" s="18"/>
      <c r="Q48" s="16"/>
    </row>
    <row r="49" spans="7:20" ht="15.75" x14ac:dyDescent="0.25">
      <c r="M49" s="9" t="s">
        <v>43</v>
      </c>
      <c r="N49" s="9"/>
      <c r="O49" s="15"/>
      <c r="P49" s="18"/>
      <c r="Q49" s="16"/>
    </row>
    <row r="50" spans="7:20" ht="15.75" x14ac:dyDescent="0.25">
      <c r="M50" s="9" t="s">
        <v>44</v>
      </c>
      <c r="N50" s="9"/>
      <c r="O50" s="15"/>
      <c r="P50" s="18"/>
      <c r="Q50" s="16"/>
    </row>
    <row r="51" spans="7:20" ht="15.75" x14ac:dyDescent="0.25">
      <c r="K51" s="19"/>
      <c r="L51" s="19"/>
      <c r="M51" s="37"/>
      <c r="N51" s="13"/>
      <c r="O51" s="38"/>
      <c r="P51" s="27"/>
      <c r="Q51" s="37"/>
      <c r="R51" s="19"/>
      <c r="S51" s="19"/>
      <c r="T51" s="19"/>
    </row>
    <row r="52" spans="7:20" ht="15.75" x14ac:dyDescent="0.25">
      <c r="K52" s="19"/>
      <c r="L52" s="19"/>
      <c r="M52" s="13"/>
      <c r="N52" s="13"/>
      <c r="O52" s="38"/>
      <c r="P52" s="27"/>
      <c r="Q52" s="37"/>
      <c r="R52" s="19"/>
      <c r="S52" s="19"/>
      <c r="T52" s="19"/>
    </row>
    <row r="53" spans="7:20" ht="15.75" x14ac:dyDescent="0.25">
      <c r="K53" s="19"/>
      <c r="L53" s="19"/>
      <c r="M53" s="19"/>
      <c r="N53" s="13"/>
      <c r="O53" s="38"/>
      <c r="P53" s="27"/>
      <c r="Q53" s="37"/>
      <c r="R53" s="19"/>
      <c r="S53" s="19"/>
      <c r="T53" s="19"/>
    </row>
    <row r="54" spans="7:20" x14ac:dyDescent="0.2">
      <c r="K54" s="19"/>
      <c r="L54" s="19"/>
      <c r="M54" s="19"/>
      <c r="N54" s="19"/>
      <c r="O54" s="19"/>
      <c r="P54" s="19"/>
      <c r="Q54" s="19"/>
      <c r="R54" s="19"/>
      <c r="S54" s="19"/>
      <c r="T54" s="19"/>
    </row>
    <row r="55" spans="7:20" x14ac:dyDescent="0.2">
      <c r="K55" s="19"/>
      <c r="L55" s="19"/>
      <c r="M55" s="19"/>
      <c r="N55" s="19"/>
      <c r="O55" s="19"/>
      <c r="P55" s="19"/>
      <c r="Q55" s="19"/>
      <c r="R55" s="19"/>
      <c r="S55" s="19"/>
      <c r="T55" s="19"/>
    </row>
    <row r="56" spans="7:20" x14ac:dyDescent="0.2">
      <c r="K56" s="19"/>
      <c r="L56" s="19"/>
      <c r="M56" s="19"/>
      <c r="N56" s="19"/>
      <c r="O56" s="19"/>
      <c r="P56" s="19"/>
      <c r="Q56" s="19"/>
      <c r="R56" s="19"/>
      <c r="S56" s="19"/>
      <c r="T56" s="19"/>
    </row>
    <row r="57" spans="7:20" x14ac:dyDescent="0.2">
      <c r="K57" s="19"/>
      <c r="L57" s="19"/>
      <c r="M57" s="19"/>
      <c r="N57" s="19"/>
      <c r="O57" s="19"/>
      <c r="P57" s="19"/>
      <c r="Q57" s="19"/>
      <c r="R57" s="19"/>
      <c r="S57" s="19"/>
      <c r="T57" s="19"/>
    </row>
    <row r="58" spans="7:20" x14ac:dyDescent="0.2">
      <c r="K58" s="19"/>
      <c r="L58" s="19"/>
      <c r="M58" s="19"/>
      <c r="N58" s="19"/>
      <c r="O58" s="19"/>
      <c r="P58" s="19"/>
      <c r="Q58" s="19"/>
      <c r="R58" s="19"/>
      <c r="S58" s="19"/>
      <c r="T58" s="19"/>
    </row>
    <row r="59" spans="7:20" x14ac:dyDescent="0.2">
      <c r="K59" s="19"/>
      <c r="L59" s="19"/>
      <c r="M59" s="19"/>
      <c r="N59" s="19"/>
      <c r="O59" s="19"/>
      <c r="P59" s="19"/>
      <c r="Q59" s="19"/>
      <c r="R59" s="19"/>
      <c r="S59" s="19"/>
      <c r="T59" s="19"/>
    </row>
    <row r="60" spans="7:20" ht="15.75" x14ac:dyDescent="0.25">
      <c r="H60" s="39"/>
      <c r="K60" s="19"/>
      <c r="L60" s="19"/>
      <c r="M60" s="19"/>
      <c r="N60" s="19"/>
      <c r="O60" s="19"/>
      <c r="P60" s="19"/>
      <c r="Q60" s="19"/>
      <c r="R60" s="19"/>
      <c r="S60" s="19"/>
      <c r="T60" s="19"/>
    </row>
    <row r="61" spans="7:20" ht="15.75" x14ac:dyDescent="0.25">
      <c r="G61" s="18"/>
      <c r="H61" s="12"/>
      <c r="I61" s="9"/>
      <c r="K61" s="19"/>
      <c r="L61" s="19"/>
      <c r="M61" s="19"/>
      <c r="N61" s="19"/>
      <c r="O61" s="19"/>
      <c r="P61" s="19"/>
      <c r="Q61" s="19"/>
      <c r="R61" s="19"/>
      <c r="S61" s="19"/>
      <c r="T61" s="19"/>
    </row>
    <row r="62" spans="7:20" ht="15.75" x14ac:dyDescent="0.25">
      <c r="G62" s="18"/>
      <c r="H62" s="12"/>
      <c r="I62" s="9"/>
      <c r="K62" s="19"/>
      <c r="L62" s="19"/>
      <c r="M62" s="19"/>
      <c r="N62" s="19"/>
      <c r="O62" s="19"/>
      <c r="P62" s="19"/>
      <c r="Q62" s="19"/>
      <c r="R62" s="19"/>
      <c r="S62" s="19"/>
      <c r="T62" s="19"/>
    </row>
    <row r="63" spans="7:20" ht="15.75" x14ac:dyDescent="0.25">
      <c r="G63" s="18"/>
      <c r="H63" s="40"/>
      <c r="I63" s="9"/>
      <c r="K63" s="19"/>
      <c r="L63" s="19"/>
      <c r="M63" s="19"/>
      <c r="N63" s="19"/>
      <c r="O63" s="19"/>
      <c r="P63" s="19"/>
      <c r="Q63" s="19"/>
      <c r="R63" s="19"/>
      <c r="S63" s="19"/>
      <c r="T63" s="19"/>
    </row>
    <row r="64" spans="7:20" ht="15.75" x14ac:dyDescent="0.25">
      <c r="G64" s="18"/>
      <c r="H64" s="41"/>
      <c r="I64" s="9"/>
      <c r="K64" s="19"/>
      <c r="L64" s="19"/>
      <c r="M64" s="19"/>
      <c r="N64" s="19"/>
      <c r="O64" s="19"/>
      <c r="P64" s="19"/>
      <c r="Q64" s="19"/>
      <c r="R64" s="19"/>
      <c r="S64" s="19"/>
      <c r="T64" s="19"/>
    </row>
    <row r="65" spans="2:20" ht="15.75" x14ac:dyDescent="0.25">
      <c r="B65" s="9"/>
      <c r="G65" s="20"/>
      <c r="H65" s="39"/>
      <c r="K65" s="19"/>
      <c r="L65" s="19"/>
      <c r="M65" s="19"/>
      <c r="N65" s="19"/>
      <c r="O65" s="19"/>
      <c r="P65" s="19"/>
      <c r="Q65" s="19"/>
      <c r="R65" s="19"/>
      <c r="S65" s="19"/>
      <c r="T65" s="19"/>
    </row>
    <row r="66" spans="2:20" ht="15.75" x14ac:dyDescent="0.25">
      <c r="G66" s="18"/>
      <c r="H66" s="9"/>
      <c r="K66" s="19"/>
      <c r="L66" s="19"/>
    </row>
    <row r="67" spans="2:20" ht="15.75" x14ac:dyDescent="0.25">
      <c r="G67" s="18"/>
      <c r="H67" s="42"/>
      <c r="I67" s="9"/>
      <c r="K67" s="19"/>
      <c r="L67" s="19"/>
    </row>
    <row r="68" spans="2:20" x14ac:dyDescent="0.2">
      <c r="K68" s="19"/>
      <c r="L68" s="19"/>
    </row>
    <row r="69" spans="2:20" ht="15.75" x14ac:dyDescent="0.25">
      <c r="B69" s="9" t="s">
        <v>6</v>
      </c>
      <c r="C69" s="17" t="s">
        <v>430</v>
      </c>
      <c r="G69" s="18"/>
      <c r="H69" s="9"/>
      <c r="K69" s="19"/>
      <c r="L69" s="19"/>
      <c r="M69" s="19"/>
      <c r="N69" s="19"/>
      <c r="O69" s="19"/>
      <c r="P69" s="19"/>
      <c r="Q69" s="19"/>
      <c r="R69" s="19"/>
      <c r="S69" s="19"/>
      <c r="T69" s="19"/>
    </row>
    <row r="70" spans="2:20" ht="15.75" x14ac:dyDescent="0.25">
      <c r="C70" s="9" t="s">
        <v>427</v>
      </c>
      <c r="G70" s="18"/>
      <c r="H70" s="12"/>
      <c r="I70" s="9"/>
      <c r="K70" s="19"/>
      <c r="L70" s="19"/>
      <c r="M70" s="19"/>
      <c r="N70" s="19"/>
      <c r="O70" s="19"/>
      <c r="P70" s="19"/>
      <c r="Q70" s="19"/>
      <c r="R70" s="19"/>
      <c r="S70" s="19"/>
      <c r="T70" s="19"/>
    </row>
    <row r="71" spans="2:20" x14ac:dyDescent="0.2">
      <c r="K71" s="19"/>
      <c r="L71" s="19"/>
    </row>
    <row r="72" spans="2:20" x14ac:dyDescent="0.2">
      <c r="K72" s="19"/>
      <c r="L72" s="19"/>
    </row>
    <row r="73" spans="2:20" x14ac:dyDescent="0.2">
      <c r="K73" s="19"/>
      <c r="L73" s="19"/>
    </row>
    <row r="74" spans="2:20" ht="15.75" thickBot="1" x14ac:dyDescent="0.25">
      <c r="K74" s="19"/>
      <c r="L74" s="19"/>
      <c r="M74" s="19"/>
      <c r="N74" s="19"/>
      <c r="O74" s="19"/>
      <c r="P74" s="19"/>
      <c r="Q74" s="19"/>
      <c r="R74" s="19"/>
      <c r="S74" s="19"/>
      <c r="T74" s="19"/>
    </row>
    <row r="75" spans="2:20" ht="15.75" x14ac:dyDescent="0.25">
      <c r="E75" s="43" t="s">
        <v>817</v>
      </c>
      <c r="G75" s="18"/>
      <c r="H75" s="42"/>
      <c r="I75" s="9"/>
      <c r="K75" s="19"/>
      <c r="L75" s="19"/>
      <c r="M75" s="116"/>
      <c r="N75" s="117"/>
      <c r="O75" s="117"/>
      <c r="P75" s="117"/>
      <c r="Q75" s="117"/>
      <c r="R75" s="118"/>
      <c r="T75" s="19"/>
    </row>
    <row r="76" spans="2:20" ht="15.75" x14ac:dyDescent="0.25">
      <c r="E76" s="18" t="s">
        <v>328</v>
      </c>
      <c r="F76" s="9" t="s">
        <v>341</v>
      </c>
      <c r="G76" s="44"/>
      <c r="H76" s="9"/>
      <c r="K76" s="19"/>
      <c r="L76" s="19"/>
      <c r="M76" s="108" t="s">
        <v>820</v>
      </c>
      <c r="N76" s="106"/>
      <c r="O76" s="106"/>
      <c r="P76" s="106"/>
      <c r="Q76" s="106"/>
      <c r="R76" s="109"/>
      <c r="S76" s="19"/>
      <c r="T76" s="19"/>
    </row>
    <row r="77" spans="2:20" ht="15.75" x14ac:dyDescent="0.25">
      <c r="E77" s="18" t="s">
        <v>329</v>
      </c>
      <c r="F77" s="9" t="s">
        <v>342</v>
      </c>
      <c r="G77" s="44"/>
      <c r="H77" s="42"/>
      <c r="I77" s="9"/>
      <c r="K77" s="19"/>
      <c r="L77" s="19"/>
      <c r="M77" s="115" t="s">
        <v>816</v>
      </c>
      <c r="N77" s="106"/>
      <c r="O77" s="106"/>
      <c r="P77" s="111"/>
      <c r="Q77" s="106"/>
      <c r="R77" s="109"/>
      <c r="S77" s="19"/>
      <c r="T77" s="19"/>
    </row>
    <row r="78" spans="2:20" ht="16.5" thickBot="1" x14ac:dyDescent="0.3">
      <c r="E78" s="18" t="s">
        <v>330</v>
      </c>
      <c r="F78" s="9" t="s">
        <v>338</v>
      </c>
      <c r="G78" s="18"/>
      <c r="H78" s="16"/>
      <c r="K78" s="19"/>
      <c r="L78" s="19"/>
      <c r="M78" s="101"/>
      <c r="N78" s="102"/>
      <c r="O78" s="102"/>
      <c r="P78" s="103"/>
      <c r="Q78" s="104"/>
      <c r="R78" s="105"/>
      <c r="S78" s="19"/>
      <c r="T78" s="19"/>
    </row>
    <row r="79" spans="2:20" ht="16.5" thickBot="1" x14ac:dyDescent="0.3">
      <c r="E79" s="18" t="s">
        <v>331</v>
      </c>
      <c r="F79" s="9" t="s">
        <v>445</v>
      </c>
      <c r="G79" s="18"/>
      <c r="H79" s="42"/>
      <c r="I79" s="9"/>
      <c r="K79" s="19"/>
      <c r="L79" s="19"/>
      <c r="M79" s="19"/>
      <c r="N79" s="19"/>
      <c r="O79" s="19"/>
      <c r="P79" s="27"/>
      <c r="Q79" s="13"/>
      <c r="R79" s="13"/>
      <c r="S79" s="19"/>
      <c r="T79" s="19"/>
    </row>
    <row r="80" spans="2:20" ht="15.75" x14ac:dyDescent="0.25">
      <c r="E80" s="18" t="s">
        <v>332</v>
      </c>
      <c r="F80" s="9" t="s">
        <v>343</v>
      </c>
      <c r="K80" s="19"/>
      <c r="L80" s="19"/>
      <c r="M80" s="107"/>
      <c r="N80" s="100"/>
      <c r="O80" s="100"/>
      <c r="P80" s="112"/>
      <c r="Q80" s="113"/>
      <c r="R80" s="114"/>
      <c r="S80" s="19"/>
    </row>
    <row r="81" spans="2:20" ht="15.75" x14ac:dyDescent="0.25">
      <c r="E81" s="18" t="s">
        <v>327</v>
      </c>
      <c r="F81" s="9" t="s">
        <v>344</v>
      </c>
      <c r="K81" s="19"/>
      <c r="L81" s="19"/>
      <c r="M81" s="108" t="s">
        <v>820</v>
      </c>
      <c r="N81" s="106"/>
      <c r="O81" s="106"/>
      <c r="P81" s="106"/>
      <c r="Q81" s="106"/>
      <c r="R81" s="109"/>
      <c r="S81" s="106"/>
    </row>
    <row r="82" spans="2:20" ht="15.75" x14ac:dyDescent="0.25">
      <c r="E82" s="18" t="s">
        <v>333</v>
      </c>
      <c r="F82" s="9" t="s">
        <v>345</v>
      </c>
      <c r="K82" s="19"/>
      <c r="L82" s="19"/>
      <c r="M82" s="115" t="s">
        <v>816</v>
      </c>
      <c r="N82" s="106"/>
      <c r="O82" s="106"/>
      <c r="P82" s="106"/>
      <c r="Q82" s="106"/>
      <c r="R82" s="109"/>
      <c r="S82" s="106"/>
      <c r="T82" s="19"/>
    </row>
    <row r="83" spans="2:20" ht="16.5" thickBot="1" x14ac:dyDescent="0.3">
      <c r="E83" s="18" t="s">
        <v>334</v>
      </c>
      <c r="F83" s="9" t="s">
        <v>340</v>
      </c>
      <c r="K83" s="19"/>
      <c r="L83" s="19"/>
      <c r="M83" s="101"/>
      <c r="N83" s="102"/>
      <c r="O83" s="102"/>
      <c r="P83" s="102"/>
      <c r="Q83" s="102"/>
      <c r="R83" s="110"/>
      <c r="S83" s="106"/>
      <c r="T83" s="19"/>
    </row>
    <row r="84" spans="2:20" ht="15.75" x14ac:dyDescent="0.25">
      <c r="E84" s="18" t="s">
        <v>335</v>
      </c>
      <c r="F84" s="9" t="s">
        <v>339</v>
      </c>
      <c r="K84" s="19"/>
      <c r="L84" s="19"/>
      <c r="M84" s="19"/>
      <c r="N84" s="19"/>
      <c r="O84" s="19"/>
      <c r="P84" s="27"/>
      <c r="Q84" s="13"/>
      <c r="R84" s="13"/>
      <c r="S84" s="19"/>
      <c r="T84" s="19"/>
    </row>
    <row r="85" spans="2:20" ht="15.75" x14ac:dyDescent="0.25">
      <c r="E85" s="18" t="s">
        <v>336</v>
      </c>
      <c r="F85" s="9" t="s">
        <v>337</v>
      </c>
      <c r="K85" s="19"/>
      <c r="L85" s="19"/>
      <c r="M85" s="19"/>
      <c r="N85" s="19"/>
      <c r="O85" s="19"/>
      <c r="P85" s="27"/>
      <c r="Q85" s="13"/>
      <c r="R85" s="13"/>
      <c r="S85" s="13"/>
      <c r="T85" s="19"/>
    </row>
    <row r="86" spans="2:20" ht="15.75" x14ac:dyDescent="0.25">
      <c r="K86" s="19"/>
      <c r="L86" s="19"/>
      <c r="M86" s="19"/>
      <c r="N86" s="19"/>
      <c r="O86" s="19"/>
      <c r="P86" s="27"/>
      <c r="Q86" s="13"/>
      <c r="R86" s="13"/>
      <c r="S86" s="13"/>
      <c r="T86" s="19"/>
    </row>
    <row r="87" spans="2:20" ht="15.75" x14ac:dyDescent="0.25">
      <c r="B87" s="9" t="s">
        <v>7</v>
      </c>
      <c r="C87" s="17" t="s">
        <v>440</v>
      </c>
      <c r="K87" s="19"/>
      <c r="L87" s="19"/>
      <c r="M87" s="19"/>
      <c r="N87" s="19"/>
      <c r="O87" s="19"/>
      <c r="P87" s="19"/>
      <c r="Q87" s="19"/>
      <c r="R87" s="19"/>
      <c r="S87" s="13"/>
      <c r="T87" s="19"/>
    </row>
    <row r="88" spans="2:20" ht="15.75" x14ac:dyDescent="0.25">
      <c r="K88" s="19"/>
      <c r="L88" s="19"/>
      <c r="M88" s="19"/>
      <c r="N88" s="19"/>
      <c r="O88" s="19"/>
      <c r="P88" s="19"/>
      <c r="Q88" s="27"/>
      <c r="R88" s="46"/>
      <c r="S88" s="13"/>
      <c r="T88" s="19"/>
    </row>
    <row r="89" spans="2:20" ht="15.75" x14ac:dyDescent="0.25">
      <c r="K89" s="19"/>
      <c r="L89" s="19"/>
      <c r="M89" s="19"/>
      <c r="N89" s="19"/>
      <c r="O89" s="19"/>
      <c r="P89" s="19"/>
      <c r="Q89" s="27"/>
      <c r="R89" s="47"/>
      <c r="S89" s="13"/>
      <c r="T89" s="19"/>
    </row>
    <row r="90" spans="2:20" ht="15.75" x14ac:dyDescent="0.25">
      <c r="K90" s="19"/>
      <c r="L90" s="19"/>
      <c r="M90" s="19"/>
      <c r="N90" s="19"/>
      <c r="O90" s="19"/>
      <c r="P90" s="19"/>
      <c r="Q90" s="27"/>
      <c r="R90" s="47"/>
      <c r="S90" s="13"/>
      <c r="T90" s="19"/>
    </row>
    <row r="91" spans="2:20" ht="15.75" x14ac:dyDescent="0.25">
      <c r="K91" s="19"/>
      <c r="L91" s="19"/>
      <c r="M91" s="19"/>
      <c r="N91" s="19"/>
      <c r="O91" s="19"/>
      <c r="P91" s="19"/>
      <c r="Q91" s="27"/>
      <c r="R91" s="46"/>
      <c r="S91" s="13"/>
      <c r="T91" s="19"/>
    </row>
    <row r="92" spans="2:20" ht="15.75" x14ac:dyDescent="0.25">
      <c r="K92" s="19"/>
      <c r="L92" s="19"/>
      <c r="M92" s="19"/>
      <c r="N92" s="19"/>
      <c r="O92" s="19"/>
      <c r="P92" s="19"/>
      <c r="Q92" s="27"/>
      <c r="R92" s="46"/>
      <c r="S92" s="13"/>
      <c r="T92" s="19"/>
    </row>
    <row r="93" spans="2:20" x14ac:dyDescent="0.2">
      <c r="K93" s="19"/>
      <c r="L93" s="19"/>
      <c r="M93" s="19"/>
      <c r="N93" s="19"/>
      <c r="O93" s="19"/>
      <c r="P93" s="19"/>
      <c r="Q93" s="19"/>
      <c r="R93" s="19"/>
      <c r="S93" s="19"/>
      <c r="T93" s="19"/>
    </row>
    <row r="94" spans="2:20" x14ac:dyDescent="0.2">
      <c r="K94" s="19"/>
      <c r="L94" s="19"/>
      <c r="M94" s="19"/>
      <c r="N94" s="19"/>
      <c r="O94" s="19"/>
      <c r="P94" s="19"/>
      <c r="Q94" s="19"/>
      <c r="R94" s="19"/>
      <c r="S94" s="19"/>
      <c r="T94" s="19"/>
    </row>
    <row r="95" spans="2:20" ht="15.75" x14ac:dyDescent="0.25">
      <c r="B95" s="9" t="s">
        <v>8</v>
      </c>
      <c r="C95" s="17" t="s">
        <v>431</v>
      </c>
      <c r="K95" s="19"/>
      <c r="L95" s="19"/>
      <c r="M95" s="19"/>
      <c r="N95" s="19"/>
      <c r="O95" s="19"/>
      <c r="P95" s="19"/>
      <c r="Q95" s="48"/>
      <c r="R95" s="19"/>
      <c r="S95" s="19"/>
      <c r="T95" s="19"/>
    </row>
    <row r="96" spans="2:20" x14ac:dyDescent="0.2">
      <c r="K96" s="19"/>
      <c r="L96" s="19"/>
      <c r="M96" s="19"/>
      <c r="N96" s="19"/>
      <c r="O96" s="19"/>
      <c r="P96" s="19"/>
      <c r="Q96" s="48"/>
      <c r="R96" s="49"/>
      <c r="S96" s="19"/>
      <c r="T96" s="19"/>
    </row>
    <row r="97" spans="11:20" x14ac:dyDescent="0.2">
      <c r="K97" s="19"/>
      <c r="L97" s="19"/>
      <c r="M97" s="19"/>
      <c r="N97" s="19"/>
      <c r="O97" s="19"/>
      <c r="P97" s="19"/>
      <c r="Q97" s="48"/>
      <c r="R97" s="19"/>
      <c r="S97" s="19"/>
      <c r="T97" s="19"/>
    </row>
    <row r="98" spans="11:20" x14ac:dyDescent="0.2">
      <c r="K98" s="19"/>
      <c r="L98" s="19"/>
      <c r="M98" s="19"/>
      <c r="N98" s="19"/>
      <c r="O98" s="19"/>
      <c r="P98" s="19"/>
      <c r="Q98" s="48"/>
      <c r="R98" s="19"/>
      <c r="S98" s="19"/>
      <c r="T98" s="19"/>
    </row>
    <row r="99" spans="11:20" x14ac:dyDescent="0.2">
      <c r="K99" s="19"/>
      <c r="L99" s="19"/>
      <c r="M99" s="19"/>
      <c r="N99" s="19"/>
      <c r="O99" s="19"/>
      <c r="P99" s="19"/>
      <c r="Q99" s="48"/>
      <c r="R99" s="19"/>
      <c r="S99" s="19"/>
      <c r="T99" s="19"/>
    </row>
    <row r="100" spans="11:20" x14ac:dyDescent="0.2">
      <c r="K100" s="19"/>
      <c r="L100" s="19"/>
      <c r="M100" s="19"/>
      <c r="N100" s="19"/>
      <c r="O100" s="19"/>
      <c r="P100" s="19"/>
      <c r="Q100" s="48"/>
      <c r="R100" s="45"/>
      <c r="S100" s="19"/>
      <c r="T100" s="19"/>
    </row>
    <row r="101" spans="11:20" x14ac:dyDescent="0.2">
      <c r="K101" s="19"/>
      <c r="L101" s="19"/>
      <c r="M101" s="19"/>
      <c r="N101" s="19"/>
      <c r="O101" s="19"/>
      <c r="P101" s="19"/>
      <c r="Q101" s="48"/>
      <c r="R101" s="19"/>
      <c r="S101" s="19"/>
      <c r="T101" s="19"/>
    </row>
    <row r="102" spans="11:20" x14ac:dyDescent="0.2">
      <c r="K102" s="19"/>
      <c r="L102" s="19"/>
      <c r="M102" s="19"/>
      <c r="N102" s="19"/>
      <c r="O102" s="19"/>
      <c r="P102" s="19"/>
      <c r="Q102" s="48"/>
      <c r="R102" s="19"/>
      <c r="S102" s="19"/>
      <c r="T102" s="19"/>
    </row>
    <row r="103" spans="11:20" x14ac:dyDescent="0.2">
      <c r="K103" s="19"/>
      <c r="L103" s="19"/>
      <c r="M103" s="19"/>
      <c r="N103" s="19"/>
      <c r="O103" s="19"/>
      <c r="P103" s="19"/>
      <c r="Q103" s="48"/>
      <c r="R103" s="45"/>
      <c r="S103" s="19"/>
      <c r="T103" s="19"/>
    </row>
    <row r="104" spans="11:20" x14ac:dyDescent="0.2">
      <c r="K104" s="19"/>
      <c r="L104" s="19"/>
      <c r="M104" s="19"/>
      <c r="N104" s="19"/>
      <c r="O104" s="19"/>
      <c r="P104" s="19"/>
      <c r="Q104" s="48"/>
      <c r="R104" s="19"/>
      <c r="S104" s="19"/>
      <c r="T104" s="19"/>
    </row>
    <row r="105" spans="11:20" x14ac:dyDescent="0.2">
      <c r="K105" s="19"/>
      <c r="L105" s="19"/>
      <c r="M105" s="19"/>
      <c r="N105" s="19"/>
      <c r="O105" s="19"/>
      <c r="P105" s="19"/>
      <c r="Q105" s="48"/>
      <c r="R105" s="50"/>
      <c r="S105" s="19"/>
      <c r="T105" s="19"/>
    </row>
    <row r="106" spans="11:20" x14ac:dyDescent="0.2">
      <c r="K106" s="19"/>
      <c r="L106" s="19"/>
      <c r="M106" s="19"/>
      <c r="N106" s="19"/>
      <c r="O106" s="19"/>
      <c r="P106" s="19"/>
      <c r="Q106" s="19"/>
      <c r="R106" s="19"/>
      <c r="S106" s="19"/>
      <c r="T106" s="19"/>
    </row>
    <row r="107" spans="11:20" x14ac:dyDescent="0.2">
      <c r="K107" s="19"/>
      <c r="L107" s="19"/>
      <c r="M107" s="19"/>
      <c r="N107" s="19"/>
      <c r="O107" s="19"/>
      <c r="P107" s="19"/>
      <c r="Q107" s="19"/>
      <c r="R107" s="19"/>
      <c r="S107" s="19"/>
      <c r="T107" s="19"/>
    </row>
    <row r="108" spans="11:20" x14ac:dyDescent="0.2">
      <c r="K108" s="19"/>
      <c r="L108" s="19"/>
      <c r="M108" s="19"/>
      <c r="N108" s="19"/>
      <c r="O108" s="19"/>
      <c r="P108" s="19"/>
      <c r="Q108" s="19"/>
      <c r="R108" s="19"/>
      <c r="S108" s="19"/>
      <c r="T108" s="19"/>
    </row>
    <row r="109" spans="11:20" x14ac:dyDescent="0.2">
      <c r="K109" s="19"/>
      <c r="L109" s="19"/>
      <c r="M109" s="19"/>
      <c r="N109" s="19"/>
      <c r="O109" s="19"/>
      <c r="P109" s="19"/>
      <c r="Q109" s="19"/>
      <c r="R109" s="19"/>
      <c r="S109" s="19"/>
      <c r="T109" s="19"/>
    </row>
    <row r="110" spans="11:20" x14ac:dyDescent="0.2">
      <c r="K110" s="19"/>
      <c r="L110" s="19"/>
      <c r="M110" s="19"/>
      <c r="N110" s="19"/>
      <c r="O110" s="19"/>
      <c r="P110" s="19"/>
      <c r="Q110" s="19"/>
      <c r="R110" s="19"/>
      <c r="S110" s="19"/>
      <c r="T110" s="19"/>
    </row>
    <row r="111" spans="11:20" x14ac:dyDescent="0.2">
      <c r="K111" s="19"/>
      <c r="L111" s="19"/>
      <c r="M111" s="19"/>
      <c r="N111" s="19"/>
      <c r="O111" s="19"/>
      <c r="P111" s="19"/>
      <c r="Q111" s="19"/>
      <c r="R111" s="19"/>
      <c r="S111" s="19"/>
      <c r="T111" s="19"/>
    </row>
    <row r="112" spans="11:20" x14ac:dyDescent="0.2">
      <c r="K112" s="19"/>
      <c r="L112" s="19"/>
      <c r="M112" s="19"/>
      <c r="N112" s="19"/>
      <c r="O112" s="19"/>
      <c r="P112" s="19"/>
      <c r="Q112" s="19"/>
      <c r="R112" s="19"/>
      <c r="S112" s="19"/>
      <c r="T112" s="19"/>
    </row>
    <row r="113" spans="2:20" x14ac:dyDescent="0.2">
      <c r="K113" s="19"/>
      <c r="L113" s="19"/>
      <c r="M113" s="19"/>
      <c r="N113" s="19"/>
      <c r="O113" s="19"/>
      <c r="P113" s="19"/>
      <c r="Q113" s="19"/>
      <c r="R113" s="19"/>
      <c r="S113" s="19"/>
      <c r="T113" s="19"/>
    </row>
    <row r="114" spans="2:20" x14ac:dyDescent="0.2">
      <c r="K114" s="19"/>
      <c r="L114" s="19"/>
      <c r="M114" s="19"/>
      <c r="N114" s="19"/>
      <c r="O114" s="19"/>
      <c r="P114" s="19"/>
      <c r="Q114" s="19"/>
      <c r="R114" s="19"/>
      <c r="S114" s="19"/>
      <c r="T114" s="19"/>
    </row>
    <row r="115" spans="2:20" x14ac:dyDescent="0.2">
      <c r="K115" s="19"/>
      <c r="L115" s="19"/>
      <c r="M115" s="19"/>
      <c r="N115" s="19"/>
      <c r="O115" s="19"/>
      <c r="P115" s="19"/>
      <c r="Q115" s="19"/>
      <c r="R115" s="19"/>
      <c r="S115" s="19"/>
      <c r="T115" s="19"/>
    </row>
    <row r="116" spans="2:20" x14ac:dyDescent="0.2">
      <c r="K116" s="19"/>
      <c r="L116" s="19"/>
      <c r="M116" s="19"/>
      <c r="N116" s="19"/>
      <c r="O116" s="19"/>
      <c r="P116" s="19"/>
      <c r="Q116" s="19"/>
      <c r="R116" s="19"/>
      <c r="S116" s="19"/>
      <c r="T116" s="19"/>
    </row>
    <row r="117" spans="2:20" x14ac:dyDescent="0.2">
      <c r="K117" s="19"/>
      <c r="L117" s="19"/>
      <c r="M117" s="19"/>
      <c r="N117" s="19"/>
      <c r="O117" s="19"/>
      <c r="P117" s="19"/>
      <c r="Q117" s="19"/>
      <c r="R117" s="19"/>
      <c r="S117" s="19"/>
      <c r="T117" s="19"/>
    </row>
    <row r="118" spans="2:20" x14ac:dyDescent="0.2">
      <c r="K118" s="19"/>
      <c r="L118" s="19"/>
      <c r="M118" s="19"/>
      <c r="N118" s="19"/>
      <c r="O118" s="19"/>
      <c r="P118" s="19"/>
      <c r="Q118" s="19"/>
      <c r="R118" s="19"/>
      <c r="S118" s="19"/>
      <c r="T118" s="19"/>
    </row>
    <row r="119" spans="2:20" ht="15.75" x14ac:dyDescent="0.25">
      <c r="B119" s="9" t="s">
        <v>9</v>
      </c>
      <c r="C119" s="17" t="s">
        <v>434</v>
      </c>
      <c r="K119" s="19"/>
      <c r="L119" s="19"/>
      <c r="M119" s="19"/>
      <c r="N119" s="19"/>
      <c r="O119" s="19"/>
      <c r="P119" s="19"/>
      <c r="Q119" s="19"/>
      <c r="R119" s="19"/>
      <c r="S119" s="19"/>
      <c r="T119" s="19"/>
    </row>
    <row r="120" spans="2:20" ht="15.75" x14ac:dyDescent="0.25">
      <c r="B120" s="9" t="s">
        <v>10</v>
      </c>
      <c r="C120" s="17" t="s">
        <v>435</v>
      </c>
      <c r="K120" s="19"/>
      <c r="L120" s="19"/>
      <c r="M120" s="19"/>
      <c r="N120" s="19"/>
      <c r="O120" s="19"/>
      <c r="P120" s="19"/>
      <c r="Q120" s="19"/>
      <c r="R120" s="19"/>
      <c r="S120" s="19"/>
      <c r="T120" s="19"/>
    </row>
    <row r="121" spans="2:20" x14ac:dyDescent="0.2">
      <c r="K121" s="19"/>
      <c r="L121" s="19"/>
      <c r="M121" s="19"/>
      <c r="N121" s="19"/>
      <c r="O121" s="19"/>
      <c r="P121" s="19"/>
      <c r="Q121" s="19"/>
      <c r="R121" s="19"/>
      <c r="S121" s="19"/>
      <c r="T121" s="19"/>
    </row>
    <row r="122" spans="2:20" x14ac:dyDescent="0.2">
      <c r="K122" s="19"/>
      <c r="L122" s="19"/>
      <c r="M122" s="19"/>
      <c r="N122" s="19"/>
      <c r="O122" s="19"/>
      <c r="P122" s="19"/>
      <c r="Q122" s="19"/>
      <c r="R122" s="19"/>
      <c r="S122" s="19"/>
      <c r="T122" s="19"/>
    </row>
    <row r="123" spans="2:20" x14ac:dyDescent="0.2">
      <c r="K123" s="19"/>
      <c r="L123" s="19"/>
      <c r="M123" s="19"/>
      <c r="N123" s="19"/>
      <c r="O123" s="19"/>
      <c r="P123" s="19"/>
      <c r="Q123" s="19"/>
      <c r="R123" s="19"/>
      <c r="S123" s="19"/>
      <c r="T123" s="19"/>
    </row>
    <row r="124" spans="2:20" x14ac:dyDescent="0.2">
      <c r="K124" s="19"/>
      <c r="L124" s="19"/>
      <c r="M124" s="19"/>
      <c r="N124" s="19"/>
      <c r="O124" s="19"/>
      <c r="P124" s="19"/>
      <c r="Q124" s="19"/>
      <c r="R124" s="19"/>
      <c r="S124" s="19"/>
      <c r="T124" s="19"/>
    </row>
    <row r="125" spans="2:20" x14ac:dyDescent="0.2">
      <c r="K125" s="19"/>
      <c r="L125" s="19"/>
      <c r="M125" s="19"/>
      <c r="N125" s="19"/>
      <c r="O125" s="19"/>
      <c r="P125" s="19"/>
      <c r="Q125" s="19"/>
      <c r="R125" s="19"/>
      <c r="S125" s="19"/>
      <c r="T125" s="19"/>
    </row>
    <row r="126" spans="2:20" x14ac:dyDescent="0.2">
      <c r="K126" s="19"/>
      <c r="L126" s="19"/>
      <c r="M126" s="19"/>
      <c r="N126" s="19"/>
      <c r="O126" s="19"/>
      <c r="P126" s="19"/>
      <c r="Q126" s="19"/>
      <c r="R126" s="19"/>
      <c r="S126" s="19"/>
      <c r="T126" s="19"/>
    </row>
    <row r="127" spans="2:20" x14ac:dyDescent="0.2">
      <c r="K127" s="19"/>
      <c r="L127" s="19"/>
      <c r="M127" s="19"/>
      <c r="N127" s="19"/>
      <c r="O127" s="19"/>
      <c r="P127" s="19"/>
      <c r="Q127" s="19"/>
      <c r="R127" s="19"/>
      <c r="S127" s="19"/>
      <c r="T127" s="19"/>
    </row>
    <row r="128" spans="2:20" x14ac:dyDescent="0.2">
      <c r="K128" s="19"/>
      <c r="L128" s="19"/>
      <c r="M128" s="19"/>
      <c r="N128" s="19"/>
      <c r="O128" s="19"/>
      <c r="P128" s="19"/>
      <c r="Q128" s="19"/>
      <c r="R128" s="19"/>
      <c r="S128" s="19"/>
      <c r="T128" s="19"/>
    </row>
    <row r="129" spans="2:20" x14ac:dyDescent="0.2">
      <c r="K129" s="19"/>
      <c r="L129" s="19"/>
      <c r="M129" s="19"/>
      <c r="N129" s="19"/>
      <c r="O129" s="19"/>
      <c r="P129" s="19"/>
      <c r="Q129" s="19"/>
      <c r="R129" s="19"/>
      <c r="S129" s="19"/>
      <c r="T129" s="19"/>
    </row>
    <row r="130" spans="2:20" x14ac:dyDescent="0.2">
      <c r="K130" s="19"/>
      <c r="L130" s="19"/>
      <c r="M130" s="19"/>
      <c r="N130" s="19"/>
      <c r="O130" s="19"/>
      <c r="P130" s="19"/>
      <c r="Q130" s="19"/>
      <c r="R130" s="19"/>
      <c r="S130" s="19"/>
      <c r="T130" s="19"/>
    </row>
    <row r="131" spans="2:20" x14ac:dyDescent="0.2">
      <c r="K131" s="19"/>
      <c r="L131" s="19"/>
      <c r="M131" s="19"/>
      <c r="N131" s="19"/>
      <c r="O131" s="19"/>
      <c r="P131" s="19"/>
      <c r="Q131" s="19"/>
      <c r="R131" s="19"/>
      <c r="S131" s="19"/>
      <c r="T131" s="19"/>
    </row>
    <row r="132" spans="2:20" x14ac:dyDescent="0.2">
      <c r="K132" s="19"/>
      <c r="L132" s="19"/>
      <c r="M132" s="19"/>
      <c r="N132" s="19"/>
      <c r="O132" s="19"/>
      <c r="P132" s="19"/>
      <c r="Q132" s="19"/>
      <c r="R132" s="19"/>
      <c r="S132" s="19"/>
      <c r="T132" s="19"/>
    </row>
    <row r="133" spans="2:20" x14ac:dyDescent="0.2">
      <c r="K133" s="19"/>
      <c r="L133" s="19"/>
      <c r="M133" s="19"/>
      <c r="N133" s="19"/>
      <c r="O133" s="19"/>
      <c r="P133" s="19"/>
      <c r="Q133" s="19"/>
      <c r="R133" s="19"/>
      <c r="S133" s="19"/>
      <c r="T133" s="19"/>
    </row>
    <row r="134" spans="2:20" x14ac:dyDescent="0.2">
      <c r="K134" s="19"/>
      <c r="L134" s="19"/>
      <c r="M134" s="19"/>
      <c r="N134" s="19"/>
      <c r="O134" s="19"/>
      <c r="P134" s="19"/>
      <c r="Q134" s="19"/>
      <c r="R134" s="19"/>
      <c r="S134" s="19"/>
      <c r="T134" s="19"/>
    </row>
    <row r="135" spans="2:20" x14ac:dyDescent="0.2">
      <c r="K135" s="19"/>
      <c r="L135" s="19"/>
      <c r="M135" s="19"/>
      <c r="N135" s="19"/>
      <c r="O135" s="19"/>
      <c r="P135" s="19"/>
      <c r="Q135" s="19"/>
      <c r="R135" s="19"/>
      <c r="S135" s="19"/>
      <c r="T135" s="19"/>
    </row>
    <row r="136" spans="2:20" x14ac:dyDescent="0.2">
      <c r="K136" s="19"/>
      <c r="L136" s="19"/>
      <c r="M136" s="19"/>
      <c r="N136" s="19"/>
      <c r="O136" s="19"/>
      <c r="P136" s="19"/>
      <c r="Q136" s="19"/>
      <c r="R136" s="19"/>
      <c r="S136" s="19"/>
      <c r="T136" s="19"/>
    </row>
    <row r="137" spans="2:20" x14ac:dyDescent="0.2">
      <c r="K137" s="19"/>
      <c r="L137" s="19"/>
      <c r="M137" s="19"/>
      <c r="N137" s="19"/>
      <c r="O137" s="19"/>
      <c r="P137" s="19"/>
      <c r="Q137" s="19"/>
      <c r="R137" s="19"/>
      <c r="S137" s="19"/>
      <c r="T137" s="19"/>
    </row>
    <row r="138" spans="2:20" x14ac:dyDescent="0.2">
      <c r="K138" s="19"/>
      <c r="L138" s="19"/>
      <c r="M138" s="19"/>
      <c r="N138" s="19"/>
      <c r="O138" s="19"/>
      <c r="P138" s="19"/>
      <c r="Q138" s="19"/>
      <c r="R138" s="19"/>
      <c r="S138" s="19"/>
      <c r="T138" s="19"/>
    </row>
    <row r="139" spans="2:20" x14ac:dyDescent="0.2">
      <c r="K139" s="19"/>
      <c r="L139" s="19"/>
      <c r="M139" s="19"/>
      <c r="N139" s="19"/>
      <c r="O139" s="19"/>
      <c r="P139" s="19"/>
      <c r="Q139" s="19"/>
      <c r="R139" s="19"/>
      <c r="S139" s="19"/>
      <c r="T139" s="19"/>
    </row>
    <row r="140" spans="2:20" x14ac:dyDescent="0.2">
      <c r="K140" s="19"/>
      <c r="L140" s="19"/>
      <c r="M140" s="19"/>
      <c r="N140" s="19"/>
      <c r="O140" s="19"/>
      <c r="P140" s="19"/>
      <c r="Q140" s="19"/>
      <c r="R140" s="19"/>
      <c r="S140" s="19"/>
      <c r="T140" s="19"/>
    </row>
    <row r="141" spans="2:20" x14ac:dyDescent="0.2">
      <c r="K141" s="19"/>
      <c r="L141" s="19"/>
      <c r="M141" s="19"/>
      <c r="N141" s="19"/>
      <c r="O141" s="19"/>
      <c r="P141" s="19"/>
      <c r="Q141" s="19"/>
      <c r="R141" s="19"/>
      <c r="S141" s="19"/>
      <c r="T141" s="19"/>
    </row>
    <row r="142" spans="2:20" x14ac:dyDescent="0.2">
      <c r="K142" s="19"/>
      <c r="L142" s="19"/>
      <c r="M142" s="19"/>
      <c r="N142" s="19"/>
      <c r="O142" s="19"/>
      <c r="P142" s="19"/>
      <c r="Q142" s="19"/>
      <c r="R142" s="19"/>
      <c r="S142" s="19"/>
      <c r="T142" s="19"/>
    </row>
    <row r="143" spans="2:20" ht="15.75" x14ac:dyDescent="0.25">
      <c r="B143" s="18" t="s">
        <v>308</v>
      </c>
      <c r="C143" s="9" t="s">
        <v>446</v>
      </c>
      <c r="D143" s="9"/>
      <c r="E143" s="9"/>
      <c r="G143" s="18" t="s">
        <v>457</v>
      </c>
      <c r="H143" s="9" t="s">
        <v>456</v>
      </c>
      <c r="K143" s="19"/>
      <c r="L143" s="19"/>
      <c r="M143" s="19"/>
      <c r="N143" s="19"/>
      <c r="O143" s="19"/>
      <c r="P143" s="19"/>
      <c r="Q143" s="19"/>
      <c r="R143" s="19"/>
      <c r="S143" s="19"/>
      <c r="T143" s="19"/>
    </row>
    <row r="144" spans="2:20" ht="15.75" x14ac:dyDescent="0.25">
      <c r="B144" s="18" t="s">
        <v>310</v>
      </c>
      <c r="C144" s="9" t="s">
        <v>317</v>
      </c>
      <c r="D144" s="9"/>
      <c r="E144" s="9"/>
      <c r="G144" s="18" t="s">
        <v>455</v>
      </c>
      <c r="H144" s="9" t="s">
        <v>399</v>
      </c>
      <c r="K144" s="19"/>
      <c r="L144" s="19"/>
      <c r="M144" s="19"/>
      <c r="N144" s="19"/>
      <c r="O144" s="19"/>
      <c r="P144" s="19"/>
      <c r="Q144" s="19"/>
      <c r="R144" s="19"/>
      <c r="S144" s="19"/>
      <c r="T144" s="19"/>
    </row>
    <row r="145" spans="2:20" ht="15.75" x14ac:dyDescent="0.25">
      <c r="B145" s="18" t="s">
        <v>309</v>
      </c>
      <c r="C145" s="9" t="s">
        <v>318</v>
      </c>
      <c r="D145" s="9"/>
      <c r="E145" s="9"/>
      <c r="G145" s="18" t="s">
        <v>314</v>
      </c>
      <c r="H145" s="9" t="s">
        <v>323</v>
      </c>
      <c r="K145" s="19"/>
      <c r="L145" s="19"/>
      <c r="M145" s="19"/>
      <c r="N145" s="19"/>
      <c r="O145" s="19"/>
      <c r="P145" s="19"/>
      <c r="Q145" s="19"/>
      <c r="R145" s="19"/>
      <c r="S145" s="19"/>
      <c r="T145" s="19"/>
    </row>
    <row r="146" spans="2:20" ht="15.75" x14ac:dyDescent="0.25">
      <c r="B146" s="18" t="s">
        <v>311</v>
      </c>
      <c r="C146" s="9" t="s">
        <v>319</v>
      </c>
      <c r="D146" s="9"/>
      <c r="E146" s="9"/>
      <c r="G146" s="18" t="s">
        <v>315</v>
      </c>
      <c r="H146" s="9" t="s">
        <v>322</v>
      </c>
      <c r="K146" s="19"/>
      <c r="L146" s="19"/>
      <c r="M146" s="19"/>
      <c r="N146" s="19"/>
      <c r="O146" s="19"/>
      <c r="P146" s="19"/>
      <c r="Q146" s="19"/>
      <c r="R146" s="19"/>
      <c r="S146" s="19"/>
      <c r="T146" s="19"/>
    </row>
    <row r="147" spans="2:20" ht="15.75" x14ac:dyDescent="0.25">
      <c r="B147" s="18" t="s">
        <v>312</v>
      </c>
      <c r="C147" s="9" t="s">
        <v>320</v>
      </c>
      <c r="D147" s="9"/>
      <c r="E147" s="9"/>
      <c r="G147" s="18" t="s">
        <v>316</v>
      </c>
      <c r="H147" s="9" t="s">
        <v>324</v>
      </c>
      <c r="K147" s="19"/>
      <c r="L147" s="19"/>
      <c r="M147" s="19"/>
      <c r="N147" s="19"/>
      <c r="O147" s="19"/>
      <c r="P147" s="19"/>
      <c r="Q147" s="19"/>
      <c r="R147" s="19"/>
      <c r="S147" s="19"/>
      <c r="T147" s="19"/>
    </row>
    <row r="148" spans="2:20" ht="15.75" x14ac:dyDescent="0.25">
      <c r="B148" s="18" t="s">
        <v>313</v>
      </c>
      <c r="C148" s="9" t="s">
        <v>321</v>
      </c>
      <c r="K148" s="19"/>
      <c r="L148" s="19"/>
      <c r="M148" s="19"/>
      <c r="N148" s="19"/>
      <c r="O148" s="19"/>
      <c r="P148" s="19"/>
      <c r="Q148" s="19"/>
      <c r="R148" s="19"/>
      <c r="S148" s="19"/>
      <c r="T148" s="19"/>
    </row>
    <row r="149" spans="2:20" x14ac:dyDescent="0.2">
      <c r="K149" s="19"/>
      <c r="L149" s="19"/>
      <c r="M149" s="19"/>
      <c r="N149" s="19"/>
      <c r="O149" s="19"/>
      <c r="P149" s="19"/>
      <c r="Q149" s="19"/>
      <c r="R149" s="19"/>
      <c r="S149" s="19"/>
      <c r="T149" s="19"/>
    </row>
    <row r="150" spans="2:20" x14ac:dyDescent="0.2">
      <c r="K150" s="19"/>
      <c r="L150" s="19"/>
      <c r="M150" s="19"/>
      <c r="N150" s="19"/>
      <c r="O150" s="19"/>
      <c r="P150" s="19"/>
      <c r="Q150" s="19"/>
      <c r="R150" s="19"/>
      <c r="S150" s="19"/>
      <c r="T150" s="19"/>
    </row>
    <row r="151" spans="2:20" x14ac:dyDescent="0.2">
      <c r="K151" s="19"/>
      <c r="L151" s="19"/>
      <c r="M151" s="19"/>
      <c r="N151" s="19"/>
      <c r="O151" s="19"/>
      <c r="P151" s="19"/>
      <c r="Q151" s="19"/>
      <c r="R151" s="19"/>
      <c r="S151" s="19"/>
      <c r="T151" s="19"/>
    </row>
    <row r="152" spans="2:20" x14ac:dyDescent="0.2">
      <c r="K152" s="19"/>
      <c r="L152" s="19"/>
      <c r="M152" s="19"/>
      <c r="N152" s="19"/>
      <c r="O152" s="19"/>
      <c r="P152" s="19"/>
      <c r="Q152" s="19"/>
      <c r="R152" s="19"/>
      <c r="S152" s="19"/>
      <c r="T152" s="19"/>
    </row>
    <row r="153" spans="2:20" x14ac:dyDescent="0.2">
      <c r="K153" s="19"/>
      <c r="L153" s="19"/>
      <c r="M153" s="19"/>
      <c r="N153" s="19"/>
      <c r="O153" s="19"/>
      <c r="P153" s="19"/>
      <c r="Q153" s="19"/>
      <c r="R153" s="19"/>
      <c r="S153" s="19"/>
      <c r="T153" s="19"/>
    </row>
    <row r="154" spans="2:20" x14ac:dyDescent="0.2">
      <c r="K154" s="19"/>
      <c r="L154" s="19"/>
      <c r="M154" s="19"/>
      <c r="N154" s="19"/>
      <c r="O154" s="19"/>
      <c r="P154" s="19"/>
      <c r="Q154" s="19"/>
      <c r="R154" s="19"/>
      <c r="S154" s="19"/>
      <c r="T154" s="19"/>
    </row>
    <row r="155" spans="2:20" x14ac:dyDescent="0.2">
      <c r="K155" s="19"/>
      <c r="L155" s="19"/>
      <c r="M155" s="19"/>
      <c r="N155" s="19"/>
      <c r="O155" s="19"/>
      <c r="P155" s="19"/>
      <c r="Q155" s="19"/>
      <c r="R155" s="19"/>
      <c r="S155" s="19"/>
      <c r="T155" s="19"/>
    </row>
    <row r="156" spans="2:20" x14ac:dyDescent="0.2">
      <c r="K156" s="19"/>
      <c r="L156" s="19"/>
      <c r="M156" s="19"/>
      <c r="N156" s="19"/>
      <c r="O156" s="19"/>
      <c r="P156" s="19"/>
      <c r="Q156" s="19"/>
      <c r="R156" s="19"/>
      <c r="S156" s="19"/>
      <c r="T156" s="19"/>
    </row>
    <row r="157" spans="2:20" ht="15.75" x14ac:dyDescent="0.25">
      <c r="B157" s="9" t="s">
        <v>480</v>
      </c>
      <c r="L157" s="9" t="s">
        <v>481</v>
      </c>
    </row>
    <row r="158" spans="2:20" ht="16.5" thickBot="1" x14ac:dyDescent="0.3">
      <c r="B158" s="9" t="s">
        <v>454</v>
      </c>
      <c r="H158" s="39" t="s">
        <v>3</v>
      </c>
      <c r="L158" s="9" t="s">
        <v>454</v>
      </c>
      <c r="R158" s="39" t="s">
        <v>3</v>
      </c>
    </row>
    <row r="159" spans="2:20" ht="15.75" x14ac:dyDescent="0.25">
      <c r="G159" s="18" t="s">
        <v>442</v>
      </c>
      <c r="H159" s="51">
        <v>50</v>
      </c>
      <c r="I159" s="16" t="s">
        <v>26</v>
      </c>
      <c r="Q159" s="18" t="s">
        <v>442</v>
      </c>
      <c r="R159" s="52">
        <v>50</v>
      </c>
      <c r="S159" s="16" t="s">
        <v>26</v>
      </c>
    </row>
    <row r="160" spans="2:20" ht="15.75" x14ac:dyDescent="0.25">
      <c r="G160" s="18" t="s">
        <v>443</v>
      </c>
      <c r="H160" s="53">
        <v>30</v>
      </c>
      <c r="I160" s="16" t="s">
        <v>26</v>
      </c>
      <c r="Q160" s="18" t="s">
        <v>443</v>
      </c>
      <c r="R160" s="54">
        <v>30</v>
      </c>
      <c r="S160" s="16" t="s">
        <v>26</v>
      </c>
    </row>
    <row r="161" spans="2:20" ht="15.75" x14ac:dyDescent="0.25">
      <c r="G161" s="18" t="s">
        <v>444</v>
      </c>
      <c r="H161" s="53">
        <v>16</v>
      </c>
      <c r="I161" s="9" t="s">
        <v>26</v>
      </c>
      <c r="Q161" s="18" t="s">
        <v>444</v>
      </c>
      <c r="R161" s="54">
        <v>16</v>
      </c>
      <c r="S161" s="9" t="s">
        <v>26</v>
      </c>
    </row>
    <row r="162" spans="2:20" ht="15.75" x14ac:dyDescent="0.25">
      <c r="G162" s="18" t="s">
        <v>678</v>
      </c>
      <c r="H162" s="55">
        <v>50000</v>
      </c>
      <c r="I162" s="9" t="s">
        <v>0</v>
      </c>
      <c r="Q162" s="18" t="s">
        <v>678</v>
      </c>
      <c r="R162" s="56">
        <v>50000</v>
      </c>
      <c r="S162" s="9" t="s">
        <v>0</v>
      </c>
    </row>
    <row r="163" spans="2:20" ht="15.75" x14ac:dyDescent="0.25">
      <c r="G163" s="18" t="s">
        <v>679</v>
      </c>
      <c r="H163" s="55">
        <v>8000</v>
      </c>
      <c r="I163" s="9" t="s">
        <v>0</v>
      </c>
      <c r="Q163" s="18" t="s">
        <v>679</v>
      </c>
      <c r="R163" s="56">
        <v>8000</v>
      </c>
      <c r="S163" s="9" t="s">
        <v>0</v>
      </c>
    </row>
    <row r="164" spans="2:20" ht="15.75" x14ac:dyDescent="0.25">
      <c r="G164" s="18" t="s">
        <v>346</v>
      </c>
      <c r="H164" s="57">
        <v>75</v>
      </c>
      <c r="I164" s="9" t="s">
        <v>347</v>
      </c>
      <c r="Q164" s="18" t="s">
        <v>346</v>
      </c>
      <c r="R164" s="58">
        <v>75</v>
      </c>
      <c r="S164" s="9" t="s">
        <v>347</v>
      </c>
    </row>
    <row r="165" spans="2:20" ht="15.75" x14ac:dyDescent="0.25">
      <c r="G165" s="18" t="s">
        <v>360</v>
      </c>
      <c r="H165" s="59">
        <v>0.5</v>
      </c>
      <c r="I165" s="9" t="s">
        <v>12</v>
      </c>
      <c r="Q165" s="18" t="s">
        <v>360</v>
      </c>
      <c r="R165" s="60">
        <v>0.5</v>
      </c>
      <c r="S165" s="9" t="s">
        <v>12</v>
      </c>
    </row>
    <row r="166" spans="2:20" ht="15.75" x14ac:dyDescent="0.25">
      <c r="G166" s="18" t="s">
        <v>348</v>
      </c>
      <c r="H166" s="57">
        <v>95</v>
      </c>
      <c r="I166" s="9" t="s">
        <v>347</v>
      </c>
      <c r="Q166" s="18" t="s">
        <v>348</v>
      </c>
      <c r="R166" s="58">
        <v>95</v>
      </c>
      <c r="S166" s="9" t="s">
        <v>347</v>
      </c>
    </row>
    <row r="167" spans="2:20" ht="15.75" x14ac:dyDescent="0.25">
      <c r="G167" s="18" t="s">
        <v>350</v>
      </c>
      <c r="H167" s="57">
        <v>75</v>
      </c>
      <c r="I167" s="9" t="s">
        <v>349</v>
      </c>
      <c r="Q167" s="18" t="s">
        <v>350</v>
      </c>
      <c r="R167" s="58">
        <v>75</v>
      </c>
      <c r="S167" s="9" t="s">
        <v>349</v>
      </c>
    </row>
    <row r="168" spans="2:20" ht="15.75" x14ac:dyDescent="0.25">
      <c r="G168" s="18" t="s">
        <v>685</v>
      </c>
      <c r="H168" s="61">
        <v>20</v>
      </c>
      <c r="I168" s="9" t="s">
        <v>347</v>
      </c>
      <c r="Q168" s="18" t="s">
        <v>685</v>
      </c>
      <c r="R168" s="62">
        <v>20</v>
      </c>
      <c r="S168" s="9" t="s">
        <v>347</v>
      </c>
    </row>
    <row r="169" spans="2:20" ht="16.5" thickBot="1" x14ac:dyDescent="0.3">
      <c r="G169" s="18" t="s">
        <v>458</v>
      </c>
      <c r="H169" s="63">
        <v>300</v>
      </c>
      <c r="I169" s="64" t="s">
        <v>13</v>
      </c>
      <c r="Q169" s="18" t="s">
        <v>458</v>
      </c>
      <c r="R169" s="65">
        <v>300</v>
      </c>
      <c r="S169" s="64" t="s">
        <v>13</v>
      </c>
    </row>
    <row r="171" spans="2:20" ht="15.75" x14ac:dyDescent="0.25">
      <c r="B171" s="9" t="s">
        <v>364</v>
      </c>
      <c r="L171" s="9" t="s">
        <v>364</v>
      </c>
    </row>
    <row r="172" spans="2:20" ht="15.75" x14ac:dyDescent="0.25">
      <c r="D172" s="9" t="s">
        <v>370</v>
      </c>
      <c r="E172" s="9"/>
      <c r="F172" s="9"/>
      <c r="N172" s="9" t="s">
        <v>370</v>
      </c>
      <c r="O172" s="9"/>
      <c r="P172" s="9"/>
    </row>
    <row r="173" spans="2:20" ht="15.75" x14ac:dyDescent="0.25">
      <c r="C173" s="9" t="s">
        <v>354</v>
      </c>
      <c r="E173" s="9"/>
      <c r="G173" s="9" t="s">
        <v>355</v>
      </c>
      <c r="O173" s="9"/>
    </row>
    <row r="175" spans="2:20" ht="16.5" thickBot="1" x14ac:dyDescent="0.3">
      <c r="E175" s="39" t="s">
        <v>3</v>
      </c>
      <c r="I175" s="39" t="s">
        <v>3</v>
      </c>
      <c r="N175" s="18" t="s">
        <v>354</v>
      </c>
      <c r="O175" s="39" t="s">
        <v>3</v>
      </c>
      <c r="R175" s="18" t="s">
        <v>355</v>
      </c>
      <c r="S175" s="39" t="s">
        <v>3</v>
      </c>
    </row>
    <row r="176" spans="2:20" ht="16.5" thickBot="1" x14ac:dyDescent="0.3">
      <c r="D176" s="18" t="s">
        <v>396</v>
      </c>
      <c r="E176" s="66">
        <v>75</v>
      </c>
      <c r="F176" s="9" t="s">
        <v>347</v>
      </c>
      <c r="H176" s="18" t="s">
        <v>463</v>
      </c>
      <c r="I176" s="66">
        <v>95</v>
      </c>
      <c r="J176" s="9" t="s">
        <v>347</v>
      </c>
      <c r="N176" s="18" t="s">
        <v>396</v>
      </c>
      <c r="O176" s="67">
        <v>7</v>
      </c>
      <c r="P176" s="9" t="s">
        <v>347</v>
      </c>
      <c r="R176" s="18" t="s">
        <v>463</v>
      </c>
      <c r="S176" s="67">
        <v>95</v>
      </c>
      <c r="T176" s="9" t="s">
        <v>347</v>
      </c>
    </row>
    <row r="177" spans="4:20" ht="16.5" thickBot="1" x14ac:dyDescent="0.3">
      <c r="D177" s="18" t="s">
        <v>464</v>
      </c>
      <c r="E177" s="66">
        <v>50</v>
      </c>
      <c r="F177" s="9" t="s">
        <v>45</v>
      </c>
      <c r="H177" s="18" t="s">
        <v>329</v>
      </c>
      <c r="I177" s="66">
        <v>75</v>
      </c>
      <c r="J177" s="9" t="s">
        <v>349</v>
      </c>
      <c r="N177" s="18" t="s">
        <v>464</v>
      </c>
      <c r="O177" s="67">
        <v>50</v>
      </c>
      <c r="P177" s="9" t="s">
        <v>45</v>
      </c>
      <c r="R177" s="18" t="s">
        <v>329</v>
      </c>
      <c r="S177" s="67">
        <v>75</v>
      </c>
      <c r="T177" s="9" t="s">
        <v>349</v>
      </c>
    </row>
    <row r="180" spans="4:20" ht="15.75" x14ac:dyDescent="0.25">
      <c r="D180" s="9"/>
      <c r="E180" s="15" t="s">
        <v>680</v>
      </c>
      <c r="I180" s="16" t="s">
        <v>680</v>
      </c>
      <c r="O180" s="16" t="s">
        <v>680</v>
      </c>
      <c r="P180" s="9"/>
      <c r="S180" s="16" t="s">
        <v>680</v>
      </c>
    </row>
    <row r="181" spans="4:20" ht="16.5" thickBot="1" x14ac:dyDescent="0.3">
      <c r="D181" s="18"/>
      <c r="E181" s="39" t="s">
        <v>3</v>
      </c>
      <c r="F181" s="9"/>
      <c r="I181" s="39" t="s">
        <v>3</v>
      </c>
      <c r="N181" s="18"/>
      <c r="O181" s="39" t="s">
        <v>3</v>
      </c>
      <c r="P181" s="9"/>
      <c r="S181" s="39" t="s">
        <v>3</v>
      </c>
    </row>
    <row r="182" spans="4:20" ht="16.5" thickBot="1" x14ac:dyDescent="0.3">
      <c r="D182" s="18" t="s">
        <v>465</v>
      </c>
      <c r="E182" s="66">
        <v>64.900000000000006</v>
      </c>
      <c r="F182" s="9" t="s">
        <v>466</v>
      </c>
      <c r="H182" s="18" t="s">
        <v>467</v>
      </c>
      <c r="I182" s="68">
        <v>99</v>
      </c>
      <c r="J182" s="9" t="s">
        <v>466</v>
      </c>
      <c r="N182" s="18" t="s">
        <v>465</v>
      </c>
      <c r="O182" s="67">
        <v>64.900000000000006</v>
      </c>
      <c r="P182" s="9" t="s">
        <v>466</v>
      </c>
      <c r="R182" s="18" t="s">
        <v>467</v>
      </c>
      <c r="S182" s="32">
        <v>99</v>
      </c>
      <c r="T182" s="9" t="s">
        <v>466</v>
      </c>
    </row>
    <row r="183" spans="4:20" x14ac:dyDescent="0.2">
      <c r="O183" s="69"/>
    </row>
    <row r="184" spans="4:20" x14ac:dyDescent="0.2">
      <c r="D184" s="20"/>
      <c r="E184" s="43"/>
      <c r="H184" s="20"/>
      <c r="I184" s="43"/>
      <c r="N184" s="20"/>
      <c r="O184" s="43"/>
      <c r="R184" s="20"/>
      <c r="S184" s="43"/>
    </row>
    <row r="185" spans="4:20" x14ac:dyDescent="0.2">
      <c r="D185" s="20"/>
      <c r="H185" s="20"/>
      <c r="I185" s="43"/>
      <c r="N185" s="20"/>
      <c r="R185" s="20"/>
      <c r="S185" s="43"/>
    </row>
    <row r="186" spans="4:20" x14ac:dyDescent="0.2">
      <c r="D186" s="20"/>
      <c r="I186" s="43"/>
      <c r="N186" s="20"/>
      <c r="S186" s="43"/>
    </row>
    <row r="187" spans="4:20" x14ac:dyDescent="0.2">
      <c r="D187" s="20"/>
      <c r="N187" s="20"/>
    </row>
    <row r="190" spans="4:20" ht="15.75" x14ac:dyDescent="0.25">
      <c r="D190" s="9" t="s">
        <v>354</v>
      </c>
      <c r="E190" s="70" t="s">
        <v>432</v>
      </c>
      <c r="N190" s="9" t="s">
        <v>354</v>
      </c>
      <c r="O190" s="70" t="s">
        <v>432</v>
      </c>
    </row>
    <row r="191" spans="4:20" ht="15.75" x14ac:dyDescent="0.25">
      <c r="D191" s="9" t="s">
        <v>369</v>
      </c>
      <c r="N191" s="9" t="s">
        <v>681</v>
      </c>
    </row>
    <row r="192" spans="4:20" ht="15.75" x14ac:dyDescent="0.25">
      <c r="D192" s="9" t="s">
        <v>355</v>
      </c>
      <c r="E192" s="70" t="s">
        <v>459</v>
      </c>
      <c r="N192" s="9" t="s">
        <v>355</v>
      </c>
      <c r="O192" s="70" t="s">
        <v>459</v>
      </c>
    </row>
    <row r="193" spans="2:14" ht="15.75" x14ac:dyDescent="0.25">
      <c r="D193" s="9" t="s">
        <v>371</v>
      </c>
      <c r="N193" s="9" t="s">
        <v>682</v>
      </c>
    </row>
    <row r="194" spans="2:14" ht="15.75" x14ac:dyDescent="0.25">
      <c r="B194" s="9" t="s">
        <v>392</v>
      </c>
      <c r="L194" s="9" t="s">
        <v>392</v>
      </c>
    </row>
    <row r="233" spans="2:19" ht="15.75" x14ac:dyDescent="0.25">
      <c r="B233" s="15" t="s">
        <v>383</v>
      </c>
      <c r="C233" s="9" t="s">
        <v>384</v>
      </c>
      <c r="F233" s="9" t="s">
        <v>276</v>
      </c>
      <c r="L233" s="15" t="s">
        <v>383</v>
      </c>
      <c r="M233" s="9" t="s">
        <v>384</v>
      </c>
      <c r="P233" s="9" t="s">
        <v>276</v>
      </c>
    </row>
    <row r="234" spans="2:19" ht="15.75" x14ac:dyDescent="0.25">
      <c r="B234" s="15" t="s">
        <v>385</v>
      </c>
      <c r="C234" s="9" t="s">
        <v>447</v>
      </c>
      <c r="F234" s="9" t="s">
        <v>276</v>
      </c>
      <c r="L234" s="15" t="s">
        <v>385</v>
      </c>
      <c r="M234" s="9" t="s">
        <v>447</v>
      </c>
      <c r="P234" s="9" t="s">
        <v>276</v>
      </c>
    </row>
    <row r="235" spans="2:19" ht="15.75" x14ac:dyDescent="0.25">
      <c r="B235" s="15" t="s">
        <v>386</v>
      </c>
      <c r="C235" s="9" t="s">
        <v>388</v>
      </c>
      <c r="F235" s="9" t="s">
        <v>742</v>
      </c>
      <c r="L235" s="15" t="s">
        <v>386</v>
      </c>
      <c r="M235" s="9" t="s">
        <v>388</v>
      </c>
      <c r="P235" s="9" t="s">
        <v>742</v>
      </c>
    </row>
    <row r="236" spans="2:19" ht="15.75" x14ac:dyDescent="0.25">
      <c r="B236" s="15" t="s">
        <v>387</v>
      </c>
      <c r="C236" s="9" t="s">
        <v>441</v>
      </c>
      <c r="F236" s="9" t="s">
        <v>743</v>
      </c>
      <c r="L236" s="15" t="s">
        <v>387</v>
      </c>
      <c r="M236" s="9" t="s">
        <v>441</v>
      </c>
      <c r="P236" s="9" t="s">
        <v>743</v>
      </c>
    </row>
    <row r="237" spans="2:19" ht="15.75" x14ac:dyDescent="0.25">
      <c r="B237" s="15" t="s">
        <v>391</v>
      </c>
      <c r="C237" s="9" t="s">
        <v>389</v>
      </c>
      <c r="F237" s="9" t="s">
        <v>690</v>
      </c>
      <c r="L237" s="15" t="s">
        <v>391</v>
      </c>
      <c r="M237" s="9" t="s">
        <v>389</v>
      </c>
      <c r="P237" s="9" t="s">
        <v>690</v>
      </c>
    </row>
    <row r="239" spans="2:19" ht="15.75" x14ac:dyDescent="0.25">
      <c r="B239" s="9" t="s">
        <v>461</v>
      </c>
      <c r="H239" s="39" t="s">
        <v>356</v>
      </c>
      <c r="L239" s="9" t="s">
        <v>461</v>
      </c>
      <c r="R239" s="39" t="s">
        <v>356</v>
      </c>
    </row>
    <row r="240" spans="2:19" ht="15.75" x14ac:dyDescent="0.25">
      <c r="G240" s="18" t="s">
        <v>361</v>
      </c>
      <c r="H240" s="12" t="s">
        <v>367</v>
      </c>
      <c r="I240" s="71" t="s">
        <v>462</v>
      </c>
      <c r="Q240" s="18" t="s">
        <v>361</v>
      </c>
      <c r="R240" s="12" t="s">
        <v>367</v>
      </c>
      <c r="S240" s="71" t="s">
        <v>462</v>
      </c>
    </row>
    <row r="241" spans="2:19" ht="15.75" x14ac:dyDescent="0.25">
      <c r="G241" s="18" t="s">
        <v>362</v>
      </c>
      <c r="H241" s="12" t="s">
        <v>368</v>
      </c>
      <c r="I241" s="71" t="s">
        <v>462</v>
      </c>
      <c r="Q241" s="18" t="s">
        <v>362</v>
      </c>
      <c r="R241" s="12" t="s">
        <v>368</v>
      </c>
      <c r="S241" s="71" t="s">
        <v>462</v>
      </c>
    </row>
    <row r="242" spans="2:19" ht="15.75" x14ac:dyDescent="0.25">
      <c r="H242" s="39" t="s">
        <v>1</v>
      </c>
      <c r="R242" s="39" t="s">
        <v>1</v>
      </c>
    </row>
    <row r="243" spans="2:19" ht="15.75" x14ac:dyDescent="0.25">
      <c r="G243" s="18" t="s">
        <v>397</v>
      </c>
      <c r="H243" s="12">
        <f>E182</f>
        <v>64.900000000000006</v>
      </c>
      <c r="I243" s="16" t="s">
        <v>466</v>
      </c>
      <c r="Q243" s="18" t="s">
        <v>397</v>
      </c>
      <c r="R243" s="12">
        <f>O182</f>
        <v>64.900000000000006</v>
      </c>
      <c r="S243" s="16" t="s">
        <v>466</v>
      </c>
    </row>
    <row r="244" spans="2:19" ht="15.75" x14ac:dyDescent="0.25">
      <c r="G244" s="18" t="s">
        <v>2</v>
      </c>
      <c r="H244" s="72">
        <f>H243/7000</f>
        <v>9.2714285714285728E-3</v>
      </c>
      <c r="I244" s="9" t="s">
        <v>374</v>
      </c>
      <c r="Q244" s="18" t="s">
        <v>2</v>
      </c>
      <c r="R244" s="72">
        <f>R243/7000</f>
        <v>9.2714285714285728E-3</v>
      </c>
      <c r="S244" s="9" t="s">
        <v>374</v>
      </c>
    </row>
    <row r="245" spans="2:19" ht="15.75" x14ac:dyDescent="0.25">
      <c r="G245" s="18" t="s">
        <v>398</v>
      </c>
      <c r="H245" s="73">
        <f>I182</f>
        <v>99</v>
      </c>
      <c r="I245" s="64" t="s">
        <v>466</v>
      </c>
      <c r="Q245" s="18" t="s">
        <v>398</v>
      </c>
      <c r="R245" s="73">
        <f>S182</f>
        <v>99</v>
      </c>
      <c r="S245" s="64" t="s">
        <v>466</v>
      </c>
    </row>
    <row r="246" spans="2:19" ht="15.75" x14ac:dyDescent="0.25">
      <c r="G246" s="18" t="s">
        <v>2</v>
      </c>
      <c r="H246" s="74">
        <f>H245/7000</f>
        <v>1.4142857142857143E-2</v>
      </c>
      <c r="I246" s="9" t="s">
        <v>374</v>
      </c>
      <c r="Q246" s="18" t="s">
        <v>2</v>
      </c>
      <c r="R246" s="74">
        <f>R245/7000</f>
        <v>1.4142857142857143E-2</v>
      </c>
      <c r="S246" s="9" t="s">
        <v>374</v>
      </c>
    </row>
    <row r="247" spans="2:19" ht="15.75" x14ac:dyDescent="0.25">
      <c r="G247" s="18" t="s">
        <v>352</v>
      </c>
      <c r="H247" s="9" t="s">
        <v>460</v>
      </c>
      <c r="I247" s="20"/>
      <c r="Q247" s="18" t="s">
        <v>352</v>
      </c>
      <c r="R247" s="9" t="s">
        <v>460</v>
      </c>
      <c r="S247" s="20"/>
    </row>
    <row r="248" spans="2:19" ht="15.75" x14ac:dyDescent="0.25">
      <c r="G248" s="18" t="s">
        <v>2</v>
      </c>
      <c r="H248" s="75">
        <f>(H169/H335)*(H166 - H164) + H164</f>
        <v>77.591999999999999</v>
      </c>
      <c r="I248" s="9" t="s">
        <v>347</v>
      </c>
      <c r="Q248" s="18" t="s">
        <v>2</v>
      </c>
      <c r="R248" s="75">
        <f>(R169/R335)*(R166 - R164) + R164</f>
        <v>77.591999999999999</v>
      </c>
      <c r="S248" s="9" t="s">
        <v>347</v>
      </c>
    </row>
    <row r="249" spans="2:19" ht="15.75" x14ac:dyDescent="0.25">
      <c r="G249" s="18" t="s">
        <v>683</v>
      </c>
      <c r="H249" s="16" t="s">
        <v>359</v>
      </c>
      <c r="Q249" s="18" t="s">
        <v>683</v>
      </c>
      <c r="R249" s="16" t="s">
        <v>359</v>
      </c>
    </row>
    <row r="250" spans="2:19" ht="15.75" x14ac:dyDescent="0.25">
      <c r="G250" s="18" t="s">
        <v>2</v>
      </c>
      <c r="H250" s="33">
        <f>H243 + (H245 - H243)*(H248 - H164)/(H166 - H164)</f>
        <v>69.319360000000003</v>
      </c>
      <c r="I250" s="64" t="s">
        <v>357</v>
      </c>
      <c r="Q250" s="18" t="s">
        <v>2</v>
      </c>
      <c r="R250" s="33">
        <f>R243 + (R245 - R243)*(R248 - R164)/(R166 - R164)</f>
        <v>69.319360000000003</v>
      </c>
      <c r="S250" s="64" t="s">
        <v>357</v>
      </c>
    </row>
    <row r="251" spans="2:19" ht="15.75" x14ac:dyDescent="0.25">
      <c r="G251" s="18" t="s">
        <v>2</v>
      </c>
      <c r="H251" s="74">
        <f>H250/7000</f>
        <v>9.9027657142857148E-3</v>
      </c>
      <c r="I251" s="9" t="s">
        <v>374</v>
      </c>
      <c r="Q251" s="18" t="s">
        <v>2</v>
      </c>
      <c r="R251" s="74">
        <f>R250/7000</f>
        <v>9.9027657142857148E-3</v>
      </c>
      <c r="S251" s="9" t="s">
        <v>374</v>
      </c>
    </row>
    <row r="253" spans="2:19" ht="15.75" x14ac:dyDescent="0.25">
      <c r="B253" s="9" t="s">
        <v>363</v>
      </c>
      <c r="F253" s="9" t="s">
        <v>373</v>
      </c>
      <c r="L253" s="9" t="s">
        <v>363</v>
      </c>
      <c r="P253" s="9" t="s">
        <v>373</v>
      </c>
    </row>
    <row r="254" spans="2:19" ht="15.75" x14ac:dyDescent="0.25">
      <c r="D254" s="9" t="s">
        <v>372</v>
      </c>
      <c r="E254" s="70" t="s">
        <v>433</v>
      </c>
      <c r="N254" s="9" t="s">
        <v>372</v>
      </c>
      <c r="O254" s="70" t="s">
        <v>433</v>
      </c>
    </row>
    <row r="256" spans="2:19" ht="16.5" thickBot="1" x14ac:dyDescent="0.3">
      <c r="G256" s="39" t="s">
        <v>3</v>
      </c>
      <c r="Q256" s="39" t="s">
        <v>3</v>
      </c>
    </row>
    <row r="257" spans="6:20" ht="16.5" thickBot="1" x14ac:dyDescent="0.3">
      <c r="F257" s="18" t="s">
        <v>351</v>
      </c>
      <c r="G257" s="66">
        <v>77.599999999999994</v>
      </c>
      <c r="H257" s="9" t="s">
        <v>347</v>
      </c>
      <c r="P257" s="18" t="s">
        <v>351</v>
      </c>
      <c r="Q257" s="67">
        <v>77.599999999999994</v>
      </c>
      <c r="R257" s="9" t="s">
        <v>347</v>
      </c>
    </row>
    <row r="258" spans="6:20" ht="16.5" thickBot="1" x14ac:dyDescent="0.3">
      <c r="F258" s="18" t="s">
        <v>358</v>
      </c>
      <c r="G258" s="66">
        <v>69.319999999999993</v>
      </c>
      <c r="H258" s="9" t="s">
        <v>466</v>
      </c>
      <c r="P258" s="18" t="s">
        <v>358</v>
      </c>
      <c r="Q258" s="67">
        <v>69.319999999999993</v>
      </c>
      <c r="R258" s="9" t="s">
        <v>466</v>
      </c>
    </row>
    <row r="259" spans="6:20" x14ac:dyDescent="0.2">
      <c r="K259" s="19"/>
      <c r="L259" s="19"/>
      <c r="M259" s="19"/>
      <c r="N259" s="19"/>
      <c r="O259" s="19"/>
      <c r="P259" s="19"/>
      <c r="Q259" s="19"/>
      <c r="R259" s="19"/>
      <c r="S259" s="19"/>
      <c r="T259" s="19"/>
    </row>
    <row r="260" spans="6:20" x14ac:dyDescent="0.2">
      <c r="K260" s="19"/>
      <c r="L260" s="19"/>
      <c r="M260" s="19"/>
      <c r="N260" s="19"/>
      <c r="O260" s="19"/>
      <c r="P260" s="19"/>
      <c r="Q260" s="19"/>
      <c r="R260" s="19"/>
      <c r="S260" s="19"/>
      <c r="T260" s="19"/>
    </row>
    <row r="261" spans="6:20" x14ac:dyDescent="0.2">
      <c r="K261" s="19"/>
      <c r="L261" s="19"/>
      <c r="M261" s="19"/>
      <c r="N261" s="19"/>
      <c r="O261" s="19"/>
      <c r="P261" s="19"/>
      <c r="Q261" s="19"/>
      <c r="R261" s="19"/>
      <c r="S261" s="19"/>
      <c r="T261" s="19"/>
    </row>
    <row r="262" spans="6:20" ht="15.75" x14ac:dyDescent="0.25">
      <c r="F262" s="18"/>
      <c r="G262" s="16"/>
      <c r="H262" s="9"/>
      <c r="K262" s="19"/>
      <c r="L262" s="19"/>
      <c r="M262" s="19"/>
      <c r="N262" s="19"/>
      <c r="O262" s="19"/>
      <c r="P262" s="27"/>
      <c r="Q262" s="37"/>
      <c r="R262" s="13"/>
      <c r="S262" s="19"/>
      <c r="T262" s="19"/>
    </row>
    <row r="263" spans="6:20" ht="15.75" x14ac:dyDescent="0.25">
      <c r="F263" s="76"/>
      <c r="G263" s="12"/>
      <c r="H263" s="77"/>
      <c r="K263" s="19"/>
      <c r="L263" s="19"/>
      <c r="M263" s="19"/>
      <c r="N263" s="19"/>
      <c r="O263" s="19"/>
      <c r="P263" s="78"/>
      <c r="Q263" s="46"/>
      <c r="R263" s="79"/>
      <c r="S263" s="19"/>
      <c r="T263" s="19"/>
    </row>
    <row r="264" spans="6:20" x14ac:dyDescent="0.2">
      <c r="K264" s="19"/>
      <c r="L264" s="19"/>
      <c r="M264" s="19"/>
      <c r="N264" s="19"/>
      <c r="O264" s="19"/>
      <c r="P264" s="19"/>
      <c r="Q264" s="19"/>
      <c r="R264" s="19"/>
      <c r="S264" s="19"/>
      <c r="T264" s="19"/>
    </row>
    <row r="265" spans="6:20" x14ac:dyDescent="0.2">
      <c r="K265" s="19"/>
      <c r="L265" s="19"/>
      <c r="M265" s="19"/>
      <c r="N265" s="19"/>
      <c r="O265" s="19"/>
      <c r="P265" s="19"/>
      <c r="Q265" s="19"/>
      <c r="R265" s="19"/>
      <c r="S265" s="19"/>
      <c r="T265" s="19"/>
    </row>
    <row r="266" spans="6:20" x14ac:dyDescent="0.2">
      <c r="K266" s="19"/>
      <c r="L266" s="19"/>
      <c r="M266" s="19"/>
      <c r="N266" s="19"/>
      <c r="O266" s="19"/>
      <c r="P266" s="19"/>
      <c r="Q266" s="19"/>
      <c r="R266" s="19"/>
      <c r="S266" s="19"/>
      <c r="T266" s="19"/>
    </row>
    <row r="267" spans="6:20" x14ac:dyDescent="0.2">
      <c r="K267" s="19"/>
      <c r="L267" s="19"/>
      <c r="M267" s="19"/>
      <c r="N267" s="19"/>
      <c r="O267" s="19"/>
      <c r="P267" s="19"/>
      <c r="Q267" s="19"/>
      <c r="R267" s="19"/>
      <c r="S267" s="19"/>
      <c r="T267" s="19"/>
    </row>
    <row r="268" spans="6:20" x14ac:dyDescent="0.2">
      <c r="K268" s="19"/>
      <c r="L268" s="19"/>
      <c r="M268" s="19"/>
      <c r="N268" s="19"/>
      <c r="O268" s="19"/>
      <c r="P268" s="19"/>
      <c r="Q268" s="19"/>
      <c r="R268" s="19"/>
      <c r="S268" s="19"/>
      <c r="T268" s="19"/>
    </row>
    <row r="269" spans="6:20" x14ac:dyDescent="0.2">
      <c r="K269" s="19"/>
      <c r="L269" s="19"/>
      <c r="M269" s="19"/>
      <c r="N269" s="19"/>
      <c r="O269" s="19"/>
      <c r="P269" s="19"/>
      <c r="Q269" s="19"/>
      <c r="R269" s="19"/>
      <c r="S269" s="19"/>
      <c r="T269" s="19"/>
    </row>
    <row r="270" spans="6:20" x14ac:dyDescent="0.2">
      <c r="K270" s="19"/>
      <c r="L270" s="19"/>
      <c r="M270" s="19"/>
      <c r="N270" s="19"/>
      <c r="O270" s="19"/>
      <c r="P270" s="19"/>
      <c r="Q270" s="19"/>
      <c r="R270" s="19"/>
      <c r="S270" s="19"/>
      <c r="T270" s="19"/>
    </row>
    <row r="271" spans="6:20" ht="16.5" thickBot="1" x14ac:dyDescent="0.3">
      <c r="H271" s="39" t="s">
        <v>356</v>
      </c>
      <c r="R271" s="39" t="s">
        <v>356</v>
      </c>
    </row>
    <row r="272" spans="6:20" ht="16.5" thickBot="1" x14ac:dyDescent="0.3">
      <c r="G272" s="18" t="s">
        <v>365</v>
      </c>
      <c r="H272" s="80" t="s">
        <v>366</v>
      </c>
      <c r="I272" s="9" t="s">
        <v>470</v>
      </c>
      <c r="Q272" s="18" t="s">
        <v>365</v>
      </c>
      <c r="R272" s="81" t="s">
        <v>366</v>
      </c>
      <c r="S272" s="9" t="s">
        <v>470</v>
      </c>
    </row>
    <row r="274" spans="2:21" ht="15.75" x14ac:dyDescent="0.25">
      <c r="B274" s="9" t="s">
        <v>376</v>
      </c>
      <c r="H274" s="39"/>
      <c r="L274" s="9" t="s">
        <v>376</v>
      </c>
      <c r="R274" s="39"/>
    </row>
    <row r="275" spans="2:21" ht="15.75" x14ac:dyDescent="0.25">
      <c r="E275" s="9"/>
      <c r="F275" s="18" t="s">
        <v>691</v>
      </c>
      <c r="G275" s="9" t="s">
        <v>813</v>
      </c>
      <c r="H275" s="9"/>
      <c r="O275" s="9"/>
      <c r="P275" s="18" t="s">
        <v>691</v>
      </c>
      <c r="Q275" s="9" t="s">
        <v>813</v>
      </c>
      <c r="R275" s="9"/>
    </row>
    <row r="276" spans="2:21" ht="15.75" x14ac:dyDescent="0.25">
      <c r="E276" s="9"/>
      <c r="F276" s="18" t="s">
        <v>2</v>
      </c>
      <c r="G276" s="75">
        <f>H164-H168</f>
        <v>55</v>
      </c>
      <c r="H276" s="16" t="s">
        <v>12</v>
      </c>
      <c r="O276" s="9"/>
      <c r="P276" s="18" t="s">
        <v>2</v>
      </c>
      <c r="Q276" s="75">
        <f>R164-R168</f>
        <v>55</v>
      </c>
      <c r="R276" s="16" t="s">
        <v>12</v>
      </c>
    </row>
    <row r="277" spans="2:21" ht="15.75" x14ac:dyDescent="0.25">
      <c r="D277" s="9" t="s">
        <v>379</v>
      </c>
      <c r="E277" s="9" t="s">
        <v>688</v>
      </c>
      <c r="N277" s="9" t="s">
        <v>379</v>
      </c>
      <c r="O277" s="9" t="s">
        <v>684</v>
      </c>
    </row>
    <row r="278" spans="2:21" ht="16.5" thickBot="1" x14ac:dyDescent="0.3">
      <c r="G278" s="39" t="s">
        <v>3</v>
      </c>
      <c r="Q278" s="39" t="s">
        <v>3</v>
      </c>
    </row>
    <row r="279" spans="2:21" ht="16.5" thickBot="1" x14ac:dyDescent="0.3">
      <c r="F279" s="18" t="s">
        <v>471</v>
      </c>
      <c r="G279" s="66">
        <v>55</v>
      </c>
      <c r="H279" s="9" t="s">
        <v>347</v>
      </c>
      <c r="P279" s="18" t="s">
        <v>471</v>
      </c>
      <c r="Q279" s="67">
        <v>55</v>
      </c>
      <c r="R279" s="9" t="s">
        <v>347</v>
      </c>
    </row>
    <row r="280" spans="2:21" ht="16.5" thickBot="1" x14ac:dyDescent="0.3">
      <c r="F280" s="18" t="s">
        <v>686</v>
      </c>
      <c r="G280" s="82">
        <v>0.9</v>
      </c>
      <c r="H280" s="9"/>
      <c r="P280" s="18" t="s">
        <v>686</v>
      </c>
      <c r="Q280" s="83">
        <v>0.9</v>
      </c>
      <c r="R280" s="9" t="s">
        <v>466</v>
      </c>
      <c r="U280" s="9"/>
    </row>
    <row r="281" spans="2:21" ht="15.75" x14ac:dyDescent="0.25">
      <c r="U281" s="9"/>
    </row>
    <row r="282" spans="2:21" ht="15.75" x14ac:dyDescent="0.25">
      <c r="U282" s="9"/>
    </row>
    <row r="283" spans="2:21" x14ac:dyDescent="0.2">
      <c r="E283" s="20"/>
      <c r="O283" s="20"/>
    </row>
    <row r="284" spans="2:21" x14ac:dyDescent="0.2">
      <c r="F284" s="20"/>
      <c r="P284" s="20"/>
    </row>
    <row r="285" spans="2:21" ht="16.5" thickBot="1" x14ac:dyDescent="0.3">
      <c r="F285" s="76"/>
      <c r="G285" s="12"/>
      <c r="H285" s="77"/>
      <c r="P285" s="76"/>
      <c r="Q285" s="12"/>
      <c r="R285" s="77"/>
    </row>
    <row r="286" spans="2:21" ht="16.5" thickBot="1" x14ac:dyDescent="0.3">
      <c r="F286" s="18" t="s">
        <v>472</v>
      </c>
      <c r="G286" s="66">
        <v>58.1</v>
      </c>
      <c r="H286" s="64" t="s">
        <v>357</v>
      </c>
      <c r="P286" s="18" t="s">
        <v>472</v>
      </c>
      <c r="Q286" s="67">
        <v>58.1</v>
      </c>
      <c r="R286" s="64" t="s">
        <v>357</v>
      </c>
    </row>
    <row r="287" spans="2:21" ht="16.5" thickBot="1" x14ac:dyDescent="0.3">
      <c r="C287" s="15"/>
      <c r="D287" s="15"/>
      <c r="F287" s="18"/>
      <c r="G287" s="16"/>
      <c r="H287" s="9"/>
      <c r="M287" s="15"/>
      <c r="N287" s="15"/>
      <c r="P287" s="18"/>
      <c r="Q287" s="16"/>
      <c r="R287" s="9"/>
    </row>
    <row r="288" spans="2:21" ht="16.5" thickBot="1" x14ac:dyDescent="0.3">
      <c r="C288" s="69"/>
      <c r="F288" s="18" t="s">
        <v>473</v>
      </c>
      <c r="G288" s="84">
        <v>22.204999999999998</v>
      </c>
      <c r="H288" s="9" t="s">
        <v>381</v>
      </c>
      <c r="M288" s="69"/>
      <c r="P288" s="18" t="s">
        <v>473</v>
      </c>
      <c r="Q288" s="85">
        <v>22.204999999999998</v>
      </c>
      <c r="R288" s="9" t="s">
        <v>381</v>
      </c>
    </row>
    <row r="289" spans="2:20" ht="15.75" x14ac:dyDescent="0.25">
      <c r="C289" s="69"/>
      <c r="F289" s="18"/>
      <c r="G289" s="16"/>
      <c r="H289" s="9"/>
      <c r="M289" s="69"/>
      <c r="P289" s="18"/>
      <c r="Q289" s="16"/>
      <c r="R289" s="9"/>
    </row>
    <row r="290" spans="2:20" x14ac:dyDescent="0.2">
      <c r="C290" s="69"/>
      <c r="M290" s="69"/>
    </row>
    <row r="294" spans="2:20" ht="15.75" x14ac:dyDescent="0.25">
      <c r="D294" s="9"/>
      <c r="N294" s="9"/>
    </row>
    <row r="295" spans="2:20" ht="15.75" x14ac:dyDescent="0.25">
      <c r="B295" s="9" t="s">
        <v>403</v>
      </c>
      <c r="L295" s="9" t="s">
        <v>403</v>
      </c>
    </row>
    <row r="296" spans="2:20" ht="15.75" x14ac:dyDescent="0.25">
      <c r="G296" s="18" t="s">
        <v>402</v>
      </c>
      <c r="H296" s="9" t="s">
        <v>818</v>
      </c>
      <c r="Q296" s="18" t="s">
        <v>402</v>
      </c>
      <c r="R296" s="9" t="s">
        <v>818</v>
      </c>
    </row>
    <row r="297" spans="2:20" ht="15.75" x14ac:dyDescent="0.25">
      <c r="G297" s="18" t="s">
        <v>2</v>
      </c>
      <c r="H297" s="86">
        <f>H163/(H341*60*0.075*1059)</f>
        <v>8.6300283286118971E-4</v>
      </c>
      <c r="I297" s="9" t="s">
        <v>374</v>
      </c>
      <c r="Q297" s="18" t="s">
        <v>2</v>
      </c>
      <c r="R297" s="86">
        <f>R163/(R341*60*0.075*1059)</f>
        <v>8.6300283286118971E-4</v>
      </c>
      <c r="S297" s="9" t="s">
        <v>374</v>
      </c>
    </row>
    <row r="298" spans="2:20" x14ac:dyDescent="0.2">
      <c r="G298" s="20" t="s">
        <v>423</v>
      </c>
      <c r="H298" s="17" t="s">
        <v>375</v>
      </c>
      <c r="Q298" s="20" t="s">
        <v>423</v>
      </c>
      <c r="R298" s="17" t="s">
        <v>375</v>
      </c>
    </row>
    <row r="299" spans="2:20" x14ac:dyDescent="0.2">
      <c r="G299" s="20" t="s">
        <v>2</v>
      </c>
      <c r="H299" s="87">
        <f>H244-H297</f>
        <v>8.4084257385673832E-3</v>
      </c>
      <c r="I299" s="17" t="s">
        <v>374</v>
      </c>
      <c r="Q299" s="20" t="s">
        <v>2</v>
      </c>
      <c r="R299" s="87">
        <f>R244-R297</f>
        <v>8.4084257385673832E-3</v>
      </c>
      <c r="S299" s="17" t="s">
        <v>374</v>
      </c>
    </row>
    <row r="300" spans="2:20" x14ac:dyDescent="0.2">
      <c r="G300" s="20" t="s">
        <v>2</v>
      </c>
      <c r="H300" s="88">
        <f>H299*7000</f>
        <v>58.85898016997168</v>
      </c>
      <c r="I300" s="89" t="s">
        <v>357</v>
      </c>
      <c r="Q300" s="20" t="s">
        <v>2</v>
      </c>
      <c r="R300" s="88">
        <f>R299*7000</f>
        <v>58.85898016997168</v>
      </c>
    </row>
    <row r="301" spans="2:20" ht="16.5" thickBot="1" x14ac:dyDescent="0.3">
      <c r="H301" s="39" t="s">
        <v>356</v>
      </c>
      <c r="R301" s="39" t="s">
        <v>356</v>
      </c>
    </row>
    <row r="302" spans="2:20" ht="15.75" x14ac:dyDescent="0.25">
      <c r="G302" s="18" t="s">
        <v>377</v>
      </c>
      <c r="H302" s="51">
        <v>55</v>
      </c>
      <c r="I302" s="9" t="s">
        <v>347</v>
      </c>
      <c r="J302" s="9" t="s">
        <v>390</v>
      </c>
      <c r="Q302" s="18" t="s">
        <v>377</v>
      </c>
      <c r="R302" s="52">
        <v>55</v>
      </c>
      <c r="S302" s="9" t="s">
        <v>347</v>
      </c>
      <c r="T302" s="9" t="s">
        <v>390</v>
      </c>
    </row>
    <row r="303" spans="2:20" ht="15.75" x14ac:dyDescent="0.25">
      <c r="G303" s="18" t="s">
        <v>378</v>
      </c>
      <c r="H303" s="53">
        <v>53.3</v>
      </c>
      <c r="I303" s="9" t="s">
        <v>349</v>
      </c>
      <c r="Q303" s="18" t="s">
        <v>378</v>
      </c>
      <c r="R303" s="54">
        <v>53.3</v>
      </c>
      <c r="S303" s="9" t="s">
        <v>349</v>
      </c>
    </row>
    <row r="304" spans="2:20" ht="15.75" x14ac:dyDescent="0.25">
      <c r="G304" s="18" t="s">
        <v>380</v>
      </c>
      <c r="H304" s="90">
        <v>22.186</v>
      </c>
      <c r="I304" s="9" t="s">
        <v>381</v>
      </c>
      <c r="Q304" s="18" t="s">
        <v>380</v>
      </c>
      <c r="R304" s="91">
        <v>22.186</v>
      </c>
      <c r="S304" s="9" t="s">
        <v>381</v>
      </c>
    </row>
    <row r="305" spans="2:19" ht="15.75" x14ac:dyDescent="0.25">
      <c r="G305" s="18" t="s">
        <v>382</v>
      </c>
      <c r="H305" s="53">
        <v>89.8</v>
      </c>
      <c r="Q305" s="18" t="s">
        <v>382</v>
      </c>
      <c r="R305" s="54">
        <v>89.8</v>
      </c>
    </row>
    <row r="306" spans="2:19" ht="16.5" thickBot="1" x14ac:dyDescent="0.3">
      <c r="G306" s="18" t="s">
        <v>784</v>
      </c>
      <c r="H306" s="92">
        <v>57.9</v>
      </c>
      <c r="I306" s="64" t="s">
        <v>357</v>
      </c>
      <c r="Q306" s="18" t="s">
        <v>784</v>
      </c>
      <c r="R306" s="93">
        <v>57.9</v>
      </c>
      <c r="S306" s="64" t="s">
        <v>357</v>
      </c>
    </row>
    <row r="307" spans="2:19" ht="15.75" x14ac:dyDescent="0.25">
      <c r="G307" s="18" t="s">
        <v>424</v>
      </c>
      <c r="H307" s="94">
        <f>H306/7000</f>
        <v>8.2714285714285719E-3</v>
      </c>
      <c r="I307" s="9" t="s">
        <v>374</v>
      </c>
      <c r="Q307" s="18" t="s">
        <v>424</v>
      </c>
      <c r="R307" s="94">
        <f>R306/7000</f>
        <v>8.2714285714285719E-3</v>
      </c>
      <c r="S307" s="9" t="s">
        <v>374</v>
      </c>
    </row>
    <row r="308" spans="2:19" ht="15.75" x14ac:dyDescent="0.25">
      <c r="G308" s="44"/>
      <c r="H308" s="16"/>
      <c r="Q308" s="44"/>
      <c r="R308" s="16"/>
    </row>
    <row r="309" spans="2:19" ht="15.75" x14ac:dyDescent="0.25">
      <c r="B309" s="9" t="s">
        <v>420</v>
      </c>
      <c r="L309" s="9" t="s">
        <v>420</v>
      </c>
    </row>
    <row r="310" spans="2:19" ht="15.75" x14ac:dyDescent="0.25">
      <c r="B310" s="9" t="s">
        <v>744</v>
      </c>
      <c r="L310" s="9" t="s">
        <v>786</v>
      </c>
    </row>
    <row r="311" spans="2:19" ht="15.75" x14ac:dyDescent="0.25">
      <c r="D311" s="9" t="s">
        <v>395</v>
      </c>
      <c r="E311" s="9" t="s">
        <v>687</v>
      </c>
      <c r="N311" s="9" t="s">
        <v>395</v>
      </c>
      <c r="O311" s="9" t="s">
        <v>689</v>
      </c>
    </row>
    <row r="313" spans="2:19" ht="16.5" thickBot="1" x14ac:dyDescent="0.3">
      <c r="G313" s="39" t="s">
        <v>3</v>
      </c>
      <c r="Q313" s="39" t="s">
        <v>3</v>
      </c>
    </row>
    <row r="314" spans="2:19" ht="16.5" thickBot="1" x14ac:dyDescent="0.3">
      <c r="F314" s="18" t="s">
        <v>474</v>
      </c>
      <c r="G314" s="66">
        <v>51.2</v>
      </c>
      <c r="H314" s="9" t="s">
        <v>12</v>
      </c>
      <c r="P314" s="18" t="s">
        <v>474</v>
      </c>
      <c r="Q314" s="67">
        <v>51.2</v>
      </c>
      <c r="R314" s="9" t="s">
        <v>12</v>
      </c>
    </row>
    <row r="315" spans="2:19" ht="16.5" thickBot="1" x14ac:dyDescent="0.3">
      <c r="F315" s="18" t="s">
        <v>330</v>
      </c>
      <c r="G315" s="66">
        <v>100</v>
      </c>
      <c r="H315" s="9" t="s">
        <v>466</v>
      </c>
      <c r="P315" s="18" t="s">
        <v>330</v>
      </c>
      <c r="Q315" s="67">
        <v>100</v>
      </c>
      <c r="R315" s="9" t="s">
        <v>466</v>
      </c>
    </row>
    <row r="319" spans="2:19" ht="15.75" thickBot="1" x14ac:dyDescent="0.25"/>
    <row r="320" spans="2:19" ht="16.5" thickBot="1" x14ac:dyDescent="0.3">
      <c r="F320" s="18" t="s">
        <v>475</v>
      </c>
      <c r="G320" s="66">
        <v>56.1</v>
      </c>
      <c r="H320" s="64" t="s">
        <v>357</v>
      </c>
      <c r="P320" s="18" t="s">
        <v>475</v>
      </c>
      <c r="Q320" s="67">
        <v>56.1</v>
      </c>
      <c r="R320" s="64" t="s">
        <v>357</v>
      </c>
    </row>
    <row r="328" spans="2:19" ht="15.75" x14ac:dyDescent="0.25">
      <c r="D328" s="9"/>
      <c r="N328" s="9"/>
    </row>
    <row r="329" spans="2:19" ht="15.75" x14ac:dyDescent="0.25">
      <c r="B329" s="16" t="s">
        <v>425</v>
      </c>
      <c r="L329" s="16" t="s">
        <v>425</v>
      </c>
    </row>
    <row r="330" spans="2:19" ht="15.75" x14ac:dyDescent="0.25">
      <c r="H330" s="39" t="s">
        <v>1</v>
      </c>
      <c r="I330" s="9"/>
      <c r="R330" s="39" t="s">
        <v>1</v>
      </c>
      <c r="S330" s="9"/>
    </row>
    <row r="331" spans="2:19" ht="15.75" x14ac:dyDescent="0.25">
      <c r="G331" s="18" t="s">
        <v>418</v>
      </c>
      <c r="H331" s="9" t="s">
        <v>394</v>
      </c>
      <c r="Q331" s="18" t="s">
        <v>418</v>
      </c>
      <c r="R331" s="9" t="s">
        <v>394</v>
      </c>
    </row>
    <row r="332" spans="2:19" ht="15.75" x14ac:dyDescent="0.25">
      <c r="G332" s="20" t="s">
        <v>2</v>
      </c>
      <c r="H332" s="95">
        <f>(G279 - G314)/(H164 - G314)</f>
        <v>0.15966386554621839</v>
      </c>
      <c r="I332" s="9" t="s">
        <v>421</v>
      </c>
      <c r="Q332" s="20" t="s">
        <v>2</v>
      </c>
      <c r="R332" s="95">
        <f>(Q279 - Q314)/(R164 - Q314)</f>
        <v>0.15966386554621839</v>
      </c>
      <c r="S332" s="9" t="s">
        <v>421</v>
      </c>
    </row>
    <row r="333" spans="2:19" ht="15.75" x14ac:dyDescent="0.25">
      <c r="B333" s="9" t="s">
        <v>814</v>
      </c>
      <c r="L333" s="9" t="s">
        <v>814</v>
      </c>
    </row>
    <row r="334" spans="2:19" ht="15.75" x14ac:dyDescent="0.25">
      <c r="G334" s="18" t="s">
        <v>450</v>
      </c>
      <c r="H334" s="16" t="s">
        <v>401</v>
      </c>
      <c r="I334" s="9"/>
      <c r="Q334" s="18" t="s">
        <v>450</v>
      </c>
      <c r="R334" s="16" t="s">
        <v>401</v>
      </c>
      <c r="S334" s="9"/>
    </row>
    <row r="335" spans="2:19" ht="15.75" x14ac:dyDescent="0.25">
      <c r="G335" s="18" t="s">
        <v>2</v>
      </c>
      <c r="H335" s="42">
        <f>H162 / (1.08*(H166 -H164))</f>
        <v>2314.8148148148148</v>
      </c>
      <c r="I335" s="9" t="s">
        <v>13</v>
      </c>
      <c r="Q335" s="18" t="s">
        <v>2</v>
      </c>
      <c r="R335" s="42">
        <f>R162 / (1.08*(R166 -R164))</f>
        <v>2314.8148148148148</v>
      </c>
      <c r="S335" s="9" t="s">
        <v>13</v>
      </c>
    </row>
    <row r="336" spans="2:19" ht="15.75" x14ac:dyDescent="0.25">
      <c r="G336" s="18" t="s">
        <v>404</v>
      </c>
      <c r="H336" s="9" t="s">
        <v>405</v>
      </c>
      <c r="I336" s="9"/>
      <c r="Q336" s="18" t="s">
        <v>404</v>
      </c>
      <c r="R336" s="9" t="s">
        <v>405</v>
      </c>
      <c r="S336" s="9"/>
    </row>
    <row r="337" spans="2:19" ht="15.75" x14ac:dyDescent="0.25">
      <c r="G337" s="18" t="s">
        <v>2</v>
      </c>
      <c r="H337" s="42">
        <f>H159*H160*H161</f>
        <v>24000</v>
      </c>
      <c r="I337" s="9" t="s">
        <v>406</v>
      </c>
      <c r="Q337" s="18" t="s">
        <v>2</v>
      </c>
      <c r="R337" s="42">
        <f>R159*R160*R161</f>
        <v>24000</v>
      </c>
      <c r="S337" s="9" t="s">
        <v>406</v>
      </c>
    </row>
    <row r="338" spans="2:19" ht="15.75" x14ac:dyDescent="0.25">
      <c r="G338" s="18" t="s">
        <v>449</v>
      </c>
      <c r="H338" s="9" t="s">
        <v>453</v>
      </c>
      <c r="Q338" s="18" t="s">
        <v>449</v>
      </c>
      <c r="R338" s="9" t="s">
        <v>453</v>
      </c>
    </row>
    <row r="339" spans="2:19" ht="15.75" x14ac:dyDescent="0.25">
      <c r="G339" s="44" t="s">
        <v>2</v>
      </c>
      <c r="H339" s="96">
        <f>H332*H335</f>
        <v>369.59228135698703</v>
      </c>
      <c r="I339" s="9" t="s">
        <v>13</v>
      </c>
      <c r="Q339" s="44" t="s">
        <v>2</v>
      </c>
      <c r="R339" s="96">
        <f>R332*R335</f>
        <v>369.59228135698703</v>
      </c>
      <c r="S339" s="9" t="s">
        <v>13</v>
      </c>
    </row>
    <row r="340" spans="2:19" ht="15.75" x14ac:dyDescent="0.25">
      <c r="G340" s="18" t="s">
        <v>452</v>
      </c>
      <c r="H340" s="9" t="s">
        <v>451</v>
      </c>
      <c r="Q340" s="18" t="s">
        <v>452</v>
      </c>
      <c r="R340" s="9" t="s">
        <v>451</v>
      </c>
    </row>
    <row r="341" spans="2:19" ht="15.75" x14ac:dyDescent="0.25">
      <c r="G341" s="18" t="s">
        <v>2</v>
      </c>
      <c r="H341" s="42">
        <f>H335 - H339</f>
        <v>1945.2225334578277</v>
      </c>
      <c r="I341" s="9" t="s">
        <v>13</v>
      </c>
      <c r="Q341" s="18" t="s">
        <v>2</v>
      </c>
      <c r="R341" s="42">
        <f>R335 - R339</f>
        <v>1945.2225334578277</v>
      </c>
      <c r="S341" s="9" t="s">
        <v>13</v>
      </c>
    </row>
    <row r="342" spans="2:19" ht="15.75" x14ac:dyDescent="0.25">
      <c r="B342" s="9" t="s">
        <v>409</v>
      </c>
      <c r="L342" s="9" t="s">
        <v>409</v>
      </c>
    </row>
    <row r="343" spans="2:19" x14ac:dyDescent="0.2">
      <c r="B343" s="17" t="s">
        <v>411</v>
      </c>
      <c r="F343" s="17" t="s">
        <v>410</v>
      </c>
      <c r="L343" s="17" t="s">
        <v>411</v>
      </c>
      <c r="P343" s="17" t="s">
        <v>410</v>
      </c>
    </row>
    <row r="344" spans="2:19" ht="15.75" x14ac:dyDescent="0.25">
      <c r="G344" s="18" t="s">
        <v>412</v>
      </c>
      <c r="H344" s="9" t="s">
        <v>785</v>
      </c>
      <c r="I344" s="9"/>
      <c r="Q344" s="18" t="s">
        <v>412</v>
      </c>
      <c r="R344" s="9" t="s">
        <v>413</v>
      </c>
      <c r="S344" s="9"/>
    </row>
    <row r="345" spans="2:19" ht="15.75" x14ac:dyDescent="0.25">
      <c r="H345" s="33">
        <f>H341/ (H159*H160)</f>
        <v>1.2968150223052184</v>
      </c>
      <c r="I345" s="9" t="s">
        <v>414</v>
      </c>
      <c r="R345" s="33">
        <f>R335/ (R159*R160)</f>
        <v>1.5432098765432098</v>
      </c>
      <c r="S345" s="9" t="s">
        <v>414</v>
      </c>
    </row>
    <row r="346" spans="2:19" ht="15.75" x14ac:dyDescent="0.25">
      <c r="G346" s="18" t="s">
        <v>407</v>
      </c>
      <c r="H346" s="9" t="s">
        <v>408</v>
      </c>
      <c r="I346" s="9"/>
      <c r="Q346" s="18" t="s">
        <v>407</v>
      </c>
      <c r="R346" s="9" t="s">
        <v>408</v>
      </c>
      <c r="S346" s="9"/>
    </row>
    <row r="347" spans="2:19" ht="15.75" x14ac:dyDescent="0.25">
      <c r="G347" s="18" t="s">
        <v>2</v>
      </c>
      <c r="H347" s="33">
        <f>(H335*60)/H337</f>
        <v>5.7870370370370363</v>
      </c>
      <c r="I347" s="9" t="s">
        <v>96</v>
      </c>
      <c r="Q347" s="18" t="s">
        <v>2</v>
      </c>
      <c r="R347" s="33">
        <f>(R335*60)/R337</f>
        <v>5.7870370370370363</v>
      </c>
      <c r="S347" s="9" t="s">
        <v>96</v>
      </c>
    </row>
    <row r="348" spans="2:19" ht="15.75" x14ac:dyDescent="0.25">
      <c r="G348" s="18" t="s">
        <v>422</v>
      </c>
      <c r="H348" s="75" t="s">
        <v>393</v>
      </c>
      <c r="Q348" s="18" t="s">
        <v>422</v>
      </c>
      <c r="R348" s="75" t="s">
        <v>393</v>
      </c>
    </row>
    <row r="349" spans="2:19" ht="15.75" x14ac:dyDescent="0.25">
      <c r="F349" s="20"/>
      <c r="G349" s="18" t="s">
        <v>2</v>
      </c>
      <c r="H349" s="75">
        <f>(H302 - (H332*H248))/(1 -H332)</f>
        <v>50.707520000000002</v>
      </c>
      <c r="I349" s="9" t="s">
        <v>12</v>
      </c>
      <c r="P349" s="20"/>
      <c r="Q349" s="18" t="s">
        <v>2</v>
      </c>
      <c r="R349" s="75">
        <f>(R302 - (R332*R248))/(1 -R332)</f>
        <v>50.707520000000002</v>
      </c>
      <c r="S349" s="9" t="s">
        <v>12</v>
      </c>
    </row>
    <row r="350" spans="2:19" ht="15.75" x14ac:dyDescent="0.25">
      <c r="G350" s="18" t="s">
        <v>476</v>
      </c>
      <c r="H350" s="16" t="s">
        <v>353</v>
      </c>
      <c r="Q350" s="18" t="s">
        <v>476</v>
      </c>
      <c r="R350" s="16" t="s">
        <v>353</v>
      </c>
    </row>
    <row r="351" spans="2:19" ht="15.75" x14ac:dyDescent="0.25">
      <c r="G351" s="18" t="s">
        <v>2</v>
      </c>
      <c r="H351" s="95">
        <f>H162/(H162 + H163)</f>
        <v>0.86206896551724133</v>
      </c>
      <c r="Q351" s="18" t="s">
        <v>2</v>
      </c>
      <c r="R351" s="95">
        <f>R162/(R162 + R163)</f>
        <v>0.86206896551724133</v>
      </c>
    </row>
    <row r="352" spans="2:19" ht="15.75" x14ac:dyDescent="0.25">
      <c r="G352" s="18" t="s">
        <v>703</v>
      </c>
      <c r="H352" s="16" t="s">
        <v>419</v>
      </c>
      <c r="Q352" s="18" t="s">
        <v>703</v>
      </c>
      <c r="R352" s="16" t="s">
        <v>419</v>
      </c>
    </row>
    <row r="353" spans="2:18" ht="15.75" x14ac:dyDescent="0.25">
      <c r="G353" s="18" t="s">
        <v>2</v>
      </c>
      <c r="H353" s="95">
        <f>(G258 - G286) / (H248 - G279)</f>
        <v>0.49663597733711012</v>
      </c>
      <c r="Q353" s="18" t="s">
        <v>2</v>
      </c>
      <c r="R353" s="95">
        <f>(Q258 - Q286) / (R248 - Q279)</f>
        <v>0.49663597733711012</v>
      </c>
    </row>
    <row r="354" spans="2:18" ht="15.75" x14ac:dyDescent="0.25">
      <c r="G354" s="18" t="s">
        <v>704</v>
      </c>
      <c r="H354" s="16" t="s">
        <v>477</v>
      </c>
      <c r="Q354" s="18" t="s">
        <v>704</v>
      </c>
      <c r="R354" s="16" t="s">
        <v>477</v>
      </c>
    </row>
    <row r="355" spans="2:18" ht="15.75" x14ac:dyDescent="0.25">
      <c r="G355" s="18" t="s">
        <v>2</v>
      </c>
      <c r="H355" s="95">
        <f>(E182 - G320) / (H164- G314)</f>
        <v>0.36974789915966411</v>
      </c>
      <c r="Q355" s="18" t="s">
        <v>2</v>
      </c>
      <c r="R355" s="95">
        <f>(O182 - Q320) / (R164- Q314)</f>
        <v>0.36974789915966411</v>
      </c>
    </row>
    <row r="356" spans="2:18" ht="15.75" x14ac:dyDescent="0.25">
      <c r="B356" s="9" t="s">
        <v>416</v>
      </c>
      <c r="L356" s="9" t="s">
        <v>416</v>
      </c>
    </row>
    <row r="357" spans="2:18" ht="15.75" x14ac:dyDescent="0.25">
      <c r="B357" s="9" t="s">
        <v>448</v>
      </c>
      <c r="L357" s="9" t="s">
        <v>448</v>
      </c>
    </row>
    <row r="358" spans="2:18" ht="15.75" x14ac:dyDescent="0.25">
      <c r="B358" s="9" t="s">
        <v>417</v>
      </c>
      <c r="L358" s="9" t="s">
        <v>417</v>
      </c>
    </row>
    <row r="359" spans="2:18" ht="15.75" x14ac:dyDescent="0.25">
      <c r="B359" s="9" t="s">
        <v>415</v>
      </c>
      <c r="L359" s="9" t="s">
        <v>415</v>
      </c>
    </row>
    <row r="363" spans="2:18" ht="15.75" x14ac:dyDescent="0.25">
      <c r="G363" s="18"/>
      <c r="H363" s="9"/>
      <c r="Q363" s="18"/>
      <c r="R363" s="9"/>
    </row>
    <row r="382" spans="3:13" ht="15.75" x14ac:dyDescent="0.25">
      <c r="C382" s="9"/>
      <c r="H382" s="17" t="s">
        <v>821</v>
      </c>
      <c r="M382" s="9"/>
    </row>
  </sheetData>
  <sheetProtection selectLockedCells="1"/>
  <hyperlinks>
    <hyperlink ref="M3" r:id="rId1" xr:uid="{00000000-0004-0000-0100-000000000000}"/>
    <hyperlink ref="D7" r:id="rId2" xr:uid="{00000000-0004-0000-0100-000001000000}"/>
    <hyperlink ref="D33" r:id="rId3" xr:uid="{00000000-0004-0000-0100-000002000000}"/>
  </hyperlinks>
  <pageMargins left="0.7" right="0.7" top="0.75" bottom="0.75" header="0.3" footer="0.3"/>
  <pageSetup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437"/>
  <sheetViews>
    <sheetView zoomScaleNormal="100" workbookViewId="0">
      <selection activeCell="J1" sqref="J1"/>
    </sheetView>
  </sheetViews>
  <sheetFormatPr defaultColWidth="9.140625" defaultRowHeight="15" x14ac:dyDescent="0.2"/>
  <cols>
    <col min="1" max="1" width="4.42578125" style="17" customWidth="1"/>
    <col min="2" max="2" width="14.42578125" style="17" customWidth="1"/>
    <col min="3" max="3" width="10.85546875" style="17" customWidth="1"/>
    <col min="4" max="4" width="7.28515625" style="17" customWidth="1"/>
    <col min="5" max="5" width="20.7109375" style="20" customWidth="1"/>
    <col min="6" max="6" width="17.28515625" style="20" customWidth="1"/>
    <col min="7" max="7" width="14.5703125" style="43" customWidth="1"/>
    <col min="8" max="8" width="11.28515625" style="17" customWidth="1"/>
    <col min="9" max="9" width="9.5703125" style="17" bestFit="1" customWidth="1"/>
    <col min="10" max="10" width="11" style="17" customWidth="1"/>
    <col min="11" max="11" width="14.7109375" style="17" customWidth="1"/>
    <col min="12" max="12" width="10.42578125" style="17" customWidth="1"/>
    <col min="13" max="13" width="9.42578125" style="20" customWidth="1"/>
    <col min="14" max="14" width="19" style="43" customWidth="1"/>
    <col min="15" max="15" width="17.42578125" style="43" customWidth="1"/>
    <col min="16" max="16" width="15.28515625" style="17" customWidth="1"/>
    <col min="17" max="17" width="11.5703125" style="17" customWidth="1"/>
    <col min="18" max="18" width="15.42578125" style="17" customWidth="1"/>
    <col min="19" max="19" width="14.85546875" style="17" customWidth="1"/>
    <col min="20" max="16384" width="9.140625" style="17"/>
  </cols>
  <sheetData>
    <row r="1" spans="1:24" ht="20.25" x14ac:dyDescent="0.3">
      <c r="A1" s="9"/>
      <c r="B1" s="14" t="s">
        <v>482</v>
      </c>
      <c r="C1" s="16"/>
      <c r="D1" s="18"/>
      <c r="E1" s="18"/>
      <c r="F1" s="18"/>
      <c r="G1" s="16"/>
      <c r="H1" s="15"/>
      <c r="I1" s="13"/>
      <c r="J1" s="13"/>
      <c r="K1" s="13"/>
      <c r="L1" s="19"/>
      <c r="M1" s="37"/>
      <c r="N1" s="27"/>
      <c r="O1" s="37"/>
      <c r="P1" s="27"/>
      <c r="Q1" s="27"/>
      <c r="R1" s="19"/>
      <c r="S1" s="19"/>
      <c r="T1" s="19"/>
      <c r="U1" s="19"/>
      <c r="V1" s="19"/>
      <c r="W1" s="19"/>
      <c r="X1" s="19"/>
    </row>
    <row r="2" spans="1:24" ht="15.75" x14ac:dyDescent="0.25">
      <c r="A2" s="9"/>
      <c r="D2" s="20"/>
      <c r="G2" s="16"/>
      <c r="H2" s="15"/>
      <c r="I2" s="13"/>
      <c r="J2" s="19"/>
      <c r="K2" s="19"/>
      <c r="L2" s="19"/>
      <c r="M2" s="48"/>
      <c r="N2" s="45"/>
      <c r="O2" s="45"/>
      <c r="P2" s="45"/>
      <c r="Q2" s="45"/>
      <c r="R2" s="48"/>
      <c r="S2" s="27"/>
      <c r="T2" s="19"/>
      <c r="U2" s="19"/>
      <c r="V2" s="19"/>
      <c r="W2" s="19"/>
      <c r="X2" s="19"/>
    </row>
    <row r="3" spans="1:24" x14ac:dyDescent="0.2">
      <c r="E3" s="17"/>
      <c r="F3" s="17"/>
      <c r="G3" s="17"/>
      <c r="I3" s="19"/>
      <c r="J3" s="19"/>
      <c r="K3" s="19"/>
      <c r="L3" s="19"/>
      <c r="M3" s="19"/>
      <c r="N3" s="19"/>
      <c r="O3" s="19"/>
      <c r="P3" s="19"/>
      <c r="Q3" s="19"/>
      <c r="R3" s="19"/>
      <c r="S3" s="19"/>
      <c r="T3" s="19"/>
      <c r="U3" s="19"/>
      <c r="V3" s="19"/>
      <c r="W3" s="19"/>
      <c r="X3" s="19"/>
    </row>
    <row r="4" spans="1:24" x14ac:dyDescent="0.2">
      <c r="E4" s="17"/>
      <c r="F4" s="17"/>
      <c r="G4" s="17"/>
      <c r="I4" s="19"/>
      <c r="J4" s="19"/>
      <c r="K4" s="19"/>
      <c r="L4" s="19"/>
      <c r="M4" s="19"/>
      <c r="N4" s="19"/>
      <c r="O4" s="19"/>
      <c r="P4" s="19"/>
      <c r="Q4" s="19"/>
      <c r="R4" s="19"/>
      <c r="S4" s="19"/>
      <c r="T4" s="19"/>
      <c r="U4" s="19"/>
      <c r="V4" s="19"/>
      <c r="W4" s="19"/>
      <c r="X4" s="19"/>
    </row>
    <row r="5" spans="1:24" x14ac:dyDescent="0.2">
      <c r="E5" s="17"/>
      <c r="F5" s="17"/>
      <c r="G5" s="17"/>
      <c r="I5" s="19"/>
      <c r="J5" s="19"/>
      <c r="K5" s="19"/>
      <c r="L5" s="19"/>
      <c r="M5" s="19"/>
      <c r="N5" s="19"/>
      <c r="O5" s="19"/>
      <c r="P5" s="19"/>
      <c r="Q5" s="19"/>
      <c r="R5" s="19"/>
      <c r="S5" s="19"/>
      <c r="T5" s="19"/>
      <c r="U5" s="19"/>
      <c r="V5" s="19"/>
      <c r="W5" s="19"/>
      <c r="X5" s="19"/>
    </row>
    <row r="6" spans="1:24" x14ac:dyDescent="0.2">
      <c r="E6" s="17"/>
      <c r="F6" s="17"/>
      <c r="G6" s="17"/>
      <c r="I6" s="19"/>
      <c r="J6" s="19"/>
      <c r="K6" s="19"/>
      <c r="L6" s="19"/>
      <c r="M6" s="19"/>
      <c r="N6" s="19"/>
      <c r="O6" s="19"/>
      <c r="P6" s="19"/>
      <c r="Q6" s="19"/>
      <c r="R6" s="19"/>
      <c r="S6" s="19"/>
      <c r="T6" s="19"/>
      <c r="U6" s="19"/>
      <c r="V6" s="19"/>
      <c r="W6" s="19"/>
      <c r="X6" s="19"/>
    </row>
    <row r="7" spans="1:24" x14ac:dyDescent="0.2">
      <c r="E7" s="17"/>
      <c r="F7" s="17"/>
      <c r="G7" s="17"/>
      <c r="I7" s="19"/>
      <c r="J7" s="19"/>
      <c r="K7" s="19"/>
      <c r="L7" s="19"/>
      <c r="M7" s="19"/>
      <c r="N7" s="19"/>
      <c r="O7" s="19"/>
      <c r="P7" s="19"/>
      <c r="Q7" s="19"/>
      <c r="R7" s="19"/>
      <c r="S7" s="19"/>
      <c r="T7" s="19"/>
      <c r="U7" s="19"/>
      <c r="V7" s="19"/>
      <c r="W7" s="19"/>
      <c r="X7" s="19"/>
    </row>
    <row r="8" spans="1:24" x14ac:dyDescent="0.2">
      <c r="E8" s="17"/>
      <c r="F8" s="17"/>
      <c r="G8" s="17"/>
      <c r="I8" s="19"/>
      <c r="J8" s="19"/>
      <c r="K8" s="19"/>
      <c r="L8" s="19"/>
      <c r="M8" s="19"/>
      <c r="N8" s="19"/>
      <c r="O8" s="19"/>
      <c r="P8" s="19"/>
      <c r="Q8" s="19"/>
      <c r="R8" s="19"/>
      <c r="S8" s="19"/>
      <c r="T8" s="19"/>
      <c r="U8" s="19"/>
      <c r="V8" s="19"/>
      <c r="W8" s="19"/>
      <c r="X8" s="19"/>
    </row>
    <row r="9" spans="1:24" x14ac:dyDescent="0.2">
      <c r="E9" s="17"/>
      <c r="F9" s="17"/>
      <c r="G9" s="17"/>
      <c r="I9" s="19"/>
      <c r="J9" s="19"/>
      <c r="K9" s="19"/>
      <c r="L9" s="19"/>
      <c r="M9" s="19"/>
      <c r="N9" s="19"/>
      <c r="O9" s="19"/>
      <c r="P9" s="19"/>
      <c r="Q9" s="19"/>
      <c r="R9" s="19"/>
      <c r="S9" s="19"/>
      <c r="T9" s="19"/>
      <c r="U9" s="19"/>
      <c r="V9" s="19"/>
      <c r="W9" s="19"/>
      <c r="X9" s="19"/>
    </row>
    <row r="10" spans="1:24" x14ac:dyDescent="0.2">
      <c r="E10" s="17"/>
      <c r="F10" s="17"/>
      <c r="G10" s="17"/>
      <c r="I10" s="19"/>
      <c r="J10" s="19"/>
      <c r="K10" s="19"/>
      <c r="L10" s="19"/>
      <c r="M10" s="19"/>
      <c r="N10" s="19"/>
      <c r="O10" s="19"/>
      <c r="P10" s="19"/>
      <c r="Q10" s="19"/>
      <c r="R10" s="19"/>
      <c r="S10" s="19"/>
      <c r="T10" s="19"/>
      <c r="U10" s="19"/>
      <c r="V10" s="19"/>
      <c r="W10" s="19"/>
      <c r="X10" s="19"/>
    </row>
    <row r="11" spans="1:24" x14ac:dyDescent="0.2">
      <c r="E11" s="17"/>
      <c r="F11" s="17"/>
      <c r="G11" s="17"/>
      <c r="I11" s="19"/>
      <c r="J11" s="19"/>
      <c r="K11" s="19"/>
      <c r="L11" s="19"/>
      <c r="M11" s="19"/>
      <c r="N11" s="19"/>
      <c r="O11" s="19"/>
      <c r="P11" s="19"/>
      <c r="Q11" s="19"/>
      <c r="R11" s="19"/>
      <c r="S11" s="19"/>
      <c r="T11" s="19"/>
      <c r="U11" s="19"/>
      <c r="V11" s="19"/>
      <c r="W11" s="19"/>
      <c r="X11" s="19"/>
    </row>
    <row r="12" spans="1:24" x14ac:dyDescent="0.2">
      <c r="E12" s="17"/>
      <c r="F12" s="17"/>
      <c r="G12" s="17"/>
      <c r="I12" s="19"/>
      <c r="J12" s="19"/>
      <c r="K12" s="19"/>
      <c r="L12" s="19"/>
      <c r="M12" s="19"/>
      <c r="N12" s="19"/>
      <c r="O12" s="19"/>
      <c r="P12" s="19"/>
      <c r="Q12" s="19"/>
      <c r="R12" s="19"/>
      <c r="S12" s="19"/>
      <c r="T12" s="19"/>
      <c r="U12" s="19"/>
      <c r="V12" s="19"/>
      <c r="W12" s="19"/>
      <c r="X12" s="19"/>
    </row>
    <row r="13" spans="1:24" x14ac:dyDescent="0.2">
      <c r="D13" s="20"/>
      <c r="I13" s="19"/>
      <c r="J13" s="19"/>
      <c r="K13" s="19"/>
      <c r="L13" s="19"/>
      <c r="M13" s="48"/>
      <c r="N13" s="45"/>
      <c r="O13" s="45"/>
      <c r="P13" s="45"/>
      <c r="Q13" s="19"/>
      <c r="R13" s="19"/>
      <c r="S13" s="19"/>
      <c r="T13" s="19"/>
      <c r="U13" s="19"/>
      <c r="V13" s="19"/>
      <c r="W13" s="19"/>
      <c r="X13" s="19"/>
    </row>
    <row r="14" spans="1:24" x14ac:dyDescent="0.2">
      <c r="D14" s="20"/>
      <c r="I14" s="19"/>
      <c r="J14" s="19"/>
      <c r="K14" s="19"/>
      <c r="L14" s="19"/>
      <c r="M14" s="165"/>
      <c r="N14" s="111"/>
      <c r="O14" s="166"/>
      <c r="P14" s="19"/>
      <c r="Q14" s="19"/>
      <c r="R14" s="19"/>
      <c r="S14" s="19"/>
      <c r="T14" s="19"/>
      <c r="U14" s="19"/>
      <c r="V14" s="19"/>
      <c r="W14" s="19"/>
      <c r="X14" s="19"/>
    </row>
    <row r="15" spans="1:24" ht="15.75" x14ac:dyDescent="0.25">
      <c r="B15" s="9"/>
      <c r="D15" s="20"/>
      <c r="I15" s="19"/>
      <c r="J15" s="19"/>
      <c r="K15" s="13"/>
      <c r="L15" s="19"/>
      <c r="M15" s="48"/>
      <c r="N15" s="45"/>
      <c r="O15" s="45"/>
      <c r="P15" s="19"/>
      <c r="Q15" s="19"/>
      <c r="R15" s="45"/>
      <c r="S15" s="19"/>
      <c r="T15" s="19"/>
      <c r="U15" s="19"/>
      <c r="V15" s="19"/>
      <c r="W15" s="19"/>
      <c r="X15" s="19"/>
    </row>
    <row r="16" spans="1:24" ht="15.75" x14ac:dyDescent="0.25">
      <c r="B16" s="9"/>
      <c r="D16" s="20"/>
      <c r="I16" s="19"/>
      <c r="J16" s="19"/>
      <c r="K16" s="19"/>
      <c r="L16" s="19"/>
      <c r="M16" s="48"/>
      <c r="N16" s="45"/>
      <c r="O16" s="45"/>
      <c r="P16" s="19"/>
      <c r="Q16" s="19"/>
      <c r="R16" s="19"/>
      <c r="S16" s="19"/>
      <c r="T16" s="19"/>
      <c r="U16" s="19"/>
      <c r="V16" s="19"/>
      <c r="W16" s="19"/>
      <c r="X16" s="19"/>
    </row>
    <row r="17" spans="2:24" ht="15.75" x14ac:dyDescent="0.25">
      <c r="B17" s="9"/>
      <c r="D17" s="20"/>
      <c r="I17" s="19"/>
      <c r="J17" s="19"/>
      <c r="K17" s="19"/>
      <c r="L17" s="19"/>
      <c r="M17" s="48"/>
      <c r="N17" s="45"/>
      <c r="O17" s="45"/>
      <c r="P17" s="19"/>
      <c r="Q17" s="19"/>
      <c r="R17" s="19"/>
      <c r="S17" s="19"/>
      <c r="T17" s="19"/>
      <c r="U17" s="19"/>
      <c r="V17" s="19"/>
      <c r="W17" s="19"/>
      <c r="X17" s="19"/>
    </row>
    <row r="18" spans="2:24" ht="15.75" x14ac:dyDescent="0.25">
      <c r="B18" s="30"/>
      <c r="C18" s="127"/>
      <c r="D18" s="20"/>
      <c r="I18" s="19"/>
      <c r="J18" s="19"/>
      <c r="K18" s="19"/>
      <c r="L18" s="19"/>
      <c r="M18" s="48"/>
      <c r="N18" s="45"/>
      <c r="O18" s="45"/>
      <c r="P18" s="19"/>
      <c r="Q18" s="19"/>
      <c r="R18" s="19"/>
      <c r="S18" s="19"/>
      <c r="T18" s="19"/>
      <c r="U18" s="19"/>
      <c r="V18" s="19"/>
      <c r="W18" s="19"/>
      <c r="X18" s="19"/>
    </row>
    <row r="19" spans="2:24" ht="15.75" x14ac:dyDescent="0.25">
      <c r="B19" s="30"/>
      <c r="D19" s="20"/>
      <c r="I19" s="19"/>
      <c r="J19" s="19"/>
      <c r="K19" s="19"/>
      <c r="L19" s="19"/>
      <c r="M19" s="48"/>
      <c r="N19" s="45"/>
      <c r="O19" s="45"/>
      <c r="P19" s="19"/>
      <c r="Q19" s="19"/>
      <c r="R19" s="19"/>
      <c r="S19" s="19"/>
      <c r="T19" s="19"/>
      <c r="U19" s="19"/>
      <c r="V19" s="19"/>
      <c r="W19" s="19"/>
      <c r="X19" s="19"/>
    </row>
    <row r="20" spans="2:24" ht="15.75" x14ac:dyDescent="0.25">
      <c r="B20" s="9"/>
      <c r="D20" s="20"/>
      <c r="I20" s="19"/>
      <c r="J20" s="19"/>
      <c r="K20" s="19"/>
      <c r="L20" s="167"/>
      <c r="M20" s="48"/>
      <c r="N20" s="45"/>
      <c r="O20" s="45"/>
      <c r="P20" s="19"/>
      <c r="Q20" s="19"/>
      <c r="R20" s="19"/>
      <c r="S20" s="19"/>
      <c r="T20" s="19"/>
      <c r="U20" s="19"/>
      <c r="V20" s="19"/>
      <c r="W20" s="19"/>
      <c r="X20" s="19"/>
    </row>
    <row r="21" spans="2:24" ht="15.75" x14ac:dyDescent="0.25">
      <c r="B21" s="9"/>
      <c r="D21" s="20"/>
      <c r="I21" s="19"/>
      <c r="J21" s="19"/>
      <c r="K21" s="19"/>
      <c r="L21" s="167"/>
      <c r="M21" s="48"/>
      <c r="N21" s="45"/>
      <c r="O21" s="45"/>
      <c r="P21" s="19"/>
      <c r="Q21" s="19"/>
      <c r="R21" s="19"/>
      <c r="S21" s="19"/>
      <c r="T21" s="19"/>
      <c r="U21" s="19"/>
      <c r="V21" s="19"/>
      <c r="W21" s="19"/>
      <c r="X21" s="19"/>
    </row>
    <row r="22" spans="2:24" ht="15.75" x14ac:dyDescent="0.25">
      <c r="B22" s="30"/>
      <c r="D22" s="20"/>
      <c r="I22" s="19"/>
      <c r="J22" s="19"/>
      <c r="K22" s="19"/>
      <c r="L22" s="167"/>
      <c r="M22" s="48"/>
      <c r="N22" s="45"/>
      <c r="O22" s="45"/>
      <c r="P22" s="19"/>
      <c r="Q22" s="19"/>
      <c r="R22" s="19"/>
      <c r="S22" s="19"/>
      <c r="T22" s="19"/>
      <c r="U22" s="19"/>
      <c r="V22" s="19"/>
      <c r="W22" s="19"/>
      <c r="X22" s="19"/>
    </row>
    <row r="23" spans="2:24" x14ac:dyDescent="0.2">
      <c r="D23" s="20"/>
      <c r="I23" s="19"/>
      <c r="J23" s="19"/>
      <c r="K23" s="19"/>
      <c r="L23" s="19"/>
      <c r="M23" s="48"/>
      <c r="N23" s="45"/>
      <c r="O23" s="45"/>
      <c r="P23" s="19"/>
      <c r="Q23" s="19"/>
      <c r="R23" s="19"/>
      <c r="S23" s="19"/>
      <c r="T23" s="19"/>
      <c r="U23" s="19"/>
      <c r="V23" s="19"/>
      <c r="W23" s="19"/>
      <c r="X23" s="19"/>
    </row>
    <row r="24" spans="2:24" x14ac:dyDescent="0.2">
      <c r="D24" s="20"/>
      <c r="I24" s="19"/>
      <c r="J24" s="19"/>
      <c r="K24" s="19"/>
      <c r="L24" s="19"/>
      <c r="M24" s="48"/>
      <c r="N24" s="45"/>
      <c r="O24" s="45"/>
      <c r="P24" s="19"/>
      <c r="Q24" s="19"/>
      <c r="R24" s="19"/>
      <c r="S24" s="19"/>
      <c r="T24" s="19"/>
      <c r="U24" s="19"/>
      <c r="V24" s="19"/>
      <c r="W24" s="19"/>
      <c r="X24" s="19"/>
    </row>
    <row r="25" spans="2:24" x14ac:dyDescent="0.2">
      <c r="D25" s="20"/>
      <c r="I25" s="19"/>
      <c r="J25" s="19"/>
      <c r="K25" s="19"/>
      <c r="L25" s="19"/>
      <c r="M25" s="48"/>
      <c r="N25" s="45"/>
      <c r="O25" s="45"/>
      <c r="P25" s="19"/>
      <c r="Q25" s="19"/>
      <c r="R25" s="19"/>
      <c r="S25" s="19"/>
      <c r="T25" s="19"/>
      <c r="U25" s="19"/>
      <c r="V25" s="19"/>
      <c r="W25" s="19"/>
      <c r="X25" s="19"/>
    </row>
    <row r="26" spans="2:24" ht="15.75" x14ac:dyDescent="0.25">
      <c r="D26" s="20"/>
      <c r="I26" s="19"/>
      <c r="J26" s="19"/>
      <c r="K26" s="325"/>
      <c r="L26" s="19"/>
      <c r="M26" s="48"/>
      <c r="N26" s="45"/>
      <c r="O26" s="45"/>
      <c r="P26" s="19"/>
      <c r="Q26" s="19"/>
      <c r="R26" s="19"/>
      <c r="S26" s="19"/>
      <c r="T26" s="19"/>
      <c r="U26" s="19"/>
      <c r="V26" s="19"/>
      <c r="W26" s="19"/>
      <c r="X26" s="19"/>
    </row>
    <row r="27" spans="2:24" x14ac:dyDescent="0.2">
      <c r="D27" s="20"/>
      <c r="I27" s="19"/>
      <c r="J27" s="19"/>
      <c r="K27" s="326"/>
      <c r="L27" s="19"/>
      <c r="M27" s="48"/>
      <c r="N27" s="45"/>
      <c r="O27" s="45"/>
      <c r="P27" s="19"/>
      <c r="Q27" s="19"/>
      <c r="R27" s="19"/>
      <c r="S27" s="19"/>
      <c r="T27" s="19"/>
      <c r="U27" s="19"/>
      <c r="V27" s="19"/>
      <c r="W27" s="19"/>
      <c r="X27" s="19"/>
    </row>
    <row r="28" spans="2:24" ht="15.75" x14ac:dyDescent="0.25">
      <c r="D28" s="20"/>
      <c r="I28" s="19"/>
      <c r="J28" s="19"/>
      <c r="K28" s="19"/>
      <c r="L28" s="13"/>
      <c r="M28" s="48"/>
      <c r="N28" s="45"/>
      <c r="O28" s="45"/>
      <c r="P28" s="19"/>
      <c r="Q28" s="19"/>
      <c r="R28" s="19"/>
      <c r="S28" s="19"/>
      <c r="T28" s="19"/>
      <c r="U28" s="19"/>
      <c r="V28" s="19"/>
      <c r="W28" s="19"/>
      <c r="X28" s="19"/>
    </row>
    <row r="29" spans="2:24" x14ac:dyDescent="0.2">
      <c r="D29" s="20"/>
      <c r="I29" s="19"/>
      <c r="J29" s="19"/>
      <c r="K29" s="19"/>
      <c r="L29" s="19"/>
      <c r="M29" s="48"/>
      <c r="N29" s="45"/>
      <c r="O29" s="45"/>
      <c r="P29" s="19"/>
      <c r="Q29" s="19"/>
      <c r="R29" s="19"/>
      <c r="S29" s="19"/>
      <c r="T29" s="19"/>
      <c r="U29" s="19"/>
      <c r="V29" s="19"/>
      <c r="W29" s="19"/>
      <c r="X29" s="19"/>
    </row>
    <row r="30" spans="2:24" x14ac:dyDescent="0.2">
      <c r="D30" s="20"/>
      <c r="I30" s="19"/>
      <c r="J30" s="19"/>
      <c r="K30" s="19"/>
      <c r="L30" s="19"/>
      <c r="M30" s="48"/>
      <c r="N30" s="45"/>
      <c r="O30" s="45"/>
      <c r="P30" s="19"/>
      <c r="Q30" s="19"/>
      <c r="R30" s="19"/>
      <c r="S30" s="19"/>
      <c r="T30" s="19"/>
      <c r="U30" s="19"/>
      <c r="V30" s="19"/>
      <c r="W30" s="19"/>
      <c r="X30" s="19"/>
    </row>
    <row r="31" spans="2:24" x14ac:dyDescent="0.2">
      <c r="D31" s="20"/>
      <c r="I31" s="19"/>
      <c r="J31" s="19"/>
      <c r="K31" s="19"/>
      <c r="L31" s="19"/>
      <c r="M31" s="48"/>
      <c r="N31" s="45"/>
      <c r="O31" s="45"/>
      <c r="P31" s="19"/>
      <c r="Q31" s="19"/>
      <c r="R31" s="19"/>
      <c r="S31" s="19"/>
      <c r="T31" s="19"/>
      <c r="U31" s="19"/>
      <c r="V31" s="19"/>
      <c r="W31" s="19"/>
      <c r="X31" s="19"/>
    </row>
    <row r="32" spans="2:24" x14ac:dyDescent="0.2">
      <c r="D32" s="20"/>
      <c r="I32" s="19"/>
      <c r="J32" s="19"/>
      <c r="K32" s="19"/>
      <c r="L32" s="19"/>
      <c r="M32" s="48"/>
      <c r="N32" s="45"/>
      <c r="O32" s="45"/>
      <c r="P32" s="19"/>
      <c r="Q32" s="19"/>
      <c r="R32" s="19"/>
      <c r="S32" s="19"/>
      <c r="T32" s="19"/>
      <c r="U32" s="19"/>
      <c r="V32" s="19"/>
      <c r="W32" s="19"/>
      <c r="X32" s="19"/>
    </row>
    <row r="33" spans="2:24" x14ac:dyDescent="0.2">
      <c r="D33" s="20"/>
      <c r="I33" s="19"/>
      <c r="J33" s="19"/>
      <c r="K33" s="19"/>
      <c r="L33" s="19"/>
      <c r="M33" s="48"/>
      <c r="N33" s="45"/>
      <c r="O33" s="45"/>
      <c r="P33" s="19"/>
      <c r="Q33" s="19"/>
      <c r="R33" s="19"/>
      <c r="S33" s="19"/>
      <c r="T33" s="19"/>
      <c r="U33" s="19"/>
      <c r="V33" s="19"/>
      <c r="W33" s="19"/>
      <c r="X33" s="19"/>
    </row>
    <row r="34" spans="2:24" x14ac:dyDescent="0.2">
      <c r="D34" s="20"/>
      <c r="I34" s="19"/>
      <c r="J34" s="19"/>
      <c r="K34" s="19"/>
      <c r="L34" s="19"/>
      <c r="M34" s="48"/>
      <c r="N34" s="45"/>
      <c r="O34" s="45"/>
      <c r="P34" s="45"/>
      <c r="Q34" s="19"/>
      <c r="R34" s="19"/>
      <c r="S34" s="19"/>
      <c r="T34" s="19"/>
      <c r="U34" s="19"/>
      <c r="V34" s="19"/>
      <c r="W34" s="19"/>
      <c r="X34" s="19"/>
    </row>
    <row r="35" spans="2:24" x14ac:dyDescent="0.2">
      <c r="D35" s="20"/>
      <c r="I35" s="19"/>
      <c r="J35" s="19"/>
      <c r="K35" s="19"/>
      <c r="L35" s="19"/>
      <c r="M35" s="48"/>
      <c r="N35" s="45"/>
      <c r="O35" s="45"/>
      <c r="P35" s="45"/>
      <c r="Q35" s="19"/>
      <c r="R35" s="19"/>
      <c r="S35" s="19"/>
      <c r="T35" s="19"/>
      <c r="U35" s="19"/>
      <c r="V35" s="19"/>
      <c r="W35" s="19"/>
      <c r="X35" s="19"/>
    </row>
    <row r="36" spans="2:24" x14ac:dyDescent="0.2">
      <c r="D36" s="20"/>
      <c r="I36" s="19"/>
      <c r="J36" s="19"/>
      <c r="K36" s="19"/>
      <c r="L36" s="19"/>
      <c r="M36" s="48"/>
      <c r="N36" s="45"/>
      <c r="O36" s="45"/>
      <c r="P36" s="45"/>
      <c r="Q36" s="19"/>
      <c r="R36" s="19"/>
      <c r="S36" s="19"/>
      <c r="T36" s="19"/>
      <c r="U36" s="19"/>
      <c r="V36" s="19"/>
      <c r="W36" s="19"/>
      <c r="X36" s="19"/>
    </row>
    <row r="37" spans="2:24" x14ac:dyDescent="0.2">
      <c r="D37" s="20"/>
      <c r="J37" s="19"/>
      <c r="K37" s="19"/>
      <c r="L37" s="19"/>
      <c r="M37" s="48"/>
      <c r="N37" s="45"/>
      <c r="O37" s="45"/>
      <c r="P37" s="45"/>
      <c r="Q37" s="19"/>
      <c r="R37" s="19"/>
    </row>
    <row r="38" spans="2:24" ht="15.75" x14ac:dyDescent="0.25">
      <c r="B38" s="9"/>
      <c r="D38" s="20"/>
      <c r="J38" s="19"/>
      <c r="K38" s="19"/>
      <c r="L38" s="19"/>
      <c r="M38" s="48"/>
      <c r="N38" s="45"/>
      <c r="O38" s="45"/>
      <c r="P38" s="45"/>
      <c r="Q38" s="19"/>
      <c r="R38" s="19"/>
    </row>
    <row r="39" spans="2:24" x14ac:dyDescent="0.2">
      <c r="D39" s="20"/>
      <c r="J39" s="19"/>
      <c r="K39" s="19"/>
      <c r="L39" s="19"/>
      <c r="M39" s="48"/>
      <c r="N39" s="45"/>
      <c r="O39" s="45"/>
      <c r="P39" s="45"/>
      <c r="Q39" s="19"/>
      <c r="R39" s="19"/>
    </row>
    <row r="40" spans="2:24" ht="15.75" x14ac:dyDescent="0.25">
      <c r="B40" s="30"/>
      <c r="M40" s="168" t="s">
        <v>766</v>
      </c>
      <c r="N40" s="169"/>
      <c r="O40" s="170"/>
      <c r="P40" s="170"/>
      <c r="Q40" s="171"/>
      <c r="R40" s="171"/>
      <c r="S40" s="171"/>
    </row>
    <row r="41" spans="2:24" ht="15.75" x14ac:dyDescent="0.25">
      <c r="D41" s="18"/>
      <c r="E41" s="30"/>
      <c r="M41" s="9" t="s">
        <v>279</v>
      </c>
      <c r="N41" s="169"/>
      <c r="O41" s="170"/>
      <c r="P41" s="170"/>
      <c r="Q41" s="171"/>
      <c r="R41" s="171"/>
      <c r="S41" s="171"/>
    </row>
    <row r="42" spans="2:24" ht="15.75" x14ac:dyDescent="0.25">
      <c r="D42" s="20"/>
      <c r="M42" s="30" t="s">
        <v>695</v>
      </c>
      <c r="N42" s="169"/>
      <c r="O42" s="170"/>
      <c r="P42" s="170"/>
      <c r="Q42" s="171"/>
      <c r="R42" s="171"/>
      <c r="S42" s="171"/>
    </row>
    <row r="43" spans="2:24" ht="15.75" x14ac:dyDescent="0.25">
      <c r="B43" s="30"/>
      <c r="M43" s="9" t="s">
        <v>693</v>
      </c>
      <c r="N43" s="169"/>
      <c r="O43" s="170"/>
      <c r="P43" s="170"/>
      <c r="Q43" s="171"/>
      <c r="R43" s="171"/>
      <c r="S43" s="171"/>
    </row>
    <row r="44" spans="2:24" ht="15.75" x14ac:dyDescent="0.25">
      <c r="D44" s="18"/>
      <c r="E44" s="9"/>
      <c r="G44" s="30"/>
      <c r="M44" s="171"/>
      <c r="N44" s="169"/>
      <c r="O44" s="170"/>
      <c r="P44" s="170"/>
      <c r="Q44" s="171"/>
      <c r="R44" s="171"/>
      <c r="S44" s="171"/>
    </row>
    <row r="45" spans="2:24" ht="15.75" x14ac:dyDescent="0.25">
      <c r="C45" s="9"/>
      <c r="D45" s="20"/>
      <c r="M45" s="30" t="s">
        <v>280</v>
      </c>
      <c r="N45" s="17"/>
      <c r="O45" s="17"/>
      <c r="P45" s="20"/>
      <c r="Q45" s="20"/>
      <c r="R45" s="43"/>
      <c r="S45" s="171"/>
    </row>
    <row r="46" spans="2:24" ht="15.75" x14ac:dyDescent="0.25">
      <c r="C46" s="9"/>
      <c r="D46" s="20"/>
      <c r="M46" s="17"/>
      <c r="N46" s="17"/>
      <c r="O46" s="17"/>
      <c r="P46" s="172" t="s">
        <v>755</v>
      </c>
      <c r="Q46" s="75">
        <v>1</v>
      </c>
      <c r="R46" s="16" t="s">
        <v>288</v>
      </c>
      <c r="S46" s="171"/>
    </row>
    <row r="47" spans="2:24" ht="15.75" x14ac:dyDescent="0.25">
      <c r="C47" s="9"/>
      <c r="D47" s="20"/>
      <c r="M47" s="17"/>
      <c r="N47" s="17"/>
      <c r="O47" s="17"/>
      <c r="P47" s="18" t="s">
        <v>286</v>
      </c>
      <c r="Q47" s="16">
        <v>3.42</v>
      </c>
      <c r="R47" s="16" t="s">
        <v>284</v>
      </c>
      <c r="S47" s="171"/>
    </row>
    <row r="48" spans="2:24" ht="15.75" x14ac:dyDescent="0.25">
      <c r="C48" s="9"/>
      <c r="D48" s="20"/>
      <c r="M48" s="17"/>
      <c r="N48" s="20"/>
      <c r="P48" s="43"/>
      <c r="S48" s="171"/>
    </row>
    <row r="49" spans="2:26" ht="15.75" x14ac:dyDescent="0.25">
      <c r="B49" s="173"/>
      <c r="C49" s="9"/>
      <c r="D49" s="20"/>
      <c r="M49" s="30" t="s">
        <v>765</v>
      </c>
      <c r="N49" s="161"/>
      <c r="O49" s="162"/>
      <c r="P49" s="161"/>
      <c r="Q49" s="171"/>
      <c r="R49" s="171"/>
      <c r="S49" s="171"/>
    </row>
    <row r="50" spans="2:26" ht="15.75" x14ac:dyDescent="0.25">
      <c r="C50" s="30"/>
      <c r="D50" s="20"/>
      <c r="E50" s="18"/>
      <c r="F50" s="30"/>
      <c r="G50" s="174"/>
      <c r="M50" s="17"/>
      <c r="N50" s="20"/>
      <c r="P50" s="172" t="s">
        <v>764</v>
      </c>
      <c r="Q50" s="16">
        <v>1200</v>
      </c>
      <c r="R50" s="30" t="s">
        <v>291</v>
      </c>
      <c r="S50" s="171"/>
    </row>
    <row r="51" spans="2:26" ht="15.75" x14ac:dyDescent="0.25">
      <c r="D51" s="20"/>
      <c r="F51" s="18"/>
      <c r="G51" s="12"/>
      <c r="H51" s="9"/>
      <c r="M51" s="171"/>
      <c r="N51" s="163"/>
      <c r="O51" s="164"/>
      <c r="P51" s="172" t="s">
        <v>763</v>
      </c>
      <c r="Q51" s="16">
        <v>180</v>
      </c>
      <c r="R51" s="30" t="s">
        <v>291</v>
      </c>
    </row>
    <row r="52" spans="2:26" x14ac:dyDescent="0.2">
      <c r="M52" s="17"/>
      <c r="N52" s="17"/>
      <c r="O52" s="20"/>
      <c r="P52" s="43"/>
      <c r="Q52" s="43"/>
    </row>
    <row r="53" spans="2:26" ht="15.75" x14ac:dyDescent="0.25">
      <c r="C53" s="175"/>
      <c r="D53" s="176"/>
      <c r="E53" s="177"/>
      <c r="F53" s="178"/>
      <c r="G53" s="177"/>
      <c r="M53" s="30" t="s">
        <v>298</v>
      </c>
      <c r="N53" s="20"/>
      <c r="P53" s="43"/>
    </row>
    <row r="54" spans="2:26" ht="16.5" thickBot="1" x14ac:dyDescent="0.3">
      <c r="D54" s="20"/>
      <c r="M54" s="17"/>
      <c r="N54" s="20"/>
      <c r="P54" s="39" t="s">
        <v>3</v>
      </c>
      <c r="R54" s="20"/>
    </row>
    <row r="55" spans="2:26" ht="15.75" thickBot="1" x14ac:dyDescent="0.25">
      <c r="D55" s="20"/>
      <c r="M55" s="17"/>
      <c r="N55" s="20"/>
      <c r="O55" s="17"/>
      <c r="P55" s="179" t="s">
        <v>767</v>
      </c>
      <c r="Q55" s="179" t="s">
        <v>0</v>
      </c>
    </row>
    <row r="56" spans="2:26" ht="15.75" x14ac:dyDescent="0.25">
      <c r="D56" s="20"/>
      <c r="M56" s="17"/>
      <c r="N56" s="180"/>
      <c r="O56" s="181" t="s">
        <v>886</v>
      </c>
      <c r="P56" s="182">
        <v>1</v>
      </c>
      <c r="Q56" s="179">
        <v>420</v>
      </c>
      <c r="R56" s="183">
        <f>P56*Q56</f>
        <v>420</v>
      </c>
      <c r="S56" s="43" t="s">
        <v>762</v>
      </c>
    </row>
    <row r="57" spans="2:26" ht="15.75" x14ac:dyDescent="0.25">
      <c r="B57" s="9"/>
      <c r="D57" s="20"/>
      <c r="M57" s="17"/>
      <c r="N57" s="184"/>
      <c r="O57" s="185" t="s">
        <v>887</v>
      </c>
      <c r="P57" s="186">
        <v>1</v>
      </c>
      <c r="Q57" s="187">
        <v>1200</v>
      </c>
      <c r="R57" s="188">
        <f t="shared" ref="R57:R58" si="0">P57*Q57</f>
        <v>1200</v>
      </c>
      <c r="S57" s="43" t="s">
        <v>762</v>
      </c>
    </row>
    <row r="58" spans="2:26" ht="16.5" thickBot="1" x14ac:dyDescent="0.3">
      <c r="B58" s="43"/>
      <c r="D58" s="20"/>
      <c r="M58" s="189"/>
      <c r="N58" s="190"/>
      <c r="O58" s="191" t="s">
        <v>888</v>
      </c>
      <c r="P58" s="192">
        <v>1</v>
      </c>
      <c r="Q58" s="193">
        <v>5600</v>
      </c>
      <c r="R58" s="194">
        <f t="shared" si="0"/>
        <v>5600</v>
      </c>
      <c r="S58" s="43" t="s">
        <v>0</v>
      </c>
    </row>
    <row r="59" spans="2:26" ht="16.5" thickBot="1" x14ac:dyDescent="0.3">
      <c r="D59" s="20"/>
      <c r="M59" s="17"/>
      <c r="N59" s="20"/>
      <c r="P59" s="43"/>
      <c r="Q59" s="18" t="s">
        <v>790</v>
      </c>
      <c r="R59" s="195">
        <f>SUM(R56:R58)</f>
        <v>7220</v>
      </c>
      <c r="S59" s="16" t="s">
        <v>0</v>
      </c>
    </row>
    <row r="60" spans="2:26" x14ac:dyDescent="0.2">
      <c r="B60" s="20"/>
      <c r="C60" s="196"/>
      <c r="M60" s="17"/>
      <c r="N60" s="17"/>
      <c r="O60" s="20"/>
      <c r="P60" s="43"/>
      <c r="Q60" s="43"/>
    </row>
    <row r="61" spans="2:26" ht="15.75" x14ac:dyDescent="0.25">
      <c r="F61" s="197"/>
      <c r="M61" s="17"/>
      <c r="N61" s="17"/>
      <c r="O61" s="20"/>
      <c r="P61" s="43"/>
      <c r="Q61" s="43"/>
      <c r="S61" s="19"/>
      <c r="T61" s="19"/>
      <c r="U61" s="19"/>
      <c r="V61" s="19"/>
      <c r="W61" s="19"/>
      <c r="X61" s="19"/>
      <c r="Y61" s="19"/>
      <c r="Z61" s="19"/>
    </row>
    <row r="62" spans="2:26" x14ac:dyDescent="0.2">
      <c r="J62" s="333"/>
      <c r="O62" s="198"/>
      <c r="P62" s="43"/>
      <c r="Q62" s="171"/>
      <c r="R62" s="171"/>
      <c r="S62" s="19"/>
      <c r="T62" s="19"/>
      <c r="U62" s="19"/>
      <c r="V62" s="19"/>
      <c r="W62" s="19"/>
      <c r="X62" s="19"/>
      <c r="Y62" s="19"/>
      <c r="Z62" s="19"/>
    </row>
    <row r="63" spans="2:26" ht="15.75" x14ac:dyDescent="0.25">
      <c r="B63" s="30" t="s">
        <v>694</v>
      </c>
      <c r="E63" s="199"/>
      <c r="F63" s="198"/>
      <c r="J63" s="333"/>
      <c r="K63" s="30" t="s">
        <v>894</v>
      </c>
      <c r="M63" s="17"/>
      <c r="N63" s="199"/>
      <c r="O63" s="39"/>
      <c r="P63" s="43"/>
      <c r="Q63" s="171"/>
      <c r="R63" s="171"/>
      <c r="S63" s="19"/>
      <c r="T63" s="19"/>
      <c r="U63" s="19"/>
      <c r="V63" s="19"/>
      <c r="W63" s="19"/>
      <c r="X63" s="19"/>
      <c r="Y63" s="19"/>
      <c r="Z63" s="19"/>
    </row>
    <row r="64" spans="2:26" ht="15.75" x14ac:dyDescent="0.25">
      <c r="J64" s="333"/>
      <c r="M64" s="17"/>
      <c r="N64" s="20"/>
      <c r="O64" s="12"/>
      <c r="P64" s="16"/>
      <c r="S64" s="19"/>
      <c r="T64" s="19"/>
      <c r="U64" s="19"/>
      <c r="V64" s="19"/>
      <c r="W64" s="19"/>
      <c r="X64" s="19"/>
      <c r="Y64" s="19"/>
      <c r="Z64" s="19"/>
    </row>
    <row r="65" spans="2:26" ht="16.5" thickBot="1" x14ac:dyDescent="0.3">
      <c r="C65" s="20"/>
      <c r="G65" s="39" t="s">
        <v>3</v>
      </c>
      <c r="H65" s="43"/>
      <c r="J65" s="333"/>
      <c r="L65" s="20"/>
      <c r="M65" s="17"/>
      <c r="N65" s="20"/>
      <c r="O65" s="20"/>
      <c r="P65" s="39" t="s">
        <v>3</v>
      </c>
      <c r="Q65" s="43"/>
      <c r="S65" s="19"/>
      <c r="T65" s="19"/>
      <c r="U65" s="19"/>
      <c r="V65" s="19"/>
      <c r="W65" s="19"/>
      <c r="X65" s="19"/>
      <c r="Y65" s="19"/>
      <c r="Z65" s="19"/>
    </row>
    <row r="66" spans="2:26" ht="15.75" x14ac:dyDescent="0.25">
      <c r="C66" s="20"/>
      <c r="F66" s="18" t="s">
        <v>775</v>
      </c>
      <c r="G66" s="52">
        <v>50</v>
      </c>
      <c r="H66" s="16" t="s">
        <v>26</v>
      </c>
      <c r="J66" s="333"/>
      <c r="L66" s="20"/>
      <c r="M66" s="17"/>
      <c r="N66" s="20"/>
      <c r="O66" s="18" t="s">
        <v>775</v>
      </c>
      <c r="P66" s="320">
        <v>50</v>
      </c>
      <c r="Q66" s="16" t="s">
        <v>26</v>
      </c>
      <c r="S66" s="19"/>
      <c r="T66" s="19"/>
      <c r="U66" s="19"/>
      <c r="V66" s="19"/>
      <c r="W66" s="19"/>
      <c r="X66" s="19"/>
      <c r="Y66" s="19"/>
      <c r="Z66" s="19"/>
    </row>
    <row r="67" spans="2:26" ht="15.75" x14ac:dyDescent="0.25">
      <c r="C67" s="20"/>
      <c r="F67" s="18" t="s">
        <v>776</v>
      </c>
      <c r="G67" s="54">
        <v>30</v>
      </c>
      <c r="H67" s="16" t="s">
        <v>26</v>
      </c>
      <c r="J67" s="333"/>
      <c r="L67" s="20"/>
      <c r="M67" s="17"/>
      <c r="N67" s="20"/>
      <c r="O67" s="18" t="s">
        <v>776</v>
      </c>
      <c r="P67" s="321">
        <v>30</v>
      </c>
      <c r="Q67" s="16" t="s">
        <v>26</v>
      </c>
      <c r="S67" s="19"/>
      <c r="T67" s="19"/>
      <c r="U67" s="19"/>
      <c r="V67" s="19"/>
      <c r="W67" s="19"/>
      <c r="X67" s="19"/>
      <c r="Y67" s="19"/>
      <c r="Z67" s="19"/>
    </row>
    <row r="68" spans="2:26" ht="15.75" x14ac:dyDescent="0.25">
      <c r="F68" s="18" t="s">
        <v>759</v>
      </c>
      <c r="G68" s="54">
        <v>16</v>
      </c>
      <c r="H68" s="9" t="s">
        <v>26</v>
      </c>
      <c r="J68" s="333"/>
      <c r="M68" s="17"/>
      <c r="N68" s="20"/>
      <c r="O68" s="18" t="s">
        <v>759</v>
      </c>
      <c r="P68" s="321">
        <v>16</v>
      </c>
      <c r="Q68" s="9" t="s">
        <v>26</v>
      </c>
      <c r="S68" s="19"/>
      <c r="T68" s="19"/>
      <c r="U68" s="19"/>
      <c r="V68" s="19"/>
      <c r="W68" s="19"/>
      <c r="X68" s="19"/>
      <c r="Y68" s="19"/>
      <c r="Z68" s="19"/>
    </row>
    <row r="69" spans="2:26" ht="15.75" x14ac:dyDescent="0.25">
      <c r="F69" s="18" t="s">
        <v>770</v>
      </c>
      <c r="G69" s="58">
        <v>75</v>
      </c>
      <c r="H69" s="9" t="s">
        <v>228</v>
      </c>
      <c r="J69" s="333"/>
      <c r="M69" s="17"/>
      <c r="N69" s="20"/>
      <c r="O69" s="18" t="s">
        <v>770</v>
      </c>
      <c r="P69" s="322">
        <v>75</v>
      </c>
      <c r="Q69" s="9" t="s">
        <v>228</v>
      </c>
      <c r="S69" s="19"/>
      <c r="T69" s="19"/>
      <c r="U69" s="19"/>
      <c r="V69" s="19"/>
      <c r="W69" s="19"/>
      <c r="X69" s="19"/>
      <c r="Y69" s="19"/>
      <c r="Z69" s="19"/>
    </row>
    <row r="70" spans="2:26" ht="15.75" x14ac:dyDescent="0.25">
      <c r="F70" s="18" t="s">
        <v>769</v>
      </c>
      <c r="G70" s="58">
        <v>60</v>
      </c>
      <c r="H70" s="16" t="s">
        <v>229</v>
      </c>
      <c r="J70" s="333"/>
      <c r="M70" s="17"/>
      <c r="N70" s="20"/>
      <c r="O70" s="18" t="s">
        <v>769</v>
      </c>
      <c r="P70" s="322">
        <v>60</v>
      </c>
      <c r="Q70" s="16" t="s">
        <v>229</v>
      </c>
      <c r="S70" s="19"/>
      <c r="T70" s="19"/>
      <c r="U70" s="19"/>
      <c r="V70" s="19"/>
      <c r="W70" s="19"/>
      <c r="X70" s="19"/>
      <c r="Y70" s="19"/>
      <c r="Z70" s="19"/>
    </row>
    <row r="71" spans="2:26" ht="15.75" x14ac:dyDescent="0.25">
      <c r="F71" s="18" t="s">
        <v>768</v>
      </c>
      <c r="G71" s="60">
        <v>0.5</v>
      </c>
      <c r="H71" s="43"/>
      <c r="J71" s="333"/>
      <c r="M71" s="17"/>
      <c r="N71" s="20"/>
      <c r="O71" s="18" t="s">
        <v>768</v>
      </c>
      <c r="P71" s="323">
        <v>0.5</v>
      </c>
      <c r="Q71" s="43"/>
      <c r="S71" s="19"/>
      <c r="T71" s="19"/>
      <c r="U71" s="19"/>
      <c r="V71" s="19"/>
      <c r="W71" s="19"/>
      <c r="X71" s="19"/>
      <c r="Y71" s="19"/>
      <c r="Z71" s="19"/>
    </row>
    <row r="72" spans="2:26" ht="15.75" x14ac:dyDescent="0.25">
      <c r="F72" s="18" t="s">
        <v>756</v>
      </c>
      <c r="G72" s="58">
        <v>95</v>
      </c>
      <c r="H72" s="9" t="s">
        <v>228</v>
      </c>
      <c r="J72" s="333"/>
      <c r="M72" s="17"/>
      <c r="N72" s="20"/>
      <c r="O72" s="18" t="s">
        <v>756</v>
      </c>
      <c r="P72" s="322">
        <v>95</v>
      </c>
      <c r="Q72" s="9" t="s">
        <v>228</v>
      </c>
      <c r="S72" s="19"/>
      <c r="T72" s="19"/>
      <c r="U72" s="19"/>
      <c r="V72" s="19"/>
      <c r="W72" s="19"/>
      <c r="X72" s="19"/>
      <c r="Y72" s="19"/>
      <c r="Z72" s="19"/>
    </row>
    <row r="73" spans="2:26" ht="15.75" x14ac:dyDescent="0.25">
      <c r="B73" s="30"/>
      <c r="F73" s="172" t="s">
        <v>881</v>
      </c>
      <c r="G73" s="54">
        <v>20</v>
      </c>
      <c r="H73" s="16" t="s">
        <v>278</v>
      </c>
      <c r="J73" s="333"/>
      <c r="K73" s="30"/>
      <c r="M73" s="17"/>
      <c r="N73" s="20"/>
      <c r="O73" s="172" t="s">
        <v>881</v>
      </c>
      <c r="P73" s="321">
        <v>20</v>
      </c>
      <c r="Q73" s="16" t="s">
        <v>278</v>
      </c>
      <c r="S73" s="19"/>
      <c r="T73" s="19"/>
      <c r="U73" s="19"/>
      <c r="V73" s="19"/>
      <c r="W73" s="19"/>
      <c r="X73" s="19"/>
      <c r="Y73" s="19"/>
      <c r="Z73" s="19"/>
    </row>
    <row r="74" spans="2:26" ht="15.75" x14ac:dyDescent="0.25">
      <c r="F74" s="172" t="s">
        <v>755</v>
      </c>
      <c r="G74" s="58">
        <v>1</v>
      </c>
      <c r="H74" s="16" t="s">
        <v>288</v>
      </c>
      <c r="J74" s="333"/>
      <c r="M74" s="17"/>
      <c r="N74" s="20"/>
      <c r="O74" s="172" t="s">
        <v>755</v>
      </c>
      <c r="P74" s="322">
        <v>1</v>
      </c>
      <c r="Q74" s="16" t="s">
        <v>288</v>
      </c>
      <c r="S74" s="19"/>
      <c r="T74" s="19"/>
      <c r="U74" s="19"/>
      <c r="V74" s="19"/>
      <c r="W74" s="19"/>
      <c r="X74" s="19"/>
      <c r="Y74" s="19"/>
      <c r="Z74" s="19"/>
    </row>
    <row r="75" spans="2:26" ht="15.75" x14ac:dyDescent="0.25">
      <c r="F75" s="18" t="s">
        <v>285</v>
      </c>
      <c r="G75" s="58">
        <v>1</v>
      </c>
      <c r="H75" s="16" t="s">
        <v>282</v>
      </c>
      <c r="J75" s="333"/>
      <c r="M75" s="17"/>
      <c r="N75" s="20"/>
      <c r="O75" s="18" t="s">
        <v>285</v>
      </c>
      <c r="P75" s="322">
        <v>1</v>
      </c>
      <c r="Q75" s="16" t="s">
        <v>282</v>
      </c>
      <c r="S75" s="19"/>
      <c r="T75" s="19"/>
      <c r="U75" s="19"/>
      <c r="V75" s="19"/>
      <c r="W75" s="19"/>
      <c r="X75" s="19"/>
      <c r="Y75" s="19"/>
      <c r="Z75" s="19"/>
    </row>
    <row r="76" spans="2:26" ht="15.75" x14ac:dyDescent="0.25">
      <c r="F76" s="172" t="s">
        <v>882</v>
      </c>
      <c r="G76" s="54">
        <v>1200</v>
      </c>
      <c r="H76" s="30" t="s">
        <v>291</v>
      </c>
      <c r="J76" s="333"/>
      <c r="M76" s="17"/>
      <c r="N76" s="20"/>
      <c r="O76" s="172" t="s">
        <v>882</v>
      </c>
      <c r="P76" s="321">
        <v>1200</v>
      </c>
      <c r="Q76" s="30" t="s">
        <v>291</v>
      </c>
      <c r="S76" s="19"/>
      <c r="T76" s="19"/>
      <c r="U76" s="19"/>
      <c r="V76" s="19"/>
      <c r="W76" s="19"/>
      <c r="X76" s="19"/>
      <c r="Y76" s="19"/>
      <c r="Z76" s="19"/>
    </row>
    <row r="77" spans="2:26" ht="15.75" x14ac:dyDescent="0.25">
      <c r="F77" s="18" t="s">
        <v>761</v>
      </c>
      <c r="G77" s="54">
        <v>180</v>
      </c>
      <c r="H77" s="30" t="s">
        <v>291</v>
      </c>
      <c r="J77" s="333"/>
      <c r="M77" s="17"/>
      <c r="N77" s="20"/>
      <c r="O77" s="18" t="s">
        <v>761</v>
      </c>
      <c r="P77" s="321">
        <v>180</v>
      </c>
      <c r="Q77" s="30" t="s">
        <v>291</v>
      </c>
      <c r="S77" s="19"/>
      <c r="T77" s="19"/>
      <c r="U77" s="19"/>
      <c r="V77" s="19"/>
      <c r="W77" s="19"/>
      <c r="X77" s="19"/>
      <c r="Y77" s="19"/>
      <c r="Z77" s="19"/>
    </row>
    <row r="78" spans="2:26" ht="16.5" thickBot="1" x14ac:dyDescent="0.3">
      <c r="F78" s="18" t="s">
        <v>289</v>
      </c>
      <c r="G78" s="93">
        <v>2</v>
      </c>
      <c r="H78" s="16" t="s">
        <v>773</v>
      </c>
      <c r="J78" s="333"/>
      <c r="M78" s="17"/>
      <c r="N78" s="20"/>
      <c r="O78" s="18" t="s">
        <v>289</v>
      </c>
      <c r="P78" s="324">
        <v>2</v>
      </c>
      <c r="Q78" s="16" t="s">
        <v>773</v>
      </c>
      <c r="S78" s="19"/>
      <c r="T78" s="19"/>
      <c r="U78" s="19"/>
      <c r="V78" s="19"/>
      <c r="W78" s="19"/>
      <c r="X78" s="19"/>
      <c r="Y78" s="19"/>
      <c r="Z78" s="19"/>
    </row>
    <row r="79" spans="2:26" ht="15.75" x14ac:dyDescent="0.25">
      <c r="G79" s="39" t="s">
        <v>1</v>
      </c>
      <c r="H79" s="43"/>
      <c r="J79" s="333"/>
      <c r="M79" s="17"/>
      <c r="N79" s="20"/>
      <c r="O79" s="20"/>
      <c r="P79" s="39" t="s">
        <v>1</v>
      </c>
      <c r="Q79" s="43"/>
      <c r="S79" s="19"/>
      <c r="T79" s="19"/>
      <c r="U79" s="19"/>
      <c r="V79" s="19"/>
      <c r="W79" s="19"/>
      <c r="X79" s="19"/>
      <c r="Y79" s="19"/>
      <c r="Z79" s="19"/>
    </row>
    <row r="80" spans="2:26" ht="15.75" x14ac:dyDescent="0.25">
      <c r="F80" s="76" t="s">
        <v>493</v>
      </c>
      <c r="G80" s="73" t="s">
        <v>230</v>
      </c>
      <c r="H80" s="77"/>
      <c r="J80" s="333"/>
      <c r="M80" s="17"/>
      <c r="N80" s="20"/>
      <c r="O80" s="76" t="s">
        <v>493</v>
      </c>
      <c r="P80" s="73" t="s">
        <v>230</v>
      </c>
      <c r="Q80" s="77"/>
      <c r="S80" s="19"/>
      <c r="T80" s="19"/>
      <c r="U80" s="19"/>
      <c r="V80" s="19"/>
      <c r="W80" s="19"/>
      <c r="X80" s="19"/>
      <c r="Y80" s="19"/>
      <c r="Z80" s="19"/>
    </row>
    <row r="81" spans="2:26" ht="15.75" x14ac:dyDescent="0.25">
      <c r="F81" s="20" t="s">
        <v>2</v>
      </c>
      <c r="G81" s="75">
        <f>G72-G69</f>
        <v>20</v>
      </c>
      <c r="H81" s="9" t="s">
        <v>347</v>
      </c>
      <c r="J81" s="333"/>
      <c r="M81" s="17"/>
      <c r="N81" s="20"/>
      <c r="O81" s="20" t="s">
        <v>2</v>
      </c>
      <c r="P81" s="75">
        <f>P72-P69</f>
        <v>20</v>
      </c>
      <c r="Q81" s="9" t="s">
        <v>347</v>
      </c>
      <c r="S81" s="19"/>
      <c r="T81" s="19"/>
      <c r="U81" s="19"/>
      <c r="V81" s="19"/>
      <c r="W81" s="19"/>
      <c r="X81" s="19"/>
      <c r="Y81" s="19"/>
      <c r="Z81" s="19"/>
    </row>
    <row r="82" spans="2:26" ht="18.75" x14ac:dyDescent="0.35">
      <c r="D82" s="20"/>
      <c r="F82" s="172" t="s">
        <v>758</v>
      </c>
      <c r="G82" s="30" t="s">
        <v>889</v>
      </c>
      <c r="H82" s="43"/>
      <c r="J82" s="333"/>
      <c r="N82" s="20"/>
      <c r="O82" s="172" t="s">
        <v>758</v>
      </c>
      <c r="P82" s="30" t="s">
        <v>889</v>
      </c>
      <c r="Q82" s="43"/>
      <c r="S82" s="19"/>
      <c r="T82" s="19"/>
      <c r="U82" s="19"/>
      <c r="V82" s="19"/>
      <c r="W82" s="19"/>
      <c r="X82" s="19"/>
      <c r="Y82" s="19"/>
      <c r="Z82" s="19"/>
    </row>
    <row r="83" spans="2:26" ht="15.75" x14ac:dyDescent="0.25">
      <c r="D83" s="20"/>
      <c r="F83" s="20" t="s">
        <v>2</v>
      </c>
      <c r="G83" s="200">
        <f>1.1*G73*G81</f>
        <v>440</v>
      </c>
      <c r="H83" s="30" t="s">
        <v>0</v>
      </c>
      <c r="J83" s="333"/>
      <c r="N83" s="20"/>
      <c r="O83" s="20" t="s">
        <v>2</v>
      </c>
      <c r="P83" s="200">
        <f>1.1*P73*P81</f>
        <v>440</v>
      </c>
      <c r="Q83" s="30" t="s">
        <v>0</v>
      </c>
      <c r="S83" s="19"/>
      <c r="T83" s="19"/>
      <c r="U83" s="19"/>
      <c r="V83" s="19"/>
      <c r="W83" s="19"/>
      <c r="X83" s="19"/>
      <c r="Y83" s="19"/>
      <c r="Z83" s="19"/>
    </row>
    <row r="84" spans="2:26" ht="15.75" x14ac:dyDescent="0.25">
      <c r="F84" s="18" t="s">
        <v>283</v>
      </c>
      <c r="G84" s="16" t="s">
        <v>281</v>
      </c>
      <c r="H84" s="16"/>
      <c r="J84" s="333"/>
      <c r="M84" s="17"/>
      <c r="N84" s="20"/>
      <c r="O84" s="18" t="s">
        <v>283</v>
      </c>
      <c r="P84" s="16" t="s">
        <v>281</v>
      </c>
      <c r="Q84" s="16"/>
      <c r="S84" s="19"/>
      <c r="T84" s="19"/>
      <c r="U84" s="19"/>
      <c r="V84" s="19"/>
      <c r="W84" s="19"/>
      <c r="X84" s="19"/>
      <c r="Y84" s="19"/>
      <c r="Z84" s="19"/>
    </row>
    <row r="85" spans="2:26" ht="15.75" x14ac:dyDescent="0.25">
      <c r="F85" s="18" t="s">
        <v>2</v>
      </c>
      <c r="G85" s="16">
        <f>G66*G67</f>
        <v>1500</v>
      </c>
      <c r="H85" s="16" t="s">
        <v>46</v>
      </c>
      <c r="J85" s="333"/>
      <c r="M85" s="17"/>
      <c r="N85" s="20"/>
      <c r="O85" s="18" t="s">
        <v>2</v>
      </c>
      <c r="P85" s="16">
        <f>P66*P67</f>
        <v>1500</v>
      </c>
      <c r="Q85" s="16" t="s">
        <v>46</v>
      </c>
      <c r="S85" s="19"/>
      <c r="T85" s="19"/>
      <c r="U85" s="19"/>
      <c r="V85" s="19"/>
      <c r="W85" s="19"/>
      <c r="X85" s="19"/>
      <c r="Y85" s="19"/>
      <c r="Z85" s="19"/>
    </row>
    <row r="86" spans="2:26" ht="15.75" x14ac:dyDescent="0.25">
      <c r="F86" s="18" t="s">
        <v>286</v>
      </c>
      <c r="G86" s="16">
        <v>3.42</v>
      </c>
      <c r="H86" s="16" t="s">
        <v>284</v>
      </c>
      <c r="J86" s="333"/>
      <c r="M86" s="17"/>
      <c r="N86" s="20"/>
      <c r="O86" s="18" t="s">
        <v>286</v>
      </c>
      <c r="P86" s="16">
        <v>3.42</v>
      </c>
      <c r="Q86" s="16" t="s">
        <v>284</v>
      </c>
      <c r="S86" s="19"/>
      <c r="T86" s="19"/>
      <c r="U86" s="19"/>
      <c r="V86" s="19"/>
      <c r="W86" s="19"/>
      <c r="X86" s="19"/>
      <c r="Y86" s="19"/>
      <c r="Z86" s="19"/>
    </row>
    <row r="87" spans="2:26" ht="15.75" x14ac:dyDescent="0.25">
      <c r="D87" s="20"/>
      <c r="F87" s="18" t="s">
        <v>760</v>
      </c>
      <c r="G87" s="16" t="s">
        <v>287</v>
      </c>
      <c r="H87" s="16"/>
      <c r="J87" s="333"/>
      <c r="N87" s="20"/>
      <c r="O87" s="18" t="s">
        <v>760</v>
      </c>
      <c r="P87" s="16" t="s">
        <v>287</v>
      </c>
      <c r="Q87" s="16"/>
      <c r="S87" s="19"/>
      <c r="T87" s="19"/>
      <c r="U87" s="19"/>
      <c r="V87" s="19"/>
      <c r="W87" s="19"/>
      <c r="X87" s="19"/>
      <c r="Y87" s="19"/>
      <c r="Z87" s="19"/>
    </row>
    <row r="88" spans="2:26" ht="15.75" x14ac:dyDescent="0.25">
      <c r="D88" s="20"/>
      <c r="F88" s="18" t="s">
        <v>2</v>
      </c>
      <c r="G88" s="16">
        <f>G75*G86*G85</f>
        <v>5130</v>
      </c>
      <c r="H88" s="30" t="s">
        <v>0</v>
      </c>
      <c r="J88" s="333"/>
      <c r="N88" s="20"/>
      <c r="O88" s="18" t="s">
        <v>2</v>
      </c>
      <c r="P88" s="16">
        <f>P75*P86*P85</f>
        <v>5130</v>
      </c>
      <c r="Q88" s="30" t="s">
        <v>0</v>
      </c>
      <c r="S88" s="19"/>
      <c r="T88" s="19"/>
      <c r="U88" s="19"/>
      <c r="V88" s="19"/>
      <c r="W88" s="19"/>
      <c r="X88" s="19"/>
      <c r="Y88" s="19"/>
      <c r="Z88" s="19"/>
    </row>
    <row r="89" spans="2:26" ht="15.75" x14ac:dyDescent="0.25">
      <c r="B89" s="30" t="s">
        <v>292</v>
      </c>
      <c r="D89" s="20"/>
      <c r="G89" s="20"/>
      <c r="H89" s="43"/>
      <c r="J89" s="333"/>
      <c r="K89" s="30" t="s">
        <v>292</v>
      </c>
      <c r="N89" s="20"/>
      <c r="O89" s="20"/>
      <c r="P89" s="20"/>
      <c r="Q89" s="43"/>
      <c r="S89" s="19"/>
      <c r="T89" s="19"/>
      <c r="U89" s="19"/>
      <c r="V89" s="19"/>
      <c r="W89" s="19"/>
      <c r="X89" s="19"/>
      <c r="Y89" s="19"/>
      <c r="Z89" s="19"/>
    </row>
    <row r="90" spans="2:26" ht="15.75" x14ac:dyDescent="0.25">
      <c r="D90" s="20"/>
      <c r="F90" s="18" t="s">
        <v>777</v>
      </c>
      <c r="G90" s="16" t="s">
        <v>290</v>
      </c>
      <c r="H90" s="43"/>
      <c r="J90" s="333"/>
      <c r="N90" s="20"/>
      <c r="O90" s="18" t="s">
        <v>777</v>
      </c>
      <c r="P90" s="16" t="s">
        <v>290</v>
      </c>
      <c r="Q90" s="43"/>
      <c r="S90" s="19"/>
      <c r="T90" s="19"/>
      <c r="U90" s="19"/>
      <c r="V90" s="19"/>
      <c r="W90" s="19"/>
      <c r="X90" s="19"/>
      <c r="Y90" s="19"/>
      <c r="Z90" s="19"/>
    </row>
    <row r="91" spans="2:26" ht="15.75" x14ac:dyDescent="0.25">
      <c r="D91" s="20"/>
      <c r="F91" s="20" t="s">
        <v>2</v>
      </c>
      <c r="G91" s="16">
        <f>G78*G76</f>
        <v>2400</v>
      </c>
      <c r="H91" s="30" t="s">
        <v>0</v>
      </c>
      <c r="J91" s="333"/>
      <c r="N91" s="20"/>
      <c r="O91" s="20" t="s">
        <v>2</v>
      </c>
      <c r="P91" s="16">
        <f>P78*P76</f>
        <v>2400</v>
      </c>
      <c r="Q91" s="30" t="s">
        <v>0</v>
      </c>
      <c r="S91" s="19"/>
      <c r="T91" s="19"/>
      <c r="U91" s="19"/>
      <c r="V91" s="19"/>
      <c r="W91" s="19"/>
      <c r="X91" s="19"/>
      <c r="Y91" s="19"/>
      <c r="Z91" s="19"/>
    </row>
    <row r="92" spans="2:26" ht="15.75" x14ac:dyDescent="0.25">
      <c r="B92" s="30" t="s">
        <v>293</v>
      </c>
      <c r="D92" s="20"/>
      <c r="G92" s="20"/>
      <c r="H92" s="43"/>
      <c r="J92" s="333"/>
      <c r="K92" s="30" t="s">
        <v>293</v>
      </c>
      <c r="N92" s="20"/>
      <c r="O92" s="20"/>
      <c r="P92" s="20"/>
      <c r="Q92" s="43"/>
      <c r="S92" s="19"/>
      <c r="T92" s="19"/>
      <c r="U92" s="19"/>
      <c r="V92" s="19"/>
      <c r="W92" s="19"/>
      <c r="X92" s="19"/>
      <c r="Y92" s="19"/>
      <c r="Z92" s="19"/>
    </row>
    <row r="93" spans="2:26" ht="15.75" x14ac:dyDescent="0.25">
      <c r="D93" s="20"/>
      <c r="F93" s="18" t="s">
        <v>883</v>
      </c>
      <c r="G93" s="16" t="s">
        <v>290</v>
      </c>
      <c r="H93" s="43"/>
      <c r="J93" s="333"/>
      <c r="N93" s="20"/>
      <c r="O93" s="18" t="s">
        <v>883</v>
      </c>
      <c r="P93" s="16" t="s">
        <v>290</v>
      </c>
      <c r="Q93" s="43"/>
      <c r="S93" s="19"/>
      <c r="T93" s="19"/>
      <c r="U93" s="19"/>
      <c r="V93" s="19"/>
      <c r="W93" s="19"/>
      <c r="X93" s="19"/>
      <c r="Y93" s="19"/>
      <c r="Z93" s="19"/>
    </row>
    <row r="94" spans="2:26" ht="15.75" x14ac:dyDescent="0.25">
      <c r="D94" s="20"/>
      <c r="F94" s="20" t="s">
        <v>2</v>
      </c>
      <c r="G94" s="16">
        <f>G78*G77</f>
        <v>360</v>
      </c>
      <c r="H94" s="30" t="s">
        <v>0</v>
      </c>
      <c r="J94" s="333"/>
      <c r="N94" s="20"/>
      <c r="O94" s="20" t="s">
        <v>2</v>
      </c>
      <c r="P94" s="16">
        <f>P78*P77</f>
        <v>360</v>
      </c>
      <c r="Q94" s="30" t="s">
        <v>0</v>
      </c>
      <c r="S94" s="19"/>
      <c r="T94" s="19"/>
      <c r="U94" s="19"/>
      <c r="V94" s="19"/>
      <c r="W94" s="19"/>
      <c r="X94" s="19"/>
      <c r="Y94" s="19"/>
      <c r="Z94" s="19"/>
    </row>
    <row r="95" spans="2:26" ht="15.75" x14ac:dyDescent="0.25">
      <c r="D95" s="20"/>
      <c r="F95" s="18" t="s">
        <v>778</v>
      </c>
      <c r="G95" s="201">
        <f>R59</f>
        <v>7220</v>
      </c>
      <c r="H95" s="30" t="s">
        <v>0</v>
      </c>
      <c r="J95" s="333"/>
      <c r="N95" s="20"/>
      <c r="O95" s="18" t="s">
        <v>778</v>
      </c>
      <c r="P95" s="201">
        <f>Y48</f>
        <v>0</v>
      </c>
      <c r="Q95" s="30" t="s">
        <v>0</v>
      </c>
      <c r="S95" s="19"/>
      <c r="T95" s="19"/>
      <c r="U95" s="19"/>
      <c r="V95" s="19"/>
      <c r="W95" s="19"/>
      <c r="X95" s="19"/>
      <c r="Y95" s="19"/>
      <c r="Z95" s="19"/>
    </row>
    <row r="96" spans="2:26" ht="15.75" x14ac:dyDescent="0.25">
      <c r="D96" s="20"/>
      <c r="E96" s="18"/>
      <c r="F96" s="12"/>
      <c r="G96" s="73"/>
      <c r="J96" s="333"/>
      <c r="S96" s="19"/>
      <c r="T96" s="19"/>
      <c r="U96" s="19"/>
      <c r="V96" s="19"/>
      <c r="W96" s="19"/>
      <c r="X96" s="19"/>
      <c r="Y96" s="19"/>
      <c r="Z96" s="19"/>
    </row>
    <row r="97" spans="2:26" ht="15.75" x14ac:dyDescent="0.25">
      <c r="B97" s="43"/>
      <c r="F97" s="39"/>
      <c r="J97" s="333"/>
      <c r="S97" s="19"/>
      <c r="T97" s="19"/>
      <c r="U97" s="19"/>
      <c r="V97" s="19"/>
      <c r="W97" s="19"/>
      <c r="X97" s="19"/>
      <c r="Y97" s="19"/>
      <c r="Z97" s="19"/>
    </row>
    <row r="98" spans="2:26" x14ac:dyDescent="0.2">
      <c r="J98" s="333"/>
      <c r="S98" s="19"/>
      <c r="T98" s="19"/>
      <c r="U98" s="19"/>
      <c r="V98" s="19"/>
      <c r="W98" s="19"/>
      <c r="X98" s="19"/>
      <c r="Y98" s="19"/>
      <c r="Z98" s="19"/>
    </row>
    <row r="99" spans="2:26" x14ac:dyDescent="0.2">
      <c r="J99" s="333"/>
      <c r="S99" s="19"/>
      <c r="T99" s="19"/>
      <c r="U99" s="19"/>
      <c r="V99" s="19"/>
      <c r="W99" s="19"/>
      <c r="X99" s="19"/>
      <c r="Y99" s="19"/>
      <c r="Z99" s="19"/>
    </row>
    <row r="100" spans="2:26" x14ac:dyDescent="0.2">
      <c r="J100" s="333"/>
      <c r="S100" s="19"/>
      <c r="T100" s="19"/>
      <c r="U100" s="19"/>
      <c r="V100" s="19"/>
      <c r="W100" s="19"/>
      <c r="X100" s="19"/>
      <c r="Y100" s="19"/>
      <c r="Z100" s="19"/>
    </row>
    <row r="101" spans="2:26" x14ac:dyDescent="0.2">
      <c r="J101" s="333"/>
      <c r="S101" s="19"/>
      <c r="T101" s="19"/>
      <c r="U101" s="19"/>
      <c r="V101" s="19"/>
      <c r="W101" s="19"/>
      <c r="X101" s="19"/>
      <c r="Y101" s="19"/>
      <c r="Z101" s="19"/>
    </row>
    <row r="102" spans="2:26" x14ac:dyDescent="0.2">
      <c r="J102" s="333"/>
      <c r="S102" s="19"/>
      <c r="T102" s="19"/>
      <c r="U102" s="19"/>
      <c r="V102" s="19"/>
      <c r="W102" s="19"/>
      <c r="X102" s="19"/>
      <c r="Y102" s="19"/>
      <c r="Z102" s="19"/>
    </row>
    <row r="103" spans="2:26" x14ac:dyDescent="0.2">
      <c r="J103" s="333"/>
      <c r="S103" s="19"/>
      <c r="T103" s="19"/>
      <c r="U103" s="19"/>
      <c r="V103" s="19"/>
      <c r="W103" s="19"/>
      <c r="X103" s="19"/>
      <c r="Y103" s="19"/>
      <c r="Z103" s="19"/>
    </row>
    <row r="104" spans="2:26" x14ac:dyDescent="0.2">
      <c r="J104" s="333"/>
      <c r="S104" s="19"/>
      <c r="T104" s="19"/>
      <c r="U104" s="19"/>
      <c r="V104" s="19"/>
      <c r="W104" s="19"/>
      <c r="X104" s="19"/>
      <c r="Y104" s="19"/>
      <c r="Z104" s="19"/>
    </row>
    <row r="105" spans="2:26" x14ac:dyDescent="0.2">
      <c r="J105" s="333"/>
      <c r="S105" s="19"/>
      <c r="T105" s="19"/>
      <c r="U105" s="19"/>
      <c r="V105" s="19"/>
      <c r="W105" s="19"/>
      <c r="X105" s="19"/>
      <c r="Y105" s="19"/>
      <c r="Z105" s="19"/>
    </row>
    <row r="106" spans="2:26" x14ac:dyDescent="0.2">
      <c r="J106" s="333"/>
      <c r="S106" s="19"/>
      <c r="T106" s="19"/>
      <c r="U106" s="19"/>
      <c r="V106" s="19"/>
      <c r="W106" s="19"/>
      <c r="X106" s="19"/>
      <c r="Y106" s="19"/>
      <c r="Z106" s="19"/>
    </row>
    <row r="107" spans="2:26" x14ac:dyDescent="0.2">
      <c r="J107" s="333"/>
      <c r="S107" s="19"/>
      <c r="T107" s="19"/>
      <c r="U107" s="19"/>
      <c r="V107" s="19"/>
      <c r="W107" s="19"/>
      <c r="X107" s="19"/>
      <c r="Y107" s="19"/>
      <c r="Z107" s="19"/>
    </row>
    <row r="108" spans="2:26" x14ac:dyDescent="0.2">
      <c r="J108" s="333"/>
      <c r="S108" s="19"/>
      <c r="T108" s="19"/>
      <c r="U108" s="19"/>
      <c r="V108" s="19"/>
      <c r="W108" s="19"/>
      <c r="X108" s="19"/>
      <c r="Y108" s="19"/>
      <c r="Z108" s="19"/>
    </row>
    <row r="109" spans="2:26" x14ac:dyDescent="0.2">
      <c r="J109" s="333"/>
      <c r="S109" s="19"/>
      <c r="T109" s="19"/>
      <c r="U109" s="19"/>
      <c r="V109" s="19"/>
      <c r="W109" s="19"/>
      <c r="X109" s="19"/>
      <c r="Y109" s="19"/>
      <c r="Z109" s="19"/>
    </row>
    <row r="110" spans="2:26" x14ac:dyDescent="0.2">
      <c r="J110" s="333"/>
      <c r="S110" s="19"/>
      <c r="T110" s="19"/>
      <c r="U110" s="19"/>
      <c r="V110" s="19"/>
      <c r="W110" s="19"/>
      <c r="X110" s="19"/>
      <c r="Y110" s="19"/>
      <c r="Z110" s="19"/>
    </row>
    <row r="111" spans="2:26" x14ac:dyDescent="0.2">
      <c r="J111" s="333"/>
      <c r="S111" s="19"/>
      <c r="T111" s="19"/>
      <c r="U111" s="19"/>
      <c r="V111" s="19"/>
      <c r="W111" s="19"/>
      <c r="X111" s="19"/>
      <c r="Y111" s="19"/>
      <c r="Z111" s="19"/>
    </row>
    <row r="112" spans="2:26" x14ac:dyDescent="0.2">
      <c r="J112" s="333"/>
      <c r="S112" s="19"/>
      <c r="T112" s="19"/>
      <c r="U112" s="19"/>
      <c r="V112" s="19"/>
      <c r="W112" s="19"/>
      <c r="X112" s="19"/>
      <c r="Y112" s="19"/>
      <c r="Z112" s="19"/>
    </row>
    <row r="113" spans="2:26" x14ac:dyDescent="0.2">
      <c r="J113" s="333"/>
      <c r="S113" s="19"/>
      <c r="T113" s="19"/>
      <c r="U113" s="19"/>
      <c r="V113" s="19"/>
      <c r="W113" s="19"/>
      <c r="X113" s="19"/>
      <c r="Y113" s="19"/>
      <c r="Z113" s="19"/>
    </row>
    <row r="114" spans="2:26" x14ac:dyDescent="0.2">
      <c r="J114" s="333"/>
      <c r="S114" s="19"/>
      <c r="T114" s="19"/>
      <c r="U114" s="19"/>
      <c r="V114" s="19"/>
      <c r="W114" s="19"/>
      <c r="X114" s="19"/>
      <c r="Y114" s="19"/>
      <c r="Z114" s="19"/>
    </row>
    <row r="115" spans="2:26" x14ac:dyDescent="0.2">
      <c r="J115" s="333"/>
      <c r="S115" s="19"/>
      <c r="T115" s="19"/>
      <c r="U115" s="19"/>
      <c r="V115" s="19"/>
      <c r="W115" s="19"/>
      <c r="X115" s="19"/>
      <c r="Y115" s="19"/>
      <c r="Z115" s="19"/>
    </row>
    <row r="116" spans="2:26" x14ac:dyDescent="0.2">
      <c r="J116" s="333"/>
      <c r="S116" s="19"/>
      <c r="T116" s="19"/>
      <c r="U116" s="19"/>
      <c r="V116" s="19"/>
      <c r="W116" s="19"/>
      <c r="X116" s="19"/>
      <c r="Y116" s="19"/>
      <c r="Z116" s="19"/>
    </row>
    <row r="117" spans="2:26" x14ac:dyDescent="0.2">
      <c r="J117" s="333"/>
      <c r="S117" s="19"/>
      <c r="T117" s="19"/>
      <c r="U117" s="19"/>
      <c r="V117" s="19"/>
      <c r="W117" s="19"/>
      <c r="X117" s="19"/>
      <c r="Y117" s="19"/>
      <c r="Z117" s="19"/>
    </row>
    <row r="118" spans="2:26" x14ac:dyDescent="0.2">
      <c r="J118" s="333"/>
      <c r="S118" s="19"/>
      <c r="T118" s="19"/>
      <c r="U118" s="19"/>
      <c r="V118" s="19"/>
      <c r="W118" s="19"/>
      <c r="X118" s="19"/>
      <c r="Y118" s="19"/>
      <c r="Z118" s="19"/>
    </row>
    <row r="119" spans="2:26" x14ac:dyDescent="0.2">
      <c r="J119" s="333"/>
      <c r="S119" s="19"/>
      <c r="T119" s="19"/>
      <c r="U119" s="19"/>
      <c r="V119" s="19"/>
      <c r="W119" s="19"/>
      <c r="X119" s="19"/>
      <c r="Y119" s="19"/>
      <c r="Z119" s="19"/>
    </row>
    <row r="120" spans="2:26" x14ac:dyDescent="0.2">
      <c r="J120" s="333"/>
      <c r="S120" s="19"/>
      <c r="T120" s="19"/>
      <c r="U120" s="19"/>
      <c r="V120" s="19"/>
      <c r="W120" s="19"/>
      <c r="X120" s="19"/>
      <c r="Y120" s="19"/>
      <c r="Z120" s="19"/>
    </row>
    <row r="121" spans="2:26" x14ac:dyDescent="0.2">
      <c r="J121" s="333"/>
      <c r="S121" s="19"/>
      <c r="T121" s="19"/>
      <c r="U121" s="19"/>
      <c r="V121" s="19"/>
      <c r="W121" s="19"/>
      <c r="X121" s="19"/>
      <c r="Y121" s="19"/>
      <c r="Z121" s="19"/>
    </row>
    <row r="122" spans="2:26" x14ac:dyDescent="0.2">
      <c r="J122" s="333"/>
      <c r="S122" s="19"/>
      <c r="T122" s="19"/>
      <c r="U122" s="19"/>
      <c r="V122" s="19"/>
      <c r="W122" s="19"/>
      <c r="X122" s="19"/>
      <c r="Y122" s="19"/>
      <c r="Z122" s="19"/>
    </row>
    <row r="123" spans="2:26" x14ac:dyDescent="0.2">
      <c r="J123" s="333"/>
      <c r="S123" s="19"/>
      <c r="T123" s="19"/>
      <c r="U123" s="19"/>
      <c r="V123" s="19"/>
      <c r="W123" s="19"/>
      <c r="X123" s="19"/>
      <c r="Y123" s="19"/>
      <c r="Z123" s="19"/>
    </row>
    <row r="124" spans="2:26" x14ac:dyDescent="0.2">
      <c r="J124" s="333"/>
      <c r="S124" s="19"/>
      <c r="T124" s="19"/>
      <c r="U124" s="19"/>
      <c r="V124" s="19"/>
      <c r="W124" s="19"/>
      <c r="X124" s="19"/>
      <c r="Y124" s="19"/>
      <c r="Z124" s="19"/>
    </row>
    <row r="125" spans="2:26" ht="15.75" x14ac:dyDescent="0.25">
      <c r="B125" s="15" t="s">
        <v>383</v>
      </c>
      <c r="C125" s="9" t="s">
        <v>384</v>
      </c>
      <c r="E125" s="17"/>
      <c r="F125" s="9" t="s">
        <v>276</v>
      </c>
      <c r="G125" s="17"/>
      <c r="J125" s="333"/>
      <c r="K125" s="15" t="s">
        <v>383</v>
      </c>
      <c r="L125" s="9" t="s">
        <v>384</v>
      </c>
      <c r="M125" s="17"/>
      <c r="N125" s="17"/>
      <c r="O125" s="9" t="s">
        <v>276</v>
      </c>
      <c r="S125" s="19"/>
      <c r="T125" s="19"/>
      <c r="U125" s="19"/>
      <c r="V125" s="19"/>
      <c r="W125" s="19"/>
      <c r="X125" s="19"/>
      <c r="Y125" s="19"/>
      <c r="Z125" s="19"/>
    </row>
    <row r="126" spans="2:26" ht="15.75" x14ac:dyDescent="0.25">
      <c r="B126" s="15" t="s">
        <v>385</v>
      </c>
      <c r="C126" s="9" t="s">
        <v>447</v>
      </c>
      <c r="E126" s="17"/>
      <c r="F126" s="9" t="s">
        <v>276</v>
      </c>
      <c r="G126" s="17"/>
      <c r="J126" s="333"/>
      <c r="K126" s="15" t="s">
        <v>385</v>
      </c>
      <c r="L126" s="9" t="s">
        <v>447</v>
      </c>
      <c r="M126" s="17"/>
      <c r="N126" s="17"/>
      <c r="O126" s="9" t="s">
        <v>276</v>
      </c>
      <c r="S126" s="19"/>
      <c r="T126" s="19"/>
      <c r="U126" s="19"/>
      <c r="V126" s="19"/>
      <c r="W126" s="19"/>
      <c r="X126" s="19"/>
      <c r="Y126" s="19"/>
      <c r="Z126" s="19"/>
    </row>
    <row r="127" spans="2:26" ht="15.75" x14ac:dyDescent="0.25">
      <c r="B127" s="15" t="s">
        <v>386</v>
      </c>
      <c r="C127" s="9" t="s">
        <v>388</v>
      </c>
      <c r="E127" s="17"/>
      <c r="F127" s="9" t="s">
        <v>742</v>
      </c>
      <c r="G127" s="17"/>
      <c r="J127" s="333"/>
      <c r="K127" s="15" t="s">
        <v>386</v>
      </c>
      <c r="L127" s="9" t="s">
        <v>388</v>
      </c>
      <c r="M127" s="17"/>
      <c r="N127" s="17"/>
      <c r="O127" s="9" t="s">
        <v>742</v>
      </c>
      <c r="S127" s="132"/>
      <c r="T127" s="19"/>
      <c r="U127" s="19"/>
      <c r="V127" s="19"/>
      <c r="W127" s="19"/>
      <c r="X127" s="19"/>
      <c r="Y127" s="19"/>
      <c r="Z127" s="19"/>
    </row>
    <row r="128" spans="2:26" ht="15.75" x14ac:dyDescent="0.25">
      <c r="B128" s="15" t="s">
        <v>387</v>
      </c>
      <c r="C128" s="9" t="s">
        <v>441</v>
      </c>
      <c r="E128" s="17"/>
      <c r="F128" s="9" t="s">
        <v>743</v>
      </c>
      <c r="G128" s="17"/>
      <c r="J128" s="333"/>
      <c r="K128" s="15" t="s">
        <v>387</v>
      </c>
      <c r="L128" s="9" t="s">
        <v>441</v>
      </c>
      <c r="M128" s="17"/>
      <c r="N128" s="17"/>
      <c r="O128" s="9" t="s">
        <v>743</v>
      </c>
      <c r="S128" s="19"/>
      <c r="T128" s="19"/>
      <c r="U128" s="19"/>
      <c r="V128" s="19"/>
      <c r="W128" s="19"/>
      <c r="X128" s="19"/>
      <c r="Y128" s="19"/>
      <c r="Z128" s="19"/>
    </row>
    <row r="129" spans="2:26" ht="15.75" x14ac:dyDescent="0.25">
      <c r="B129" s="15" t="s">
        <v>391</v>
      </c>
      <c r="C129" s="9" t="s">
        <v>389</v>
      </c>
      <c r="E129" s="17"/>
      <c r="F129" s="9" t="s">
        <v>690</v>
      </c>
      <c r="G129" s="17"/>
      <c r="J129" s="333"/>
      <c r="K129" s="15" t="s">
        <v>391</v>
      </c>
      <c r="L129" s="9" t="s">
        <v>389</v>
      </c>
      <c r="M129" s="17"/>
      <c r="N129" s="17"/>
      <c r="O129" s="9" t="s">
        <v>690</v>
      </c>
      <c r="S129" s="19"/>
      <c r="T129" s="19"/>
      <c r="U129" s="19"/>
      <c r="V129" s="19"/>
      <c r="W129" s="19"/>
      <c r="X129" s="19"/>
      <c r="Y129" s="19"/>
      <c r="Z129" s="19"/>
    </row>
    <row r="130" spans="2:26" x14ac:dyDescent="0.2">
      <c r="J130" s="333"/>
      <c r="S130" s="19"/>
      <c r="T130" s="106"/>
      <c r="U130" s="19"/>
      <c r="V130" s="19"/>
      <c r="W130" s="19"/>
      <c r="X130" s="19"/>
      <c r="Y130" s="19"/>
      <c r="Z130" s="19"/>
    </row>
    <row r="131" spans="2:26" ht="18" x14ac:dyDescent="0.25">
      <c r="B131" s="1" t="s">
        <v>898</v>
      </c>
      <c r="J131" s="333"/>
      <c r="K131" s="1" t="s">
        <v>897</v>
      </c>
      <c r="M131" s="17"/>
      <c r="N131" s="20"/>
      <c r="O131" s="20"/>
      <c r="P131" s="43"/>
      <c r="S131" s="19"/>
      <c r="T131" s="327"/>
      <c r="U131" s="19"/>
      <c r="V131" s="19"/>
      <c r="W131" s="19"/>
      <c r="X131" s="19"/>
      <c r="Y131" s="19"/>
      <c r="Z131" s="19"/>
    </row>
    <row r="132" spans="2:26" ht="15.75" x14ac:dyDescent="0.25">
      <c r="B132" s="30" t="s">
        <v>295</v>
      </c>
      <c r="J132" s="333"/>
      <c r="K132" s="30" t="s">
        <v>295</v>
      </c>
      <c r="M132" s="17"/>
      <c r="N132" s="20"/>
      <c r="O132" s="20"/>
      <c r="P132" s="43"/>
      <c r="Q132" s="19"/>
      <c r="R132" s="19"/>
      <c r="S132" s="19"/>
      <c r="T132" s="327"/>
      <c r="U132" s="19"/>
      <c r="V132" s="19"/>
      <c r="W132" s="19"/>
      <c r="X132" s="19"/>
      <c r="Y132" s="19"/>
      <c r="Z132" s="19"/>
    </row>
    <row r="133" spans="2:26" ht="15.75" x14ac:dyDescent="0.25">
      <c r="B133" s="30" t="s">
        <v>297</v>
      </c>
      <c r="J133" s="333"/>
      <c r="K133" s="30" t="s">
        <v>297</v>
      </c>
      <c r="M133" s="17"/>
      <c r="N133" s="20"/>
      <c r="O133" s="20"/>
      <c r="P133" s="43"/>
      <c r="S133" s="19"/>
      <c r="T133" s="327"/>
      <c r="U133" s="19"/>
      <c r="V133" s="19"/>
      <c r="W133" s="19"/>
      <c r="X133" s="19"/>
      <c r="Y133" s="19"/>
      <c r="Z133" s="19"/>
    </row>
    <row r="134" spans="2:26" x14ac:dyDescent="0.2">
      <c r="J134" s="333"/>
      <c r="M134" s="17"/>
      <c r="N134" s="20"/>
      <c r="O134" s="20"/>
      <c r="P134" s="43"/>
      <c r="S134" s="19"/>
      <c r="T134" s="327"/>
      <c r="U134" s="19"/>
      <c r="V134" s="19"/>
      <c r="W134" s="19"/>
      <c r="X134" s="19"/>
      <c r="Y134" s="19"/>
      <c r="Z134" s="19"/>
    </row>
    <row r="135" spans="2:26" ht="15.75" x14ac:dyDescent="0.25">
      <c r="B135" s="9" t="s">
        <v>296</v>
      </c>
      <c r="G135" s="202"/>
      <c r="H135" s="20"/>
      <c r="J135" s="333"/>
      <c r="K135" s="9" t="s">
        <v>296</v>
      </c>
      <c r="M135" s="17"/>
      <c r="N135" s="20"/>
      <c r="O135" s="20"/>
      <c r="P135" s="202"/>
      <c r="S135" s="19"/>
      <c r="T135" s="327"/>
      <c r="U135" s="19"/>
      <c r="V135" s="19"/>
      <c r="W135" s="19"/>
      <c r="X135" s="19"/>
      <c r="Y135" s="19"/>
      <c r="Z135" s="19"/>
    </row>
    <row r="136" spans="2:26" x14ac:dyDescent="0.2">
      <c r="B136" s="127" t="s">
        <v>220</v>
      </c>
      <c r="J136" s="333"/>
      <c r="K136" s="127" t="s">
        <v>220</v>
      </c>
      <c r="M136" s="17"/>
      <c r="N136" s="20"/>
      <c r="O136" s="20"/>
      <c r="P136" s="43"/>
      <c r="S136" s="19"/>
      <c r="T136" s="327"/>
      <c r="U136" s="19"/>
      <c r="V136" s="19"/>
      <c r="W136" s="19"/>
      <c r="X136" s="19"/>
      <c r="Y136" s="19"/>
      <c r="Z136" s="19"/>
    </row>
    <row r="137" spans="2:26" x14ac:dyDescent="0.2">
      <c r="J137" s="333"/>
      <c r="V137" s="19"/>
      <c r="W137" s="19"/>
      <c r="X137" s="19"/>
      <c r="Y137" s="19"/>
      <c r="Z137" s="19"/>
    </row>
    <row r="138" spans="2:26" ht="16.5" thickBot="1" x14ac:dyDescent="0.3">
      <c r="D138" s="16" t="s">
        <v>787</v>
      </c>
      <c r="E138" s="9"/>
      <c r="F138" s="18" t="s">
        <v>788</v>
      </c>
      <c r="G138" s="15" t="s">
        <v>52</v>
      </c>
      <c r="H138" s="43"/>
      <c r="J138" s="333"/>
      <c r="L138" s="18" t="s">
        <v>895</v>
      </c>
      <c r="M138" s="15" t="s">
        <v>52</v>
      </c>
      <c r="N138" s="15" t="s">
        <v>788</v>
      </c>
      <c r="P138" s="15" t="s">
        <v>52</v>
      </c>
      <c r="S138" s="19"/>
      <c r="T138" s="327"/>
      <c r="U138" s="19"/>
      <c r="V138" s="19"/>
      <c r="W138" s="19"/>
      <c r="X138" s="19"/>
      <c r="Y138" s="19"/>
      <c r="Z138" s="19"/>
    </row>
    <row r="139" spans="2:26" x14ac:dyDescent="0.2">
      <c r="E139" s="17"/>
      <c r="F139" s="43"/>
      <c r="J139" s="334"/>
      <c r="K139" s="107"/>
      <c r="L139" s="328"/>
      <c r="M139" s="48"/>
      <c r="N139" s="329"/>
      <c r="P139" s="19"/>
      <c r="Q139" s="19"/>
      <c r="R139" s="19"/>
      <c r="S139" s="19"/>
      <c r="T139" s="19"/>
      <c r="U139" s="19"/>
      <c r="V139" s="19"/>
      <c r="W139" s="19"/>
      <c r="X139" s="19"/>
      <c r="Y139" s="19"/>
      <c r="Z139" s="19"/>
    </row>
    <row r="140" spans="2:26" x14ac:dyDescent="0.2">
      <c r="E140" s="17"/>
      <c r="F140" s="43"/>
      <c r="J140" s="334"/>
      <c r="K140" s="108"/>
      <c r="L140" s="109"/>
      <c r="M140" s="48"/>
      <c r="N140" s="330"/>
      <c r="O140" s="45"/>
      <c r="P140" s="19"/>
      <c r="Q140" s="19"/>
      <c r="R140" s="19"/>
      <c r="S140" s="19"/>
      <c r="T140" s="19"/>
      <c r="U140" s="19"/>
      <c r="V140" s="19"/>
      <c r="W140" s="19"/>
      <c r="X140" s="19"/>
      <c r="Y140" s="19"/>
      <c r="Z140" s="19"/>
    </row>
    <row r="141" spans="2:26" x14ac:dyDescent="0.2">
      <c r="E141" s="17"/>
      <c r="F141" s="43"/>
      <c r="J141" s="334"/>
      <c r="K141" s="108"/>
      <c r="L141" s="109"/>
      <c r="M141" s="48"/>
      <c r="N141" s="330"/>
      <c r="O141" s="45"/>
      <c r="P141" s="19"/>
      <c r="Q141" s="19"/>
      <c r="R141" s="19"/>
      <c r="S141" s="19"/>
      <c r="T141" s="19" t="s">
        <v>52</v>
      </c>
      <c r="U141" s="19"/>
      <c r="V141" s="19"/>
      <c r="W141" s="19"/>
      <c r="X141" s="19"/>
      <c r="Y141" s="19"/>
      <c r="Z141" s="19"/>
    </row>
    <row r="142" spans="2:26" x14ac:dyDescent="0.2">
      <c r="E142" s="17"/>
      <c r="F142" s="43"/>
      <c r="J142" s="334"/>
      <c r="K142" s="108"/>
      <c r="L142" s="109"/>
      <c r="M142" s="48"/>
      <c r="N142" s="330"/>
      <c r="O142" s="45"/>
      <c r="P142" s="19"/>
      <c r="Q142" s="19"/>
      <c r="R142" s="19"/>
      <c r="S142" s="19"/>
      <c r="T142" s="19"/>
      <c r="U142" s="19"/>
      <c r="V142" s="19"/>
      <c r="W142" s="19"/>
      <c r="X142" s="19"/>
      <c r="Y142" s="19"/>
      <c r="Z142" s="19"/>
    </row>
    <row r="143" spans="2:26" x14ac:dyDescent="0.2">
      <c r="E143" s="17"/>
      <c r="F143" s="43"/>
      <c r="J143" s="334"/>
      <c r="K143" s="108"/>
      <c r="L143" s="109"/>
      <c r="M143" s="48"/>
      <c r="N143" s="330"/>
      <c r="O143" s="45"/>
      <c r="P143" s="19"/>
      <c r="Q143" s="19"/>
      <c r="R143" s="19"/>
      <c r="S143" s="19"/>
      <c r="T143" s="19"/>
      <c r="U143" s="48"/>
      <c r="V143" s="19"/>
      <c r="W143" s="19"/>
      <c r="X143" s="19"/>
      <c r="Y143" s="19"/>
      <c r="Z143" s="19"/>
    </row>
    <row r="144" spans="2:26" x14ac:dyDescent="0.2">
      <c r="E144" s="17"/>
      <c r="F144" s="43"/>
      <c r="J144" s="334"/>
      <c r="K144" s="108"/>
      <c r="L144" s="109"/>
      <c r="M144" s="48"/>
      <c r="N144" s="330"/>
      <c r="O144" s="45"/>
      <c r="P144" s="19"/>
      <c r="Q144" s="19"/>
      <c r="R144" s="19"/>
      <c r="S144" s="19"/>
      <c r="T144" s="19"/>
      <c r="U144" s="19"/>
      <c r="V144" s="19"/>
      <c r="W144" s="19"/>
      <c r="X144" s="19"/>
      <c r="Y144" s="19"/>
      <c r="Z144" s="19"/>
    </row>
    <row r="145" spans="5:26" x14ac:dyDescent="0.2">
      <c r="E145" s="17"/>
      <c r="F145" s="43"/>
      <c r="J145" s="334"/>
      <c r="K145" s="108"/>
      <c r="L145" s="109"/>
      <c r="M145" s="48"/>
      <c r="N145" s="330"/>
      <c r="O145" s="45"/>
      <c r="P145" s="19"/>
      <c r="Q145" s="19"/>
      <c r="R145" s="19"/>
      <c r="S145" s="19"/>
      <c r="T145" s="19"/>
      <c r="U145" s="19"/>
      <c r="V145" s="19"/>
      <c r="W145" s="19"/>
      <c r="X145" s="19"/>
      <c r="Y145" s="19"/>
      <c r="Z145" s="19"/>
    </row>
    <row r="146" spans="5:26" x14ac:dyDescent="0.2">
      <c r="E146" s="17"/>
      <c r="F146" s="43"/>
      <c r="J146" s="334"/>
      <c r="K146" s="108"/>
      <c r="L146" s="109"/>
      <c r="M146" s="48"/>
      <c r="N146" s="330"/>
      <c r="O146" s="45"/>
      <c r="P146" s="19"/>
      <c r="Q146" s="19"/>
      <c r="R146" s="19"/>
      <c r="S146" s="19"/>
      <c r="T146" s="19"/>
      <c r="U146" s="19"/>
      <c r="V146" s="19"/>
      <c r="W146" s="19"/>
      <c r="X146" s="19"/>
      <c r="Y146" s="19"/>
      <c r="Z146" s="19"/>
    </row>
    <row r="147" spans="5:26" x14ac:dyDescent="0.2">
      <c r="E147" s="17"/>
      <c r="F147" s="43"/>
      <c r="J147" s="334"/>
      <c r="K147" s="108"/>
      <c r="L147" s="109"/>
      <c r="M147" s="48"/>
      <c r="N147" s="330"/>
      <c r="O147" s="45"/>
      <c r="P147" s="19"/>
      <c r="Q147" s="19"/>
      <c r="R147" s="19"/>
      <c r="S147" s="19"/>
      <c r="T147" s="19"/>
      <c r="U147" s="19"/>
      <c r="V147" s="19"/>
      <c r="W147" s="19"/>
      <c r="X147" s="19"/>
      <c r="Y147" s="19"/>
      <c r="Z147" s="19"/>
    </row>
    <row r="148" spans="5:26" x14ac:dyDescent="0.2">
      <c r="E148" s="17"/>
      <c r="F148" s="43"/>
      <c r="J148" s="334"/>
      <c r="K148" s="108"/>
      <c r="L148" s="109"/>
      <c r="M148" s="48"/>
      <c r="N148" s="330"/>
      <c r="O148" s="45"/>
      <c r="P148" s="19"/>
      <c r="Q148" s="19"/>
      <c r="R148" s="19"/>
      <c r="S148" s="19"/>
      <c r="T148" s="19"/>
      <c r="U148" s="19"/>
      <c r="V148" s="19"/>
      <c r="W148" s="19"/>
      <c r="X148" s="19"/>
      <c r="Y148" s="19"/>
      <c r="Z148" s="19"/>
    </row>
    <row r="149" spans="5:26" x14ac:dyDescent="0.2">
      <c r="E149" s="17"/>
      <c r="F149" s="43"/>
      <c r="J149" s="334"/>
      <c r="K149" s="108"/>
      <c r="L149" s="109"/>
      <c r="M149" s="48"/>
      <c r="N149" s="330"/>
      <c r="O149" s="45"/>
      <c r="P149" s="19"/>
      <c r="Q149" s="19"/>
      <c r="R149" s="19"/>
      <c r="S149" s="19"/>
      <c r="T149" s="19"/>
      <c r="U149" s="19"/>
      <c r="V149" s="19"/>
      <c r="W149" s="19"/>
      <c r="X149" s="19"/>
      <c r="Y149" s="19"/>
      <c r="Z149" s="19"/>
    </row>
    <row r="150" spans="5:26" x14ac:dyDescent="0.2">
      <c r="E150" s="17"/>
      <c r="F150" s="43"/>
      <c r="J150" s="334"/>
      <c r="K150" s="108"/>
      <c r="L150" s="109"/>
      <c r="M150" s="48"/>
      <c r="N150" s="330"/>
      <c r="O150" s="45"/>
      <c r="P150" s="19"/>
      <c r="Q150" s="19"/>
      <c r="R150" s="19"/>
      <c r="S150" s="19"/>
      <c r="T150" s="19"/>
      <c r="U150" s="19"/>
      <c r="V150" s="19"/>
      <c r="W150" s="19"/>
      <c r="X150" s="19"/>
      <c r="Y150" s="19"/>
      <c r="Z150" s="19"/>
    </row>
    <row r="151" spans="5:26" x14ac:dyDescent="0.2">
      <c r="E151" s="17"/>
      <c r="F151" s="43"/>
      <c r="J151" s="334"/>
      <c r="K151" s="108"/>
      <c r="L151" s="109"/>
      <c r="M151" s="48"/>
      <c r="N151" s="330"/>
      <c r="O151" s="45"/>
      <c r="P151" s="19"/>
      <c r="Q151" s="19"/>
      <c r="R151" s="19"/>
      <c r="S151" s="19"/>
      <c r="T151" s="19"/>
      <c r="U151" s="19"/>
      <c r="V151" s="19"/>
      <c r="W151" s="19"/>
      <c r="X151" s="19"/>
      <c r="Y151" s="19"/>
      <c r="Z151" s="19"/>
    </row>
    <row r="152" spans="5:26" x14ac:dyDescent="0.2">
      <c r="E152" s="17"/>
      <c r="F152" s="43"/>
      <c r="J152" s="334"/>
      <c r="K152" s="108"/>
      <c r="L152" s="109"/>
      <c r="M152" s="48"/>
      <c r="N152" s="330"/>
      <c r="O152" s="45"/>
      <c r="P152" s="19"/>
      <c r="Q152" s="19"/>
      <c r="R152" s="19"/>
      <c r="S152" s="106"/>
      <c r="T152" s="19"/>
      <c r="U152" s="19"/>
      <c r="V152" s="19"/>
      <c r="W152" s="19"/>
      <c r="X152" s="19"/>
      <c r="Y152" s="19"/>
      <c r="Z152" s="19"/>
    </row>
    <row r="153" spans="5:26" x14ac:dyDescent="0.2">
      <c r="E153" s="17"/>
      <c r="F153" s="43"/>
      <c r="J153" s="334"/>
      <c r="K153" s="108"/>
      <c r="L153" s="109"/>
      <c r="M153" s="48"/>
      <c r="N153" s="330"/>
      <c r="O153" s="45"/>
      <c r="P153" s="19"/>
      <c r="Q153" s="19"/>
      <c r="R153" s="19"/>
      <c r="S153" s="106"/>
      <c r="T153" s="19"/>
      <c r="U153" s="19"/>
      <c r="V153" s="19"/>
      <c r="W153" s="19"/>
      <c r="X153" s="19"/>
      <c r="Y153" s="19"/>
      <c r="Z153" s="19"/>
    </row>
    <row r="154" spans="5:26" ht="15.75" thickBot="1" x14ac:dyDescent="0.25">
      <c r="E154" s="17"/>
      <c r="F154" s="43"/>
      <c r="J154" s="334"/>
      <c r="K154" s="101"/>
      <c r="L154" s="110"/>
      <c r="M154" s="48"/>
      <c r="N154" s="331"/>
      <c r="O154" s="45"/>
      <c r="P154" s="19"/>
      <c r="Q154" s="19"/>
      <c r="R154" s="19"/>
      <c r="S154" s="106"/>
      <c r="T154" s="19"/>
      <c r="U154" s="19"/>
      <c r="V154" s="19"/>
      <c r="W154" s="19"/>
      <c r="X154" s="19"/>
      <c r="Y154" s="19"/>
      <c r="Z154" s="19"/>
    </row>
    <row r="155" spans="5:26" ht="15.75" x14ac:dyDescent="0.25">
      <c r="J155" s="333"/>
      <c r="K155" s="9" t="s">
        <v>896</v>
      </c>
      <c r="S155" s="106"/>
      <c r="T155" s="19"/>
      <c r="U155" s="19"/>
      <c r="V155" s="19"/>
      <c r="W155" s="19"/>
      <c r="X155" s="19"/>
      <c r="Y155" s="19"/>
      <c r="Z155" s="19"/>
    </row>
    <row r="156" spans="5:26" x14ac:dyDescent="0.2">
      <c r="J156" s="333"/>
      <c r="T156" s="19"/>
      <c r="U156" s="19"/>
      <c r="V156" s="19"/>
      <c r="W156" s="19"/>
      <c r="X156" s="19"/>
      <c r="Y156" s="19"/>
      <c r="Z156" s="19"/>
    </row>
    <row r="157" spans="5:26" ht="16.5" thickBot="1" x14ac:dyDescent="0.3">
      <c r="F157" s="18"/>
      <c r="G157" s="39" t="s">
        <v>3</v>
      </c>
      <c r="H157" s="4"/>
      <c r="J157" s="333"/>
      <c r="M157" s="17"/>
      <c r="N157" s="20"/>
      <c r="O157" s="18"/>
      <c r="P157" s="39" t="s">
        <v>3</v>
      </c>
      <c r="Q157" s="4"/>
      <c r="S157" s="106"/>
      <c r="T157" s="19"/>
      <c r="U157" s="19"/>
      <c r="V157" s="19"/>
      <c r="W157" s="19"/>
      <c r="X157" s="19"/>
      <c r="Y157" s="19"/>
      <c r="Z157" s="19"/>
    </row>
    <row r="158" spans="5:26" ht="15.75" x14ac:dyDescent="0.25">
      <c r="F158" s="172" t="s">
        <v>771</v>
      </c>
      <c r="G158" s="123">
        <v>99</v>
      </c>
      <c r="H158" s="16" t="s">
        <v>307</v>
      </c>
      <c r="J158" s="333"/>
      <c r="M158" s="17"/>
      <c r="N158" s="20"/>
      <c r="O158" s="172" t="s">
        <v>771</v>
      </c>
      <c r="P158" s="125">
        <v>99</v>
      </c>
      <c r="Q158" s="16" t="s">
        <v>307</v>
      </c>
      <c r="S158" s="19"/>
      <c r="T158" s="19"/>
      <c r="U158" s="19"/>
      <c r="V158" s="19"/>
      <c r="W158" s="19"/>
      <c r="X158" s="19"/>
      <c r="Y158" s="19"/>
      <c r="Z158" s="19"/>
    </row>
    <row r="159" spans="5:26" ht="16.5" thickBot="1" x14ac:dyDescent="0.3">
      <c r="F159" s="172" t="s">
        <v>772</v>
      </c>
      <c r="G159" s="93">
        <v>64.900000000000006</v>
      </c>
      <c r="H159" s="16" t="s">
        <v>307</v>
      </c>
      <c r="J159" s="333"/>
      <c r="M159" s="17"/>
      <c r="N159" s="20"/>
      <c r="O159" s="172" t="s">
        <v>772</v>
      </c>
      <c r="P159" s="324">
        <v>64.900000000000006</v>
      </c>
      <c r="Q159" s="16" t="s">
        <v>307</v>
      </c>
      <c r="S159" s="19"/>
      <c r="T159" s="19"/>
      <c r="U159" s="19"/>
      <c r="V159" s="19"/>
      <c r="W159" s="19"/>
      <c r="X159" s="19"/>
      <c r="Y159" s="19"/>
      <c r="Z159" s="19"/>
    </row>
    <row r="160" spans="5:26" ht="15.75" x14ac:dyDescent="0.25">
      <c r="G160" s="39" t="s">
        <v>1</v>
      </c>
      <c r="H160" s="203"/>
      <c r="J160" s="333"/>
      <c r="K160" s="204"/>
      <c r="M160" s="17"/>
      <c r="N160" s="20"/>
      <c r="O160" s="20"/>
      <c r="P160" s="39" t="s">
        <v>1</v>
      </c>
      <c r="Q160" s="203"/>
      <c r="S160" s="19"/>
      <c r="T160" s="19"/>
      <c r="U160" s="19"/>
      <c r="V160" s="19"/>
      <c r="W160" s="19"/>
      <c r="X160" s="19"/>
      <c r="Y160" s="19"/>
      <c r="Z160" s="19"/>
    </row>
    <row r="161" spans="2:26" ht="15.75" x14ac:dyDescent="0.25">
      <c r="F161" s="172" t="s">
        <v>791</v>
      </c>
      <c r="G161" s="16" t="s">
        <v>793</v>
      </c>
      <c r="H161" s="43"/>
      <c r="J161" s="333"/>
      <c r="M161" s="17"/>
      <c r="N161" s="20"/>
      <c r="O161" s="172" t="s">
        <v>791</v>
      </c>
      <c r="P161" s="16" t="s">
        <v>793</v>
      </c>
      <c r="Q161" s="43"/>
      <c r="S161" s="19"/>
      <c r="T161" s="19"/>
      <c r="U161" s="19"/>
      <c r="V161" s="19"/>
      <c r="W161" s="19"/>
      <c r="X161" s="19"/>
      <c r="Y161" s="19"/>
      <c r="Z161" s="19"/>
    </row>
    <row r="162" spans="2:26" ht="15.75" x14ac:dyDescent="0.25">
      <c r="D162" s="20"/>
      <c r="F162" s="20" t="s">
        <v>2</v>
      </c>
      <c r="G162" s="74">
        <f>G158/7000</f>
        <v>1.4142857142857143E-2</v>
      </c>
      <c r="H162" s="16" t="s">
        <v>294</v>
      </c>
      <c r="J162" s="333"/>
      <c r="N162" s="20"/>
      <c r="O162" s="20" t="s">
        <v>2</v>
      </c>
      <c r="P162" s="74">
        <f>P158/7000</f>
        <v>1.4142857142857143E-2</v>
      </c>
      <c r="Q162" s="16" t="s">
        <v>294</v>
      </c>
      <c r="S162" s="19"/>
      <c r="T162" s="19"/>
      <c r="U162" s="19"/>
      <c r="V162" s="19"/>
      <c r="W162" s="19"/>
      <c r="X162" s="19"/>
      <c r="Y162" s="19"/>
      <c r="Z162" s="19"/>
    </row>
    <row r="163" spans="2:26" ht="15.75" x14ac:dyDescent="0.25">
      <c r="D163" s="20"/>
      <c r="F163" s="172" t="s">
        <v>792</v>
      </c>
      <c r="G163" s="16" t="s">
        <v>794</v>
      </c>
      <c r="H163" s="43"/>
      <c r="J163" s="333"/>
      <c r="N163" s="20"/>
      <c r="O163" s="172" t="s">
        <v>792</v>
      </c>
      <c r="P163" s="16" t="s">
        <v>794</v>
      </c>
      <c r="Q163" s="43"/>
      <c r="S163" s="19"/>
      <c r="T163" s="19"/>
      <c r="U163" s="19"/>
      <c r="V163" s="19"/>
      <c r="W163" s="19"/>
      <c r="X163" s="19"/>
      <c r="Y163" s="19"/>
      <c r="Z163" s="19"/>
    </row>
    <row r="164" spans="2:26" ht="15.75" x14ac:dyDescent="0.25">
      <c r="D164" s="20"/>
      <c r="F164" s="20" t="s">
        <v>2</v>
      </c>
      <c r="G164" s="74">
        <f>G159/7000</f>
        <v>9.2714285714285728E-3</v>
      </c>
      <c r="H164" s="16" t="s">
        <v>294</v>
      </c>
      <c r="J164" s="333"/>
      <c r="N164" s="20"/>
      <c r="O164" s="20" t="s">
        <v>2</v>
      </c>
      <c r="P164" s="74">
        <f>P159/7000</f>
        <v>9.2714285714285728E-3</v>
      </c>
      <c r="Q164" s="16" t="s">
        <v>294</v>
      </c>
      <c r="S164" s="19"/>
      <c r="T164" s="19"/>
      <c r="U164" s="19"/>
      <c r="V164" s="19"/>
      <c r="W164" s="19"/>
      <c r="X164" s="19"/>
      <c r="Y164" s="19"/>
      <c r="Z164" s="19"/>
    </row>
    <row r="165" spans="2:26" ht="15.75" x14ac:dyDescent="0.25">
      <c r="C165" s="18"/>
      <c r="F165" s="18" t="s">
        <v>884</v>
      </c>
      <c r="G165" s="30" t="s">
        <v>795</v>
      </c>
      <c r="H165" s="205"/>
      <c r="J165" s="333"/>
      <c r="L165" s="18"/>
      <c r="M165" s="17"/>
      <c r="N165" s="20"/>
      <c r="O165" s="18" t="s">
        <v>884</v>
      </c>
      <c r="P165" s="30" t="s">
        <v>795</v>
      </c>
      <c r="Q165" s="205"/>
      <c r="S165" s="19"/>
      <c r="T165" s="19"/>
      <c r="U165" s="19"/>
      <c r="V165" s="19"/>
      <c r="W165" s="19"/>
      <c r="X165" s="19"/>
      <c r="Y165" s="19"/>
      <c r="Z165" s="19"/>
    </row>
    <row r="166" spans="2:26" ht="15.75" x14ac:dyDescent="0.25">
      <c r="F166" s="20" t="s">
        <v>2</v>
      </c>
      <c r="G166" s="206">
        <f>4840*G73*(G162 - G164 )</f>
        <v>471.55428571428558</v>
      </c>
      <c r="H166" s="16" t="s">
        <v>0</v>
      </c>
      <c r="J166" s="333"/>
      <c r="M166" s="17"/>
      <c r="N166" s="20"/>
      <c r="O166" s="20" t="s">
        <v>2</v>
      </c>
      <c r="P166" s="206">
        <f>4840*P73*(P162 - P164 )</f>
        <v>471.55428571428558</v>
      </c>
      <c r="Q166" s="16" t="s">
        <v>0</v>
      </c>
      <c r="S166" s="19"/>
      <c r="T166" s="19"/>
      <c r="U166" s="19"/>
      <c r="V166" s="19"/>
      <c r="W166" s="19"/>
      <c r="X166" s="19"/>
      <c r="Y166" s="19"/>
      <c r="Z166" s="19"/>
    </row>
    <row r="167" spans="2:26" x14ac:dyDescent="0.2">
      <c r="J167" s="333"/>
      <c r="Q167" s="19"/>
      <c r="R167" s="19"/>
      <c r="S167" s="19"/>
      <c r="T167" s="19"/>
      <c r="U167" s="19"/>
      <c r="V167" s="19"/>
      <c r="W167" s="19"/>
      <c r="X167" s="19"/>
      <c r="Y167" s="19"/>
      <c r="Z167" s="19"/>
    </row>
    <row r="168" spans="2:26" ht="15.75" x14ac:dyDescent="0.25">
      <c r="B168" s="200" t="s">
        <v>301</v>
      </c>
      <c r="G168" s="20"/>
      <c r="H168" s="43"/>
      <c r="J168" s="333"/>
      <c r="K168" s="200" t="s">
        <v>301</v>
      </c>
      <c r="M168" s="17"/>
      <c r="N168" s="20"/>
      <c r="O168" s="20"/>
      <c r="P168" s="20"/>
      <c r="Q168" s="43"/>
      <c r="S168" s="19"/>
      <c r="T168" s="19"/>
      <c r="U168" s="19"/>
      <c r="V168" s="19"/>
      <c r="W168" s="19"/>
      <c r="X168" s="19"/>
      <c r="Y168" s="19"/>
      <c r="Z168" s="19"/>
    </row>
    <row r="169" spans="2:26" ht="15.75" x14ac:dyDescent="0.25">
      <c r="G169" s="39" t="s">
        <v>1</v>
      </c>
      <c r="H169" s="43"/>
      <c r="J169" s="333"/>
      <c r="M169" s="17"/>
      <c r="N169" s="20"/>
      <c r="O169" s="20"/>
      <c r="P169" s="39" t="s">
        <v>1</v>
      </c>
      <c r="Q169" s="43"/>
      <c r="S169" s="19"/>
      <c r="T169" s="19"/>
      <c r="U169" s="19"/>
      <c r="V169" s="19"/>
      <c r="W169" s="19"/>
      <c r="X169" s="19"/>
      <c r="Y169" s="19"/>
      <c r="Z169" s="19"/>
    </row>
    <row r="170" spans="2:26" ht="15.75" x14ac:dyDescent="0.25">
      <c r="F170" s="172" t="s">
        <v>780</v>
      </c>
      <c r="G170" s="16">
        <f>G83</f>
        <v>440</v>
      </c>
      <c r="H170" s="16" t="s">
        <v>0</v>
      </c>
      <c r="J170" s="333"/>
      <c r="M170" s="17"/>
      <c r="N170" s="20"/>
      <c r="O170" s="172" t="s">
        <v>780</v>
      </c>
      <c r="P170" s="16">
        <f>P83</f>
        <v>440</v>
      </c>
      <c r="Q170" s="16" t="s">
        <v>0</v>
      </c>
      <c r="S170" s="19"/>
      <c r="T170" s="19"/>
      <c r="U170" s="19"/>
      <c r="V170" s="19"/>
      <c r="W170" s="19"/>
      <c r="X170" s="19"/>
      <c r="Y170" s="19"/>
      <c r="Z170" s="19"/>
    </row>
    <row r="171" spans="2:26" ht="15.75" x14ac:dyDescent="0.25">
      <c r="F171" s="18" t="s">
        <v>760</v>
      </c>
      <c r="G171" s="16">
        <f>G88</f>
        <v>5130</v>
      </c>
      <c r="H171" s="15" t="s">
        <v>757</v>
      </c>
      <c r="J171" s="333"/>
      <c r="M171" s="17"/>
      <c r="N171" s="20"/>
      <c r="O171" s="18" t="s">
        <v>760</v>
      </c>
      <c r="P171" s="16">
        <f>P88</f>
        <v>5130</v>
      </c>
      <c r="Q171" s="15" t="s">
        <v>757</v>
      </c>
      <c r="S171" s="19"/>
      <c r="T171" s="19"/>
      <c r="U171" s="19"/>
      <c r="V171" s="19"/>
      <c r="W171" s="19"/>
      <c r="X171" s="19"/>
      <c r="Y171" s="19"/>
      <c r="Z171" s="19"/>
    </row>
    <row r="172" spans="2:26" ht="15.75" x14ac:dyDescent="0.25">
      <c r="F172" s="18" t="s">
        <v>777</v>
      </c>
      <c r="G172" s="16">
        <f>G91</f>
        <v>2400</v>
      </c>
      <c r="H172" s="15" t="s">
        <v>757</v>
      </c>
      <c r="J172" s="333"/>
      <c r="M172" s="17"/>
      <c r="N172" s="20"/>
      <c r="O172" s="18" t="s">
        <v>777</v>
      </c>
      <c r="P172" s="16">
        <f>P91</f>
        <v>2400</v>
      </c>
      <c r="Q172" s="15" t="s">
        <v>757</v>
      </c>
      <c r="S172" s="19"/>
      <c r="T172" s="19"/>
      <c r="U172" s="19"/>
      <c r="V172" s="19"/>
      <c r="W172" s="19"/>
      <c r="X172" s="19"/>
      <c r="Y172" s="19"/>
      <c r="Z172" s="19"/>
    </row>
    <row r="173" spans="2:26" ht="15.75" x14ac:dyDescent="0.25">
      <c r="F173" s="18" t="s">
        <v>883</v>
      </c>
      <c r="G173" s="16">
        <f>G94</f>
        <v>360</v>
      </c>
      <c r="H173" s="15" t="s">
        <v>757</v>
      </c>
      <c r="J173" s="333"/>
      <c r="M173" s="17"/>
      <c r="N173" s="20"/>
      <c r="O173" s="18" t="s">
        <v>883</v>
      </c>
      <c r="P173" s="16">
        <f>P94</f>
        <v>360</v>
      </c>
      <c r="Q173" s="15" t="s">
        <v>757</v>
      </c>
      <c r="S173" s="19"/>
      <c r="T173" s="19"/>
      <c r="U173" s="19"/>
      <c r="V173" s="19"/>
      <c r="W173" s="19"/>
      <c r="X173" s="19"/>
      <c r="Y173" s="19"/>
      <c r="Z173" s="19"/>
    </row>
    <row r="174" spans="2:26" ht="15.75" x14ac:dyDescent="0.25">
      <c r="F174" s="172" t="s">
        <v>774</v>
      </c>
      <c r="G174" s="207">
        <f>H259</f>
        <v>3283.0039999999999</v>
      </c>
      <c r="H174" s="15" t="s">
        <v>757</v>
      </c>
      <c r="J174" s="333"/>
      <c r="M174" s="17"/>
      <c r="N174" s="20"/>
      <c r="O174" s="172" t="s">
        <v>774</v>
      </c>
      <c r="P174" s="207">
        <f>Q259</f>
        <v>3283.0039999999999</v>
      </c>
      <c r="Q174" s="15" t="s">
        <v>757</v>
      </c>
      <c r="S174" s="19"/>
      <c r="T174" s="19"/>
      <c r="U174" s="19"/>
      <c r="V174" s="19"/>
      <c r="W174" s="19"/>
      <c r="X174" s="19"/>
      <c r="Y174" s="19"/>
      <c r="Z174" s="19"/>
    </row>
    <row r="175" spans="2:26" ht="15.75" x14ac:dyDescent="0.25">
      <c r="F175" s="172" t="s">
        <v>696</v>
      </c>
      <c r="G175" s="207">
        <f>I281</f>
        <v>5198</v>
      </c>
      <c r="H175" s="15" t="s">
        <v>757</v>
      </c>
      <c r="J175" s="333"/>
      <c r="M175" s="17"/>
      <c r="N175" s="20"/>
      <c r="O175" s="172" t="s">
        <v>696</v>
      </c>
      <c r="P175" s="207">
        <f>R281</f>
        <v>5198</v>
      </c>
      <c r="Q175" s="15" t="s">
        <v>757</v>
      </c>
      <c r="S175" s="19"/>
      <c r="T175" s="19"/>
      <c r="U175" s="19"/>
      <c r="V175" s="19"/>
      <c r="W175" s="19"/>
      <c r="X175" s="19"/>
      <c r="Y175" s="19"/>
      <c r="Z175" s="19"/>
    </row>
    <row r="176" spans="2:26" ht="15.75" x14ac:dyDescent="0.25">
      <c r="F176" s="172" t="s">
        <v>697</v>
      </c>
      <c r="G176" s="207">
        <f>E290</f>
        <v>25000</v>
      </c>
      <c r="H176" s="15" t="s">
        <v>757</v>
      </c>
      <c r="J176" s="333"/>
      <c r="M176" s="17"/>
      <c r="N176" s="20"/>
      <c r="O176" s="172" t="s">
        <v>697</v>
      </c>
      <c r="P176" s="207">
        <f>N290</f>
        <v>25000</v>
      </c>
      <c r="Q176" s="15" t="s">
        <v>757</v>
      </c>
      <c r="S176" s="19"/>
      <c r="T176" s="19"/>
      <c r="U176" s="19"/>
      <c r="V176" s="19"/>
      <c r="W176" s="19"/>
      <c r="X176" s="19"/>
      <c r="Y176" s="19"/>
      <c r="Z176" s="19"/>
    </row>
    <row r="177" spans="2:26" ht="16.5" thickBot="1" x14ac:dyDescent="0.3">
      <c r="C177" s="208"/>
      <c r="D177" s="208"/>
      <c r="E177" s="209"/>
      <c r="F177" s="210" t="s">
        <v>300</v>
      </c>
      <c r="G177" s="207">
        <f>G95</f>
        <v>7220</v>
      </c>
      <c r="H177" s="211" t="s">
        <v>0</v>
      </c>
      <c r="J177" s="333"/>
      <c r="L177" s="208"/>
      <c r="M177" s="208"/>
      <c r="N177" s="209"/>
      <c r="O177" s="210" t="s">
        <v>300</v>
      </c>
      <c r="P177" s="207">
        <f>R59</f>
        <v>7220</v>
      </c>
      <c r="Q177" s="211" t="s">
        <v>0</v>
      </c>
      <c r="S177" s="19"/>
      <c r="T177" s="19"/>
      <c r="U177" s="19"/>
      <c r="V177" s="19"/>
      <c r="W177" s="19"/>
      <c r="X177" s="19"/>
      <c r="Y177" s="19"/>
      <c r="Z177" s="19"/>
    </row>
    <row r="178" spans="2:26" ht="16.5" thickBot="1" x14ac:dyDescent="0.3">
      <c r="F178" s="197" t="s">
        <v>781</v>
      </c>
      <c r="G178" s="212">
        <f>SUM(G170:G177)</f>
        <v>49031.004000000001</v>
      </c>
      <c r="H178" s="16" t="s">
        <v>0</v>
      </c>
      <c r="J178" s="333"/>
      <c r="M178" s="17"/>
      <c r="N178" s="20"/>
      <c r="O178" s="197" t="s">
        <v>781</v>
      </c>
      <c r="P178" s="332">
        <f>SUM(P170:P177)</f>
        <v>49031.004000000001</v>
      </c>
      <c r="Q178" s="16" t="s">
        <v>0</v>
      </c>
      <c r="S178" s="19"/>
      <c r="T178" s="19"/>
      <c r="U178" s="19"/>
      <c r="V178" s="19"/>
      <c r="W178" s="19"/>
      <c r="X178" s="19"/>
      <c r="Y178" s="19"/>
      <c r="Z178" s="19"/>
    </row>
    <row r="179" spans="2:26" x14ac:dyDescent="0.2">
      <c r="J179" s="333"/>
      <c r="M179" s="17"/>
      <c r="N179" s="20"/>
      <c r="O179" s="20"/>
      <c r="P179" s="43"/>
      <c r="S179" s="19"/>
      <c r="T179" s="19"/>
      <c r="U179" s="19"/>
      <c r="V179" s="19"/>
      <c r="W179" s="19"/>
      <c r="X179" s="19"/>
      <c r="Y179" s="19"/>
      <c r="Z179" s="19"/>
    </row>
    <row r="180" spans="2:26" ht="15.75" x14ac:dyDescent="0.25">
      <c r="F180" s="18" t="s">
        <v>883</v>
      </c>
      <c r="G180" s="16">
        <f>G94</f>
        <v>360</v>
      </c>
      <c r="H180" s="41" t="s">
        <v>0</v>
      </c>
      <c r="J180" s="333"/>
      <c r="M180" s="17"/>
      <c r="N180" s="20"/>
      <c r="O180" s="18" t="s">
        <v>883</v>
      </c>
      <c r="P180" s="16">
        <f>P94</f>
        <v>360</v>
      </c>
      <c r="Q180" s="41" t="s">
        <v>0</v>
      </c>
      <c r="S180" s="19"/>
      <c r="T180" s="19"/>
      <c r="U180" s="19"/>
      <c r="V180" s="19"/>
      <c r="W180" s="19"/>
      <c r="X180" s="19"/>
      <c r="Y180" s="19"/>
      <c r="Z180" s="19"/>
    </row>
    <row r="181" spans="2:26" ht="15.75" x14ac:dyDescent="0.25">
      <c r="F181" s="18" t="s">
        <v>884</v>
      </c>
      <c r="G181" s="96">
        <f>G166</f>
        <v>471.55428571428558</v>
      </c>
      <c r="H181" s="15" t="s">
        <v>757</v>
      </c>
      <c r="J181" s="333"/>
      <c r="M181" s="17"/>
      <c r="N181" s="20"/>
      <c r="O181" s="18" t="s">
        <v>884</v>
      </c>
      <c r="P181" s="96">
        <f>P166</f>
        <v>471.55428571428558</v>
      </c>
      <c r="Q181" s="15" t="s">
        <v>757</v>
      </c>
      <c r="S181" s="19"/>
      <c r="T181" s="19"/>
      <c r="U181" s="19"/>
      <c r="V181" s="19"/>
      <c r="W181" s="19"/>
      <c r="X181" s="19"/>
      <c r="Y181" s="19"/>
      <c r="Z181" s="19"/>
    </row>
    <row r="182" spans="2:26" ht="16.5" thickBot="1" x14ac:dyDescent="0.3">
      <c r="C182" s="208"/>
      <c r="D182" s="208"/>
      <c r="E182" s="209"/>
      <c r="F182" s="213" t="s">
        <v>778</v>
      </c>
      <c r="G182" s="41">
        <f>G95</f>
        <v>7220</v>
      </c>
      <c r="H182" s="211" t="s">
        <v>0</v>
      </c>
      <c r="J182" s="333"/>
      <c r="L182" s="208"/>
      <c r="M182" s="208"/>
      <c r="N182" s="209"/>
      <c r="O182" s="213" t="s">
        <v>778</v>
      </c>
      <c r="P182" s="41">
        <f>P95</f>
        <v>0</v>
      </c>
      <c r="Q182" s="211" t="s">
        <v>0</v>
      </c>
      <c r="S182" s="19"/>
      <c r="T182" s="19"/>
      <c r="U182" s="19"/>
      <c r="V182" s="19"/>
      <c r="W182" s="19"/>
      <c r="X182" s="19"/>
      <c r="Y182" s="19"/>
      <c r="Z182" s="19"/>
    </row>
    <row r="183" spans="2:26" ht="16.5" thickBot="1" x14ac:dyDescent="0.3">
      <c r="F183" s="197" t="s">
        <v>885</v>
      </c>
      <c r="G183" s="212">
        <f>SUM(G180:G182)</f>
        <v>8051.5542857142855</v>
      </c>
      <c r="H183" s="41" t="s">
        <v>0</v>
      </c>
      <c r="J183" s="333"/>
      <c r="M183" s="17"/>
      <c r="N183" s="20"/>
      <c r="O183" s="197" t="s">
        <v>885</v>
      </c>
      <c r="P183" s="332">
        <f>SUM(P180:P182)</f>
        <v>831.55428571428558</v>
      </c>
      <c r="Q183" s="41" t="s">
        <v>0</v>
      </c>
      <c r="S183" s="19"/>
      <c r="T183" s="19"/>
      <c r="U183" s="19"/>
      <c r="V183" s="19"/>
      <c r="W183" s="19"/>
      <c r="X183" s="19"/>
      <c r="Y183" s="19"/>
      <c r="Z183" s="19"/>
    </row>
    <row r="184" spans="2:26" x14ac:dyDescent="0.2">
      <c r="G184" s="20"/>
      <c r="H184" s="214"/>
      <c r="J184" s="333"/>
      <c r="M184" s="17"/>
      <c r="N184" s="20"/>
      <c r="O184" s="20"/>
      <c r="P184" s="20"/>
      <c r="Q184" s="214"/>
      <c r="S184" s="19"/>
      <c r="T184" s="19"/>
      <c r="U184" s="19"/>
      <c r="V184" s="19"/>
      <c r="W184" s="19"/>
      <c r="X184" s="19"/>
      <c r="Y184" s="19"/>
      <c r="Z184" s="19"/>
    </row>
    <row r="185" spans="2:26" ht="15.75" x14ac:dyDescent="0.25">
      <c r="F185" s="175"/>
      <c r="G185" s="215"/>
      <c r="H185" s="178"/>
      <c r="I185" s="177"/>
      <c r="J185" s="335"/>
      <c r="K185" s="177"/>
      <c r="L185" s="177"/>
      <c r="M185" s="177"/>
      <c r="N185" s="175"/>
      <c r="O185" s="175"/>
      <c r="P185" s="215"/>
      <c r="Q185" s="178"/>
      <c r="R185" s="19"/>
      <c r="S185" s="19"/>
      <c r="T185" s="19"/>
      <c r="U185" s="19"/>
      <c r="V185" s="19"/>
      <c r="W185" s="19"/>
      <c r="X185" s="19"/>
      <c r="Y185" s="19"/>
      <c r="Z185" s="19"/>
    </row>
    <row r="186" spans="2:26" ht="15.75" x14ac:dyDescent="0.25">
      <c r="B186" s="9" t="s">
        <v>789</v>
      </c>
      <c r="G186" s="39" t="s">
        <v>1</v>
      </c>
      <c r="H186" s="43"/>
      <c r="J186" s="333"/>
      <c r="K186" s="9" t="s">
        <v>789</v>
      </c>
      <c r="M186" s="17"/>
      <c r="N186" s="20"/>
      <c r="O186" s="20"/>
      <c r="P186" s="39" t="s">
        <v>1</v>
      </c>
      <c r="Q186" s="43"/>
      <c r="R186" s="19"/>
      <c r="S186" s="19"/>
      <c r="T186" s="19"/>
      <c r="U186" s="19"/>
      <c r="V186" s="19"/>
      <c r="W186" s="19"/>
      <c r="X186" s="19"/>
      <c r="Y186" s="19"/>
      <c r="Z186" s="19"/>
    </row>
    <row r="187" spans="2:26" ht="15.75" x14ac:dyDescent="0.25">
      <c r="F187" s="18" t="s">
        <v>299</v>
      </c>
      <c r="G187" s="30" t="s">
        <v>890</v>
      </c>
      <c r="H187" s="43"/>
      <c r="J187" s="333"/>
      <c r="M187" s="17"/>
      <c r="N187" s="20"/>
      <c r="O187" s="18" t="s">
        <v>299</v>
      </c>
      <c r="P187" s="30" t="s">
        <v>890</v>
      </c>
      <c r="Q187" s="43"/>
      <c r="R187" s="19"/>
      <c r="S187" s="19"/>
      <c r="T187" s="19"/>
      <c r="U187" s="19"/>
      <c r="V187" s="19"/>
      <c r="W187" s="19"/>
      <c r="X187" s="19"/>
      <c r="Y187" s="19"/>
      <c r="Z187" s="19"/>
    </row>
    <row r="188" spans="2:26" ht="15.75" x14ac:dyDescent="0.25">
      <c r="F188" s="18" t="s">
        <v>302</v>
      </c>
      <c r="G188" s="16" t="s">
        <v>782</v>
      </c>
      <c r="H188" s="216"/>
      <c r="J188" s="333"/>
      <c r="M188" s="17"/>
      <c r="N188" s="20"/>
      <c r="O188" s="18" t="s">
        <v>302</v>
      </c>
      <c r="P188" s="16" t="s">
        <v>782</v>
      </c>
      <c r="Q188" s="216"/>
      <c r="R188" s="19"/>
      <c r="S188" s="19"/>
      <c r="T188" s="19"/>
      <c r="U188" s="19"/>
      <c r="V188" s="19"/>
      <c r="W188" s="19"/>
      <c r="X188" s="19"/>
      <c r="Y188" s="19"/>
      <c r="Z188" s="19"/>
    </row>
    <row r="189" spans="2:26" ht="15.75" x14ac:dyDescent="0.25">
      <c r="F189" s="172" t="s">
        <v>2</v>
      </c>
      <c r="G189" s="42">
        <f>G178/(1.1*G81)</f>
        <v>2228.6820000000002</v>
      </c>
      <c r="H189" s="16" t="s">
        <v>278</v>
      </c>
      <c r="J189" s="333"/>
      <c r="M189" s="17"/>
      <c r="N189" s="20"/>
      <c r="O189" s="172" t="s">
        <v>2</v>
      </c>
      <c r="P189" s="42">
        <f>P178/(1.1*P81)</f>
        <v>2228.6820000000002</v>
      </c>
      <c r="Q189" s="16" t="s">
        <v>278</v>
      </c>
      <c r="R189" s="19"/>
      <c r="S189" s="19"/>
      <c r="T189" s="19"/>
      <c r="U189" s="19"/>
      <c r="V189" s="19"/>
      <c r="W189" s="19"/>
      <c r="X189" s="19"/>
      <c r="Y189" s="19"/>
      <c r="Z189" s="19"/>
    </row>
    <row r="190" spans="2:26" ht="15.75" x14ac:dyDescent="0.25">
      <c r="E190" s="17"/>
      <c r="F190" s="18" t="s">
        <v>783</v>
      </c>
      <c r="G190" s="217" t="s">
        <v>306</v>
      </c>
      <c r="H190" s="43"/>
      <c r="J190" s="333"/>
      <c r="M190" s="17"/>
      <c r="N190" s="17"/>
      <c r="O190" s="18" t="s">
        <v>783</v>
      </c>
      <c r="P190" s="217" t="s">
        <v>306</v>
      </c>
      <c r="Q190" s="43"/>
      <c r="R190" s="19"/>
      <c r="S190" s="19"/>
      <c r="T190" s="19"/>
      <c r="U190" s="19"/>
      <c r="V190" s="19"/>
      <c r="W190" s="19"/>
      <c r="X190" s="19"/>
      <c r="Y190" s="19"/>
      <c r="Z190" s="19"/>
    </row>
    <row r="191" spans="2:26" ht="15.75" x14ac:dyDescent="0.25">
      <c r="E191" s="17"/>
      <c r="F191" s="18" t="s">
        <v>2</v>
      </c>
      <c r="G191" s="218">
        <f>15% * G189</f>
        <v>334.3023</v>
      </c>
      <c r="H191" s="16" t="s">
        <v>278</v>
      </c>
      <c r="J191" s="333"/>
      <c r="M191" s="17"/>
      <c r="N191" s="17"/>
      <c r="O191" s="18" t="s">
        <v>2</v>
      </c>
      <c r="P191" s="218">
        <f>15% * P189</f>
        <v>334.3023</v>
      </c>
      <c r="Q191" s="16" t="s">
        <v>278</v>
      </c>
      <c r="R191" s="19"/>
      <c r="S191" s="19"/>
      <c r="T191" s="19"/>
      <c r="U191" s="19"/>
      <c r="V191" s="19"/>
      <c r="W191" s="19"/>
      <c r="X191" s="19"/>
      <c r="Y191" s="19"/>
      <c r="Z191" s="19"/>
    </row>
    <row r="192" spans="2:26" x14ac:dyDescent="0.2">
      <c r="J192" s="333"/>
      <c r="Q192" s="19"/>
      <c r="R192" s="19"/>
      <c r="S192" s="19"/>
      <c r="T192" s="19"/>
      <c r="U192" s="19"/>
      <c r="V192" s="19"/>
      <c r="W192" s="19"/>
      <c r="X192" s="19"/>
      <c r="Y192" s="19"/>
      <c r="Z192" s="19"/>
    </row>
    <row r="193" spans="2:26" ht="15.75" x14ac:dyDescent="0.25">
      <c r="B193" s="30" t="s">
        <v>303</v>
      </c>
      <c r="E193" s="17"/>
      <c r="F193" s="219"/>
      <c r="G193" s="12"/>
      <c r="H193" s="43"/>
      <c r="J193" s="333"/>
      <c r="K193" s="30" t="s">
        <v>303</v>
      </c>
      <c r="M193" s="17"/>
      <c r="N193" s="17"/>
      <c r="O193" s="219"/>
      <c r="P193" s="12"/>
      <c r="S193" s="19"/>
      <c r="T193" s="19"/>
      <c r="U193" s="19"/>
      <c r="V193" s="19"/>
      <c r="W193" s="19"/>
      <c r="X193" s="19"/>
      <c r="Y193" s="19"/>
      <c r="Z193" s="19"/>
    </row>
    <row r="194" spans="2:26" ht="15.75" x14ac:dyDescent="0.25">
      <c r="E194" s="17"/>
      <c r="G194" s="39" t="s">
        <v>1</v>
      </c>
      <c r="H194" s="43"/>
      <c r="J194" s="333"/>
      <c r="M194" s="17"/>
      <c r="N194" s="17"/>
      <c r="O194" s="20"/>
      <c r="P194" s="39" t="s">
        <v>1</v>
      </c>
      <c r="S194" s="19"/>
      <c r="T194" s="19"/>
      <c r="U194" s="19"/>
      <c r="V194" s="19"/>
      <c r="W194" s="19"/>
      <c r="X194" s="19"/>
      <c r="Y194" s="19"/>
      <c r="Z194" s="19"/>
    </row>
    <row r="195" spans="2:26" ht="15.75" x14ac:dyDescent="0.25">
      <c r="E195" s="17"/>
      <c r="F195" s="18" t="s">
        <v>304</v>
      </c>
      <c r="G195" s="30" t="s">
        <v>305</v>
      </c>
      <c r="J195" s="333"/>
      <c r="M195" s="17"/>
      <c r="N195" s="17"/>
      <c r="O195" s="18" t="s">
        <v>304</v>
      </c>
      <c r="P195" s="30" t="s">
        <v>305</v>
      </c>
      <c r="S195" s="19"/>
      <c r="T195" s="19"/>
      <c r="U195" s="19"/>
      <c r="V195" s="19"/>
      <c r="W195" s="19"/>
      <c r="X195" s="19"/>
      <c r="Y195" s="19"/>
      <c r="Z195" s="19"/>
    </row>
    <row r="196" spans="2:26" ht="15.75" x14ac:dyDescent="0.25">
      <c r="E196" s="17"/>
      <c r="F196" s="18" t="s">
        <v>2</v>
      </c>
      <c r="G196" s="220">
        <f>G178 / (G178+ G183)</f>
        <v>0.85894895870969923</v>
      </c>
      <c r="H196" s="43"/>
      <c r="J196" s="333"/>
      <c r="M196" s="17"/>
      <c r="N196" s="17"/>
      <c r="O196" s="18" t="s">
        <v>2</v>
      </c>
      <c r="P196" s="220">
        <f>P178 / (P178+ P183)</f>
        <v>0.98332307217472781</v>
      </c>
      <c r="S196" s="19"/>
      <c r="T196" s="19"/>
      <c r="U196" s="19"/>
      <c r="V196" s="19"/>
      <c r="W196" s="19"/>
      <c r="X196" s="19"/>
      <c r="Y196" s="19"/>
      <c r="Z196" s="19"/>
    </row>
    <row r="197" spans="2:26" x14ac:dyDescent="0.2">
      <c r="J197" s="333"/>
      <c r="S197" s="19"/>
      <c r="T197" s="19"/>
      <c r="U197" s="19"/>
      <c r="V197" s="19"/>
      <c r="W197" s="19"/>
      <c r="X197" s="19"/>
      <c r="Y197" s="19"/>
      <c r="Z197" s="19"/>
    </row>
    <row r="198" spans="2:26" x14ac:dyDescent="0.2">
      <c r="J198" s="333"/>
      <c r="S198" s="19"/>
      <c r="T198" s="19"/>
      <c r="U198" s="19"/>
      <c r="V198" s="19"/>
      <c r="W198" s="19"/>
      <c r="X198" s="19"/>
      <c r="Y198" s="19"/>
      <c r="Z198" s="19"/>
    </row>
    <row r="199" spans="2:26" x14ac:dyDescent="0.2">
      <c r="J199" s="333"/>
      <c r="S199" s="19"/>
      <c r="T199" s="19"/>
      <c r="U199" s="19"/>
      <c r="V199" s="19"/>
      <c r="W199" s="19"/>
      <c r="X199" s="19"/>
      <c r="Y199" s="19"/>
      <c r="Z199" s="19"/>
    </row>
    <row r="200" spans="2:26" ht="15.75" x14ac:dyDescent="0.25">
      <c r="B200" s="9" t="s">
        <v>796</v>
      </c>
      <c r="J200" s="333"/>
      <c r="K200" s="9" t="s">
        <v>796</v>
      </c>
      <c r="M200" s="17"/>
      <c r="N200" s="20"/>
      <c r="O200" s="20"/>
      <c r="P200" s="43"/>
      <c r="S200" s="19"/>
      <c r="T200" s="19"/>
      <c r="U200" s="19"/>
      <c r="V200" s="19"/>
      <c r="W200" s="19"/>
      <c r="X200" s="19"/>
      <c r="Y200" s="19"/>
      <c r="Z200" s="19"/>
    </row>
    <row r="201" spans="2:26" ht="15.75" x14ac:dyDescent="0.25">
      <c r="B201" s="30" t="s">
        <v>745</v>
      </c>
      <c r="J201" s="333"/>
      <c r="K201" s="30" t="s">
        <v>745</v>
      </c>
      <c r="M201" s="17"/>
      <c r="N201" s="20"/>
      <c r="O201" s="20"/>
      <c r="P201" s="43"/>
      <c r="S201" s="19"/>
      <c r="T201" s="19"/>
      <c r="U201" s="19"/>
      <c r="V201" s="19"/>
      <c r="W201" s="19"/>
      <c r="X201" s="19"/>
      <c r="Y201" s="19"/>
      <c r="Z201" s="19"/>
    </row>
    <row r="202" spans="2:26" ht="15.75" x14ac:dyDescent="0.25">
      <c r="D202" s="18" t="s">
        <v>254</v>
      </c>
      <c r="E202" s="75">
        <v>6</v>
      </c>
      <c r="F202" s="30" t="s">
        <v>256</v>
      </c>
      <c r="J202" s="333"/>
      <c r="M202" s="18" t="s">
        <v>254</v>
      </c>
      <c r="N202" s="75">
        <v>6</v>
      </c>
      <c r="O202" s="30" t="s">
        <v>256</v>
      </c>
      <c r="P202" s="43"/>
      <c r="S202" s="19"/>
      <c r="T202" s="19"/>
      <c r="U202" s="19"/>
      <c r="V202" s="19"/>
      <c r="W202" s="19"/>
      <c r="X202" s="19"/>
      <c r="Y202" s="19"/>
      <c r="Z202" s="19"/>
    </row>
    <row r="203" spans="2:26" ht="15.75" x14ac:dyDescent="0.25">
      <c r="D203" s="18" t="s">
        <v>255</v>
      </c>
      <c r="E203" s="16">
        <v>1.63</v>
      </c>
      <c r="F203" s="30" t="s">
        <v>256</v>
      </c>
      <c r="J203" s="333"/>
      <c r="M203" s="18" t="s">
        <v>255</v>
      </c>
      <c r="N203" s="16">
        <v>1.63</v>
      </c>
      <c r="O203" s="30" t="s">
        <v>256</v>
      </c>
      <c r="P203" s="43"/>
      <c r="S203" s="19"/>
      <c r="T203" s="19"/>
      <c r="U203" s="19"/>
      <c r="V203" s="19"/>
      <c r="W203" s="19"/>
      <c r="X203" s="19"/>
      <c r="Y203" s="19"/>
      <c r="Z203" s="19"/>
    </row>
    <row r="204" spans="2:26" ht="15.75" thickBot="1" x14ac:dyDescent="0.25">
      <c r="E204" s="17"/>
      <c r="F204" s="17"/>
      <c r="G204" s="17"/>
      <c r="J204" s="334"/>
      <c r="K204" s="19"/>
      <c r="L204" s="19"/>
      <c r="M204" s="48"/>
      <c r="N204" s="45"/>
      <c r="O204" s="45"/>
      <c r="P204" s="19"/>
      <c r="Q204" s="19"/>
      <c r="R204" s="19"/>
      <c r="S204" s="19"/>
      <c r="T204" s="19"/>
      <c r="U204" s="19"/>
      <c r="V204" s="19"/>
      <c r="W204" s="19"/>
      <c r="X204" s="19"/>
      <c r="Y204" s="19"/>
      <c r="Z204" s="19"/>
    </row>
    <row r="205" spans="2:26" ht="15.75" x14ac:dyDescent="0.25">
      <c r="D205" s="20"/>
      <c r="E205" s="221" t="s">
        <v>249</v>
      </c>
      <c r="F205" s="222" t="s">
        <v>252</v>
      </c>
      <c r="G205" s="223" t="s">
        <v>57</v>
      </c>
      <c r="J205" s="334"/>
      <c r="K205" s="19"/>
      <c r="L205" s="19"/>
      <c r="M205" s="48"/>
      <c r="N205" s="45"/>
      <c r="O205" s="45"/>
      <c r="P205" s="19"/>
      <c r="Q205" s="19"/>
      <c r="R205" s="19"/>
      <c r="S205" s="19"/>
      <c r="T205" s="19"/>
      <c r="U205" s="19"/>
      <c r="V205" s="19"/>
      <c r="W205" s="19"/>
      <c r="X205" s="19"/>
      <c r="Y205" s="19"/>
      <c r="Z205" s="19"/>
    </row>
    <row r="206" spans="2:26" ht="16.5" thickBot="1" x14ac:dyDescent="0.3">
      <c r="D206" s="20"/>
      <c r="E206" s="224" t="s">
        <v>250</v>
      </c>
      <c r="F206" s="225" t="s">
        <v>251</v>
      </c>
      <c r="G206" s="226" t="s">
        <v>253</v>
      </c>
      <c r="J206" s="334"/>
      <c r="K206" s="19"/>
      <c r="L206" s="19"/>
      <c r="M206" s="48"/>
      <c r="N206" s="45"/>
      <c r="O206" s="45"/>
      <c r="P206" s="19"/>
      <c r="Q206" s="19"/>
      <c r="R206" s="19"/>
      <c r="S206" s="19"/>
      <c r="T206" s="19"/>
      <c r="U206" s="19"/>
      <c r="V206" s="19"/>
      <c r="W206" s="19"/>
      <c r="X206" s="19"/>
      <c r="Y206" s="19"/>
      <c r="Z206" s="19"/>
    </row>
    <row r="207" spans="2:26" ht="15.75" x14ac:dyDescent="0.25">
      <c r="D207" s="18" t="s">
        <v>254</v>
      </c>
      <c r="E207" s="227"/>
      <c r="F207" s="228">
        <v>0.16700000000000001</v>
      </c>
      <c r="G207" s="229">
        <v>6</v>
      </c>
      <c r="J207" s="334"/>
      <c r="K207" s="19"/>
      <c r="L207" s="19"/>
      <c r="M207" s="48"/>
      <c r="N207" s="45"/>
      <c r="O207" s="45"/>
      <c r="P207" s="19"/>
      <c r="Q207" s="19"/>
      <c r="R207" s="19"/>
      <c r="S207" s="19"/>
      <c r="T207" s="19"/>
      <c r="U207" s="19"/>
      <c r="V207" s="19"/>
      <c r="W207" s="19"/>
      <c r="X207" s="19"/>
      <c r="Y207" s="19"/>
      <c r="Z207" s="19"/>
    </row>
    <row r="208" spans="2:26" ht="15.75" x14ac:dyDescent="0.25">
      <c r="D208" s="18" t="s">
        <v>241</v>
      </c>
      <c r="E208" s="230">
        <v>4.4999999999999998E-2</v>
      </c>
      <c r="F208" s="231">
        <v>1</v>
      </c>
      <c r="G208" s="232">
        <v>1</v>
      </c>
      <c r="J208" s="334"/>
      <c r="K208" s="19"/>
      <c r="L208" s="19"/>
      <c r="M208" s="48"/>
      <c r="N208" s="45"/>
      <c r="O208" s="45"/>
      <c r="P208" s="19"/>
      <c r="Q208" s="19"/>
      <c r="R208" s="19"/>
      <c r="S208" s="19"/>
      <c r="T208" s="19"/>
      <c r="U208" s="19"/>
      <c r="V208" s="19"/>
      <c r="W208" s="19"/>
      <c r="X208" s="19"/>
      <c r="Y208" s="19"/>
      <c r="Z208" s="19"/>
    </row>
    <row r="209" spans="2:26" ht="15.75" x14ac:dyDescent="0.25">
      <c r="D209" s="18" t="s">
        <v>262</v>
      </c>
      <c r="E209" s="233">
        <v>0.17</v>
      </c>
      <c r="F209" s="228"/>
      <c r="G209" s="234"/>
      <c r="J209" s="334"/>
      <c r="K209" s="19"/>
      <c r="L209" s="19"/>
      <c r="M209" s="48"/>
      <c r="N209" s="45"/>
      <c r="O209" s="45"/>
      <c r="P209" s="19"/>
      <c r="Q209" s="19"/>
      <c r="R209" s="19"/>
      <c r="S209" s="19"/>
      <c r="T209" s="19"/>
      <c r="U209" s="19"/>
      <c r="V209" s="19"/>
      <c r="W209" s="19"/>
      <c r="X209" s="19"/>
      <c r="Y209" s="19"/>
      <c r="Z209" s="19"/>
    </row>
    <row r="210" spans="2:26" ht="15.75" x14ac:dyDescent="0.25">
      <c r="D210" s="18" t="s">
        <v>664</v>
      </c>
      <c r="E210" s="235"/>
      <c r="F210" s="15">
        <v>20</v>
      </c>
      <c r="G210" s="235"/>
      <c r="J210" s="334"/>
      <c r="K210" s="19"/>
      <c r="L210" s="19"/>
      <c r="M210" s="48"/>
      <c r="N210" s="45"/>
      <c r="O210" s="45"/>
      <c r="P210" s="19"/>
      <c r="Q210" s="19"/>
      <c r="R210" s="19"/>
      <c r="S210" s="19"/>
      <c r="T210" s="19"/>
      <c r="U210" s="19"/>
      <c r="V210" s="19"/>
      <c r="W210" s="19"/>
      <c r="X210" s="19"/>
      <c r="Y210" s="19"/>
      <c r="Z210" s="19"/>
    </row>
    <row r="211" spans="2:26" ht="15.75" x14ac:dyDescent="0.25">
      <c r="D211" s="18" t="s">
        <v>243</v>
      </c>
      <c r="E211" s="232">
        <v>10</v>
      </c>
      <c r="F211" s="228"/>
      <c r="G211" s="234"/>
      <c r="J211" s="333"/>
      <c r="K211" s="9" t="s">
        <v>258</v>
      </c>
      <c r="R211" s="19"/>
      <c r="S211" s="19"/>
      <c r="T211" s="19"/>
      <c r="U211" s="19"/>
      <c r="V211" s="19"/>
      <c r="W211" s="19"/>
      <c r="X211" s="19"/>
      <c r="Y211" s="19"/>
      <c r="Z211" s="19"/>
    </row>
    <row r="212" spans="2:26" ht="16.5" thickBot="1" x14ac:dyDescent="0.3">
      <c r="D212" s="18" t="s">
        <v>18</v>
      </c>
      <c r="E212" s="235"/>
      <c r="F212" s="15">
        <v>1.04</v>
      </c>
      <c r="G212" s="235"/>
      <c r="J212" s="333"/>
      <c r="K212" s="9" t="s">
        <v>267</v>
      </c>
      <c r="N212" s="39" t="s">
        <v>3</v>
      </c>
      <c r="O212" s="39" t="s">
        <v>3</v>
      </c>
      <c r="P212" s="39" t="s">
        <v>1</v>
      </c>
      <c r="R212" s="19"/>
      <c r="S212" s="19"/>
      <c r="T212" s="19"/>
      <c r="U212" s="19"/>
      <c r="V212" s="19"/>
      <c r="W212" s="19"/>
      <c r="X212" s="19"/>
      <c r="Y212" s="19"/>
      <c r="Z212" s="19"/>
    </row>
    <row r="213" spans="2:26" ht="15.75" x14ac:dyDescent="0.25">
      <c r="D213" s="18" t="s">
        <v>670</v>
      </c>
      <c r="E213" s="230" t="s">
        <v>52</v>
      </c>
      <c r="F213" s="228">
        <v>0.45</v>
      </c>
      <c r="G213" s="233">
        <v>2.2200000000000002</v>
      </c>
      <c r="J213" s="333"/>
      <c r="K213" s="116"/>
      <c r="L213" s="117"/>
      <c r="M213" s="118"/>
      <c r="N213" s="222" t="s">
        <v>249</v>
      </c>
      <c r="O213" s="221" t="s">
        <v>259</v>
      </c>
      <c r="P213" s="222" t="s">
        <v>266</v>
      </c>
      <c r="Q213" s="228"/>
      <c r="R213" s="19"/>
      <c r="S213" s="19"/>
      <c r="T213" s="19"/>
      <c r="U213" s="19"/>
      <c r="V213" s="19"/>
      <c r="W213" s="19"/>
      <c r="X213" s="19"/>
      <c r="Y213" s="19"/>
      <c r="Z213" s="19"/>
    </row>
    <row r="214" spans="2:26" ht="16.5" thickBot="1" x14ac:dyDescent="0.3">
      <c r="D214" s="44" t="s">
        <v>245</v>
      </c>
      <c r="E214" s="234">
        <v>0.8</v>
      </c>
      <c r="F214" s="228"/>
      <c r="G214" s="234"/>
      <c r="J214" s="333"/>
      <c r="K214" s="236"/>
      <c r="L214" s="177"/>
      <c r="M214" s="237"/>
      <c r="N214" s="225" t="s">
        <v>250</v>
      </c>
      <c r="O214" s="224" t="s">
        <v>257</v>
      </c>
      <c r="P214" s="225" t="s">
        <v>251</v>
      </c>
      <c r="Q214" s="228"/>
      <c r="S214" s="19"/>
      <c r="T214" s="19"/>
      <c r="U214" s="19"/>
      <c r="V214" s="19"/>
      <c r="W214" s="19"/>
      <c r="X214" s="19"/>
      <c r="Y214" s="19"/>
      <c r="Z214" s="19"/>
    </row>
    <row r="215" spans="2:26" ht="15.75" x14ac:dyDescent="0.25">
      <c r="D215" s="44" t="s">
        <v>246</v>
      </c>
      <c r="E215" s="234">
        <v>0.28000000000000003</v>
      </c>
      <c r="F215" s="228"/>
      <c r="G215" s="234"/>
      <c r="J215" s="333"/>
      <c r="K215" s="236"/>
      <c r="L215" s="177"/>
      <c r="M215" s="238" t="s">
        <v>269</v>
      </c>
      <c r="N215" s="337"/>
      <c r="O215" s="338"/>
      <c r="P215" s="230">
        <v>0.16700000000000001</v>
      </c>
      <c r="Q215" s="228"/>
      <c r="S215" s="19"/>
      <c r="T215" s="19"/>
      <c r="U215" s="19"/>
      <c r="V215" s="19"/>
      <c r="W215" s="19"/>
      <c r="X215" s="19"/>
      <c r="Y215" s="19"/>
      <c r="Z215" s="19"/>
    </row>
    <row r="216" spans="2:26" ht="15.75" x14ac:dyDescent="0.25">
      <c r="D216" s="44" t="s">
        <v>665</v>
      </c>
      <c r="E216" s="234">
        <v>0.8</v>
      </c>
      <c r="F216" s="228"/>
      <c r="G216" s="234"/>
      <c r="J216" s="333"/>
      <c r="K216" s="236"/>
      <c r="L216" s="177"/>
      <c r="M216" s="240" t="s">
        <v>665</v>
      </c>
      <c r="N216" s="339"/>
      <c r="O216" s="338"/>
      <c r="P216" s="233">
        <v>1</v>
      </c>
      <c r="Q216" s="242"/>
      <c r="S216" s="19"/>
      <c r="T216" s="19"/>
      <c r="U216" s="19"/>
      <c r="V216" s="19"/>
      <c r="W216" s="19"/>
      <c r="X216" s="19"/>
      <c r="Y216" s="19"/>
      <c r="Z216" s="19"/>
    </row>
    <row r="217" spans="2:26" ht="15.75" x14ac:dyDescent="0.25">
      <c r="D217" s="18" t="s">
        <v>17</v>
      </c>
      <c r="E217" s="234"/>
      <c r="F217" s="231">
        <v>11</v>
      </c>
      <c r="G217" s="234">
        <v>1.1299999999999999</v>
      </c>
      <c r="J217" s="333"/>
      <c r="K217" s="236"/>
      <c r="L217" s="177"/>
      <c r="M217" s="238" t="s">
        <v>17</v>
      </c>
      <c r="N217" s="340"/>
      <c r="O217" s="338"/>
      <c r="P217" s="233">
        <v>20</v>
      </c>
      <c r="Q217" s="244"/>
      <c r="S217" s="19"/>
      <c r="T217" s="19"/>
      <c r="U217" s="19"/>
      <c r="V217" s="19"/>
      <c r="W217" s="19"/>
      <c r="X217" s="19"/>
      <c r="Y217" s="19"/>
      <c r="Z217" s="19"/>
    </row>
    <row r="218" spans="2:26" ht="15.75" x14ac:dyDescent="0.25">
      <c r="D218" s="44" t="s">
        <v>247</v>
      </c>
      <c r="E218" s="234"/>
      <c r="F218" s="228"/>
      <c r="G218" s="234">
        <v>0.23</v>
      </c>
      <c r="J218" s="333"/>
      <c r="K218" s="236"/>
      <c r="L218" s="177"/>
      <c r="M218" s="240" t="s">
        <v>248</v>
      </c>
      <c r="N218" s="341"/>
      <c r="O218" s="338"/>
      <c r="P218" s="233">
        <v>4.5449999999999999</v>
      </c>
      <c r="Q218" s="246"/>
      <c r="S218" s="19"/>
      <c r="T218" s="19"/>
      <c r="U218" s="19"/>
      <c r="V218" s="19"/>
      <c r="W218" s="19"/>
      <c r="X218" s="19"/>
      <c r="Y218" s="19"/>
      <c r="Z218" s="19"/>
    </row>
    <row r="219" spans="2:26" ht="15.75" x14ac:dyDescent="0.25">
      <c r="D219" s="44" t="s">
        <v>248</v>
      </c>
      <c r="E219" s="234"/>
      <c r="F219" s="228">
        <v>4.5449999999999999</v>
      </c>
      <c r="G219" s="234">
        <v>0.22</v>
      </c>
      <c r="J219" s="333"/>
      <c r="K219" s="236"/>
      <c r="L219" s="177"/>
      <c r="M219" s="238" t="s">
        <v>268</v>
      </c>
      <c r="N219" s="339"/>
      <c r="O219" s="342"/>
      <c r="P219" s="230">
        <v>0.61299999999999999</v>
      </c>
      <c r="Q219" s="242"/>
      <c r="S219" s="19"/>
      <c r="T219" s="19"/>
      <c r="U219" s="19"/>
      <c r="V219" s="19"/>
      <c r="W219" s="19"/>
      <c r="X219" s="19"/>
      <c r="Y219" s="19"/>
      <c r="Z219" s="19"/>
    </row>
    <row r="220" spans="2:26" ht="16.5" thickBot="1" x14ac:dyDescent="0.3">
      <c r="D220" s="18" t="s">
        <v>255</v>
      </c>
      <c r="E220" s="247"/>
      <c r="F220" s="248">
        <v>0.61299999999999999</v>
      </c>
      <c r="G220" s="225">
        <v>1.63</v>
      </c>
      <c r="J220" s="333"/>
      <c r="K220" s="249"/>
      <c r="L220" s="250"/>
      <c r="M220" s="251"/>
      <c r="N220" s="343"/>
      <c r="O220" s="344"/>
      <c r="P220" s="252"/>
      <c r="Q220" s="228"/>
      <c r="S220" s="19"/>
      <c r="T220" s="19"/>
      <c r="U220" s="19"/>
      <c r="V220" s="19"/>
      <c r="W220" s="19"/>
      <c r="X220" s="19"/>
      <c r="Y220" s="19"/>
      <c r="Z220" s="19"/>
    </row>
    <row r="221" spans="2:26" ht="16.5" thickBot="1" x14ac:dyDescent="0.3">
      <c r="F221" s="43"/>
      <c r="J221" s="333"/>
      <c r="M221" s="43"/>
      <c r="N221" s="17"/>
      <c r="O221" s="18" t="s">
        <v>260</v>
      </c>
      <c r="P221" s="253">
        <f>SUM(P215:P219)</f>
        <v>26.325000000000003</v>
      </c>
      <c r="Q221" s="254" t="s">
        <v>251</v>
      </c>
      <c r="S221" s="19"/>
      <c r="T221" s="19"/>
      <c r="U221" s="19"/>
      <c r="V221" s="19"/>
      <c r="W221" s="19"/>
      <c r="X221" s="19"/>
      <c r="Y221" s="19"/>
      <c r="Z221" s="19"/>
    </row>
    <row r="222" spans="2:26" ht="16.5" thickBot="1" x14ac:dyDescent="0.3">
      <c r="B222" s="77"/>
      <c r="C222" s="77"/>
      <c r="D222" s="177"/>
      <c r="E222" s="177"/>
      <c r="F222" s="175"/>
      <c r="G222" s="178"/>
      <c r="H222" s="177"/>
      <c r="I222" s="177"/>
      <c r="J222" s="336"/>
      <c r="M222" s="44"/>
      <c r="N222" s="228"/>
      <c r="O222" s="18" t="s">
        <v>261</v>
      </c>
      <c r="P222" s="255">
        <f>1/P221</f>
        <v>3.7986704653371318E-2</v>
      </c>
      <c r="Q222" s="256" t="s">
        <v>253</v>
      </c>
      <c r="S222" s="19"/>
      <c r="T222" s="19"/>
      <c r="U222" s="19"/>
      <c r="V222" s="19"/>
      <c r="W222" s="19"/>
      <c r="X222" s="19"/>
      <c r="Y222" s="19"/>
      <c r="Z222" s="19"/>
    </row>
    <row r="223" spans="2:26" ht="15.75" x14ac:dyDescent="0.25">
      <c r="B223" s="9" t="s">
        <v>483</v>
      </c>
      <c r="C223" s="77"/>
      <c r="D223" s="177"/>
      <c r="E223" s="177"/>
      <c r="F223" s="175"/>
      <c r="G223" s="12"/>
      <c r="H223" s="177"/>
      <c r="I223" s="177"/>
      <c r="J223" s="333"/>
      <c r="R223" s="19"/>
      <c r="S223" s="19"/>
      <c r="T223" s="19"/>
      <c r="U223" s="19"/>
      <c r="V223" s="19"/>
      <c r="W223" s="19"/>
      <c r="X223" s="19"/>
      <c r="Y223" s="19"/>
      <c r="Z223" s="19"/>
    </row>
    <row r="224" spans="2:26" ht="15.75" x14ac:dyDescent="0.25">
      <c r="B224" s="9" t="s">
        <v>258</v>
      </c>
      <c r="C224" s="177"/>
      <c r="D224" s="177"/>
      <c r="E224" s="177"/>
      <c r="F224" s="76"/>
      <c r="G224" s="257"/>
      <c r="H224" s="77"/>
      <c r="I224" s="177"/>
      <c r="J224" s="333"/>
      <c r="K224" s="9" t="s">
        <v>258</v>
      </c>
      <c r="L224" s="177"/>
      <c r="M224" s="177"/>
      <c r="N224" s="177"/>
      <c r="O224" s="76"/>
      <c r="P224" s="257"/>
      <c r="Q224" s="77"/>
      <c r="S224" s="19"/>
      <c r="T224" s="19"/>
      <c r="U224" s="19"/>
      <c r="V224" s="19"/>
      <c r="W224" s="19"/>
      <c r="X224" s="19"/>
      <c r="Y224" s="19"/>
      <c r="Z224" s="19"/>
    </row>
    <row r="225" spans="2:26" ht="16.5" thickBot="1" x14ac:dyDescent="0.3">
      <c r="B225" s="9"/>
      <c r="D225" s="9"/>
      <c r="E225" s="39" t="s">
        <v>3</v>
      </c>
      <c r="F225" s="39" t="s">
        <v>3</v>
      </c>
      <c r="G225" s="17"/>
      <c r="H225" s="69"/>
      <c r="J225" s="333"/>
      <c r="K225" s="9" t="s">
        <v>270</v>
      </c>
      <c r="M225" s="9"/>
      <c r="N225" s="39" t="s">
        <v>3</v>
      </c>
      <c r="O225" s="39" t="s">
        <v>3</v>
      </c>
      <c r="Q225" s="69"/>
      <c r="S225" s="19"/>
      <c r="T225" s="19"/>
      <c r="U225" s="19"/>
      <c r="V225" s="19"/>
      <c r="W225" s="19"/>
      <c r="X225" s="19"/>
      <c r="Y225" s="19"/>
      <c r="Z225" s="19"/>
    </row>
    <row r="226" spans="2:26" ht="15.75" x14ac:dyDescent="0.25">
      <c r="B226" s="116"/>
      <c r="C226" s="117"/>
      <c r="D226" s="118"/>
      <c r="E226" s="221" t="s">
        <v>249</v>
      </c>
      <c r="F226" s="222" t="s">
        <v>266</v>
      </c>
      <c r="G226" s="228"/>
      <c r="J226" s="333"/>
      <c r="K226" s="116"/>
      <c r="L226" s="117"/>
      <c r="M226" s="118"/>
      <c r="N226" s="221" t="s">
        <v>249</v>
      </c>
      <c r="O226" s="222" t="s">
        <v>266</v>
      </c>
      <c r="P226" s="228"/>
      <c r="Q226" s="228"/>
      <c r="S226" s="19"/>
      <c r="T226" s="19"/>
      <c r="U226" s="19"/>
      <c r="V226" s="19"/>
      <c r="W226" s="19"/>
      <c r="X226" s="19"/>
      <c r="Y226" s="19"/>
      <c r="Z226" s="19"/>
    </row>
    <row r="227" spans="2:26" ht="16.5" thickBot="1" x14ac:dyDescent="0.3">
      <c r="B227" s="236"/>
      <c r="C227" s="177"/>
      <c r="D227" s="237"/>
      <c r="E227" s="224" t="s">
        <v>250</v>
      </c>
      <c r="F227" s="225" t="s">
        <v>251</v>
      </c>
      <c r="G227" s="228"/>
      <c r="J227" s="333"/>
      <c r="K227" s="236"/>
      <c r="L227" s="177"/>
      <c r="M227" s="237"/>
      <c r="N227" s="224" t="s">
        <v>250</v>
      </c>
      <c r="O227" s="225" t="s">
        <v>251</v>
      </c>
      <c r="P227" s="228"/>
      <c r="Q227" s="228"/>
      <c r="S227" s="19"/>
      <c r="T227" s="19"/>
      <c r="U227" s="19"/>
      <c r="V227" s="19"/>
      <c r="W227" s="19"/>
      <c r="X227" s="19"/>
      <c r="Y227" s="19"/>
      <c r="Z227" s="19"/>
    </row>
    <row r="228" spans="2:26" ht="15.75" x14ac:dyDescent="0.25">
      <c r="B228" s="236"/>
      <c r="C228" s="177"/>
      <c r="D228" s="238" t="s">
        <v>254</v>
      </c>
      <c r="E228" s="239"/>
      <c r="F228" s="230">
        <v>0.16700000000000001</v>
      </c>
      <c r="G228" s="228"/>
      <c r="J228" s="333"/>
      <c r="K228" s="236"/>
      <c r="L228" s="177"/>
      <c r="M228" s="238" t="s">
        <v>254</v>
      </c>
      <c r="N228" s="337"/>
      <c r="O228" s="230">
        <v>0.16700000000000001</v>
      </c>
      <c r="P228" s="228"/>
      <c r="Q228" s="228"/>
      <c r="S228" s="19"/>
      <c r="T228" s="19"/>
      <c r="U228" s="19"/>
      <c r="V228" s="19"/>
      <c r="W228" s="19"/>
      <c r="X228" s="19"/>
      <c r="Y228" s="19"/>
      <c r="Z228" s="19"/>
    </row>
    <row r="229" spans="2:26" ht="15.75" x14ac:dyDescent="0.25">
      <c r="B229" s="236"/>
      <c r="C229" s="177"/>
      <c r="D229" s="238" t="s">
        <v>241</v>
      </c>
      <c r="E229" s="241"/>
      <c r="F229" s="233">
        <v>1</v>
      </c>
      <c r="G229" s="242"/>
      <c r="J229" s="333"/>
      <c r="K229" s="236"/>
      <c r="L229" s="177"/>
      <c r="M229" s="238" t="s">
        <v>241</v>
      </c>
      <c r="N229" s="339"/>
      <c r="O229" s="233">
        <v>1</v>
      </c>
      <c r="P229" s="242"/>
      <c r="Q229" s="242"/>
      <c r="S229" s="19"/>
      <c r="T229" s="19"/>
      <c r="U229" s="19"/>
      <c r="V229" s="19"/>
      <c r="W229" s="19"/>
      <c r="X229" s="19"/>
      <c r="Y229" s="19"/>
      <c r="Z229" s="19"/>
    </row>
    <row r="230" spans="2:26" ht="15.75" x14ac:dyDescent="0.25">
      <c r="B230" s="236"/>
      <c r="C230" s="177"/>
      <c r="D230" s="238" t="s">
        <v>242</v>
      </c>
      <c r="E230" s="243">
        <v>0.17</v>
      </c>
      <c r="F230" s="233">
        <v>23.53</v>
      </c>
      <c r="G230" s="244"/>
      <c r="J230" s="333"/>
      <c r="K230" s="236"/>
      <c r="L230" s="177"/>
      <c r="M230" s="238" t="s">
        <v>242</v>
      </c>
      <c r="N230" s="340">
        <v>0.17</v>
      </c>
      <c r="O230" s="233">
        <v>23.53</v>
      </c>
      <c r="P230" s="244"/>
      <c r="Q230" s="244"/>
      <c r="S230" s="19"/>
      <c r="T230" s="19"/>
      <c r="U230" s="19"/>
      <c r="V230" s="19"/>
      <c r="W230" s="19"/>
      <c r="X230" s="19"/>
      <c r="Y230" s="19"/>
      <c r="Z230" s="19"/>
    </row>
    <row r="231" spans="2:26" ht="15.75" x14ac:dyDescent="0.25">
      <c r="B231" s="236"/>
      <c r="C231" s="177"/>
      <c r="D231" s="238" t="s">
        <v>243</v>
      </c>
      <c r="E231" s="245">
        <v>10</v>
      </c>
      <c r="F231" s="233">
        <v>0.4</v>
      </c>
      <c r="G231" s="246"/>
      <c r="J231" s="333"/>
      <c r="K231" s="236"/>
      <c r="L231" s="177"/>
      <c r="M231" s="238" t="s">
        <v>243</v>
      </c>
      <c r="N231" s="341">
        <v>10</v>
      </c>
      <c r="O231" s="233">
        <v>0.4</v>
      </c>
      <c r="P231" s="246"/>
      <c r="Q231" s="246"/>
      <c r="S231" s="19"/>
      <c r="T231" s="19"/>
      <c r="U231" s="19"/>
      <c r="V231" s="19"/>
      <c r="W231" s="19"/>
      <c r="X231" s="19"/>
      <c r="Y231" s="19"/>
      <c r="Z231" s="19"/>
    </row>
    <row r="232" spans="2:26" ht="15.75" x14ac:dyDescent="0.25">
      <c r="B232" s="236"/>
      <c r="C232" s="177"/>
      <c r="D232" s="238" t="s">
        <v>244</v>
      </c>
      <c r="E232" s="241" t="s">
        <v>52</v>
      </c>
      <c r="F232" s="234">
        <v>0.45</v>
      </c>
      <c r="G232" s="242"/>
      <c r="J232" s="333"/>
      <c r="K232" s="236"/>
      <c r="L232" s="177"/>
      <c r="M232" s="238" t="s">
        <v>244</v>
      </c>
      <c r="N232" s="339" t="s">
        <v>52</v>
      </c>
      <c r="O232" s="234">
        <v>0.45</v>
      </c>
      <c r="P232" s="242"/>
      <c r="Q232" s="242"/>
      <c r="S232" s="19"/>
      <c r="T232" s="19"/>
      <c r="U232" s="19"/>
      <c r="V232" s="19"/>
      <c r="W232" s="19"/>
      <c r="X232" s="19"/>
      <c r="Y232" s="19"/>
      <c r="Z232" s="19"/>
    </row>
    <row r="233" spans="2:26" ht="16.5" thickBot="1" x14ac:dyDescent="0.3">
      <c r="B233" s="249"/>
      <c r="C233" s="250"/>
      <c r="D233" s="258" t="s">
        <v>255</v>
      </c>
      <c r="E233" s="252"/>
      <c r="F233" s="259">
        <v>0.61299999999999999</v>
      </c>
      <c r="G233" s="228"/>
      <c r="J233" s="333"/>
      <c r="K233" s="249"/>
      <c r="L233" s="250"/>
      <c r="M233" s="258" t="s">
        <v>255</v>
      </c>
      <c r="N233" s="343"/>
      <c r="O233" s="259">
        <v>0.61299999999999999</v>
      </c>
      <c r="P233" s="228"/>
      <c r="Q233" s="228"/>
      <c r="S233" s="19"/>
      <c r="T233" s="19"/>
      <c r="U233" s="19"/>
      <c r="V233" s="19"/>
      <c r="W233" s="19"/>
      <c r="X233" s="19"/>
      <c r="Y233" s="19"/>
      <c r="Z233" s="19"/>
    </row>
    <row r="234" spans="2:26" ht="16.5" thickBot="1" x14ac:dyDescent="0.3">
      <c r="D234" s="43"/>
      <c r="E234" s="18" t="s">
        <v>260</v>
      </c>
      <c r="F234" s="260">
        <f>SUM(F228:F233)</f>
        <v>26.16</v>
      </c>
      <c r="G234" s="254" t="s">
        <v>251</v>
      </c>
      <c r="J234" s="333"/>
      <c r="M234" s="43"/>
      <c r="N234" s="18" t="s">
        <v>260</v>
      </c>
      <c r="O234" s="260">
        <f>SUM(O228:O233)</f>
        <v>26.16</v>
      </c>
      <c r="P234" s="254" t="s">
        <v>251</v>
      </c>
      <c r="Q234" s="254"/>
      <c r="S234" s="19"/>
      <c r="T234" s="19"/>
      <c r="U234" s="19"/>
      <c r="V234" s="19"/>
      <c r="W234" s="19"/>
      <c r="X234" s="19"/>
      <c r="Y234" s="19"/>
      <c r="Z234" s="19"/>
    </row>
    <row r="235" spans="2:26" ht="16.5" thickBot="1" x14ac:dyDescent="0.3">
      <c r="D235" s="44"/>
      <c r="E235" s="18" t="s">
        <v>261</v>
      </c>
      <c r="F235" s="255">
        <f>1/F234</f>
        <v>3.82262996941896E-2</v>
      </c>
      <c r="G235" s="12" t="s">
        <v>253</v>
      </c>
      <c r="J235" s="333"/>
      <c r="M235" s="44"/>
      <c r="N235" s="18" t="s">
        <v>261</v>
      </c>
      <c r="O235" s="255">
        <f>1/O234</f>
        <v>3.82262996941896E-2</v>
      </c>
      <c r="P235" s="12" t="s">
        <v>253</v>
      </c>
      <c r="Q235" s="261"/>
      <c r="S235" s="19"/>
      <c r="T235" s="19"/>
      <c r="U235" s="19"/>
      <c r="V235" s="19"/>
      <c r="W235" s="19"/>
      <c r="X235" s="19"/>
      <c r="Y235" s="19"/>
      <c r="Z235" s="19"/>
    </row>
    <row r="236" spans="2:26" ht="15.75" x14ac:dyDescent="0.25">
      <c r="B236" s="177"/>
      <c r="C236" s="177"/>
      <c r="D236" s="177"/>
      <c r="E236" s="177"/>
      <c r="F236" s="76"/>
      <c r="G236" s="257"/>
      <c r="H236" s="77"/>
      <c r="I236" s="177"/>
      <c r="J236" s="333"/>
      <c r="S236" s="19"/>
      <c r="T236" s="19"/>
      <c r="U236" s="19"/>
      <c r="V236" s="19"/>
      <c r="W236" s="19"/>
      <c r="X236" s="19"/>
      <c r="Y236" s="19"/>
      <c r="Z236" s="19"/>
    </row>
    <row r="237" spans="2:26" ht="16.5" thickBot="1" x14ac:dyDescent="0.3">
      <c r="B237" s="177"/>
      <c r="C237" s="177"/>
      <c r="D237" s="39" t="s">
        <v>3</v>
      </c>
      <c r="E237" s="39" t="s">
        <v>3</v>
      </c>
      <c r="F237" s="39" t="s">
        <v>3</v>
      </c>
      <c r="G237" s="39" t="s">
        <v>1</v>
      </c>
      <c r="H237" s="77"/>
      <c r="I237" s="177"/>
      <c r="J237" s="333"/>
      <c r="K237" s="177"/>
      <c r="L237" s="177"/>
      <c r="M237" s="39" t="s">
        <v>3</v>
      </c>
      <c r="N237" s="39" t="s">
        <v>3</v>
      </c>
      <c r="O237" s="39" t="s">
        <v>3</v>
      </c>
      <c r="P237" s="39" t="s">
        <v>1</v>
      </c>
      <c r="Q237" s="77"/>
      <c r="S237" s="19"/>
      <c r="T237" s="19"/>
      <c r="U237" s="19"/>
      <c r="V237" s="19"/>
      <c r="W237" s="19"/>
      <c r="X237" s="19"/>
      <c r="Y237" s="19"/>
      <c r="Z237" s="19"/>
    </row>
    <row r="238" spans="2:26" ht="16.5" thickBot="1" x14ac:dyDescent="0.3">
      <c r="B238" s="9"/>
      <c r="C238" s="9"/>
      <c r="D238" s="221" t="s">
        <v>60</v>
      </c>
      <c r="E238" s="222" t="s">
        <v>61</v>
      </c>
      <c r="F238" s="222" t="s">
        <v>89</v>
      </c>
      <c r="G238" s="223" t="s">
        <v>28</v>
      </c>
      <c r="I238" s="177"/>
      <c r="J238" s="333"/>
      <c r="K238" s="9"/>
      <c r="L238" s="9"/>
      <c r="M238" s="221" t="s">
        <v>60</v>
      </c>
      <c r="N238" s="222" t="s">
        <v>61</v>
      </c>
      <c r="O238" s="222" t="s">
        <v>89</v>
      </c>
      <c r="P238" s="223" t="s">
        <v>28</v>
      </c>
      <c r="S238" s="19"/>
      <c r="T238" s="19"/>
      <c r="U238" s="19"/>
      <c r="V238" s="19"/>
      <c r="W238" s="19"/>
      <c r="X238" s="19"/>
      <c r="Y238" s="19"/>
      <c r="Z238" s="19"/>
    </row>
    <row r="239" spans="2:26" ht="16.5" thickBot="1" x14ac:dyDescent="0.3">
      <c r="B239" s="262" t="s">
        <v>92</v>
      </c>
      <c r="C239" s="263"/>
      <c r="D239" s="224" t="s">
        <v>88</v>
      </c>
      <c r="E239" s="225" t="s">
        <v>26</v>
      </c>
      <c r="F239" s="225" t="s">
        <v>90</v>
      </c>
      <c r="G239" s="226" t="s">
        <v>83</v>
      </c>
      <c r="I239" s="177"/>
      <c r="J239" s="333"/>
      <c r="K239" s="262" t="s">
        <v>92</v>
      </c>
      <c r="L239" s="263"/>
      <c r="M239" s="224" t="s">
        <v>88</v>
      </c>
      <c r="N239" s="225" t="s">
        <v>26</v>
      </c>
      <c r="O239" s="225" t="s">
        <v>90</v>
      </c>
      <c r="P239" s="226" t="s">
        <v>83</v>
      </c>
      <c r="S239" s="19"/>
      <c r="T239" s="19"/>
      <c r="U239" s="19"/>
      <c r="V239" s="19"/>
      <c r="W239" s="19"/>
      <c r="X239" s="19"/>
      <c r="Y239" s="19"/>
      <c r="Z239" s="19"/>
    </row>
    <row r="240" spans="2:26" x14ac:dyDescent="0.2">
      <c r="B240" s="236"/>
      <c r="C240" s="175" t="s">
        <v>84</v>
      </c>
      <c r="D240" s="186">
        <v>30</v>
      </c>
      <c r="E240" s="186">
        <v>7</v>
      </c>
      <c r="F240" s="167">
        <v>2</v>
      </c>
      <c r="G240" s="187">
        <f>(D240/12)*E240*F240</f>
        <v>35</v>
      </c>
      <c r="I240" s="177"/>
      <c r="J240" s="333"/>
      <c r="K240" s="236"/>
      <c r="L240" s="175" t="s">
        <v>84</v>
      </c>
      <c r="M240" s="345">
        <v>30</v>
      </c>
      <c r="N240" s="345">
        <v>7</v>
      </c>
      <c r="O240" s="338">
        <v>2</v>
      </c>
      <c r="P240" s="187">
        <f>(M240/12)*N240*O240</f>
        <v>35</v>
      </c>
      <c r="S240" s="19"/>
      <c r="T240" s="19"/>
      <c r="U240" s="19"/>
      <c r="V240" s="19"/>
      <c r="W240" s="19"/>
      <c r="X240" s="19"/>
      <c r="Y240" s="19"/>
      <c r="Z240" s="19"/>
    </row>
    <row r="241" spans="1:26" x14ac:dyDescent="0.2">
      <c r="B241" s="236"/>
      <c r="C241" s="175" t="s">
        <v>85</v>
      </c>
      <c r="D241" s="186">
        <v>30</v>
      </c>
      <c r="E241" s="186">
        <v>7</v>
      </c>
      <c r="F241" s="167">
        <v>2</v>
      </c>
      <c r="G241" s="187">
        <f>(D241/12)*E241*F241</f>
        <v>35</v>
      </c>
      <c r="I241" s="177"/>
      <c r="J241" s="333"/>
      <c r="K241" s="236"/>
      <c r="L241" s="175" t="s">
        <v>85</v>
      </c>
      <c r="M241" s="345">
        <v>30</v>
      </c>
      <c r="N241" s="345">
        <v>7</v>
      </c>
      <c r="O241" s="338">
        <v>2</v>
      </c>
      <c r="P241" s="187">
        <f>(M241/12)*N241*O241</f>
        <v>35</v>
      </c>
      <c r="S241" s="19"/>
      <c r="T241" s="19"/>
      <c r="U241" s="19"/>
      <c r="V241" s="19"/>
      <c r="W241" s="19"/>
      <c r="X241" s="19"/>
      <c r="Y241" s="19"/>
      <c r="Z241" s="19"/>
    </row>
    <row r="242" spans="1:26" x14ac:dyDescent="0.2">
      <c r="B242" s="236"/>
      <c r="C242" s="175" t="s">
        <v>86</v>
      </c>
      <c r="D242" s="186">
        <v>30</v>
      </c>
      <c r="E242" s="186">
        <v>7</v>
      </c>
      <c r="F242" s="167">
        <v>2</v>
      </c>
      <c r="G242" s="187">
        <f>(D242/12)*E242*F242</f>
        <v>35</v>
      </c>
      <c r="I242" s="177"/>
      <c r="J242" s="333"/>
      <c r="K242" s="236"/>
      <c r="L242" s="175" t="s">
        <v>86</v>
      </c>
      <c r="M242" s="345">
        <v>30</v>
      </c>
      <c r="N242" s="345">
        <v>7</v>
      </c>
      <c r="O242" s="338">
        <v>2</v>
      </c>
      <c r="P242" s="187">
        <f>(M242/12)*N242*O242</f>
        <v>35</v>
      </c>
      <c r="S242" s="19"/>
      <c r="T242" s="19"/>
      <c r="U242" s="19"/>
      <c r="V242" s="19"/>
      <c r="W242" s="19"/>
      <c r="X242" s="19"/>
      <c r="Y242" s="19"/>
      <c r="Z242" s="19"/>
    </row>
    <row r="243" spans="1:26" ht="15.75" thickBot="1" x14ac:dyDescent="0.25">
      <c r="B243" s="249"/>
      <c r="C243" s="264" t="s">
        <v>87</v>
      </c>
      <c r="D243" s="192">
        <v>30</v>
      </c>
      <c r="E243" s="192">
        <v>7</v>
      </c>
      <c r="F243" s="266">
        <v>2</v>
      </c>
      <c r="G243" s="193">
        <f>(D243/12)*E243*F243</f>
        <v>35</v>
      </c>
      <c r="I243" s="177"/>
      <c r="J243" s="333"/>
      <c r="K243" s="249"/>
      <c r="L243" s="264" t="s">
        <v>87</v>
      </c>
      <c r="M243" s="346">
        <v>30</v>
      </c>
      <c r="N243" s="346">
        <v>7</v>
      </c>
      <c r="O243" s="347">
        <v>2</v>
      </c>
      <c r="P243" s="193">
        <f>(M243/12)*N243*O243</f>
        <v>35</v>
      </c>
      <c r="S243" s="19"/>
      <c r="T243" s="19"/>
      <c r="U243" s="19"/>
      <c r="V243" s="19"/>
      <c r="W243" s="19"/>
      <c r="X243" s="19"/>
      <c r="Y243" s="19"/>
      <c r="Z243" s="19"/>
    </row>
    <row r="244" spans="1:26" ht="16.5" thickBot="1" x14ac:dyDescent="0.3">
      <c r="E244" s="17"/>
      <c r="F244" s="18" t="s">
        <v>91</v>
      </c>
      <c r="G244" s="225">
        <f>SUM(G240:G243)</f>
        <v>140</v>
      </c>
      <c r="H244" s="16" t="s">
        <v>83</v>
      </c>
      <c r="I244" s="177"/>
      <c r="J244" s="333"/>
      <c r="M244" s="17"/>
      <c r="N244" s="17"/>
      <c r="O244" s="18" t="s">
        <v>91</v>
      </c>
      <c r="P244" s="225">
        <f>SUM(P240:P243)</f>
        <v>140</v>
      </c>
      <c r="Q244" s="16" t="s">
        <v>83</v>
      </c>
      <c r="R244" s="15"/>
      <c r="S244" s="19"/>
      <c r="T244" s="19"/>
      <c r="U244" s="19"/>
      <c r="V244" s="19"/>
      <c r="W244" s="19"/>
      <c r="X244" s="19"/>
      <c r="Y244" s="19"/>
      <c r="Z244" s="19"/>
    </row>
    <row r="245" spans="1:26" ht="15.75" x14ac:dyDescent="0.25">
      <c r="D245" s="20"/>
      <c r="J245" s="333"/>
      <c r="R245" s="15"/>
      <c r="S245" s="19"/>
      <c r="T245" s="19"/>
      <c r="U245" s="19"/>
      <c r="V245" s="19"/>
      <c r="W245" s="19"/>
      <c r="X245" s="19"/>
      <c r="Y245" s="19"/>
      <c r="Z245" s="19"/>
    </row>
    <row r="246" spans="1:26" ht="15.75" x14ac:dyDescent="0.25">
      <c r="B246" s="9" t="s">
        <v>56</v>
      </c>
      <c r="C246" s="18"/>
      <c r="J246" s="333"/>
      <c r="K246" s="9" t="s">
        <v>56</v>
      </c>
      <c r="L246" s="18"/>
      <c r="M246" s="17"/>
      <c r="N246" s="20"/>
      <c r="O246" s="20"/>
      <c r="P246" s="43"/>
      <c r="S246" s="19"/>
      <c r="T246" s="19"/>
      <c r="U246" s="19"/>
      <c r="V246" s="19"/>
      <c r="W246" s="19"/>
      <c r="X246" s="19"/>
      <c r="Y246" s="19"/>
      <c r="Z246" s="19"/>
    </row>
    <row r="247" spans="1:26" ht="16.5" thickBot="1" x14ac:dyDescent="0.3">
      <c r="D247" s="39" t="s">
        <v>1</v>
      </c>
      <c r="E247" s="39" t="s">
        <v>1</v>
      </c>
      <c r="F247" s="39" t="s">
        <v>1</v>
      </c>
      <c r="G247" s="39" t="s">
        <v>1</v>
      </c>
      <c r="H247" s="39" t="s">
        <v>1</v>
      </c>
      <c r="J247" s="333"/>
      <c r="M247" s="39" t="s">
        <v>1</v>
      </c>
      <c r="N247" s="39" t="s">
        <v>1</v>
      </c>
      <c r="O247" s="39" t="s">
        <v>1</v>
      </c>
      <c r="P247" s="39" t="s">
        <v>1</v>
      </c>
      <c r="Q247" s="39" t="s">
        <v>1</v>
      </c>
      <c r="S247" s="19"/>
      <c r="T247" s="19"/>
      <c r="U247" s="19"/>
      <c r="V247" s="19"/>
      <c r="W247" s="19"/>
      <c r="X247" s="19"/>
      <c r="Y247" s="19"/>
      <c r="Z247" s="19"/>
    </row>
    <row r="248" spans="1:26" ht="16.5" thickBot="1" x14ac:dyDescent="0.3">
      <c r="C248" s="39" t="s">
        <v>3</v>
      </c>
      <c r="D248" s="221" t="s">
        <v>51</v>
      </c>
      <c r="E248" s="222" t="s">
        <v>22</v>
      </c>
      <c r="F248" s="267" t="s">
        <v>779</v>
      </c>
      <c r="G248" s="222" t="s">
        <v>493</v>
      </c>
      <c r="H248" s="268" t="s">
        <v>14</v>
      </c>
      <c r="J248" s="333"/>
      <c r="L248" s="39" t="s">
        <v>3</v>
      </c>
      <c r="M248" s="221" t="s">
        <v>51</v>
      </c>
      <c r="N248" s="222" t="s">
        <v>22</v>
      </c>
      <c r="O248" s="267" t="s">
        <v>53</v>
      </c>
      <c r="P248" s="222" t="s">
        <v>493</v>
      </c>
      <c r="Q248" s="268" t="s">
        <v>14</v>
      </c>
      <c r="S248" s="19"/>
      <c r="T248" s="19"/>
      <c r="U248" s="19"/>
      <c r="V248" s="19"/>
      <c r="W248" s="19"/>
      <c r="X248" s="19"/>
      <c r="Y248" s="19"/>
      <c r="Z248" s="19"/>
    </row>
    <row r="249" spans="1:26" ht="16.5" thickBot="1" x14ac:dyDescent="0.3">
      <c r="A249" s="177"/>
      <c r="C249" s="80" t="s">
        <v>27</v>
      </c>
      <c r="D249" s="224" t="s">
        <v>28</v>
      </c>
      <c r="E249" s="225" t="s">
        <v>746</v>
      </c>
      <c r="F249" s="248" t="s">
        <v>746</v>
      </c>
      <c r="G249" s="225" t="s">
        <v>492</v>
      </c>
      <c r="H249" s="226" t="s">
        <v>30</v>
      </c>
      <c r="J249" s="334"/>
      <c r="L249" s="80" t="s">
        <v>27</v>
      </c>
      <c r="M249" s="224" t="s">
        <v>28</v>
      </c>
      <c r="N249" s="225" t="s">
        <v>746</v>
      </c>
      <c r="O249" s="248" t="s">
        <v>746</v>
      </c>
      <c r="P249" s="225" t="s">
        <v>492</v>
      </c>
      <c r="Q249" s="226" t="s">
        <v>30</v>
      </c>
      <c r="S249" s="19"/>
      <c r="T249" s="19"/>
      <c r="U249" s="19"/>
      <c r="V249" s="19"/>
      <c r="W249" s="19"/>
      <c r="X249" s="19"/>
      <c r="Y249" s="19"/>
      <c r="Z249" s="19"/>
    </row>
    <row r="250" spans="1:26" x14ac:dyDescent="0.2">
      <c r="A250" s="177"/>
      <c r="B250" s="269" t="s">
        <v>20</v>
      </c>
      <c r="C250" s="275">
        <v>0.05</v>
      </c>
      <c r="D250" s="270">
        <f>G$66*G$67</f>
        <v>1500</v>
      </c>
      <c r="E250" s="271">
        <f>F280</f>
        <v>40</v>
      </c>
      <c r="F250" s="272">
        <f>$D$250-$E$250</f>
        <v>1460</v>
      </c>
      <c r="G250" s="273">
        <f>G$81</f>
        <v>20</v>
      </c>
      <c r="H250" s="274">
        <f>C250*F250*G250</f>
        <v>1460</v>
      </c>
      <c r="J250" s="334"/>
      <c r="K250" s="269" t="s">
        <v>20</v>
      </c>
      <c r="L250" s="348">
        <v>0.05</v>
      </c>
      <c r="M250" s="179">
        <f>P$66*P$67</f>
        <v>1500</v>
      </c>
      <c r="N250" s="272">
        <f>O280</f>
        <v>40</v>
      </c>
      <c r="O250" s="274">
        <f>M250-N250</f>
        <v>1460</v>
      </c>
      <c r="P250" s="273">
        <f>P$81</f>
        <v>20</v>
      </c>
      <c r="Q250" s="274">
        <f>L250*O250*P250</f>
        <v>1460</v>
      </c>
      <c r="S250" s="19"/>
      <c r="T250" s="19"/>
      <c r="U250" s="19"/>
      <c r="V250" s="19"/>
      <c r="W250" s="19"/>
      <c r="X250" s="19"/>
      <c r="Y250" s="19"/>
      <c r="Z250" s="19"/>
    </row>
    <row r="251" spans="1:26" x14ac:dyDescent="0.2">
      <c r="A251" s="177"/>
      <c r="B251" s="276"/>
      <c r="C251" s="280"/>
      <c r="D251" s="177"/>
      <c r="E251" s="276"/>
      <c r="F251" s="278"/>
      <c r="G251" s="187"/>
      <c r="H251" s="279"/>
      <c r="J251" s="334"/>
      <c r="K251" s="276"/>
      <c r="L251" s="349"/>
      <c r="M251" s="235"/>
      <c r="N251" s="175"/>
      <c r="O251" s="279"/>
      <c r="P251" s="187"/>
      <c r="Q251" s="279"/>
      <c r="S251" s="19"/>
      <c r="T251" s="19"/>
      <c r="U251" s="19"/>
      <c r="V251" s="19"/>
      <c r="W251" s="19"/>
      <c r="X251" s="19"/>
      <c r="Y251" s="19"/>
      <c r="Z251" s="19"/>
    </row>
    <row r="252" spans="1:26" x14ac:dyDescent="0.2">
      <c r="A252" s="177"/>
      <c r="B252" s="276" t="s">
        <v>222</v>
      </c>
      <c r="C252" s="282">
        <v>3.8460000000000001E-2</v>
      </c>
      <c r="D252" s="261">
        <f>G$66*G$68</f>
        <v>800</v>
      </c>
      <c r="E252" s="281">
        <f>F276</f>
        <v>60</v>
      </c>
      <c r="F252" s="278">
        <f>D252-E252</f>
        <v>740</v>
      </c>
      <c r="G252" s="273">
        <f>G$81</f>
        <v>20</v>
      </c>
      <c r="H252" s="279">
        <f>C252*F252*G252</f>
        <v>569.20799999999997</v>
      </c>
      <c r="J252" s="334"/>
      <c r="K252" s="276" t="s">
        <v>222</v>
      </c>
      <c r="L252" s="350">
        <v>3.8460000000000001E-2</v>
      </c>
      <c r="M252" s="187">
        <f>P$66*P$68</f>
        <v>800</v>
      </c>
      <c r="N252" s="283">
        <f>O276</f>
        <v>60</v>
      </c>
      <c r="O252" s="279">
        <f>M252-N252</f>
        <v>740</v>
      </c>
      <c r="P252" s="273">
        <f>P$81</f>
        <v>20</v>
      </c>
      <c r="Q252" s="279">
        <f>L252*O252*P252</f>
        <v>569.20799999999997</v>
      </c>
      <c r="S252" s="19"/>
      <c r="T252" s="19"/>
      <c r="U252" s="19"/>
      <c r="V252" s="19"/>
      <c r="W252" s="19"/>
      <c r="X252" s="19"/>
      <c r="Y252" s="19"/>
      <c r="Z252" s="19"/>
    </row>
    <row r="253" spans="1:26" x14ac:dyDescent="0.2">
      <c r="A253" s="177"/>
      <c r="B253" s="276"/>
      <c r="C253" s="280"/>
      <c r="D253" s="261"/>
      <c r="E253" s="276"/>
      <c r="F253" s="278"/>
      <c r="G253" s="187"/>
      <c r="H253" s="279"/>
      <c r="J253" s="334"/>
      <c r="K253" s="276"/>
      <c r="L253" s="349"/>
      <c r="M253" s="187"/>
      <c r="N253" s="175"/>
      <c r="O253" s="279"/>
      <c r="P253" s="187"/>
      <c r="Q253" s="279"/>
      <c r="R253" s="106"/>
      <c r="S253" s="19"/>
      <c r="T253" s="19"/>
      <c r="U253" s="19"/>
      <c r="V253" s="19"/>
      <c r="W253" s="19"/>
      <c r="X253" s="19"/>
      <c r="Y253" s="19"/>
      <c r="Z253" s="19"/>
    </row>
    <row r="254" spans="1:26" x14ac:dyDescent="0.2">
      <c r="A254" s="177"/>
      <c r="B254" s="276" t="s">
        <v>223</v>
      </c>
      <c r="C254" s="282">
        <v>3.8460000000000001E-2</v>
      </c>
      <c r="D254" s="261">
        <f>G$66*G$68</f>
        <v>800</v>
      </c>
      <c r="E254" s="281">
        <f>F277</f>
        <v>90</v>
      </c>
      <c r="F254" s="278">
        <f>D254-E254</f>
        <v>710</v>
      </c>
      <c r="G254" s="273">
        <f>G$81</f>
        <v>20</v>
      </c>
      <c r="H254" s="279">
        <f>C254*F254*G254</f>
        <v>546.13199999999995</v>
      </c>
      <c r="J254" s="334"/>
      <c r="K254" s="276" t="s">
        <v>223</v>
      </c>
      <c r="L254" s="350">
        <v>3.8460000000000001E-2</v>
      </c>
      <c r="M254" s="187">
        <f>P$66*P$68</f>
        <v>800</v>
      </c>
      <c r="N254" s="283">
        <f>O277</f>
        <v>90</v>
      </c>
      <c r="O254" s="279">
        <f>M254-N254</f>
        <v>710</v>
      </c>
      <c r="P254" s="273">
        <f>P$81</f>
        <v>20</v>
      </c>
      <c r="Q254" s="279">
        <f>L254*O254*P254</f>
        <v>546.13199999999995</v>
      </c>
      <c r="R254" s="106"/>
      <c r="S254" s="19"/>
      <c r="T254" s="19"/>
      <c r="U254" s="19"/>
      <c r="V254" s="19"/>
      <c r="W254" s="19"/>
      <c r="X254" s="19"/>
      <c r="Y254" s="19"/>
      <c r="Z254" s="19"/>
    </row>
    <row r="255" spans="1:26" x14ac:dyDescent="0.2">
      <c r="A255" s="177"/>
      <c r="B255" s="276"/>
      <c r="C255" s="280"/>
      <c r="D255" s="177"/>
      <c r="E255" s="276"/>
      <c r="F255" s="278"/>
      <c r="G255" s="187"/>
      <c r="H255" s="279"/>
      <c r="J255" s="334"/>
      <c r="K255" s="276"/>
      <c r="L255" s="349"/>
      <c r="M255" s="235"/>
      <c r="N255" s="175"/>
      <c r="O255" s="279"/>
      <c r="P255" s="187"/>
      <c r="Q255" s="279"/>
      <c r="R255" s="167"/>
      <c r="S255" s="19"/>
      <c r="T255" s="19"/>
      <c r="U255" s="19"/>
      <c r="V255" s="19"/>
      <c r="W255" s="19"/>
      <c r="X255" s="19"/>
      <c r="Y255" s="19"/>
      <c r="Z255" s="19"/>
    </row>
    <row r="256" spans="1:26" x14ac:dyDescent="0.2">
      <c r="A256" s="177"/>
      <c r="B256" s="276" t="s">
        <v>225</v>
      </c>
      <c r="C256" s="282">
        <v>3.8460000000000001E-2</v>
      </c>
      <c r="D256" s="261">
        <f>G$67*G$68</f>
        <v>480</v>
      </c>
      <c r="E256" s="281">
        <f>F279</f>
        <v>20</v>
      </c>
      <c r="F256" s="278">
        <f>$D$256-$E$256</f>
        <v>460</v>
      </c>
      <c r="G256" s="273">
        <f>G$81</f>
        <v>20</v>
      </c>
      <c r="H256" s="279">
        <f>C256*F256*G256</f>
        <v>353.83199999999999</v>
      </c>
      <c r="J256" s="334"/>
      <c r="K256" s="276" t="s">
        <v>225</v>
      </c>
      <c r="L256" s="350">
        <v>3.8460000000000001E-2</v>
      </c>
      <c r="M256" s="187">
        <f>P$67*P$68</f>
        <v>480</v>
      </c>
      <c r="N256" s="283">
        <f>O279</f>
        <v>20</v>
      </c>
      <c r="O256" s="279">
        <f>M256-N256</f>
        <v>460</v>
      </c>
      <c r="P256" s="273">
        <f>P$81</f>
        <v>20</v>
      </c>
      <c r="Q256" s="279">
        <f>L256*O256*P256</f>
        <v>353.83199999999999</v>
      </c>
      <c r="R256" s="167"/>
      <c r="S256" s="19"/>
      <c r="T256" s="19"/>
      <c r="U256" s="19"/>
      <c r="V256" s="19"/>
      <c r="W256" s="19"/>
      <c r="X256" s="19"/>
      <c r="Y256" s="19"/>
      <c r="Z256" s="19"/>
    </row>
    <row r="257" spans="1:26" x14ac:dyDescent="0.2">
      <c r="A257" s="177"/>
      <c r="B257" s="276"/>
      <c r="C257" s="282"/>
      <c r="D257" s="177"/>
      <c r="E257" s="276"/>
      <c r="F257" s="278"/>
      <c r="G257" s="187"/>
      <c r="H257" s="279"/>
      <c r="J257" s="334"/>
      <c r="K257" s="276"/>
      <c r="L257" s="350"/>
      <c r="M257" s="235"/>
      <c r="N257" s="175"/>
      <c r="O257" s="187"/>
      <c r="P257" s="187"/>
      <c r="Q257" s="279"/>
      <c r="R257" s="167"/>
      <c r="S257" s="19"/>
      <c r="T257" s="19"/>
      <c r="U257" s="19"/>
      <c r="V257" s="19"/>
      <c r="W257" s="19"/>
      <c r="X257" s="19"/>
      <c r="Y257" s="19"/>
      <c r="Z257" s="19"/>
    </row>
    <row r="258" spans="1:26" ht="15.75" thickBot="1" x14ac:dyDescent="0.25">
      <c r="B258" s="284" t="s">
        <v>82</v>
      </c>
      <c r="C258" s="289">
        <v>3.8460000000000001E-2</v>
      </c>
      <c r="D258" s="265">
        <f>G$67*G$68</f>
        <v>480</v>
      </c>
      <c r="E258" s="285">
        <f>F279</f>
        <v>20</v>
      </c>
      <c r="F258" s="286">
        <f>D258-E258</f>
        <v>460</v>
      </c>
      <c r="G258" s="287">
        <f>G$81</f>
        <v>20</v>
      </c>
      <c r="H258" s="288">
        <f>C258*F258*G258</f>
        <v>353.83199999999999</v>
      </c>
      <c r="J258" s="334"/>
      <c r="K258" s="284" t="s">
        <v>82</v>
      </c>
      <c r="L258" s="351">
        <v>3.8460000000000001E-2</v>
      </c>
      <c r="M258" s="193">
        <f>P$67*P$68</f>
        <v>480</v>
      </c>
      <c r="N258" s="290">
        <f>O279</f>
        <v>20</v>
      </c>
      <c r="O258" s="288">
        <f>M258-N258</f>
        <v>460</v>
      </c>
      <c r="P258" s="273">
        <f>P$81</f>
        <v>20</v>
      </c>
      <c r="Q258" s="288">
        <f>L258*O258*P258</f>
        <v>353.83199999999999</v>
      </c>
      <c r="R258" s="167"/>
      <c r="S258" s="19"/>
      <c r="T258" s="19"/>
      <c r="U258" s="19"/>
      <c r="V258" s="19"/>
      <c r="W258" s="19"/>
      <c r="X258" s="19"/>
      <c r="Y258" s="19"/>
      <c r="Z258" s="19"/>
    </row>
    <row r="259" spans="1:26" ht="16.5" thickBot="1" x14ac:dyDescent="0.3">
      <c r="A259" s="20"/>
      <c r="B259" s="69"/>
      <c r="C259" s="69"/>
      <c r="D259" s="69"/>
      <c r="F259" s="43"/>
      <c r="G259" s="225" t="s">
        <v>54</v>
      </c>
      <c r="H259" s="291">
        <f>SUM(H250:H258)</f>
        <v>3283.0039999999999</v>
      </c>
      <c r="J259" s="334"/>
      <c r="K259" s="69"/>
      <c r="L259" s="69"/>
      <c r="M259" s="69"/>
      <c r="N259" s="20"/>
      <c r="P259" s="80" t="s">
        <v>54</v>
      </c>
      <c r="Q259" s="291">
        <f>SUM(Q250:Q258)</f>
        <v>3283.0039999999999</v>
      </c>
      <c r="R259" s="167"/>
      <c r="S259" s="19"/>
      <c r="T259" s="19"/>
      <c r="U259" s="19"/>
      <c r="V259" s="19"/>
      <c r="W259" s="19"/>
      <c r="X259" s="19"/>
      <c r="Y259" s="19"/>
      <c r="Z259" s="19"/>
    </row>
    <row r="260" spans="1:26" ht="15.75" x14ac:dyDescent="0.25">
      <c r="D260" s="20"/>
      <c r="H260" s="15" t="s">
        <v>30</v>
      </c>
      <c r="J260" s="334"/>
      <c r="L260" s="30"/>
      <c r="N260" s="20"/>
      <c r="O260" s="20"/>
      <c r="P260" s="43"/>
      <c r="Q260" s="15" t="s">
        <v>30</v>
      </c>
      <c r="R260" s="167"/>
      <c r="S260" s="19"/>
      <c r="T260" s="19"/>
      <c r="U260" s="19"/>
      <c r="V260" s="19"/>
      <c r="W260" s="19"/>
      <c r="X260" s="19"/>
      <c r="Y260" s="19"/>
      <c r="Z260" s="19"/>
    </row>
    <row r="261" spans="1:26" ht="15.75" x14ac:dyDescent="0.25">
      <c r="B261" s="30" t="s">
        <v>233</v>
      </c>
      <c r="J261" s="333"/>
      <c r="K261" s="30" t="s">
        <v>233</v>
      </c>
      <c r="S261" s="19"/>
      <c r="T261" s="19"/>
      <c r="U261" s="19"/>
      <c r="V261" s="19"/>
      <c r="W261" s="19"/>
      <c r="X261" s="19"/>
      <c r="Y261" s="19"/>
      <c r="Z261" s="19"/>
    </row>
    <row r="262" spans="1:26" x14ac:dyDescent="0.2">
      <c r="C262" s="173" t="s">
        <v>237</v>
      </c>
      <c r="D262" s="20"/>
      <c r="J262" s="333"/>
      <c r="L262" s="173" t="s">
        <v>237</v>
      </c>
      <c r="N262" s="20"/>
      <c r="O262" s="20"/>
      <c r="P262" s="43"/>
      <c r="R262" s="167"/>
      <c r="S262" s="19"/>
      <c r="T262" s="19"/>
      <c r="U262" s="19"/>
      <c r="V262" s="19"/>
      <c r="W262" s="19"/>
      <c r="X262" s="19"/>
      <c r="Y262" s="19"/>
      <c r="Z262" s="19"/>
    </row>
    <row r="263" spans="1:26" x14ac:dyDescent="0.2">
      <c r="C263" s="173" t="s">
        <v>236</v>
      </c>
      <c r="D263" s="20"/>
      <c r="J263" s="333"/>
      <c r="L263" s="173" t="s">
        <v>236</v>
      </c>
      <c r="N263" s="20"/>
      <c r="O263" s="20"/>
      <c r="P263" s="43"/>
      <c r="R263" s="167"/>
      <c r="S263" s="19"/>
      <c r="T263" s="19"/>
      <c r="U263" s="19"/>
      <c r="V263" s="19"/>
      <c r="W263" s="19"/>
      <c r="X263" s="19"/>
      <c r="Y263" s="19"/>
      <c r="Z263" s="19"/>
    </row>
    <row r="264" spans="1:26" ht="15.75" x14ac:dyDescent="0.25">
      <c r="B264" s="9"/>
      <c r="C264" s="17" t="s">
        <v>232</v>
      </c>
      <c r="D264" s="20"/>
      <c r="J264" s="333"/>
      <c r="K264" s="9"/>
      <c r="L264" s="17" t="s">
        <v>232</v>
      </c>
      <c r="N264" s="20"/>
      <c r="O264" s="20"/>
      <c r="P264" s="43"/>
      <c r="R264" s="111"/>
      <c r="S264" s="19"/>
      <c r="T264" s="19"/>
      <c r="U264" s="19"/>
      <c r="V264" s="19"/>
      <c r="W264" s="19"/>
      <c r="X264" s="19"/>
      <c r="Y264" s="19"/>
      <c r="Z264" s="19"/>
    </row>
    <row r="265" spans="1:26" ht="16.5" thickBot="1" x14ac:dyDescent="0.3">
      <c r="D265" s="20"/>
      <c r="F265" s="39" t="s">
        <v>276</v>
      </c>
      <c r="J265" s="333"/>
      <c r="N265" s="20"/>
      <c r="O265" s="39" t="s">
        <v>276</v>
      </c>
      <c r="P265" s="43"/>
      <c r="R265" s="19"/>
      <c r="S265" s="19"/>
      <c r="T265" s="19"/>
      <c r="U265" s="19"/>
      <c r="V265" s="19"/>
      <c r="W265" s="19"/>
      <c r="X265" s="19"/>
      <c r="Y265" s="19"/>
      <c r="Z265" s="19"/>
    </row>
    <row r="266" spans="1:26" ht="15.75" x14ac:dyDescent="0.25">
      <c r="C266" s="18"/>
      <c r="E266" s="199" t="s">
        <v>749</v>
      </c>
      <c r="F266" s="292">
        <v>200</v>
      </c>
      <c r="G266" s="173" t="s">
        <v>275</v>
      </c>
      <c r="J266" s="334"/>
      <c r="L266" s="18"/>
      <c r="M266" s="17"/>
      <c r="N266" s="199" t="s">
        <v>749</v>
      </c>
      <c r="O266" s="292">
        <v>200</v>
      </c>
      <c r="P266" s="173" t="s">
        <v>275</v>
      </c>
      <c r="R266" s="19"/>
      <c r="S266" s="19"/>
      <c r="T266" s="19"/>
      <c r="U266" s="19"/>
      <c r="V266" s="19"/>
      <c r="W266" s="19"/>
      <c r="X266" s="19"/>
      <c r="Y266" s="19"/>
      <c r="Z266" s="19"/>
    </row>
    <row r="267" spans="1:26" ht="15.75" x14ac:dyDescent="0.25">
      <c r="C267" s="18"/>
      <c r="E267" s="199" t="s">
        <v>748</v>
      </c>
      <c r="F267" s="293">
        <v>100</v>
      </c>
      <c r="G267" s="294" t="s">
        <v>757</v>
      </c>
      <c r="J267" s="334"/>
      <c r="L267" s="18"/>
      <c r="M267" s="17"/>
      <c r="N267" s="199" t="s">
        <v>748</v>
      </c>
      <c r="O267" s="293">
        <v>100</v>
      </c>
      <c r="P267" s="294" t="s">
        <v>757</v>
      </c>
      <c r="R267" s="19"/>
      <c r="S267" s="19"/>
      <c r="T267" s="19"/>
      <c r="U267" s="19"/>
      <c r="V267" s="19"/>
      <c r="W267" s="19"/>
      <c r="X267" s="19"/>
      <c r="Y267" s="19"/>
      <c r="Z267" s="19"/>
    </row>
    <row r="268" spans="1:26" x14ac:dyDescent="0.2">
      <c r="E268" s="199" t="s">
        <v>747</v>
      </c>
      <c r="F268" s="293">
        <v>0</v>
      </c>
      <c r="G268" s="294" t="s">
        <v>757</v>
      </c>
      <c r="J268" s="334"/>
      <c r="M268" s="17"/>
      <c r="N268" s="199" t="s">
        <v>747</v>
      </c>
      <c r="O268" s="293">
        <v>0</v>
      </c>
      <c r="P268" s="294" t="s">
        <v>757</v>
      </c>
      <c r="R268" s="19"/>
      <c r="S268" s="19"/>
      <c r="T268" s="19"/>
      <c r="U268" s="19"/>
      <c r="V268" s="19"/>
      <c r="W268" s="19"/>
      <c r="X268" s="19"/>
      <c r="Y268" s="19"/>
      <c r="Z268" s="19"/>
    </row>
    <row r="269" spans="1:26" ht="15.75" x14ac:dyDescent="0.25">
      <c r="C269" s="18"/>
      <c r="E269" s="199" t="s">
        <v>240</v>
      </c>
      <c r="F269" s="293">
        <v>200</v>
      </c>
      <c r="G269" s="173" t="s">
        <v>275</v>
      </c>
      <c r="J269" s="334"/>
      <c r="L269" s="18"/>
      <c r="M269" s="17"/>
      <c r="N269" s="199" t="s">
        <v>240</v>
      </c>
      <c r="O269" s="293">
        <v>200</v>
      </c>
      <c r="P269" s="173" t="s">
        <v>275</v>
      </c>
      <c r="R269" s="19"/>
      <c r="S269" s="19"/>
      <c r="T269" s="19"/>
      <c r="U269" s="19"/>
      <c r="V269" s="19"/>
      <c r="W269" s="19"/>
      <c r="X269" s="19"/>
      <c r="Y269" s="19"/>
      <c r="Z269" s="19"/>
    </row>
    <row r="270" spans="1:26" ht="15.75" thickBot="1" x14ac:dyDescent="0.25">
      <c r="E270" s="199" t="s">
        <v>235</v>
      </c>
      <c r="F270" s="295">
        <v>1</v>
      </c>
      <c r="G270" s="173"/>
      <c r="J270" s="334"/>
      <c r="M270" s="17"/>
      <c r="N270" s="199" t="s">
        <v>235</v>
      </c>
      <c r="O270" s="295">
        <v>1</v>
      </c>
      <c r="P270" s="173"/>
      <c r="R270" s="19"/>
      <c r="S270" s="19"/>
      <c r="T270" s="19"/>
      <c r="U270" s="19"/>
      <c r="V270" s="19"/>
      <c r="W270" s="19"/>
      <c r="X270" s="19"/>
      <c r="Y270" s="19"/>
      <c r="Z270" s="19"/>
    </row>
    <row r="271" spans="1:26" x14ac:dyDescent="0.2">
      <c r="J271" s="333"/>
      <c r="S271" s="19"/>
      <c r="T271" s="19"/>
      <c r="U271" s="19"/>
      <c r="V271" s="19"/>
      <c r="W271" s="19"/>
      <c r="X271" s="19"/>
      <c r="Y271" s="19"/>
      <c r="Z271" s="19"/>
    </row>
    <row r="272" spans="1:26" ht="18.75" x14ac:dyDescent="0.25">
      <c r="B272" s="30" t="s">
        <v>97</v>
      </c>
      <c r="D272" s="20"/>
      <c r="E272" s="18" t="s">
        <v>231</v>
      </c>
      <c r="F272" s="16">
        <v>1.1299999999999999</v>
      </c>
      <c r="G272" s="296" t="s">
        <v>891</v>
      </c>
      <c r="J272" s="334"/>
      <c r="K272" s="30" t="s">
        <v>97</v>
      </c>
      <c r="N272" s="18" t="s">
        <v>231</v>
      </c>
      <c r="O272" s="16">
        <v>1.1299999999999999</v>
      </c>
      <c r="P272" s="297" t="s">
        <v>892</v>
      </c>
      <c r="Q272" s="19"/>
      <c r="R272" s="106"/>
      <c r="S272" s="19"/>
      <c r="T272" s="19"/>
      <c r="U272" s="19"/>
      <c r="V272" s="19"/>
      <c r="W272" s="19"/>
      <c r="X272" s="19"/>
      <c r="Y272" s="19"/>
      <c r="Z272" s="19"/>
    </row>
    <row r="273" spans="2:26" ht="16.5" thickBot="1" x14ac:dyDescent="0.3">
      <c r="C273" s="39" t="s">
        <v>3</v>
      </c>
      <c r="D273" s="39" t="s">
        <v>3</v>
      </c>
      <c r="E273" s="39" t="s">
        <v>3</v>
      </c>
      <c r="F273" s="39" t="s">
        <v>1</v>
      </c>
      <c r="G273" s="39" t="s">
        <v>1</v>
      </c>
      <c r="H273" s="39" t="s">
        <v>1</v>
      </c>
      <c r="I273" s="39" t="s">
        <v>1</v>
      </c>
      <c r="J273" s="333"/>
      <c r="L273" s="39" t="s">
        <v>3</v>
      </c>
      <c r="M273" s="39" t="s">
        <v>3</v>
      </c>
      <c r="N273" s="39" t="s">
        <v>3</v>
      </c>
      <c r="O273" s="39" t="s">
        <v>1</v>
      </c>
      <c r="P273" s="39" t="s">
        <v>1</v>
      </c>
      <c r="Q273" s="39" t="s">
        <v>1</v>
      </c>
      <c r="R273" s="39" t="s">
        <v>1</v>
      </c>
      <c r="S273" s="19"/>
      <c r="T273" s="19"/>
      <c r="U273" s="19"/>
      <c r="V273" s="19"/>
      <c r="W273" s="19"/>
      <c r="X273" s="19"/>
      <c r="Y273" s="19"/>
      <c r="Z273" s="19"/>
    </row>
    <row r="274" spans="2:26" ht="15.75" x14ac:dyDescent="0.25">
      <c r="B274" s="222" t="s">
        <v>752</v>
      </c>
      <c r="C274" s="179" t="s">
        <v>60</v>
      </c>
      <c r="D274" s="179" t="s">
        <v>61</v>
      </c>
      <c r="E274" s="179" t="s">
        <v>89</v>
      </c>
      <c r="F274" s="183" t="s">
        <v>28</v>
      </c>
      <c r="G274" s="298" t="s">
        <v>22</v>
      </c>
      <c r="H274" s="222" t="s">
        <v>893</v>
      </c>
      <c r="I274" s="299" t="s">
        <v>22</v>
      </c>
      <c r="J274" s="333"/>
      <c r="K274" s="222" t="s">
        <v>752</v>
      </c>
      <c r="L274" s="179" t="s">
        <v>60</v>
      </c>
      <c r="M274" s="179" t="s">
        <v>61</v>
      </c>
      <c r="N274" s="179" t="s">
        <v>89</v>
      </c>
      <c r="O274" s="183" t="s">
        <v>28</v>
      </c>
      <c r="P274" s="298" t="s">
        <v>22</v>
      </c>
      <c r="Q274" s="222" t="s">
        <v>893</v>
      </c>
      <c r="R274" s="299" t="s">
        <v>22</v>
      </c>
      <c r="S274" s="19"/>
      <c r="T274" s="19"/>
      <c r="U274" s="19"/>
      <c r="V274" s="19"/>
      <c r="W274" s="19"/>
      <c r="X274" s="19"/>
      <c r="Y274" s="19"/>
      <c r="Z274" s="19"/>
    </row>
    <row r="275" spans="2:26" ht="16.5" thickBot="1" x14ac:dyDescent="0.3">
      <c r="B275" s="225" t="s">
        <v>751</v>
      </c>
      <c r="C275" s="193" t="s">
        <v>26</v>
      </c>
      <c r="D275" s="187" t="s">
        <v>26</v>
      </c>
      <c r="E275" s="193" t="s">
        <v>68</v>
      </c>
      <c r="F275" s="194" t="s">
        <v>83</v>
      </c>
      <c r="G275" s="300" t="s">
        <v>238</v>
      </c>
      <c r="H275" s="225" t="s">
        <v>230</v>
      </c>
      <c r="I275" s="301" t="s">
        <v>239</v>
      </c>
      <c r="J275" s="333"/>
      <c r="K275" s="225" t="s">
        <v>751</v>
      </c>
      <c r="L275" s="193" t="s">
        <v>26</v>
      </c>
      <c r="M275" s="187" t="s">
        <v>26</v>
      </c>
      <c r="N275" s="193" t="s">
        <v>68</v>
      </c>
      <c r="O275" s="194" t="s">
        <v>83</v>
      </c>
      <c r="P275" s="300" t="s">
        <v>238</v>
      </c>
      <c r="Q275" s="234" t="s">
        <v>230</v>
      </c>
      <c r="R275" s="301" t="s">
        <v>239</v>
      </c>
      <c r="S275" s="19"/>
      <c r="T275" s="19"/>
      <c r="U275" s="19"/>
      <c r="V275" s="19"/>
      <c r="W275" s="19"/>
      <c r="X275" s="19"/>
      <c r="Y275" s="19"/>
      <c r="Z275" s="19"/>
    </row>
    <row r="276" spans="2:26" x14ac:dyDescent="0.2">
      <c r="B276" s="269" t="s">
        <v>494</v>
      </c>
      <c r="C276" s="304">
        <v>2.5</v>
      </c>
      <c r="D276" s="182">
        <v>4</v>
      </c>
      <c r="E276" s="305">
        <v>6</v>
      </c>
      <c r="F276" s="183">
        <f>C276*D276*E276</f>
        <v>60</v>
      </c>
      <c r="G276" s="302">
        <v>1.1299999999999999</v>
      </c>
      <c r="H276" s="303">
        <f>$G$81</f>
        <v>20</v>
      </c>
      <c r="I276" s="188">
        <f>F276*G276*H276</f>
        <v>1356</v>
      </c>
      <c r="J276" s="333"/>
      <c r="K276" s="269" t="s">
        <v>494</v>
      </c>
      <c r="L276" s="352">
        <v>2.5</v>
      </c>
      <c r="M276" s="353">
        <v>4</v>
      </c>
      <c r="N276" s="354">
        <v>6</v>
      </c>
      <c r="O276" s="183">
        <f>L276*M276*N276</f>
        <v>60</v>
      </c>
      <c r="P276" s="306">
        <v>1.1299999999999999</v>
      </c>
      <c r="Q276" s="303">
        <f>$G$81</f>
        <v>20</v>
      </c>
      <c r="R276" s="188">
        <f>O276*P276*Q276</f>
        <v>1356</v>
      </c>
      <c r="S276" s="19"/>
      <c r="T276" s="19"/>
      <c r="U276" s="19"/>
      <c r="V276" s="19"/>
      <c r="W276" s="19"/>
      <c r="X276" s="19"/>
      <c r="Y276" s="19"/>
      <c r="Z276" s="19"/>
    </row>
    <row r="277" spans="2:26" x14ac:dyDescent="0.2">
      <c r="B277" s="276" t="s">
        <v>495</v>
      </c>
      <c r="C277" s="308">
        <v>2.5</v>
      </c>
      <c r="D277" s="186">
        <v>4</v>
      </c>
      <c r="E277" s="309">
        <v>9</v>
      </c>
      <c r="F277" s="188">
        <f>C277*D277*E277</f>
        <v>90</v>
      </c>
      <c r="G277" s="302">
        <v>1.1299999999999999</v>
      </c>
      <c r="H277" s="273">
        <f>G$81</f>
        <v>20</v>
      </c>
      <c r="I277" s="307">
        <f>F277*G277*H277</f>
        <v>2033.9999999999998</v>
      </c>
      <c r="J277" s="333"/>
      <c r="K277" s="276" t="s">
        <v>495</v>
      </c>
      <c r="L277" s="355">
        <v>2.5</v>
      </c>
      <c r="M277" s="345">
        <v>4</v>
      </c>
      <c r="N277" s="356">
        <v>9</v>
      </c>
      <c r="O277" s="188">
        <f>L277*M277*N277</f>
        <v>90</v>
      </c>
      <c r="P277" s="306">
        <v>1.1299999999999999</v>
      </c>
      <c r="Q277" s="273">
        <f>$G$81</f>
        <v>20</v>
      </c>
      <c r="R277" s="307">
        <f>O277*P277*Q277</f>
        <v>2033.9999999999998</v>
      </c>
      <c r="S277" s="19"/>
      <c r="T277" s="19"/>
      <c r="U277" s="19"/>
      <c r="V277" s="19"/>
      <c r="W277" s="19"/>
      <c r="X277" s="19"/>
      <c r="Y277" s="19"/>
      <c r="Z277" s="19"/>
    </row>
    <row r="278" spans="2:26" x14ac:dyDescent="0.2">
      <c r="B278" s="276" t="s">
        <v>496</v>
      </c>
      <c r="C278" s="308">
        <v>2.5</v>
      </c>
      <c r="D278" s="186">
        <v>4</v>
      </c>
      <c r="E278" s="309">
        <v>2</v>
      </c>
      <c r="F278" s="188">
        <f>C278*D278*E278</f>
        <v>20</v>
      </c>
      <c r="G278" s="302">
        <v>1.1299999999999999</v>
      </c>
      <c r="H278" s="273">
        <f>G$81</f>
        <v>20</v>
      </c>
      <c r="I278" s="188">
        <f>F278*G278*H278</f>
        <v>451.99999999999994</v>
      </c>
      <c r="J278" s="333"/>
      <c r="K278" s="276" t="s">
        <v>496</v>
      </c>
      <c r="L278" s="355">
        <v>2.5</v>
      </c>
      <c r="M278" s="345">
        <v>4</v>
      </c>
      <c r="N278" s="356">
        <v>2</v>
      </c>
      <c r="O278" s="188">
        <f>L278*M278*N278</f>
        <v>20</v>
      </c>
      <c r="P278" s="306">
        <v>1.1299999999999999</v>
      </c>
      <c r="Q278" s="273">
        <f>$G$81</f>
        <v>20</v>
      </c>
      <c r="R278" s="188">
        <f>O278*P278*Q278</f>
        <v>451.99999999999994</v>
      </c>
      <c r="S278" s="19"/>
      <c r="T278" s="19"/>
      <c r="U278" s="19"/>
      <c r="V278" s="19"/>
      <c r="W278" s="19"/>
      <c r="X278" s="19"/>
      <c r="Y278" s="19"/>
      <c r="Z278" s="19"/>
    </row>
    <row r="279" spans="2:26" x14ac:dyDescent="0.2">
      <c r="B279" s="276" t="s">
        <v>497</v>
      </c>
      <c r="C279" s="308">
        <v>2.5</v>
      </c>
      <c r="D279" s="186">
        <v>4</v>
      </c>
      <c r="E279" s="309">
        <v>2</v>
      </c>
      <c r="F279" s="188">
        <f>C279*D279*E279</f>
        <v>20</v>
      </c>
      <c r="G279" s="302">
        <v>1.1299999999999999</v>
      </c>
      <c r="H279" s="273">
        <f>G$81</f>
        <v>20</v>
      </c>
      <c r="I279" s="188">
        <f>F279*G279*H279</f>
        <v>451.99999999999994</v>
      </c>
      <c r="J279" s="333"/>
      <c r="K279" s="276" t="s">
        <v>497</v>
      </c>
      <c r="L279" s="355">
        <v>2.5</v>
      </c>
      <c r="M279" s="345">
        <v>4</v>
      </c>
      <c r="N279" s="356">
        <v>2</v>
      </c>
      <c r="O279" s="188">
        <f>L279*M279*N279</f>
        <v>20</v>
      </c>
      <c r="P279" s="306">
        <v>1.1299999999999999</v>
      </c>
      <c r="Q279" s="273">
        <f>$G$81</f>
        <v>20</v>
      </c>
      <c r="R279" s="188">
        <f>O279*P279*Q279</f>
        <v>451.99999999999994</v>
      </c>
      <c r="S279" s="19"/>
      <c r="T279" s="19"/>
      <c r="U279" s="19"/>
      <c r="V279" s="19"/>
      <c r="W279" s="19"/>
      <c r="X279" s="19"/>
      <c r="Y279" s="19"/>
      <c r="Z279" s="19"/>
    </row>
    <row r="280" spans="2:26" ht="15.75" thickBot="1" x14ac:dyDescent="0.25">
      <c r="B280" s="310" t="s">
        <v>98</v>
      </c>
      <c r="C280" s="311">
        <v>2.5</v>
      </c>
      <c r="D280" s="192">
        <v>4</v>
      </c>
      <c r="E280" s="312">
        <v>4</v>
      </c>
      <c r="F280" s="194">
        <f>C280*D280*E280</f>
        <v>40</v>
      </c>
      <c r="G280" s="300">
        <v>1.1299999999999999</v>
      </c>
      <c r="H280" s="287">
        <f>G$81</f>
        <v>20</v>
      </c>
      <c r="I280" s="194">
        <f>F280*G280*H280</f>
        <v>903.99999999999989</v>
      </c>
      <c r="J280" s="333"/>
      <c r="K280" s="310" t="s">
        <v>98</v>
      </c>
      <c r="L280" s="357">
        <v>2.5</v>
      </c>
      <c r="M280" s="346">
        <v>4</v>
      </c>
      <c r="N280" s="358">
        <v>4</v>
      </c>
      <c r="O280" s="194">
        <f>L280*M280*N280</f>
        <v>40</v>
      </c>
      <c r="P280" s="313">
        <v>1.1299999999999999</v>
      </c>
      <c r="Q280" s="287">
        <f>$G$81</f>
        <v>20</v>
      </c>
      <c r="R280" s="194">
        <f>O280*P280*Q280</f>
        <v>903.99999999999989</v>
      </c>
      <c r="S280" s="19"/>
      <c r="T280" s="19"/>
      <c r="U280" s="19"/>
      <c r="V280" s="19"/>
      <c r="W280" s="19"/>
      <c r="X280" s="19"/>
      <c r="Y280" s="19"/>
      <c r="Z280" s="19"/>
    </row>
    <row r="281" spans="2:26" ht="16.5" thickBot="1" x14ac:dyDescent="0.3">
      <c r="E281" s="76" t="s">
        <v>93</v>
      </c>
      <c r="F281" s="80">
        <f>SUM(F276:F280)</f>
        <v>230</v>
      </c>
      <c r="G281" s="16"/>
      <c r="H281" s="18" t="s">
        <v>754</v>
      </c>
      <c r="I281" s="195">
        <f>SUM(I276:I280)</f>
        <v>5198</v>
      </c>
      <c r="J281" s="333"/>
      <c r="M281" s="9"/>
      <c r="N281" s="76" t="s">
        <v>93</v>
      </c>
      <c r="O281" s="80">
        <f>SUM(O276:O280)</f>
        <v>230</v>
      </c>
      <c r="P281" s="16"/>
      <c r="Q281" s="18" t="s">
        <v>754</v>
      </c>
      <c r="R281" s="195">
        <f>SUM(R276:R280)</f>
        <v>5198</v>
      </c>
      <c r="S281" s="19"/>
      <c r="T281" s="19"/>
      <c r="U281" s="19"/>
      <c r="V281" s="19"/>
      <c r="W281" s="19"/>
      <c r="X281" s="19"/>
      <c r="Y281" s="19"/>
      <c r="Z281" s="19"/>
    </row>
    <row r="282" spans="2:26" ht="16.5" thickBot="1" x14ac:dyDescent="0.3">
      <c r="B282" s="9" t="s">
        <v>277</v>
      </c>
      <c r="E282" s="18"/>
      <c r="F282" s="18"/>
      <c r="G282" s="16"/>
      <c r="I282" s="15" t="s">
        <v>0</v>
      </c>
      <c r="J282" s="333"/>
      <c r="L282" s="9" t="s">
        <v>277</v>
      </c>
      <c r="M282" s="17"/>
      <c r="N282" s="17"/>
      <c r="O282" s="20"/>
      <c r="P282" s="43"/>
      <c r="R282" s="15" t="s">
        <v>0</v>
      </c>
      <c r="S282" s="19"/>
      <c r="T282" s="19"/>
      <c r="U282" s="19"/>
      <c r="V282" s="19"/>
      <c r="W282" s="19"/>
      <c r="X282" s="19"/>
      <c r="Y282" s="19"/>
      <c r="Z282" s="19"/>
    </row>
    <row r="283" spans="2:26" ht="15.75" x14ac:dyDescent="0.25">
      <c r="B283" s="221" t="s">
        <v>750</v>
      </c>
      <c r="C283" s="117"/>
      <c r="D283" s="221" t="s">
        <v>22</v>
      </c>
      <c r="E283" s="222" t="s">
        <v>234</v>
      </c>
      <c r="J283" s="333"/>
      <c r="K283" s="221" t="s">
        <v>750</v>
      </c>
      <c r="L283" s="118"/>
      <c r="M283" s="267" t="s">
        <v>22</v>
      </c>
      <c r="N283" s="222" t="s">
        <v>234</v>
      </c>
      <c r="O283" s="48"/>
      <c r="P283" s="45"/>
      <c r="Q283" s="19"/>
      <c r="R283" s="19"/>
      <c r="S283" s="19"/>
      <c r="T283" s="19"/>
      <c r="U283" s="19"/>
      <c r="V283" s="19"/>
      <c r="W283" s="19"/>
      <c r="X283" s="19"/>
      <c r="Y283" s="19"/>
      <c r="Z283" s="19"/>
    </row>
    <row r="284" spans="2:26" ht="16.5" thickBot="1" x14ac:dyDescent="0.3">
      <c r="B284" s="314" t="s">
        <v>751</v>
      </c>
      <c r="C284" s="175"/>
      <c r="D284" s="314" t="s">
        <v>28</v>
      </c>
      <c r="E284" s="225" t="s">
        <v>30</v>
      </c>
      <c r="J284" s="333"/>
      <c r="K284" s="224" t="s">
        <v>751</v>
      </c>
      <c r="L284" s="315"/>
      <c r="M284" s="248" t="s">
        <v>28</v>
      </c>
      <c r="N284" s="225" t="s">
        <v>30</v>
      </c>
      <c r="O284" s="48"/>
      <c r="P284" s="45"/>
      <c r="Q284" s="19"/>
      <c r="R284" s="19"/>
      <c r="S284" s="19"/>
      <c r="T284" s="19"/>
      <c r="U284" s="19"/>
      <c r="V284" s="19"/>
      <c r="W284" s="19"/>
      <c r="X284" s="19"/>
      <c r="Y284" s="19"/>
      <c r="Z284" s="19"/>
    </row>
    <row r="285" spans="2:26" ht="15.75" x14ac:dyDescent="0.25">
      <c r="B285" s="316"/>
      <c r="C285" s="317" t="s">
        <v>221</v>
      </c>
      <c r="D285" s="271">
        <f>$F$276</f>
        <v>60</v>
      </c>
      <c r="E285" s="279">
        <f>D285*F$268*F$270</f>
        <v>0</v>
      </c>
      <c r="J285" s="333"/>
      <c r="K285" s="236"/>
      <c r="L285" s="318" t="s">
        <v>221</v>
      </c>
      <c r="M285" s="271">
        <f>$F$276</f>
        <v>60</v>
      </c>
      <c r="N285" s="279">
        <f>M285*F268*F270</f>
        <v>0</v>
      </c>
      <c r="O285" s="48"/>
      <c r="P285" s="45"/>
      <c r="Q285" s="19"/>
      <c r="R285" s="19"/>
      <c r="S285" s="19"/>
      <c r="T285" s="19"/>
      <c r="U285" s="19"/>
      <c r="V285" s="19"/>
      <c r="W285" s="19"/>
      <c r="X285" s="19"/>
      <c r="Y285" s="19"/>
      <c r="Z285" s="19"/>
    </row>
    <row r="286" spans="2:26" x14ac:dyDescent="0.2">
      <c r="B286" s="236"/>
      <c r="C286" s="175" t="s">
        <v>224</v>
      </c>
      <c r="D286" s="281">
        <f>$F$277</f>
        <v>90</v>
      </c>
      <c r="E286" s="279">
        <f>D286*F$267*F$270</f>
        <v>9000</v>
      </c>
      <c r="J286" s="333"/>
      <c r="K286" s="236"/>
      <c r="L286" s="318" t="s">
        <v>224</v>
      </c>
      <c r="M286" s="281">
        <f>$F$277</f>
        <v>90</v>
      </c>
      <c r="N286" s="279">
        <f>M286*F267*F270</f>
        <v>9000</v>
      </c>
      <c r="O286" s="48"/>
      <c r="P286" s="45"/>
      <c r="Q286" s="19"/>
      <c r="R286" s="19"/>
      <c r="S286" s="19"/>
      <c r="T286" s="19"/>
      <c r="U286" s="19"/>
      <c r="V286" s="19"/>
      <c r="W286" s="19"/>
      <c r="X286" s="19"/>
      <c r="Y286" s="19"/>
      <c r="Z286" s="19"/>
    </row>
    <row r="287" spans="2:26" x14ac:dyDescent="0.2">
      <c r="B287" s="236"/>
      <c r="C287" s="175" t="s">
        <v>226</v>
      </c>
      <c r="D287" s="281">
        <f>$F$278</f>
        <v>20</v>
      </c>
      <c r="E287" s="279">
        <f>D287*F$266*F$270</f>
        <v>4000</v>
      </c>
      <c r="J287" s="333"/>
      <c r="K287" s="236"/>
      <c r="L287" s="318" t="s">
        <v>226</v>
      </c>
      <c r="M287" s="281">
        <f>$F$278</f>
        <v>20</v>
      </c>
      <c r="N287" s="279">
        <f>M287*F266*F270</f>
        <v>4000</v>
      </c>
      <c r="O287" s="48"/>
      <c r="P287" s="45"/>
      <c r="Q287" s="19"/>
      <c r="R287" s="19"/>
      <c r="S287" s="19"/>
      <c r="T287" s="19"/>
      <c r="U287" s="19"/>
      <c r="V287" s="19"/>
      <c r="W287" s="19"/>
      <c r="X287" s="19"/>
      <c r="Y287" s="19"/>
      <c r="Z287" s="19"/>
    </row>
    <row r="288" spans="2:26" x14ac:dyDescent="0.2">
      <c r="B288" s="236"/>
      <c r="C288" s="175" t="s">
        <v>227</v>
      </c>
      <c r="D288" s="281">
        <f>$F$279</f>
        <v>20</v>
      </c>
      <c r="E288" s="279">
        <f>D288*F$266*F$270</f>
        <v>4000</v>
      </c>
      <c r="J288" s="333"/>
      <c r="K288" s="236"/>
      <c r="L288" s="318" t="s">
        <v>227</v>
      </c>
      <c r="M288" s="281">
        <f>$F$279</f>
        <v>20</v>
      </c>
      <c r="N288" s="279">
        <f>M288*F266*F270</f>
        <v>4000</v>
      </c>
      <c r="O288" s="48"/>
      <c r="P288" s="45"/>
      <c r="Q288" s="19"/>
      <c r="R288" s="19"/>
      <c r="S288" s="19"/>
      <c r="T288" s="19"/>
      <c r="U288" s="19"/>
      <c r="V288" s="19"/>
      <c r="W288" s="19"/>
      <c r="X288" s="19"/>
      <c r="Y288" s="19"/>
      <c r="Z288" s="19"/>
    </row>
    <row r="289" spans="2:26" ht="15.75" thickBot="1" x14ac:dyDescent="0.25">
      <c r="B289" s="249"/>
      <c r="C289" s="264" t="s">
        <v>50</v>
      </c>
      <c r="D289" s="285">
        <f>$F$280</f>
        <v>40</v>
      </c>
      <c r="E289" s="288">
        <f>D289*F$269*F$270</f>
        <v>8000</v>
      </c>
      <c r="J289" s="333"/>
      <c r="K289" s="249"/>
      <c r="L289" s="251" t="s">
        <v>50</v>
      </c>
      <c r="M289" s="285">
        <f>$F$280</f>
        <v>40</v>
      </c>
      <c r="N289" s="288">
        <f>M289*F269*F270</f>
        <v>8000</v>
      </c>
      <c r="O289" s="48"/>
      <c r="P289" s="45"/>
      <c r="Q289" s="19"/>
      <c r="R289" s="19"/>
      <c r="S289" s="19"/>
      <c r="T289" s="19"/>
      <c r="U289" s="19"/>
      <c r="V289" s="19"/>
      <c r="W289" s="19"/>
      <c r="X289" s="19"/>
      <c r="Y289" s="19"/>
      <c r="Z289" s="19"/>
    </row>
    <row r="290" spans="2:26" ht="16.5" thickBot="1" x14ac:dyDescent="0.3">
      <c r="C290" s="9"/>
      <c r="D290" s="18" t="s">
        <v>753</v>
      </c>
      <c r="E290" s="195">
        <f>SUM(E285:E289)</f>
        <v>25000</v>
      </c>
      <c r="J290" s="334"/>
      <c r="K290" s="19"/>
      <c r="L290" s="13"/>
      <c r="M290" s="18" t="s">
        <v>753</v>
      </c>
      <c r="N290" s="319">
        <f>SUM(N285:N289)</f>
        <v>25000</v>
      </c>
      <c r="O290" s="45"/>
      <c r="P290" s="19"/>
      <c r="Q290" s="19"/>
      <c r="R290" s="19"/>
      <c r="S290" s="19"/>
      <c r="T290" s="19"/>
      <c r="U290" s="19"/>
      <c r="V290" s="19"/>
      <c r="W290" s="19"/>
      <c r="X290" s="19"/>
      <c r="Y290" s="19"/>
      <c r="Z290" s="19"/>
    </row>
    <row r="291" spans="2:26" x14ac:dyDescent="0.2">
      <c r="D291" s="20"/>
      <c r="J291" s="19"/>
      <c r="K291" s="19"/>
      <c r="L291" s="19"/>
      <c r="M291" s="48"/>
      <c r="N291" s="45"/>
      <c r="O291" s="45"/>
      <c r="P291" s="19"/>
      <c r="Q291" s="19"/>
      <c r="R291" s="19"/>
      <c r="S291" s="19"/>
      <c r="T291" s="19"/>
      <c r="U291" s="19"/>
      <c r="V291" s="19"/>
      <c r="W291" s="19"/>
      <c r="X291" s="19"/>
      <c r="Y291" s="19"/>
      <c r="Z291" s="19"/>
    </row>
    <row r="292" spans="2:26" x14ac:dyDescent="0.2">
      <c r="J292" s="19"/>
      <c r="K292" s="19"/>
      <c r="L292" s="19"/>
      <c r="M292" s="48"/>
      <c r="N292" s="45"/>
      <c r="O292" s="45"/>
      <c r="P292" s="19"/>
      <c r="Q292" s="19"/>
      <c r="R292" s="19"/>
      <c r="S292" s="19"/>
      <c r="T292" s="19"/>
      <c r="U292" s="19"/>
      <c r="V292" s="19"/>
      <c r="W292" s="19"/>
      <c r="X292" s="19"/>
      <c r="Y292" s="19"/>
      <c r="Z292" s="19"/>
    </row>
    <row r="293" spans="2:26" ht="15.75" x14ac:dyDescent="0.25">
      <c r="C293" s="9"/>
      <c r="J293" s="19"/>
      <c r="K293" s="19"/>
      <c r="L293" s="13"/>
      <c r="M293" s="48"/>
      <c r="N293" s="45"/>
      <c r="O293" s="45"/>
      <c r="P293" s="19"/>
      <c r="Q293" s="19"/>
      <c r="R293" s="19"/>
      <c r="S293" s="19"/>
      <c r="T293" s="19"/>
      <c r="U293" s="19"/>
      <c r="V293" s="19"/>
      <c r="W293" s="19"/>
      <c r="X293" s="19"/>
      <c r="Y293" s="19"/>
      <c r="Z293" s="19"/>
    </row>
    <row r="294" spans="2:26" x14ac:dyDescent="0.2">
      <c r="G294" s="43" t="s">
        <v>821</v>
      </c>
      <c r="J294" s="19"/>
      <c r="K294" s="19"/>
      <c r="L294" s="19"/>
      <c r="M294" s="48"/>
      <c r="N294" s="45"/>
      <c r="O294" s="45"/>
      <c r="P294" s="19"/>
      <c r="Q294" s="19"/>
      <c r="R294" s="19"/>
      <c r="S294" s="19"/>
      <c r="T294" s="19"/>
      <c r="U294" s="19"/>
      <c r="V294" s="19"/>
      <c r="W294" s="19"/>
      <c r="X294" s="19"/>
      <c r="Y294" s="19"/>
      <c r="Z294" s="19"/>
    </row>
    <row r="295" spans="2:26" x14ac:dyDescent="0.2">
      <c r="J295" s="19"/>
      <c r="K295" s="19"/>
      <c r="L295" s="19"/>
      <c r="M295" s="48"/>
      <c r="N295" s="45"/>
      <c r="O295" s="45"/>
      <c r="P295" s="19"/>
      <c r="Q295" s="19"/>
      <c r="R295" s="19"/>
      <c r="S295" s="19"/>
      <c r="T295" s="19"/>
      <c r="U295" s="19"/>
      <c r="V295" s="19"/>
      <c r="W295" s="19"/>
      <c r="X295" s="19"/>
      <c r="Y295" s="19"/>
      <c r="Z295" s="19"/>
    </row>
    <row r="296" spans="2:26" x14ac:dyDescent="0.2">
      <c r="J296" s="19"/>
      <c r="K296" s="19"/>
      <c r="L296" s="19"/>
      <c r="M296" s="48"/>
      <c r="N296" s="45"/>
      <c r="O296" s="45"/>
      <c r="P296" s="19"/>
      <c r="Q296" s="19"/>
      <c r="R296" s="19"/>
      <c r="S296" s="19"/>
      <c r="T296" s="19"/>
      <c r="U296" s="19"/>
      <c r="V296" s="19"/>
      <c r="W296" s="19"/>
      <c r="X296" s="19"/>
      <c r="Y296" s="19"/>
      <c r="Z296" s="19"/>
    </row>
    <row r="297" spans="2:26" x14ac:dyDescent="0.2">
      <c r="J297" s="19"/>
      <c r="K297" s="19"/>
      <c r="L297" s="19"/>
      <c r="M297" s="48"/>
      <c r="N297" s="45"/>
      <c r="O297" s="45"/>
      <c r="P297" s="19"/>
      <c r="Q297" s="19"/>
      <c r="R297" s="19"/>
      <c r="S297" s="19"/>
      <c r="T297" s="19"/>
      <c r="U297" s="19"/>
      <c r="V297" s="19"/>
      <c r="W297" s="19"/>
      <c r="X297" s="19"/>
      <c r="Y297" s="19"/>
      <c r="Z297" s="19"/>
    </row>
    <row r="298" spans="2:26" x14ac:dyDescent="0.2">
      <c r="J298" s="19"/>
      <c r="K298" s="19"/>
      <c r="L298" s="19"/>
      <c r="M298" s="48"/>
      <c r="N298" s="45"/>
      <c r="O298" s="45"/>
      <c r="P298" s="19"/>
      <c r="Q298" s="19"/>
      <c r="R298" s="19"/>
      <c r="S298" s="19"/>
      <c r="T298" s="19"/>
      <c r="U298" s="19"/>
      <c r="V298" s="19"/>
      <c r="W298" s="19"/>
      <c r="X298" s="19"/>
      <c r="Y298" s="19"/>
      <c r="Z298" s="19"/>
    </row>
    <row r="299" spans="2:26" x14ac:dyDescent="0.2">
      <c r="J299" s="19"/>
      <c r="K299" s="19"/>
      <c r="L299" s="19"/>
      <c r="M299" s="48"/>
      <c r="N299" s="45"/>
      <c r="O299" s="45"/>
      <c r="P299" s="19"/>
      <c r="Q299" s="19"/>
      <c r="R299" s="19"/>
      <c r="S299" s="19"/>
      <c r="T299" s="19"/>
      <c r="U299" s="19"/>
      <c r="V299" s="19"/>
      <c r="W299" s="19"/>
      <c r="X299" s="19"/>
      <c r="Y299" s="19"/>
      <c r="Z299" s="19"/>
    </row>
    <row r="300" spans="2:26" x14ac:dyDescent="0.2">
      <c r="J300" s="19"/>
      <c r="K300" s="19"/>
      <c r="L300" s="19"/>
      <c r="M300" s="48"/>
      <c r="N300" s="45"/>
      <c r="O300" s="45"/>
      <c r="P300" s="19"/>
      <c r="Q300" s="19"/>
      <c r="R300" s="19"/>
      <c r="S300" s="19"/>
      <c r="T300" s="19"/>
      <c r="U300" s="19"/>
      <c r="V300" s="19"/>
      <c r="W300" s="19"/>
      <c r="X300" s="19"/>
      <c r="Y300" s="19"/>
      <c r="Z300" s="19"/>
    </row>
    <row r="301" spans="2:26" x14ac:dyDescent="0.2">
      <c r="J301" s="19"/>
      <c r="K301" s="19"/>
      <c r="L301" s="19"/>
      <c r="M301" s="48"/>
      <c r="N301" s="45"/>
      <c r="O301" s="45"/>
      <c r="P301" s="19"/>
      <c r="Q301" s="19"/>
      <c r="R301" s="19"/>
      <c r="S301" s="19"/>
      <c r="T301" s="19"/>
      <c r="U301" s="19"/>
      <c r="V301" s="19"/>
      <c r="W301" s="19"/>
      <c r="X301" s="19"/>
      <c r="Y301" s="19"/>
      <c r="Z301" s="19"/>
    </row>
    <row r="302" spans="2:26" x14ac:dyDescent="0.2">
      <c r="J302" s="19"/>
      <c r="K302" s="19"/>
      <c r="L302" s="19"/>
      <c r="M302" s="48"/>
      <c r="N302" s="45"/>
      <c r="O302" s="45"/>
      <c r="P302" s="19"/>
      <c r="Q302" s="19"/>
      <c r="R302" s="19"/>
      <c r="S302" s="19"/>
      <c r="T302" s="19"/>
      <c r="U302" s="19"/>
      <c r="V302" s="19"/>
      <c r="W302" s="19"/>
      <c r="X302" s="19"/>
      <c r="Y302" s="19"/>
      <c r="Z302" s="19"/>
    </row>
    <row r="303" spans="2:26" x14ac:dyDescent="0.2">
      <c r="J303" s="19"/>
      <c r="K303" s="19"/>
      <c r="L303" s="19"/>
      <c r="M303" s="48"/>
      <c r="N303" s="45"/>
      <c r="O303" s="45"/>
      <c r="P303" s="19"/>
      <c r="Q303" s="19"/>
      <c r="R303" s="19"/>
      <c r="S303" s="19"/>
      <c r="T303" s="19"/>
      <c r="U303" s="19"/>
      <c r="V303" s="19"/>
      <c r="W303" s="19"/>
      <c r="X303" s="19"/>
      <c r="Y303" s="19"/>
      <c r="Z303" s="19"/>
    </row>
    <row r="304" spans="2:26" x14ac:dyDescent="0.2">
      <c r="J304" s="19"/>
      <c r="K304" s="19"/>
      <c r="L304" s="19"/>
      <c r="M304" s="48"/>
      <c r="N304" s="45"/>
      <c r="O304" s="45"/>
      <c r="P304" s="19"/>
      <c r="Q304" s="19"/>
      <c r="R304" s="19"/>
      <c r="S304" s="19"/>
      <c r="T304" s="19"/>
      <c r="U304" s="19"/>
      <c r="V304" s="19"/>
      <c r="W304" s="19"/>
      <c r="X304" s="19"/>
      <c r="Y304" s="19"/>
      <c r="Z304" s="19"/>
    </row>
    <row r="305" spans="10:26" x14ac:dyDescent="0.2">
      <c r="J305" s="19"/>
      <c r="K305" s="19"/>
      <c r="L305" s="19"/>
      <c r="M305" s="48"/>
      <c r="N305" s="45"/>
      <c r="O305" s="45"/>
      <c r="P305" s="19"/>
      <c r="Q305" s="19"/>
      <c r="R305" s="19"/>
      <c r="S305" s="19"/>
      <c r="T305" s="19"/>
      <c r="U305" s="19"/>
      <c r="V305" s="19"/>
      <c r="W305" s="19"/>
      <c r="X305" s="19"/>
      <c r="Y305" s="19"/>
      <c r="Z305" s="19"/>
    </row>
    <row r="306" spans="10:26" x14ac:dyDescent="0.2">
      <c r="S306" s="19"/>
      <c r="T306" s="19"/>
      <c r="U306" s="19"/>
      <c r="V306" s="19"/>
      <c r="W306" s="19"/>
      <c r="X306" s="19"/>
      <c r="Y306" s="19"/>
      <c r="Z306" s="19"/>
    </row>
    <row r="307" spans="10:26" x14ac:dyDescent="0.2">
      <c r="S307" s="19"/>
      <c r="T307" s="19"/>
      <c r="U307" s="19"/>
      <c r="V307" s="19"/>
      <c r="W307" s="19"/>
      <c r="X307" s="19"/>
      <c r="Y307" s="19"/>
      <c r="Z307" s="19"/>
    </row>
    <row r="308" spans="10:26" x14ac:dyDescent="0.2">
      <c r="S308" s="19"/>
      <c r="T308" s="19"/>
      <c r="U308" s="19"/>
      <c r="V308" s="19"/>
      <c r="W308" s="19"/>
      <c r="X308" s="19"/>
      <c r="Y308" s="19"/>
      <c r="Z308" s="19"/>
    </row>
    <row r="309" spans="10:26" x14ac:dyDescent="0.2">
      <c r="S309" s="19"/>
      <c r="T309" s="19"/>
      <c r="U309" s="19"/>
      <c r="V309" s="19"/>
      <c r="W309" s="19"/>
      <c r="X309" s="19"/>
      <c r="Y309" s="19"/>
      <c r="Z309" s="19"/>
    </row>
    <row r="310" spans="10:26" x14ac:dyDescent="0.2">
      <c r="S310" s="19"/>
      <c r="T310" s="19"/>
      <c r="U310" s="19"/>
      <c r="V310" s="19"/>
      <c r="W310" s="19"/>
      <c r="X310" s="19"/>
      <c r="Y310" s="19"/>
      <c r="Z310" s="19"/>
    </row>
    <row r="311" spans="10:26" x14ac:dyDescent="0.2">
      <c r="S311" s="19"/>
      <c r="T311" s="19"/>
      <c r="U311" s="19"/>
      <c r="V311" s="19"/>
      <c r="W311" s="19"/>
      <c r="X311" s="19"/>
      <c r="Y311" s="19"/>
      <c r="Z311" s="19"/>
    </row>
    <row r="312" spans="10:26" x14ac:dyDescent="0.2">
      <c r="S312" s="19"/>
      <c r="T312" s="19"/>
      <c r="U312" s="19"/>
      <c r="V312" s="19"/>
      <c r="W312" s="19"/>
      <c r="X312" s="19"/>
      <c r="Y312" s="19"/>
      <c r="Z312" s="19"/>
    </row>
    <row r="313" spans="10:26" x14ac:dyDescent="0.2">
      <c r="S313" s="19"/>
      <c r="T313" s="19"/>
      <c r="U313" s="19"/>
      <c r="V313" s="19"/>
      <c r="W313" s="19"/>
      <c r="X313" s="19"/>
      <c r="Y313" s="19"/>
      <c r="Z313" s="19"/>
    </row>
    <row r="314" spans="10:26" x14ac:dyDescent="0.2">
      <c r="S314" s="19"/>
      <c r="T314" s="19"/>
      <c r="U314" s="19"/>
      <c r="V314" s="19"/>
      <c r="W314" s="19"/>
      <c r="X314" s="19"/>
      <c r="Y314" s="19"/>
      <c r="Z314" s="19"/>
    </row>
    <row r="315" spans="10:26" x14ac:dyDescent="0.2">
      <c r="S315" s="19"/>
      <c r="T315" s="19"/>
      <c r="U315" s="19"/>
      <c r="V315" s="19"/>
      <c r="W315" s="19"/>
      <c r="X315" s="19"/>
      <c r="Y315" s="19"/>
      <c r="Z315" s="19"/>
    </row>
    <row r="316" spans="10:26" x14ac:dyDescent="0.2">
      <c r="S316" s="19"/>
      <c r="T316" s="19"/>
      <c r="U316" s="19"/>
      <c r="V316" s="19"/>
      <c r="W316" s="19"/>
      <c r="X316" s="19"/>
      <c r="Y316" s="19"/>
      <c r="Z316" s="19"/>
    </row>
    <row r="317" spans="10:26" x14ac:dyDescent="0.2">
      <c r="S317" s="19"/>
      <c r="T317" s="19"/>
      <c r="U317" s="19"/>
      <c r="V317" s="19"/>
      <c r="W317" s="19"/>
      <c r="X317" s="19"/>
      <c r="Y317" s="19"/>
      <c r="Z317" s="19"/>
    </row>
    <row r="318" spans="10:26" x14ac:dyDescent="0.2">
      <c r="S318" s="19"/>
      <c r="T318" s="19"/>
      <c r="U318" s="19"/>
      <c r="V318" s="19"/>
      <c r="W318" s="19"/>
      <c r="X318" s="19"/>
      <c r="Y318" s="19"/>
      <c r="Z318" s="19"/>
    </row>
    <row r="319" spans="10:26" x14ac:dyDescent="0.2">
      <c r="S319" s="19"/>
      <c r="T319" s="19"/>
      <c r="U319" s="19"/>
      <c r="V319" s="19"/>
      <c r="W319" s="19"/>
      <c r="X319" s="19"/>
      <c r="Y319" s="19"/>
      <c r="Z319" s="19"/>
    </row>
    <row r="320" spans="10:26" x14ac:dyDescent="0.2">
      <c r="S320" s="19"/>
      <c r="T320" s="19"/>
      <c r="U320" s="19"/>
      <c r="V320" s="19"/>
      <c r="W320" s="19"/>
      <c r="X320" s="19"/>
      <c r="Y320" s="19"/>
      <c r="Z320" s="19"/>
    </row>
    <row r="321" spans="19:26" x14ac:dyDescent="0.2">
      <c r="S321" s="19"/>
      <c r="T321" s="19"/>
      <c r="U321" s="19"/>
      <c r="V321" s="19"/>
      <c r="W321" s="19"/>
      <c r="X321" s="19"/>
      <c r="Y321" s="19"/>
      <c r="Z321" s="19"/>
    </row>
    <row r="322" spans="19:26" x14ac:dyDescent="0.2">
      <c r="S322" s="19"/>
      <c r="T322" s="19"/>
      <c r="U322" s="19"/>
      <c r="V322" s="19"/>
      <c r="W322" s="19"/>
      <c r="X322" s="19"/>
      <c r="Y322" s="19"/>
      <c r="Z322" s="19"/>
    </row>
    <row r="323" spans="19:26" x14ac:dyDescent="0.2">
      <c r="S323" s="19"/>
      <c r="T323" s="19"/>
      <c r="U323" s="19"/>
      <c r="V323" s="19"/>
      <c r="W323" s="19"/>
      <c r="X323" s="19"/>
      <c r="Y323" s="19"/>
      <c r="Z323" s="19"/>
    </row>
    <row r="324" spans="19:26" x14ac:dyDescent="0.2">
      <c r="S324" s="19"/>
      <c r="T324" s="19"/>
      <c r="U324" s="19"/>
      <c r="V324" s="19"/>
      <c r="W324" s="19"/>
      <c r="X324" s="19"/>
      <c r="Y324" s="19"/>
      <c r="Z324" s="19"/>
    </row>
    <row r="325" spans="19:26" x14ac:dyDescent="0.2">
      <c r="S325" s="19"/>
      <c r="T325" s="19"/>
      <c r="U325" s="19"/>
      <c r="V325" s="19"/>
      <c r="W325" s="19"/>
      <c r="X325" s="19"/>
      <c r="Y325" s="19"/>
      <c r="Z325" s="19"/>
    </row>
    <row r="326" spans="19:26" x14ac:dyDescent="0.2">
      <c r="S326" s="19"/>
      <c r="T326" s="19"/>
      <c r="U326" s="19"/>
      <c r="V326" s="19"/>
      <c r="W326" s="19"/>
      <c r="X326" s="19"/>
      <c r="Y326" s="19"/>
      <c r="Z326" s="19"/>
    </row>
    <row r="327" spans="19:26" x14ac:dyDescent="0.2">
      <c r="S327" s="19"/>
      <c r="T327" s="19"/>
      <c r="U327" s="19"/>
      <c r="V327" s="19"/>
      <c r="W327" s="19"/>
      <c r="X327" s="19"/>
      <c r="Y327" s="19"/>
      <c r="Z327" s="19"/>
    </row>
    <row r="328" spans="19:26" x14ac:dyDescent="0.2">
      <c r="S328" s="19"/>
      <c r="T328" s="19"/>
      <c r="U328" s="19"/>
    </row>
    <row r="329" spans="19:26" x14ac:dyDescent="0.2">
      <c r="S329" s="19"/>
    </row>
    <row r="420" spans="19:19" x14ac:dyDescent="0.2">
      <c r="S420" s="177"/>
    </row>
    <row r="421" spans="19:19" x14ac:dyDescent="0.2">
      <c r="S421" s="177"/>
    </row>
    <row r="422" spans="19:19" x14ac:dyDescent="0.2">
      <c r="S422" s="177"/>
    </row>
    <row r="423" spans="19:19" x14ac:dyDescent="0.2">
      <c r="S423" s="177"/>
    </row>
    <row r="424" spans="19:19" x14ac:dyDescent="0.2">
      <c r="S424" s="178"/>
    </row>
    <row r="425" spans="19:19" x14ac:dyDescent="0.2">
      <c r="S425" s="177"/>
    </row>
    <row r="435" spans="19:19" x14ac:dyDescent="0.2">
      <c r="S435" s="177"/>
    </row>
    <row r="436" spans="19:19" x14ac:dyDescent="0.2">
      <c r="S436" s="177"/>
    </row>
    <row r="437" spans="19:19" x14ac:dyDescent="0.2">
      <c r="S437" s="177"/>
    </row>
  </sheetData>
  <sheetProtection sheet="1" objects="1" scenarios="1" selectLockedCells="1"/>
  <hyperlinks>
    <hyperlink ref="B136" r:id="rId1" xr:uid="{00000000-0004-0000-0200-000000000000}"/>
    <hyperlink ref="K136" r:id="rId2" xr:uid="{00000000-0004-0000-0200-000001000000}"/>
  </hyperlinks>
  <pageMargins left="0.7" right="0.7" top="0.75" bottom="0.75" header="0.3" footer="0.3"/>
  <pageSetup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54"/>
  <sheetViews>
    <sheetView zoomScaleNormal="100" workbookViewId="0">
      <selection activeCell="J1" sqref="J1"/>
    </sheetView>
  </sheetViews>
  <sheetFormatPr defaultRowHeight="15" x14ac:dyDescent="0.2"/>
  <cols>
    <col min="1" max="1" width="3.5703125" style="17" customWidth="1"/>
    <col min="2" max="2" width="11.5703125" style="17" customWidth="1"/>
    <col min="3" max="3" width="9.140625" style="17"/>
    <col min="4" max="4" width="12.140625" style="17" customWidth="1"/>
    <col min="5" max="5" width="12" style="17" customWidth="1"/>
    <col min="6" max="6" width="27.140625" style="20" customWidth="1"/>
    <col min="7" max="7" width="11" style="43" bestFit="1" customWidth="1"/>
    <col min="8" max="8" width="10.5703125" style="43" customWidth="1"/>
    <col min="9" max="9" width="12.7109375" style="17" customWidth="1"/>
    <col min="10" max="10" width="4.42578125" style="17" customWidth="1"/>
    <col min="11" max="11" width="7" style="17" customWidth="1"/>
    <col min="12" max="12" width="7.85546875" style="43" customWidth="1"/>
    <col min="13" max="13" width="10.42578125" style="20" customWidth="1"/>
    <col min="14" max="14" width="9.140625" style="43"/>
    <col min="15" max="15" width="12.7109375" style="20" customWidth="1"/>
    <col min="16" max="16" width="6.42578125" style="43" customWidth="1"/>
    <col min="17" max="16384" width="9.140625" style="17"/>
  </cols>
  <sheetData>
    <row r="1" spans="1:19" ht="20.25" x14ac:dyDescent="0.3">
      <c r="A1" s="9"/>
      <c r="B1" s="14" t="s">
        <v>828</v>
      </c>
      <c r="C1" s="16"/>
      <c r="D1" s="16" t="s">
        <v>907</v>
      </c>
      <c r="E1" s="18"/>
      <c r="F1" s="18"/>
      <c r="J1" s="19"/>
      <c r="K1" s="19"/>
      <c r="L1" s="45"/>
      <c r="M1" s="48"/>
      <c r="N1" s="45"/>
      <c r="O1" s="48"/>
      <c r="P1" s="45"/>
      <c r="Q1" s="19"/>
      <c r="R1" s="19"/>
      <c r="S1" s="19"/>
    </row>
    <row r="2" spans="1:19" ht="15.75" x14ac:dyDescent="0.25">
      <c r="A2" s="9"/>
      <c r="D2" s="20"/>
      <c r="E2" s="20"/>
      <c r="J2" s="19"/>
      <c r="K2" s="19"/>
      <c r="L2" s="45"/>
      <c r="M2" s="48"/>
      <c r="N2" s="45"/>
      <c r="O2" s="48"/>
      <c r="P2" s="45"/>
      <c r="Q2" s="19"/>
      <c r="R2" s="19"/>
      <c r="S2" s="19"/>
    </row>
    <row r="3" spans="1:19" x14ac:dyDescent="0.2">
      <c r="J3" s="19"/>
      <c r="K3" s="19"/>
      <c r="L3" s="45"/>
      <c r="M3" s="48"/>
      <c r="N3" s="45"/>
      <c r="O3" s="48"/>
      <c r="P3" s="45"/>
      <c r="Q3" s="19"/>
      <c r="R3" s="19"/>
      <c r="S3" s="19"/>
    </row>
    <row r="4" spans="1:19" ht="18" x14ac:dyDescent="0.25">
      <c r="B4" s="418" t="s">
        <v>675</v>
      </c>
      <c r="J4" s="19"/>
      <c r="K4" s="19"/>
      <c r="L4" s="45"/>
      <c r="M4" s="19"/>
      <c r="N4" s="45"/>
      <c r="O4" s="48"/>
      <c r="P4" s="45"/>
      <c r="Q4" s="19"/>
      <c r="R4" s="19"/>
      <c r="S4" s="19"/>
    </row>
    <row r="5" spans="1:19" ht="15.75" x14ac:dyDescent="0.25">
      <c r="G5" s="159"/>
      <c r="J5" s="19"/>
      <c r="K5" s="19"/>
      <c r="L5" s="45"/>
      <c r="M5" s="48"/>
      <c r="N5" s="45"/>
      <c r="O5" s="48"/>
      <c r="P5" s="45"/>
      <c r="Q5" s="19"/>
      <c r="R5" s="19"/>
      <c r="S5" s="19"/>
    </row>
    <row r="6" spans="1:19" ht="18" x14ac:dyDescent="0.25">
      <c r="B6" s="419" t="s">
        <v>513</v>
      </c>
      <c r="G6" s="160"/>
      <c r="J6" s="19"/>
      <c r="K6" s="19"/>
      <c r="L6" s="45"/>
      <c r="M6" s="48"/>
      <c r="N6" s="45"/>
      <c r="O6" s="48"/>
      <c r="P6" s="45"/>
      <c r="Q6" s="19"/>
      <c r="R6" s="19"/>
      <c r="S6" s="19"/>
    </row>
    <row r="7" spans="1:19" ht="15.75" x14ac:dyDescent="0.25">
      <c r="B7" s="9" t="s">
        <v>514</v>
      </c>
      <c r="J7" s="19"/>
      <c r="K7" s="19"/>
      <c r="L7" s="45"/>
      <c r="M7" s="48"/>
      <c r="N7" s="45"/>
      <c r="O7" s="48"/>
      <c r="P7" s="45"/>
      <c r="Q7" s="19"/>
      <c r="R7" s="19"/>
      <c r="S7" s="19"/>
    </row>
    <row r="8" spans="1:19" ht="15.75" x14ac:dyDescent="0.25">
      <c r="B8" s="9" t="s">
        <v>515</v>
      </c>
      <c r="J8" s="19"/>
      <c r="K8" s="19"/>
      <c r="L8" s="45"/>
      <c r="M8" s="48"/>
      <c r="N8" s="45"/>
      <c r="O8" s="48"/>
      <c r="P8" s="45"/>
      <c r="Q8" s="19"/>
      <c r="R8" s="19"/>
      <c r="S8" s="19"/>
    </row>
    <row r="9" spans="1:19" ht="15.75" x14ac:dyDescent="0.25">
      <c r="B9" s="9" t="s">
        <v>601</v>
      </c>
      <c r="J9" s="19"/>
      <c r="K9" s="19"/>
      <c r="L9" s="380"/>
      <c r="M9" s="48"/>
      <c r="N9" s="45"/>
      <c r="O9" s="48"/>
      <c r="P9" s="45"/>
      <c r="Q9" s="19"/>
      <c r="R9" s="19"/>
      <c r="S9" s="19"/>
    </row>
    <row r="10" spans="1:19" ht="15.75" x14ac:dyDescent="0.25">
      <c r="B10" s="381" t="s">
        <v>602</v>
      </c>
      <c r="J10" s="19"/>
      <c r="K10" s="19"/>
      <c r="L10" s="382"/>
      <c r="M10" s="383"/>
      <c r="N10" s="111"/>
      <c r="O10" s="383"/>
      <c r="P10" s="111"/>
      <c r="Q10" s="106"/>
      <c r="R10" s="106"/>
      <c r="S10" s="19"/>
    </row>
    <row r="11" spans="1:19" x14ac:dyDescent="0.2">
      <c r="J11" s="19"/>
      <c r="K11" s="19"/>
      <c r="L11" s="45"/>
      <c r="M11" s="359"/>
      <c r="N11" s="359"/>
      <c r="O11" s="360"/>
      <c r="P11" s="361"/>
      <c r="Q11" s="359"/>
      <c r="R11" s="359"/>
      <c r="S11" s="19"/>
    </row>
    <row r="12" spans="1:19" x14ac:dyDescent="0.2">
      <c r="J12" s="19"/>
      <c r="K12" s="45"/>
      <c r="L12" s="45"/>
      <c r="M12" s="359"/>
      <c r="N12" s="359"/>
      <c r="O12" s="360"/>
      <c r="P12" s="361"/>
      <c r="Q12" s="359"/>
      <c r="R12" s="359"/>
      <c r="S12" s="19"/>
    </row>
    <row r="13" spans="1:19" x14ac:dyDescent="0.2">
      <c r="J13" s="19"/>
      <c r="K13" s="19"/>
      <c r="L13" s="45"/>
      <c r="M13" s="359"/>
      <c r="N13" s="359"/>
      <c r="O13" s="360"/>
      <c r="P13" s="361"/>
      <c r="Q13" s="359"/>
      <c r="R13" s="359"/>
      <c r="S13" s="19"/>
    </row>
    <row r="14" spans="1:19" x14ac:dyDescent="0.2">
      <c r="J14" s="19"/>
      <c r="K14" s="19"/>
      <c r="L14" s="45"/>
      <c r="M14" s="362"/>
      <c r="N14" s="362"/>
      <c r="O14" s="360"/>
      <c r="P14" s="361"/>
      <c r="Q14" s="362"/>
      <c r="R14" s="362"/>
      <c r="S14" s="19"/>
    </row>
    <row r="15" spans="1:19" x14ac:dyDescent="0.2">
      <c r="J15" s="19"/>
      <c r="K15" s="19"/>
      <c r="L15" s="361"/>
      <c r="M15" s="362"/>
      <c r="N15" s="362"/>
      <c r="O15" s="360"/>
      <c r="P15" s="361"/>
      <c r="Q15" s="362"/>
      <c r="R15" s="362"/>
      <c r="S15" s="19"/>
    </row>
    <row r="16" spans="1:19" x14ac:dyDescent="0.2">
      <c r="J16" s="19"/>
      <c r="K16" s="19"/>
      <c r="L16" s="361"/>
      <c r="M16" s="362"/>
      <c r="N16" s="362"/>
      <c r="O16" s="360"/>
      <c r="P16" s="361"/>
      <c r="Q16" s="362"/>
      <c r="R16" s="362"/>
      <c r="S16" s="19"/>
    </row>
    <row r="17" spans="10:19" x14ac:dyDescent="0.2">
      <c r="L17" s="363"/>
      <c r="M17" s="364"/>
      <c r="N17" s="384"/>
      <c r="O17" s="365"/>
      <c r="P17" s="366"/>
      <c r="Q17" s="364"/>
      <c r="R17" s="367"/>
    </row>
    <row r="18" spans="10:19" x14ac:dyDescent="0.2">
      <c r="L18" s="363"/>
      <c r="M18" s="367"/>
      <c r="N18" s="367"/>
      <c r="O18" s="365"/>
      <c r="P18" s="363"/>
      <c r="Q18" s="367"/>
      <c r="R18" s="367"/>
    </row>
    <row r="19" spans="10:19" x14ac:dyDescent="0.2">
      <c r="L19" s="363"/>
      <c r="M19" s="364"/>
      <c r="N19" s="367"/>
      <c r="O19" s="365"/>
      <c r="P19" s="363"/>
      <c r="Q19" s="367"/>
      <c r="R19" s="367"/>
    </row>
    <row r="20" spans="10:19" x14ac:dyDescent="0.2">
      <c r="L20" s="363"/>
      <c r="M20" s="364"/>
      <c r="N20" s="367"/>
      <c r="O20" s="365"/>
      <c r="P20" s="363"/>
      <c r="Q20" s="367"/>
      <c r="R20" s="367"/>
    </row>
    <row r="21" spans="10:19" x14ac:dyDescent="0.2">
      <c r="L21" s="363"/>
      <c r="M21" s="367"/>
      <c r="N21" s="364"/>
      <c r="O21" s="365"/>
      <c r="P21" s="364"/>
      <c r="Q21" s="367"/>
      <c r="R21" s="367"/>
    </row>
    <row r="22" spans="10:19" x14ac:dyDescent="0.2">
      <c r="L22" s="363"/>
      <c r="M22" s="367"/>
      <c r="N22" s="366"/>
      <c r="O22" s="365"/>
      <c r="P22" s="368"/>
      <c r="Q22" s="367"/>
      <c r="R22" s="367"/>
    </row>
    <row r="23" spans="10:19" x14ac:dyDescent="0.2">
      <c r="L23" s="363"/>
      <c r="M23" s="367"/>
      <c r="N23" s="366"/>
      <c r="O23" s="365"/>
      <c r="P23" s="368"/>
      <c r="Q23" s="367"/>
      <c r="R23" s="367"/>
    </row>
    <row r="24" spans="10:19" ht="18" x14ac:dyDescent="0.25">
      <c r="J24" s="363"/>
      <c r="K24" s="420" t="s">
        <v>596</v>
      </c>
      <c r="N24" s="20"/>
      <c r="O24" s="43"/>
      <c r="P24" s="20"/>
      <c r="Q24" s="367"/>
      <c r="R24" s="367"/>
    </row>
    <row r="25" spans="10:19" ht="15.75" thickBot="1" x14ac:dyDescent="0.25">
      <c r="J25" s="363"/>
      <c r="K25" s="128" t="s">
        <v>595</v>
      </c>
      <c r="N25" s="20"/>
      <c r="O25" s="43"/>
      <c r="P25" s="20"/>
      <c r="Q25" s="367"/>
      <c r="R25" s="367"/>
    </row>
    <row r="26" spans="10:19" x14ac:dyDescent="0.2">
      <c r="K26" s="116"/>
      <c r="L26" s="385"/>
      <c r="M26" s="386" t="s">
        <v>566</v>
      </c>
      <c r="N26" s="387" t="s">
        <v>569</v>
      </c>
      <c r="O26" s="43"/>
      <c r="P26" s="20"/>
      <c r="Q26" s="367"/>
      <c r="R26" s="367"/>
    </row>
    <row r="27" spans="10:19" x14ac:dyDescent="0.2">
      <c r="K27" s="236"/>
      <c r="L27" s="178"/>
      <c r="M27" s="318" t="s">
        <v>570</v>
      </c>
      <c r="N27" s="388" t="s">
        <v>571</v>
      </c>
      <c r="O27" s="43"/>
      <c r="P27" s="20"/>
      <c r="Q27" s="367"/>
      <c r="R27" s="367"/>
    </row>
    <row r="28" spans="10:19" x14ac:dyDescent="0.2">
      <c r="K28" s="236"/>
      <c r="L28" s="178"/>
      <c r="M28" s="318" t="s">
        <v>567</v>
      </c>
      <c r="N28" s="388" t="s">
        <v>568</v>
      </c>
      <c r="O28" s="43"/>
      <c r="P28" s="20"/>
      <c r="Q28" s="367"/>
      <c r="R28" s="367"/>
    </row>
    <row r="29" spans="10:19" x14ac:dyDescent="0.2">
      <c r="K29" s="236"/>
      <c r="L29" s="178"/>
      <c r="M29" s="318" t="s">
        <v>572</v>
      </c>
      <c r="N29" s="388" t="s">
        <v>569</v>
      </c>
      <c r="O29" s="43"/>
      <c r="P29" s="20"/>
      <c r="Q29" s="367"/>
      <c r="R29" s="367"/>
    </row>
    <row r="30" spans="10:19" x14ac:dyDescent="0.2">
      <c r="K30" s="236"/>
      <c r="L30" s="178"/>
      <c r="M30" s="318" t="s">
        <v>573</v>
      </c>
      <c r="N30" s="388" t="s">
        <v>571</v>
      </c>
      <c r="O30" s="43"/>
      <c r="P30" s="20"/>
      <c r="Q30" s="367"/>
      <c r="R30" s="367"/>
      <c r="S30" s="384"/>
    </row>
    <row r="31" spans="10:19" x14ac:dyDescent="0.2">
      <c r="K31" s="236"/>
      <c r="L31" s="178"/>
      <c r="M31" s="318" t="s">
        <v>574</v>
      </c>
      <c r="N31" s="388" t="s">
        <v>575</v>
      </c>
      <c r="O31" s="43"/>
      <c r="P31" s="20"/>
      <c r="Q31" s="367"/>
      <c r="R31" s="367"/>
      <c r="S31" s="384"/>
    </row>
    <row r="32" spans="10:19" x14ac:dyDescent="0.2">
      <c r="K32" s="236"/>
      <c r="L32" s="178"/>
      <c r="M32" s="318" t="s">
        <v>576</v>
      </c>
      <c r="N32" s="388" t="s">
        <v>577</v>
      </c>
      <c r="O32" s="43"/>
      <c r="P32" s="20"/>
      <c r="S32" s="177"/>
    </row>
    <row r="33" spans="2:19" ht="18" x14ac:dyDescent="0.25">
      <c r="B33" s="418" t="s">
        <v>23</v>
      </c>
      <c r="I33" s="43" t="s">
        <v>623</v>
      </c>
      <c r="K33" s="236"/>
      <c r="L33" s="178"/>
      <c r="M33" s="318" t="s">
        <v>666</v>
      </c>
      <c r="N33" s="388" t="s">
        <v>571</v>
      </c>
      <c r="O33" s="43"/>
      <c r="P33" s="20"/>
    </row>
    <row r="34" spans="2:19" ht="16.5" thickBot="1" x14ac:dyDescent="0.3">
      <c r="G34" s="39" t="s">
        <v>3</v>
      </c>
      <c r="K34" s="236"/>
      <c r="L34" s="178"/>
      <c r="M34" s="318" t="s">
        <v>578</v>
      </c>
      <c r="N34" s="388" t="s">
        <v>579</v>
      </c>
      <c r="O34" s="43"/>
      <c r="P34" s="20"/>
    </row>
    <row r="35" spans="2:19" ht="16.5" thickBot="1" x14ac:dyDescent="0.3">
      <c r="F35" s="18" t="s">
        <v>24</v>
      </c>
      <c r="G35" s="433" t="s">
        <v>25</v>
      </c>
      <c r="H35" s="23"/>
      <c r="I35" s="24"/>
      <c r="K35" s="236"/>
      <c r="L35" s="178"/>
      <c r="M35" s="318" t="s">
        <v>580</v>
      </c>
      <c r="N35" s="388" t="s">
        <v>571</v>
      </c>
      <c r="O35" s="43"/>
      <c r="P35" s="20"/>
    </row>
    <row r="36" spans="2:19" ht="15.75" x14ac:dyDescent="0.25">
      <c r="F36" s="18" t="s">
        <v>630</v>
      </c>
      <c r="G36" s="52">
        <v>8</v>
      </c>
      <c r="H36" s="9" t="s">
        <v>667</v>
      </c>
      <c r="K36" s="236"/>
      <c r="L36" s="178"/>
      <c r="M36" s="318" t="s">
        <v>581</v>
      </c>
      <c r="N36" s="388">
        <v>4</v>
      </c>
      <c r="O36" s="43"/>
      <c r="P36" s="20"/>
    </row>
    <row r="37" spans="2:19" ht="15.75" x14ac:dyDescent="0.25">
      <c r="F37" s="18" t="s">
        <v>634</v>
      </c>
      <c r="G37" s="422">
        <v>17</v>
      </c>
      <c r="H37" s="16" t="s">
        <v>629</v>
      </c>
      <c r="K37" s="236"/>
      <c r="L37" s="178"/>
      <c r="M37" s="318" t="s">
        <v>582</v>
      </c>
      <c r="N37" s="388" t="s">
        <v>583</v>
      </c>
      <c r="O37" s="43"/>
      <c r="P37" s="20"/>
    </row>
    <row r="38" spans="2:19" ht="15.75" x14ac:dyDescent="0.25">
      <c r="F38" s="18" t="s">
        <v>615</v>
      </c>
      <c r="G38" s="54">
        <v>60</v>
      </c>
      <c r="H38" s="16" t="s">
        <v>26</v>
      </c>
      <c r="K38" s="236"/>
      <c r="L38" s="178"/>
      <c r="M38" s="318" t="s">
        <v>584</v>
      </c>
      <c r="N38" s="388">
        <v>5</v>
      </c>
      <c r="O38" s="43"/>
      <c r="P38" s="20"/>
    </row>
    <row r="39" spans="2:19" ht="15.75" x14ac:dyDescent="0.25">
      <c r="E39" s="9"/>
      <c r="F39" s="18" t="s">
        <v>616</v>
      </c>
      <c r="G39" s="54">
        <v>40</v>
      </c>
      <c r="H39" s="16" t="s">
        <v>26</v>
      </c>
      <c r="K39" s="236"/>
      <c r="L39" s="178"/>
      <c r="M39" s="318" t="s">
        <v>585</v>
      </c>
      <c r="N39" s="388" t="s">
        <v>586</v>
      </c>
      <c r="O39" s="43"/>
      <c r="P39" s="20"/>
    </row>
    <row r="40" spans="2:19" ht="15.75" x14ac:dyDescent="0.25">
      <c r="F40" s="18" t="s">
        <v>617</v>
      </c>
      <c r="G40" s="54">
        <v>12</v>
      </c>
      <c r="H40" s="16" t="s">
        <v>26</v>
      </c>
      <c r="K40" s="236"/>
      <c r="L40" s="178"/>
      <c r="M40" s="318" t="s">
        <v>587</v>
      </c>
      <c r="N40" s="388">
        <v>5</v>
      </c>
      <c r="O40" s="43"/>
      <c r="P40" s="20"/>
      <c r="S40" s="384"/>
    </row>
    <row r="41" spans="2:19" ht="15.75" x14ac:dyDescent="0.25">
      <c r="F41" s="18" t="s">
        <v>565</v>
      </c>
      <c r="G41" s="54">
        <v>4</v>
      </c>
      <c r="H41" s="16" t="s">
        <v>622</v>
      </c>
      <c r="I41" s="384"/>
      <c r="K41" s="236"/>
      <c r="L41" s="178"/>
      <c r="M41" s="318" t="s">
        <v>588</v>
      </c>
      <c r="N41" s="388" t="s">
        <v>571</v>
      </c>
      <c r="O41" s="43"/>
      <c r="P41" s="20"/>
      <c r="S41" s="384"/>
    </row>
    <row r="42" spans="2:19" ht="15.75" x14ac:dyDescent="0.25">
      <c r="F42" s="18" t="s">
        <v>607</v>
      </c>
      <c r="G42" s="54">
        <v>19</v>
      </c>
      <c r="H42" s="16" t="s">
        <v>12</v>
      </c>
      <c r="I42" s="384"/>
      <c r="K42" s="236"/>
      <c r="L42" s="178"/>
      <c r="M42" s="318" t="s">
        <v>589</v>
      </c>
      <c r="N42" s="388" t="s">
        <v>590</v>
      </c>
      <c r="O42" s="43"/>
      <c r="P42" s="20"/>
      <c r="S42" s="384"/>
    </row>
    <row r="43" spans="2:19" ht="15.75" x14ac:dyDescent="0.25">
      <c r="F43" s="18" t="s">
        <v>614</v>
      </c>
      <c r="G43" s="60">
        <v>0.5</v>
      </c>
      <c r="K43" s="236"/>
      <c r="L43" s="178"/>
      <c r="M43" s="318" t="s">
        <v>591</v>
      </c>
      <c r="N43" s="388" t="s">
        <v>569</v>
      </c>
      <c r="O43" s="43"/>
      <c r="P43" s="16"/>
      <c r="S43" s="384"/>
    </row>
    <row r="44" spans="2:19" ht="15.75" x14ac:dyDescent="0.25">
      <c r="F44" s="18" t="s">
        <v>613</v>
      </c>
      <c r="G44" s="54">
        <v>70</v>
      </c>
      <c r="H44" s="16" t="s">
        <v>12</v>
      </c>
      <c r="K44" s="236"/>
      <c r="L44" s="178"/>
      <c r="M44" s="318" t="s">
        <v>592</v>
      </c>
      <c r="N44" s="388" t="s">
        <v>590</v>
      </c>
      <c r="O44" s="43"/>
      <c r="P44" s="96"/>
      <c r="Q44" s="367"/>
      <c r="R44" s="367"/>
      <c r="S44" s="384"/>
    </row>
    <row r="45" spans="2:19" ht="16.5" thickBot="1" x14ac:dyDescent="0.3">
      <c r="F45" s="18" t="s">
        <v>612</v>
      </c>
      <c r="G45" s="60">
        <v>0.5</v>
      </c>
      <c r="K45" s="249"/>
      <c r="L45" s="391"/>
      <c r="M45" s="251" t="s">
        <v>593</v>
      </c>
      <c r="N45" s="392" t="s">
        <v>594</v>
      </c>
      <c r="O45" s="43"/>
      <c r="P45" s="20"/>
      <c r="Q45" s="367"/>
      <c r="R45" s="367"/>
      <c r="S45" s="384"/>
    </row>
    <row r="46" spans="2:19" ht="15.75" x14ac:dyDescent="0.25">
      <c r="F46" s="18" t="s">
        <v>539</v>
      </c>
      <c r="G46" s="54">
        <v>54.7</v>
      </c>
      <c r="H46" s="9" t="s">
        <v>537</v>
      </c>
      <c r="Q46" s="369"/>
      <c r="R46" s="367"/>
      <c r="S46" s="384"/>
    </row>
    <row r="47" spans="2:19" ht="16.5" thickBot="1" x14ac:dyDescent="0.3">
      <c r="F47" s="18" t="s">
        <v>540</v>
      </c>
      <c r="G47" s="93">
        <v>7.2</v>
      </c>
      <c r="H47" s="9" t="s">
        <v>537</v>
      </c>
      <c r="K47" s="16" t="s">
        <v>662</v>
      </c>
      <c r="Q47" s="369"/>
      <c r="R47" s="364"/>
      <c r="S47" s="384"/>
    </row>
    <row r="48" spans="2:19" ht="15.75" x14ac:dyDescent="0.25">
      <c r="K48" s="16" t="s">
        <v>627</v>
      </c>
      <c r="M48" s="367"/>
      <c r="N48" s="367"/>
      <c r="O48" s="365"/>
      <c r="P48" s="363"/>
      <c r="Q48" s="367"/>
      <c r="R48" s="367"/>
      <c r="S48" s="384"/>
    </row>
    <row r="49" spans="2:19" ht="18" x14ac:dyDescent="0.25">
      <c r="B49" s="1" t="s">
        <v>599</v>
      </c>
      <c r="G49" s="39" t="s">
        <v>1</v>
      </c>
      <c r="K49" s="127" t="s">
        <v>628</v>
      </c>
      <c r="L49" s="363"/>
      <c r="M49" s="370"/>
      <c r="N49" s="367"/>
      <c r="O49" s="365"/>
      <c r="P49" s="363"/>
      <c r="Q49" s="367"/>
      <c r="R49" s="367"/>
      <c r="S49" s="384"/>
    </row>
    <row r="50" spans="2:19" ht="15.75" x14ac:dyDescent="0.25">
      <c r="F50" s="44" t="s">
        <v>597</v>
      </c>
      <c r="G50" s="16" t="s">
        <v>405</v>
      </c>
      <c r="L50" s="363"/>
      <c r="M50" s="367"/>
      <c r="N50" s="371"/>
      <c r="O50" s="371"/>
      <c r="P50" s="364"/>
      <c r="Q50" s="371"/>
      <c r="R50" s="367"/>
      <c r="S50" s="384"/>
    </row>
    <row r="51" spans="2:19" ht="15.75" x14ac:dyDescent="0.25">
      <c r="F51" s="44" t="s">
        <v>2</v>
      </c>
      <c r="G51" s="42">
        <f>G38*G39*G40</f>
        <v>28800</v>
      </c>
      <c r="H51" s="393" t="s">
        <v>406</v>
      </c>
      <c r="L51" s="363"/>
      <c r="M51" s="364"/>
      <c r="N51" s="372"/>
      <c r="O51" s="371"/>
      <c r="P51" s="364"/>
      <c r="Q51" s="373"/>
      <c r="R51" s="367"/>
      <c r="S51" s="384"/>
    </row>
    <row r="52" spans="2:19" ht="15.75" x14ac:dyDescent="0.25">
      <c r="F52" s="18" t="s">
        <v>626</v>
      </c>
      <c r="G52" s="16" t="s">
        <v>598</v>
      </c>
      <c r="H52" s="16"/>
      <c r="L52" s="363"/>
      <c r="M52" s="364"/>
      <c r="N52" s="372"/>
      <c r="O52" s="374"/>
      <c r="P52" s="364"/>
      <c r="Q52" s="373"/>
      <c r="R52" s="367"/>
      <c r="S52" s="384"/>
    </row>
    <row r="53" spans="2:19" ht="15.75" x14ac:dyDescent="0.25">
      <c r="F53" s="18" t="s">
        <v>2</v>
      </c>
      <c r="G53" s="42">
        <f>G41*G51 / 60</f>
        <v>1920</v>
      </c>
      <c r="H53" s="16" t="s">
        <v>95</v>
      </c>
      <c r="L53" s="363"/>
      <c r="M53" s="364"/>
      <c r="N53" s="372"/>
      <c r="O53" s="374"/>
      <c r="P53" s="364"/>
      <c r="Q53" s="373"/>
      <c r="R53" s="367"/>
      <c r="S53" s="384"/>
    </row>
    <row r="54" spans="2:19" ht="15.75" x14ac:dyDescent="0.25">
      <c r="B54" s="9" t="s">
        <v>631</v>
      </c>
      <c r="L54" s="363"/>
      <c r="M54" s="364"/>
      <c r="N54" s="372"/>
      <c r="O54" s="374"/>
      <c r="P54" s="364"/>
      <c r="Q54" s="373"/>
      <c r="R54" s="367"/>
      <c r="S54" s="384"/>
    </row>
    <row r="55" spans="2:19" ht="15.75" x14ac:dyDescent="0.25">
      <c r="B55" s="16" t="s">
        <v>701</v>
      </c>
      <c r="L55" s="363"/>
      <c r="M55" s="364"/>
      <c r="N55" s="372"/>
      <c r="O55" s="374"/>
      <c r="P55" s="364"/>
      <c r="Q55" s="373"/>
      <c r="R55" s="367"/>
      <c r="S55" s="384"/>
    </row>
    <row r="56" spans="2:19" ht="15.75" x14ac:dyDescent="0.25">
      <c r="F56" s="18" t="s">
        <v>632</v>
      </c>
      <c r="G56" s="16" t="s">
        <v>633</v>
      </c>
      <c r="H56" s="16"/>
      <c r="L56" s="363"/>
      <c r="M56" s="364"/>
      <c r="N56" s="372"/>
      <c r="O56" s="374"/>
      <c r="P56" s="364"/>
      <c r="Q56" s="373"/>
      <c r="R56" s="367"/>
      <c r="S56" s="384"/>
    </row>
    <row r="57" spans="2:19" ht="15.75" x14ac:dyDescent="0.25">
      <c r="F57" s="18" t="s">
        <v>2</v>
      </c>
      <c r="G57" s="16">
        <f>G36*G37</f>
        <v>136</v>
      </c>
      <c r="H57" s="16" t="s">
        <v>13</v>
      </c>
      <c r="L57" s="363"/>
      <c r="M57" s="367"/>
      <c r="N57" s="367"/>
      <c r="O57" s="365"/>
      <c r="P57" s="363"/>
      <c r="Q57" s="373"/>
      <c r="R57" s="367"/>
      <c r="S57" s="384"/>
    </row>
    <row r="58" spans="2:19" ht="15.75" x14ac:dyDescent="0.25">
      <c r="B58" s="9" t="s">
        <v>698</v>
      </c>
      <c r="L58" s="363"/>
      <c r="M58" s="367"/>
      <c r="N58" s="371"/>
      <c r="O58" s="371"/>
      <c r="P58" s="363"/>
      <c r="Q58" s="373"/>
      <c r="R58" s="367"/>
      <c r="S58" s="384"/>
    </row>
    <row r="59" spans="2:19" ht="15.75" x14ac:dyDescent="0.25">
      <c r="F59" s="18" t="s">
        <v>699</v>
      </c>
      <c r="G59" s="16" t="s">
        <v>516</v>
      </c>
      <c r="L59" s="363"/>
      <c r="M59" s="370"/>
      <c r="N59" s="375"/>
      <c r="O59" s="376"/>
      <c r="P59" s="364"/>
      <c r="Q59" s="373"/>
      <c r="R59" s="367"/>
      <c r="S59" s="384"/>
    </row>
    <row r="60" spans="2:19" ht="15.75" x14ac:dyDescent="0.25">
      <c r="F60" s="44" t="s">
        <v>2</v>
      </c>
      <c r="G60" s="12">
        <f>G44-G42</f>
        <v>51</v>
      </c>
      <c r="H60" s="16" t="s">
        <v>12</v>
      </c>
      <c r="L60" s="363"/>
      <c r="M60" s="364"/>
      <c r="N60" s="377"/>
      <c r="O60" s="376"/>
      <c r="P60" s="364"/>
      <c r="Q60" s="373"/>
      <c r="R60" s="367"/>
      <c r="S60" s="384"/>
    </row>
    <row r="61" spans="2:19" ht="15.75" x14ac:dyDescent="0.25">
      <c r="F61" s="18" t="s">
        <v>524</v>
      </c>
      <c r="G61" s="12">
        <v>7.4999999999999997E-2</v>
      </c>
      <c r="H61" s="9" t="s">
        <v>526</v>
      </c>
      <c r="I61" s="367"/>
      <c r="L61" s="363"/>
      <c r="M61" s="364"/>
      <c r="N61" s="375"/>
      <c r="O61" s="371"/>
      <c r="P61" s="364"/>
      <c r="Q61" s="373"/>
      <c r="R61" s="367"/>
      <c r="S61" s="384"/>
    </row>
    <row r="62" spans="2:19" ht="15.75" x14ac:dyDescent="0.25">
      <c r="F62" s="18" t="s">
        <v>525</v>
      </c>
      <c r="G62" s="257">
        <v>0.24</v>
      </c>
      <c r="H62" s="9" t="s">
        <v>532</v>
      </c>
      <c r="I62" s="367"/>
      <c r="L62" s="364"/>
      <c r="M62" s="384"/>
      <c r="N62" s="367"/>
      <c r="O62" s="365"/>
      <c r="P62" s="363"/>
      <c r="Q62" s="373"/>
      <c r="R62" s="364"/>
      <c r="S62" s="384"/>
    </row>
    <row r="63" spans="2:19" ht="16.5" thickBot="1" x14ac:dyDescent="0.3">
      <c r="F63" s="18" t="s">
        <v>610</v>
      </c>
      <c r="G63" s="16" t="s">
        <v>900</v>
      </c>
      <c r="H63" s="9"/>
      <c r="L63" s="363"/>
      <c r="M63" s="367"/>
      <c r="N63" s="367"/>
      <c r="O63" s="365"/>
      <c r="P63" s="363"/>
      <c r="Q63" s="367"/>
      <c r="R63" s="367"/>
      <c r="S63" s="384"/>
    </row>
    <row r="64" spans="2:19" ht="16.5" thickBot="1" x14ac:dyDescent="0.3">
      <c r="F64" s="20" t="s">
        <v>2</v>
      </c>
      <c r="G64" s="212">
        <f>(G57+H93)*G61*G62*G60</f>
        <v>913.00607999999988</v>
      </c>
      <c r="H64" s="9" t="s">
        <v>534</v>
      </c>
      <c r="L64" s="363"/>
      <c r="M64" s="367"/>
      <c r="N64" s="367"/>
      <c r="O64" s="365"/>
      <c r="P64" s="363"/>
      <c r="Q64" s="367"/>
      <c r="R64" s="367"/>
      <c r="S64" s="384"/>
    </row>
    <row r="65" spans="2:19" ht="15.75" x14ac:dyDescent="0.25">
      <c r="F65" s="16"/>
      <c r="G65" s="17"/>
      <c r="L65" s="178"/>
      <c r="M65" s="177"/>
      <c r="N65" s="177"/>
      <c r="O65" s="175"/>
      <c r="P65" s="178"/>
      <c r="Q65" s="177"/>
      <c r="R65" s="177"/>
      <c r="S65" s="177"/>
    </row>
    <row r="66" spans="2:19" ht="15.75" x14ac:dyDescent="0.25">
      <c r="B66" s="9" t="s">
        <v>660</v>
      </c>
      <c r="L66" s="178"/>
      <c r="M66" s="177"/>
      <c r="N66" s="177"/>
      <c r="O66" s="175"/>
      <c r="P66" s="178"/>
      <c r="Q66" s="177"/>
      <c r="R66" s="177"/>
      <c r="S66" s="177"/>
    </row>
    <row r="67" spans="2:19" ht="15.75" x14ac:dyDescent="0.25">
      <c r="B67" s="9" t="s">
        <v>600</v>
      </c>
      <c r="J67" s="9"/>
      <c r="L67" s="178"/>
      <c r="M67" s="177"/>
      <c r="N67" s="177"/>
      <c r="O67" s="175"/>
      <c r="P67" s="178"/>
      <c r="Q67" s="177"/>
      <c r="R67" s="177"/>
      <c r="S67" s="177"/>
    </row>
    <row r="68" spans="2:19" ht="15.75" x14ac:dyDescent="0.25">
      <c r="F68" s="18" t="s">
        <v>535</v>
      </c>
      <c r="G68" s="394">
        <v>1061</v>
      </c>
      <c r="H68" s="9" t="s">
        <v>536</v>
      </c>
      <c r="L68" s="178"/>
      <c r="M68" s="177"/>
      <c r="N68" s="177"/>
      <c r="O68" s="175"/>
      <c r="P68" s="178"/>
      <c r="Q68" s="177"/>
      <c r="R68" s="177"/>
      <c r="S68" s="177"/>
    </row>
    <row r="69" spans="2:19" ht="15.75" x14ac:dyDescent="0.25">
      <c r="F69" s="18" t="s">
        <v>608</v>
      </c>
      <c r="G69" s="16" t="s">
        <v>541</v>
      </c>
      <c r="H69" s="9"/>
      <c r="L69" s="178"/>
      <c r="M69" s="177"/>
      <c r="N69" s="177"/>
      <c r="O69" s="175"/>
      <c r="P69" s="178"/>
      <c r="Q69" s="177"/>
      <c r="R69" s="177"/>
      <c r="S69" s="177"/>
    </row>
    <row r="70" spans="2:19" ht="15.75" x14ac:dyDescent="0.25">
      <c r="F70" s="20" t="s">
        <v>2</v>
      </c>
      <c r="G70" s="16">
        <f>G46/7000</f>
        <v>7.8142857142857146E-3</v>
      </c>
      <c r="H70" s="9" t="s">
        <v>538</v>
      </c>
      <c r="M70" s="17"/>
      <c r="N70" s="177"/>
      <c r="O70" s="175"/>
      <c r="P70" s="178"/>
      <c r="Q70" s="177"/>
      <c r="R70" s="177"/>
      <c r="S70" s="177"/>
    </row>
    <row r="71" spans="2:19" ht="15.75" x14ac:dyDescent="0.25">
      <c r="F71" s="18" t="s">
        <v>609</v>
      </c>
      <c r="G71" s="16" t="s">
        <v>542</v>
      </c>
      <c r="H71" s="9"/>
      <c r="M71" s="17"/>
      <c r="N71" s="177"/>
      <c r="O71" s="175"/>
      <c r="P71" s="178"/>
      <c r="Q71" s="177"/>
      <c r="R71" s="177"/>
      <c r="S71" s="177"/>
    </row>
    <row r="72" spans="2:19" ht="15.75" x14ac:dyDescent="0.25">
      <c r="F72" s="20" t="s">
        <v>2</v>
      </c>
      <c r="G72" s="16">
        <f>G47/7000</f>
        <v>1.0285714285714286E-3</v>
      </c>
      <c r="H72" s="9" t="s">
        <v>538</v>
      </c>
    </row>
    <row r="73" spans="2:19" ht="15.75" x14ac:dyDescent="0.25">
      <c r="F73" s="18" t="s">
        <v>611</v>
      </c>
      <c r="G73" s="16" t="s">
        <v>901</v>
      </c>
      <c r="H73" s="9"/>
    </row>
    <row r="74" spans="2:19" ht="15.75" x14ac:dyDescent="0.25">
      <c r="F74" s="20" t="s">
        <v>2</v>
      </c>
      <c r="G74" s="42">
        <f>(G57+H93)*G61*G68*(G70 - G72)</f>
        <v>537.03575999999998</v>
      </c>
      <c r="H74" s="9" t="s">
        <v>534</v>
      </c>
      <c r="L74" s="16" t="s">
        <v>668</v>
      </c>
      <c r="M74" s="17"/>
      <c r="N74" s="177"/>
      <c r="O74" s="175"/>
      <c r="P74" s="178"/>
      <c r="Q74" s="177"/>
      <c r="R74" s="177"/>
      <c r="S74" s="177"/>
    </row>
    <row r="75" spans="2:19" ht="15.75" x14ac:dyDescent="0.25">
      <c r="B75" s="9" t="s">
        <v>547</v>
      </c>
      <c r="L75" s="128" t="s">
        <v>519</v>
      </c>
    </row>
    <row r="76" spans="2:19" ht="15.75" x14ac:dyDescent="0.25">
      <c r="B76" s="16" t="s">
        <v>603</v>
      </c>
    </row>
    <row r="77" spans="2:19" ht="16.5" thickBot="1" x14ac:dyDescent="0.3">
      <c r="F77" s="18" t="s">
        <v>604</v>
      </c>
      <c r="G77" s="16" t="s">
        <v>605</v>
      </c>
      <c r="H77" s="17"/>
      <c r="K77" s="9" t="s">
        <v>546</v>
      </c>
      <c r="L77" s="17"/>
      <c r="M77" s="17"/>
      <c r="N77" s="17"/>
      <c r="Q77" s="43"/>
      <c r="S77" s="177"/>
    </row>
    <row r="78" spans="2:19" ht="16.5" thickBot="1" x14ac:dyDescent="0.3">
      <c r="F78" s="18" t="s">
        <v>2</v>
      </c>
      <c r="G78" s="212">
        <f>G64+G74</f>
        <v>1450.0418399999999</v>
      </c>
      <c r="H78" s="9" t="s">
        <v>534</v>
      </c>
      <c r="K78" s="9" t="s">
        <v>543</v>
      </c>
      <c r="L78" s="9"/>
      <c r="M78" s="9"/>
      <c r="N78" s="9" t="s">
        <v>544</v>
      </c>
      <c r="O78" s="18"/>
      <c r="P78" s="16"/>
      <c r="Q78" s="16" t="s">
        <v>545</v>
      </c>
      <c r="S78" s="177"/>
    </row>
    <row r="79" spans="2:19" ht="16.5" thickBot="1" x14ac:dyDescent="0.3">
      <c r="F79" s="20" t="s">
        <v>2</v>
      </c>
      <c r="G79" s="212">
        <f>G78*60</f>
        <v>87002.510399999999</v>
      </c>
      <c r="H79" s="9" t="s">
        <v>0</v>
      </c>
      <c r="K79" s="9"/>
      <c r="L79" s="9"/>
      <c r="M79" s="9"/>
      <c r="N79" s="9"/>
      <c r="O79" s="18"/>
      <c r="P79" s="16"/>
      <c r="Q79" s="16"/>
      <c r="S79" s="177"/>
    </row>
    <row r="80" spans="2:19" x14ac:dyDescent="0.2">
      <c r="L80" s="17"/>
      <c r="M80" s="17"/>
      <c r="N80" s="17"/>
      <c r="Q80" s="43"/>
      <c r="S80" s="177"/>
    </row>
    <row r="81" spans="2:27" ht="18" x14ac:dyDescent="0.25">
      <c r="B81" s="420" t="s">
        <v>899</v>
      </c>
      <c r="L81" s="17"/>
      <c r="M81" s="17"/>
      <c r="N81" s="17"/>
      <c r="Q81" s="43"/>
      <c r="S81" s="177"/>
    </row>
    <row r="82" spans="2:27" x14ac:dyDescent="0.2">
      <c r="B82" s="128" t="s">
        <v>548</v>
      </c>
      <c r="L82" s="17"/>
      <c r="M82" s="17"/>
      <c r="N82" s="17"/>
      <c r="Q82" s="43"/>
      <c r="S82" s="177"/>
    </row>
    <row r="83" spans="2:27" ht="18" x14ac:dyDescent="0.25">
      <c r="B83" s="1" t="s">
        <v>661</v>
      </c>
      <c r="F83" s="17"/>
      <c r="G83" s="17"/>
      <c r="H83" s="17"/>
      <c r="L83" s="17"/>
      <c r="M83" s="17"/>
      <c r="N83" s="17"/>
      <c r="Q83" s="43"/>
      <c r="S83" s="177"/>
    </row>
    <row r="84" spans="2:27" ht="16.5" thickBot="1" x14ac:dyDescent="0.3">
      <c r="E84" s="39" t="s">
        <v>1</v>
      </c>
      <c r="L84" s="17"/>
      <c r="M84" s="17"/>
      <c r="N84" s="17"/>
      <c r="Q84" s="43"/>
      <c r="S84" s="177"/>
    </row>
    <row r="85" spans="2:27" ht="16.5" thickBot="1" x14ac:dyDescent="0.3">
      <c r="D85" s="39" t="s">
        <v>3</v>
      </c>
      <c r="E85" s="222" t="s">
        <v>59</v>
      </c>
      <c r="F85" s="39" t="s">
        <v>3</v>
      </c>
      <c r="G85" s="39" t="s">
        <v>3</v>
      </c>
      <c r="H85" s="39" t="s">
        <v>1</v>
      </c>
      <c r="I85" s="177"/>
      <c r="L85" s="17"/>
      <c r="M85" s="17"/>
      <c r="N85" s="17"/>
      <c r="Q85" s="43"/>
      <c r="S85" s="177"/>
    </row>
    <row r="86" spans="2:27" ht="16.5" thickBot="1" x14ac:dyDescent="0.3">
      <c r="B86" s="116"/>
      <c r="C86" s="117"/>
      <c r="D86" s="80" t="s">
        <v>562</v>
      </c>
      <c r="E86" s="226" t="s">
        <v>560</v>
      </c>
      <c r="F86" s="395" t="s">
        <v>60</v>
      </c>
      <c r="G86" s="80" t="s">
        <v>89</v>
      </c>
      <c r="H86" s="396" t="s">
        <v>559</v>
      </c>
      <c r="L86" s="17"/>
      <c r="M86" s="17"/>
      <c r="N86" s="17"/>
      <c r="Q86" s="43"/>
      <c r="S86" s="177"/>
    </row>
    <row r="87" spans="2:27" ht="15.75" x14ac:dyDescent="0.25">
      <c r="B87" s="236"/>
      <c r="C87" s="76" t="s">
        <v>553</v>
      </c>
      <c r="D87" s="186">
        <v>0.02</v>
      </c>
      <c r="E87" s="179">
        <v>150</v>
      </c>
      <c r="F87" s="167">
        <v>100</v>
      </c>
      <c r="G87" s="182">
        <v>1</v>
      </c>
      <c r="H87" s="307">
        <f t="shared" ref="H87:H92" si="0">D87*E87*F87*G87</f>
        <v>300</v>
      </c>
      <c r="L87" s="17"/>
      <c r="M87" s="17"/>
      <c r="N87" s="17"/>
      <c r="Q87" s="43"/>
      <c r="S87" s="177"/>
      <c r="Y87" s="177"/>
      <c r="Z87" s="175"/>
      <c r="AA87" s="178"/>
    </row>
    <row r="88" spans="2:27" ht="15.75" x14ac:dyDescent="0.25">
      <c r="B88" s="236"/>
      <c r="C88" s="76" t="s">
        <v>554</v>
      </c>
      <c r="D88" s="186">
        <v>0.02</v>
      </c>
      <c r="E88" s="187">
        <v>150</v>
      </c>
      <c r="F88" s="167">
        <v>100</v>
      </c>
      <c r="G88" s="186">
        <v>1</v>
      </c>
      <c r="H88" s="307">
        <f t="shared" si="0"/>
        <v>300</v>
      </c>
      <c r="L88" s="17"/>
      <c r="M88" s="17"/>
      <c r="N88" s="17"/>
      <c r="Q88" s="43"/>
      <c r="S88" s="177"/>
      <c r="Y88" s="177"/>
      <c r="Z88" s="175"/>
      <c r="AA88" s="178"/>
    </row>
    <row r="89" spans="2:27" ht="15.75" x14ac:dyDescent="0.25">
      <c r="B89" s="236"/>
      <c r="C89" s="76" t="s">
        <v>557</v>
      </c>
      <c r="D89" s="186">
        <v>0.02</v>
      </c>
      <c r="E89" s="187">
        <v>16</v>
      </c>
      <c r="F89" s="167">
        <v>150</v>
      </c>
      <c r="G89" s="186">
        <v>2</v>
      </c>
      <c r="H89" s="307">
        <f t="shared" si="0"/>
        <v>96</v>
      </c>
      <c r="L89" s="17"/>
      <c r="M89" s="17"/>
      <c r="N89" s="17"/>
      <c r="Q89" s="43"/>
      <c r="W89" s="43"/>
      <c r="Y89" s="177"/>
      <c r="Z89" s="175"/>
      <c r="AA89" s="397"/>
    </row>
    <row r="90" spans="2:27" ht="15.75" x14ac:dyDescent="0.25">
      <c r="B90" s="236"/>
      <c r="C90" s="76" t="s">
        <v>558</v>
      </c>
      <c r="D90" s="186">
        <v>0.02</v>
      </c>
      <c r="E90" s="187">
        <v>16</v>
      </c>
      <c r="F90" s="167">
        <v>100</v>
      </c>
      <c r="G90" s="186">
        <v>2</v>
      </c>
      <c r="H90" s="307">
        <f t="shared" si="0"/>
        <v>64</v>
      </c>
      <c r="L90" s="17"/>
      <c r="M90" s="17"/>
      <c r="N90" s="17"/>
      <c r="Q90" s="43"/>
      <c r="W90" s="43"/>
      <c r="X90" s="20"/>
      <c r="Y90" s="178"/>
      <c r="Z90" s="175"/>
      <c r="AA90" s="178"/>
    </row>
    <row r="91" spans="2:27" ht="15.75" x14ac:dyDescent="0.25">
      <c r="B91" s="236"/>
      <c r="C91" s="76" t="s">
        <v>561</v>
      </c>
      <c r="D91" s="431">
        <v>0.02</v>
      </c>
      <c r="E91" s="187">
        <v>8</v>
      </c>
      <c r="F91" s="167">
        <v>4</v>
      </c>
      <c r="G91" s="186">
        <v>4</v>
      </c>
      <c r="H91" s="307">
        <f t="shared" si="0"/>
        <v>2.56</v>
      </c>
      <c r="L91" s="17"/>
      <c r="M91" s="17"/>
      <c r="N91" s="17"/>
      <c r="Q91" s="43"/>
      <c r="W91" s="128"/>
      <c r="X91" s="20"/>
      <c r="Y91" s="43"/>
      <c r="Z91" s="20"/>
      <c r="AA91" s="43"/>
    </row>
    <row r="92" spans="2:27" ht="16.5" thickBot="1" x14ac:dyDescent="0.3">
      <c r="B92" s="249"/>
      <c r="C92" s="398" t="s">
        <v>556</v>
      </c>
      <c r="D92" s="432">
        <v>1</v>
      </c>
      <c r="E92" s="193">
        <v>8</v>
      </c>
      <c r="F92" s="266">
        <v>4</v>
      </c>
      <c r="G92" s="192">
        <v>3</v>
      </c>
      <c r="H92" s="399">
        <f t="shared" si="0"/>
        <v>96</v>
      </c>
      <c r="L92" s="17"/>
      <c r="M92" s="17"/>
      <c r="N92" s="17"/>
      <c r="Q92" s="43"/>
      <c r="W92" s="43"/>
      <c r="X92" s="20"/>
      <c r="Y92" s="9"/>
      <c r="Z92" s="20"/>
      <c r="AA92" s="43"/>
    </row>
    <row r="93" spans="2:27" ht="16.5" thickBot="1" x14ac:dyDescent="0.3">
      <c r="D93" s="20"/>
      <c r="E93" s="20"/>
      <c r="G93" s="18" t="s">
        <v>552</v>
      </c>
      <c r="H93" s="400">
        <f>SUM(H87:H92)</f>
        <v>858.56</v>
      </c>
      <c r="I93" s="9" t="s">
        <v>13</v>
      </c>
      <c r="L93" s="17"/>
      <c r="M93" s="17"/>
      <c r="N93" s="17"/>
      <c r="Q93" s="43"/>
    </row>
    <row r="94" spans="2:27" x14ac:dyDescent="0.2">
      <c r="B94" s="17" t="s">
        <v>669</v>
      </c>
      <c r="D94" s="20"/>
      <c r="E94" s="20"/>
      <c r="H94" s="17"/>
      <c r="L94" s="17"/>
      <c r="M94" s="17"/>
      <c r="N94" s="17"/>
      <c r="Q94" s="43"/>
    </row>
    <row r="95" spans="2:27" ht="19.5" thickBot="1" x14ac:dyDescent="0.3">
      <c r="B95" s="401">
        <v>40057</v>
      </c>
      <c r="D95" s="18" t="s">
        <v>606</v>
      </c>
      <c r="E95" s="12">
        <v>0.02</v>
      </c>
      <c r="F95" s="16" t="s">
        <v>555</v>
      </c>
      <c r="L95" s="77" t="s">
        <v>648</v>
      </c>
      <c r="N95" s="264" t="s">
        <v>636</v>
      </c>
      <c r="O95" s="402">
        <v>0.49</v>
      </c>
      <c r="P95" s="250" t="s">
        <v>902</v>
      </c>
      <c r="Q95" s="250"/>
      <c r="R95" s="9"/>
      <c r="S95" s="9"/>
    </row>
    <row r="96" spans="2:27" ht="15.75" x14ac:dyDescent="0.25">
      <c r="L96" s="17"/>
      <c r="O96" s="17"/>
      <c r="P96" s="17"/>
      <c r="Q96" s="9"/>
      <c r="R96" s="9"/>
      <c r="S96" s="9"/>
    </row>
    <row r="97" spans="2:19" ht="18" x14ac:dyDescent="0.25">
      <c r="B97" s="1" t="s">
        <v>517</v>
      </c>
      <c r="L97" s="17"/>
      <c r="O97" s="17"/>
      <c r="P97" s="17"/>
      <c r="Q97" s="9"/>
      <c r="R97" s="9"/>
      <c r="S97" s="16"/>
    </row>
    <row r="98" spans="2:19" ht="16.5" thickBot="1" x14ac:dyDescent="0.3">
      <c r="E98" s="39" t="s">
        <v>1</v>
      </c>
      <c r="L98" s="17"/>
      <c r="O98" s="17"/>
      <c r="P98" s="17"/>
      <c r="Q98" s="9"/>
      <c r="R98" s="9"/>
      <c r="S98" s="9"/>
    </row>
    <row r="99" spans="2:19" ht="16.5" thickBot="1" x14ac:dyDescent="0.3">
      <c r="D99" s="39" t="s">
        <v>3</v>
      </c>
      <c r="E99" s="222" t="s">
        <v>51</v>
      </c>
      <c r="F99" s="39" t="s">
        <v>3</v>
      </c>
      <c r="G99" s="39" t="s">
        <v>1</v>
      </c>
      <c r="H99" s="39" t="s">
        <v>1</v>
      </c>
      <c r="I99" s="39" t="s">
        <v>1</v>
      </c>
      <c r="L99" s="17"/>
      <c r="O99" s="17"/>
      <c r="P99" s="17"/>
      <c r="Q99" s="9"/>
      <c r="R99" s="9"/>
      <c r="S99" s="16"/>
    </row>
    <row r="100" spans="2:19" ht="16.5" thickBot="1" x14ac:dyDescent="0.3">
      <c r="D100" s="395" t="s">
        <v>27</v>
      </c>
      <c r="E100" s="224" t="s">
        <v>28</v>
      </c>
      <c r="F100" s="80" t="s">
        <v>656</v>
      </c>
      <c r="G100" s="403" t="s">
        <v>53</v>
      </c>
      <c r="H100" s="222" t="s">
        <v>29</v>
      </c>
      <c r="I100" s="396" t="s">
        <v>30</v>
      </c>
      <c r="L100" s="17"/>
      <c r="O100" s="17"/>
      <c r="P100" s="17"/>
      <c r="Q100" s="9"/>
      <c r="R100" s="9"/>
      <c r="S100" s="16"/>
    </row>
    <row r="101" spans="2:19" ht="15.75" x14ac:dyDescent="0.25">
      <c r="B101" s="116"/>
      <c r="C101" s="404" t="s">
        <v>20</v>
      </c>
      <c r="D101" s="182">
        <v>4.8000000000000001E-2</v>
      </c>
      <c r="E101" s="261">
        <f>G38*G39</f>
        <v>2400</v>
      </c>
      <c r="F101" s="182"/>
      <c r="G101" s="405">
        <f>E101*(1-F102)</f>
        <v>1944.0000000000002</v>
      </c>
      <c r="H101" s="179">
        <f t="shared" ref="H100:H110" si="1">G$60</f>
        <v>51</v>
      </c>
      <c r="I101" s="406">
        <f>D101*G101*H101</f>
        <v>4758.9120000000003</v>
      </c>
      <c r="L101" s="17"/>
      <c r="O101" s="17"/>
      <c r="P101" s="17"/>
      <c r="Q101" s="9"/>
      <c r="R101" s="9"/>
      <c r="S101" s="9"/>
    </row>
    <row r="102" spans="2:19" ht="15.75" x14ac:dyDescent="0.25">
      <c r="B102" s="236"/>
      <c r="C102" s="76" t="s">
        <v>50</v>
      </c>
      <c r="D102" s="423">
        <v>0.49</v>
      </c>
      <c r="E102" s="177"/>
      <c r="F102" s="425">
        <v>0.19</v>
      </c>
      <c r="G102" s="407">
        <f>E101*F102</f>
        <v>456</v>
      </c>
      <c r="H102" s="187">
        <f t="shared" si="1"/>
        <v>51</v>
      </c>
      <c r="I102" s="408">
        <f t="shared" ref="I102:I110" si="2">D102*G102*H102</f>
        <v>11395.44</v>
      </c>
      <c r="L102" s="17"/>
      <c r="O102" s="17"/>
      <c r="P102" s="17"/>
      <c r="Q102" s="9"/>
      <c r="R102" s="9"/>
      <c r="S102" s="9"/>
    </row>
    <row r="103" spans="2:19" ht="15.75" x14ac:dyDescent="0.25">
      <c r="B103" s="236"/>
      <c r="C103" s="76" t="s">
        <v>222</v>
      </c>
      <c r="D103" s="186">
        <v>7.9000000000000001E-2</v>
      </c>
      <c r="E103" s="261">
        <f>G38*G40</f>
        <v>720</v>
      </c>
      <c r="F103" s="186"/>
      <c r="G103" s="407">
        <f>E103*(1-F104)</f>
        <v>648</v>
      </c>
      <c r="H103" s="187">
        <f t="shared" si="1"/>
        <v>51</v>
      </c>
      <c r="I103" s="408">
        <f t="shared" si="2"/>
        <v>2610.7919999999999</v>
      </c>
      <c r="L103" s="17"/>
      <c r="O103" s="17"/>
      <c r="P103" s="17"/>
      <c r="Q103" s="9"/>
      <c r="R103" s="9"/>
      <c r="S103" s="9"/>
    </row>
    <row r="104" spans="2:19" ht="15.75" x14ac:dyDescent="0.25">
      <c r="B104" s="236"/>
      <c r="C104" s="76" t="s">
        <v>221</v>
      </c>
      <c r="D104" s="423">
        <v>0.49</v>
      </c>
      <c r="E104" s="177"/>
      <c r="F104" s="425">
        <v>0.1</v>
      </c>
      <c r="G104" s="407">
        <f>E103*F104</f>
        <v>72</v>
      </c>
      <c r="H104" s="187">
        <f t="shared" si="1"/>
        <v>51</v>
      </c>
      <c r="I104" s="408">
        <f t="shared" si="2"/>
        <v>1799.28</v>
      </c>
      <c r="L104" s="17"/>
      <c r="O104" s="17"/>
      <c r="P104" s="17"/>
    </row>
    <row r="105" spans="2:19" ht="15.75" x14ac:dyDescent="0.25">
      <c r="B105" s="236"/>
      <c r="C105" s="76" t="s">
        <v>223</v>
      </c>
      <c r="D105" s="186">
        <v>7.9000000000000001E-2</v>
      </c>
      <c r="E105" s="261">
        <f>G39*G40</f>
        <v>480</v>
      </c>
      <c r="F105" s="186"/>
      <c r="G105" s="407">
        <f>E105*(1-F106)</f>
        <v>336</v>
      </c>
      <c r="H105" s="187">
        <f t="shared" si="1"/>
        <v>51</v>
      </c>
      <c r="I105" s="408">
        <f t="shared" si="2"/>
        <v>1353.7439999999999</v>
      </c>
      <c r="L105" s="17"/>
      <c r="O105" s="17"/>
      <c r="P105" s="17"/>
    </row>
    <row r="106" spans="2:19" ht="15.75" x14ac:dyDescent="0.25">
      <c r="B106" s="236"/>
      <c r="C106" s="76" t="s">
        <v>224</v>
      </c>
      <c r="D106" s="423">
        <v>0.49</v>
      </c>
      <c r="E106" s="177"/>
      <c r="F106" s="425">
        <v>0.3</v>
      </c>
      <c r="G106" s="407">
        <f>E105*F106</f>
        <v>144</v>
      </c>
      <c r="H106" s="187">
        <f t="shared" si="1"/>
        <v>51</v>
      </c>
      <c r="I106" s="408">
        <f t="shared" si="2"/>
        <v>3598.56</v>
      </c>
      <c r="L106" s="17"/>
      <c r="O106" s="17"/>
      <c r="P106" s="17"/>
    </row>
    <row r="107" spans="2:19" ht="18.75" thickBot="1" x14ac:dyDescent="0.3">
      <c r="B107" s="236"/>
      <c r="C107" s="76" t="s">
        <v>225</v>
      </c>
      <c r="D107" s="186">
        <v>7.9000000000000001E-2</v>
      </c>
      <c r="E107" s="261">
        <f>G38*G40</f>
        <v>720</v>
      </c>
      <c r="F107" s="186"/>
      <c r="G107" s="407">
        <f>E107*(1-F108)</f>
        <v>576</v>
      </c>
      <c r="H107" s="187">
        <f t="shared" si="1"/>
        <v>51</v>
      </c>
      <c r="I107" s="408">
        <f t="shared" si="2"/>
        <v>2320.7039999999997</v>
      </c>
      <c r="K107" s="1" t="s">
        <v>657</v>
      </c>
    </row>
    <row r="108" spans="2:19" ht="16.5" thickBot="1" x14ac:dyDescent="0.3">
      <c r="B108" s="236"/>
      <c r="C108" s="76" t="s">
        <v>226</v>
      </c>
      <c r="D108" s="423">
        <v>0.49</v>
      </c>
      <c r="E108" s="177"/>
      <c r="F108" s="425">
        <v>0.2</v>
      </c>
      <c r="G108" s="407">
        <f>E107*F108</f>
        <v>144</v>
      </c>
      <c r="H108" s="187">
        <f t="shared" si="1"/>
        <v>51</v>
      </c>
      <c r="I108" s="408">
        <f t="shared" si="2"/>
        <v>3598.56</v>
      </c>
      <c r="L108" s="15" t="s">
        <v>637</v>
      </c>
      <c r="M108" s="409" t="s">
        <v>638</v>
      </c>
      <c r="N108" s="410"/>
      <c r="O108" s="390"/>
      <c r="P108" s="17"/>
    </row>
    <row r="109" spans="2:19" ht="16.5" thickBot="1" x14ac:dyDescent="0.3">
      <c r="B109" s="236"/>
      <c r="C109" s="76" t="s">
        <v>82</v>
      </c>
      <c r="D109" s="186">
        <v>7.9000000000000001E-2</v>
      </c>
      <c r="E109" s="261">
        <f>G39*G40</f>
        <v>480</v>
      </c>
      <c r="F109" s="186"/>
      <c r="G109" s="407">
        <f>E109*(1-F110)</f>
        <v>360</v>
      </c>
      <c r="H109" s="187">
        <f t="shared" si="1"/>
        <v>51</v>
      </c>
      <c r="I109" s="408">
        <f t="shared" si="2"/>
        <v>1450.44</v>
      </c>
      <c r="L109" s="17"/>
      <c r="N109" s="39" t="s">
        <v>3</v>
      </c>
      <c r="O109" s="17"/>
    </row>
    <row r="110" spans="2:19" ht="16.5" thickBot="1" x14ac:dyDescent="0.3">
      <c r="B110" s="249"/>
      <c r="C110" s="398" t="s">
        <v>227</v>
      </c>
      <c r="D110" s="424">
        <v>0.49</v>
      </c>
      <c r="E110" s="265" t="s">
        <v>52</v>
      </c>
      <c r="F110" s="426">
        <v>0.25</v>
      </c>
      <c r="G110" s="411">
        <f>E109*F110</f>
        <v>120</v>
      </c>
      <c r="H110" s="193">
        <f t="shared" si="1"/>
        <v>51</v>
      </c>
      <c r="I110" s="412">
        <f t="shared" si="2"/>
        <v>2998.7999999999997</v>
      </c>
      <c r="L110" s="17"/>
      <c r="M110" s="18" t="s">
        <v>639</v>
      </c>
      <c r="N110" s="52">
        <v>60</v>
      </c>
      <c r="O110" s="9" t="s">
        <v>26</v>
      </c>
    </row>
    <row r="111" spans="2:19" ht="16.5" thickBot="1" x14ac:dyDescent="0.3">
      <c r="C111" s="20"/>
      <c r="D111" s="69"/>
      <c r="E111" s="69"/>
      <c r="G111" s="178"/>
      <c r="H111" s="12" t="s">
        <v>518</v>
      </c>
      <c r="I111" s="413">
        <f>SUM(I101:I110)</f>
        <v>35885.232000000004</v>
      </c>
      <c r="L111" s="17"/>
      <c r="M111" s="18" t="s">
        <v>48</v>
      </c>
      <c r="N111" s="54">
        <v>12</v>
      </c>
      <c r="O111" s="9" t="s">
        <v>26</v>
      </c>
    </row>
    <row r="112" spans="2:19" ht="15.75" x14ac:dyDescent="0.25">
      <c r="I112" s="18" t="s">
        <v>30</v>
      </c>
      <c r="L112" s="17"/>
      <c r="M112" s="18" t="s">
        <v>640</v>
      </c>
      <c r="N112" s="54">
        <v>8</v>
      </c>
      <c r="O112" s="9" t="s">
        <v>26</v>
      </c>
    </row>
    <row r="113" spans="6:15" ht="15.75" x14ac:dyDescent="0.25">
      <c r="G113" s="174" t="s">
        <v>1</v>
      </c>
      <c r="L113" s="17"/>
      <c r="M113" s="18" t="s">
        <v>641</v>
      </c>
      <c r="N113" s="54">
        <v>6</v>
      </c>
      <c r="O113" s="9" t="s">
        <v>26</v>
      </c>
    </row>
    <row r="114" spans="6:15" ht="16.5" thickBot="1" x14ac:dyDescent="0.3">
      <c r="F114" s="18" t="s">
        <v>31</v>
      </c>
      <c r="G114" s="42" t="s">
        <v>618</v>
      </c>
      <c r="H114" s="17"/>
      <c r="L114" s="17"/>
      <c r="M114" s="18" t="s">
        <v>649</v>
      </c>
      <c r="N114" s="54">
        <v>2</v>
      </c>
      <c r="O114" s="9" t="s">
        <v>49</v>
      </c>
    </row>
    <row r="115" spans="6:15" ht="16.5" thickBot="1" x14ac:dyDescent="0.3">
      <c r="F115" s="18" t="s">
        <v>2</v>
      </c>
      <c r="G115" s="212">
        <f>I111+G79+H179</f>
        <v>125687.7424</v>
      </c>
      <c r="H115" s="16" t="s">
        <v>30</v>
      </c>
      <c r="L115" s="17"/>
      <c r="M115" s="18" t="s">
        <v>642</v>
      </c>
      <c r="N115" s="54">
        <v>8</v>
      </c>
      <c r="O115" s="9" t="s">
        <v>26</v>
      </c>
    </row>
    <row r="116" spans="6:15" ht="15.75" x14ac:dyDescent="0.25">
      <c r="F116" s="18" t="s">
        <v>635</v>
      </c>
      <c r="L116" s="17"/>
      <c r="M116" s="18" t="s">
        <v>643</v>
      </c>
      <c r="N116" s="54">
        <v>2.5</v>
      </c>
      <c r="O116" s="9" t="s">
        <v>26</v>
      </c>
    </row>
    <row r="117" spans="6:15" ht="15.75" x14ac:dyDescent="0.25">
      <c r="L117" s="17"/>
      <c r="M117" s="18" t="s">
        <v>651</v>
      </c>
      <c r="N117" s="54">
        <v>2</v>
      </c>
      <c r="O117" s="9" t="s">
        <v>49</v>
      </c>
    </row>
    <row r="118" spans="6:15" ht="15.75" x14ac:dyDescent="0.25">
      <c r="L118" s="17"/>
      <c r="M118" s="18" t="s">
        <v>644</v>
      </c>
      <c r="N118" s="54">
        <v>0</v>
      </c>
      <c r="O118" s="9" t="s">
        <v>26</v>
      </c>
    </row>
    <row r="119" spans="6:15" ht="15.75" x14ac:dyDescent="0.25">
      <c r="L119" s="17"/>
      <c r="M119" s="18" t="s">
        <v>645</v>
      </c>
      <c r="N119" s="54">
        <v>0</v>
      </c>
      <c r="O119" s="9" t="s">
        <v>26</v>
      </c>
    </row>
    <row r="120" spans="6:15" ht="16.5" thickBot="1" x14ac:dyDescent="0.3">
      <c r="L120" s="17"/>
      <c r="M120" s="18" t="s">
        <v>650</v>
      </c>
      <c r="N120" s="93">
        <v>0</v>
      </c>
      <c r="O120" s="9" t="s">
        <v>49</v>
      </c>
    </row>
    <row r="121" spans="6:15" ht="15.75" x14ac:dyDescent="0.25">
      <c r="L121" s="17"/>
      <c r="M121" s="18"/>
      <c r="N121" s="39" t="s">
        <v>1</v>
      </c>
      <c r="O121" s="9"/>
    </row>
    <row r="122" spans="6:15" ht="15.75" x14ac:dyDescent="0.25">
      <c r="L122" s="17"/>
      <c r="M122" s="18" t="s">
        <v>653</v>
      </c>
      <c r="N122" s="16" t="s">
        <v>646</v>
      </c>
      <c r="O122" s="9"/>
    </row>
    <row r="123" spans="6:15" ht="15.75" x14ac:dyDescent="0.25">
      <c r="L123" s="17"/>
      <c r="M123" s="18" t="s">
        <v>2</v>
      </c>
      <c r="N123" s="16">
        <f>N110*N111</f>
        <v>720</v>
      </c>
      <c r="O123" s="9"/>
    </row>
    <row r="124" spans="6:15" ht="15.75" x14ac:dyDescent="0.25">
      <c r="L124" s="17"/>
      <c r="M124" s="18" t="s">
        <v>654</v>
      </c>
      <c r="N124" s="16" t="s">
        <v>647</v>
      </c>
      <c r="O124" s="9"/>
    </row>
    <row r="125" spans="6:15" ht="18.75" x14ac:dyDescent="0.25">
      <c r="L125" s="17"/>
      <c r="M125" s="18" t="s">
        <v>2</v>
      </c>
      <c r="N125" s="16">
        <f>(N112*N113*N114) + (N115*N116*N117) + (N118*N119*N120)</f>
        <v>136</v>
      </c>
      <c r="O125" s="9" t="s">
        <v>903</v>
      </c>
    </row>
    <row r="126" spans="6:15" ht="15.75" x14ac:dyDescent="0.25">
      <c r="L126" s="17"/>
      <c r="M126" s="18" t="s">
        <v>652</v>
      </c>
      <c r="N126" s="16" t="s">
        <v>646</v>
      </c>
      <c r="O126" s="9"/>
    </row>
    <row r="127" spans="6:15" ht="18.75" x14ac:dyDescent="0.25">
      <c r="L127" s="17"/>
      <c r="M127" s="18" t="s">
        <v>2</v>
      </c>
      <c r="N127" s="16">
        <f>N110*N111</f>
        <v>720</v>
      </c>
      <c r="O127" s="9" t="s">
        <v>903</v>
      </c>
    </row>
    <row r="128" spans="6:15" ht="15.75" x14ac:dyDescent="0.25">
      <c r="L128" s="17"/>
      <c r="M128" s="18" t="s">
        <v>658</v>
      </c>
      <c r="N128" s="16" t="s">
        <v>655</v>
      </c>
      <c r="O128" s="9"/>
    </row>
    <row r="129" spans="2:18" ht="15.75" x14ac:dyDescent="0.25">
      <c r="L129" s="17"/>
      <c r="M129" s="18" t="s">
        <v>2</v>
      </c>
      <c r="N129" s="217">
        <f>N125/N123</f>
        <v>0.18888888888888888</v>
      </c>
      <c r="O129" s="9"/>
    </row>
    <row r="130" spans="2:18" x14ac:dyDescent="0.2">
      <c r="O130" s="17"/>
    </row>
    <row r="132" spans="2:18" x14ac:dyDescent="0.2">
      <c r="L132" s="17"/>
      <c r="M132" s="17"/>
      <c r="N132" s="17"/>
      <c r="O132" s="17"/>
      <c r="P132" s="17"/>
    </row>
    <row r="133" spans="2:18" x14ac:dyDescent="0.2">
      <c r="F133" s="17"/>
      <c r="G133" s="17"/>
      <c r="H133" s="17"/>
      <c r="L133" s="17"/>
      <c r="M133" s="17"/>
      <c r="N133" s="17"/>
      <c r="O133" s="17"/>
      <c r="P133" s="17"/>
    </row>
    <row r="134" spans="2:18" x14ac:dyDescent="0.2">
      <c r="F134" s="17"/>
      <c r="G134" s="17"/>
      <c r="H134" s="17"/>
      <c r="L134" s="17"/>
      <c r="M134" s="17"/>
      <c r="N134" s="17"/>
      <c r="O134" s="17"/>
      <c r="P134" s="17"/>
    </row>
    <row r="135" spans="2:18" x14ac:dyDescent="0.2">
      <c r="F135" s="17"/>
      <c r="G135" s="17"/>
      <c r="H135" s="17"/>
      <c r="L135" s="17"/>
      <c r="M135" s="17"/>
      <c r="N135" s="17"/>
      <c r="O135" s="17"/>
      <c r="P135" s="17"/>
    </row>
    <row r="136" spans="2:18" x14ac:dyDescent="0.2">
      <c r="F136" s="17"/>
      <c r="G136" s="17"/>
      <c r="H136" s="17"/>
      <c r="L136" s="17"/>
      <c r="M136" s="17"/>
      <c r="N136" s="17"/>
      <c r="O136" s="17"/>
      <c r="P136" s="17"/>
    </row>
    <row r="137" spans="2:18" x14ac:dyDescent="0.2">
      <c r="F137" s="17"/>
      <c r="G137" s="17"/>
      <c r="H137" s="17"/>
      <c r="L137" s="17"/>
      <c r="M137" s="17"/>
      <c r="N137" s="17"/>
      <c r="O137" s="17"/>
      <c r="P137" s="17"/>
    </row>
    <row r="138" spans="2:18" x14ac:dyDescent="0.2">
      <c r="F138" s="17"/>
      <c r="G138" s="17"/>
      <c r="H138" s="17"/>
      <c r="L138" s="17"/>
      <c r="M138" s="17"/>
      <c r="N138" s="17"/>
      <c r="O138" s="17"/>
      <c r="P138" s="17"/>
    </row>
    <row r="139" spans="2:18" x14ac:dyDescent="0.2">
      <c r="F139" s="17"/>
      <c r="G139" s="17"/>
      <c r="H139" s="17"/>
      <c r="L139" s="17"/>
      <c r="M139" s="17"/>
      <c r="N139" s="17"/>
      <c r="O139" s="17"/>
      <c r="P139" s="17"/>
    </row>
    <row r="140" spans="2:18" x14ac:dyDescent="0.2">
      <c r="F140" s="17"/>
      <c r="G140" s="17"/>
      <c r="H140" s="17"/>
      <c r="L140" s="17"/>
      <c r="M140" s="17"/>
      <c r="N140" s="17"/>
      <c r="O140" s="17"/>
      <c r="P140" s="17"/>
    </row>
    <row r="141" spans="2:18" ht="18" x14ac:dyDescent="0.25">
      <c r="F141" s="17"/>
      <c r="G141" s="17"/>
      <c r="H141" s="17"/>
      <c r="L141" s="420" t="s">
        <v>521</v>
      </c>
      <c r="M141" s="17"/>
      <c r="N141" s="17"/>
      <c r="O141" s="17"/>
      <c r="P141" s="17"/>
    </row>
    <row r="142" spans="2:18" ht="15.75" x14ac:dyDescent="0.25">
      <c r="L142" s="414" t="s">
        <v>520</v>
      </c>
      <c r="M142" s="17"/>
      <c r="N142" s="17"/>
      <c r="O142" s="17"/>
      <c r="P142" s="17"/>
    </row>
    <row r="143" spans="2:18" ht="18.75" thickBot="1" x14ac:dyDescent="0.3">
      <c r="B143" s="1" t="s">
        <v>100</v>
      </c>
      <c r="C143" s="9"/>
      <c r="G143" s="39" t="s">
        <v>3</v>
      </c>
      <c r="L143" s="378"/>
      <c r="M143" s="177"/>
      <c r="N143" s="177"/>
      <c r="O143" s="177"/>
      <c r="P143" s="177"/>
      <c r="Q143" s="177"/>
      <c r="R143" s="177"/>
    </row>
    <row r="144" spans="2:18" ht="18.75" thickBot="1" x14ac:dyDescent="0.3">
      <c r="B144" s="1" t="s">
        <v>14</v>
      </c>
      <c r="C144" s="262" t="s">
        <v>55</v>
      </c>
      <c r="D144" s="389"/>
      <c r="E144" s="390"/>
      <c r="G144" s="15" t="s">
        <v>15</v>
      </c>
      <c r="L144" s="421" t="s">
        <v>522</v>
      </c>
      <c r="M144" s="177"/>
      <c r="N144" s="76"/>
      <c r="O144" s="12"/>
      <c r="P144" s="228"/>
      <c r="Q144" s="77"/>
      <c r="R144" s="177"/>
    </row>
    <row r="145" spans="2:18" ht="15.75" x14ac:dyDescent="0.25">
      <c r="F145" s="18" t="s">
        <v>16</v>
      </c>
      <c r="G145" s="427">
        <v>0.61</v>
      </c>
      <c r="H145" s="16"/>
      <c r="K145" s="177"/>
      <c r="L145" s="177"/>
      <c r="M145" s="177"/>
      <c r="N145" s="76"/>
      <c r="O145" s="12"/>
      <c r="P145" s="228"/>
      <c r="Q145" s="77"/>
      <c r="R145" s="77"/>
    </row>
    <row r="146" spans="2:18" ht="15.75" x14ac:dyDescent="0.25">
      <c r="F146" s="18" t="s">
        <v>670</v>
      </c>
      <c r="G146" s="428">
        <v>4.4999999999999998E-2</v>
      </c>
      <c r="H146" s="16"/>
      <c r="K146" s="384"/>
      <c r="L146" s="177"/>
      <c r="M146" s="177"/>
      <c r="N146" s="76"/>
      <c r="O146" s="12"/>
      <c r="P146" s="228"/>
      <c r="Q146" s="77"/>
      <c r="R146" s="77"/>
    </row>
    <row r="147" spans="2:18" ht="15.75" x14ac:dyDescent="0.25">
      <c r="F147" s="18" t="s">
        <v>17</v>
      </c>
      <c r="G147" s="91">
        <v>11</v>
      </c>
      <c r="H147" s="16"/>
      <c r="K147" s="384"/>
      <c r="L147" s="177"/>
      <c r="M147" s="177"/>
      <c r="N147" s="76"/>
      <c r="O147" s="12"/>
      <c r="P147" s="228"/>
      <c r="Q147" s="77"/>
      <c r="R147" s="12"/>
    </row>
    <row r="148" spans="2:18" ht="15.75" x14ac:dyDescent="0.25">
      <c r="F148" s="18" t="s">
        <v>18</v>
      </c>
      <c r="G148" s="428">
        <v>1.04</v>
      </c>
      <c r="H148" s="16"/>
      <c r="K148" s="384"/>
      <c r="L148" s="177"/>
      <c r="M148" s="177"/>
      <c r="N148" s="76"/>
      <c r="O148" s="12"/>
      <c r="P148" s="228"/>
      <c r="Q148" s="77"/>
      <c r="R148" s="77"/>
    </row>
    <row r="149" spans="2:18" ht="15.75" x14ac:dyDescent="0.25">
      <c r="F149" s="44" t="s">
        <v>99</v>
      </c>
      <c r="G149" s="330" t="s">
        <v>49</v>
      </c>
      <c r="H149" s="16"/>
      <c r="K149" s="384"/>
      <c r="L149" s="177"/>
      <c r="M149" s="177"/>
      <c r="N149" s="76"/>
      <c r="O149" s="12"/>
      <c r="P149" s="228"/>
      <c r="Q149" s="77"/>
      <c r="R149" s="77"/>
    </row>
    <row r="150" spans="2:18" ht="15.75" x14ac:dyDescent="0.25">
      <c r="F150" s="44" t="s">
        <v>99</v>
      </c>
      <c r="G150" s="54" t="s">
        <v>49</v>
      </c>
      <c r="H150" s="16"/>
      <c r="K150" s="384"/>
      <c r="L150" s="177"/>
      <c r="M150" s="177"/>
      <c r="N150" s="175"/>
      <c r="O150" s="178"/>
      <c r="P150" s="177"/>
      <c r="Q150" s="177"/>
      <c r="R150" s="77"/>
    </row>
    <row r="151" spans="2:18" ht="15.75" x14ac:dyDescent="0.25">
      <c r="F151" s="44" t="s">
        <v>99</v>
      </c>
      <c r="G151" s="54" t="s">
        <v>49</v>
      </c>
      <c r="H151" s="16"/>
      <c r="K151" s="384"/>
      <c r="L151" s="177"/>
      <c r="M151" s="12"/>
      <c r="N151" s="175"/>
      <c r="O151" s="12"/>
      <c r="P151" s="228"/>
      <c r="Q151" s="77"/>
      <c r="R151" s="77"/>
    </row>
    <row r="152" spans="2:18" ht="16.5" thickBot="1" x14ac:dyDescent="0.3">
      <c r="E152" s="177"/>
      <c r="F152" s="76" t="s">
        <v>19</v>
      </c>
      <c r="G152" s="429">
        <v>1.7000000000000001E-2</v>
      </c>
      <c r="K152" s="384"/>
      <c r="L152" s="177"/>
      <c r="M152" s="177"/>
      <c r="N152" s="76"/>
      <c r="O152" s="415"/>
      <c r="P152" s="77"/>
      <c r="Q152" s="77"/>
      <c r="R152" s="77"/>
    </row>
    <row r="153" spans="2:18" ht="18.75" x14ac:dyDescent="0.25">
      <c r="F153" s="18" t="s">
        <v>101</v>
      </c>
      <c r="G153" s="95">
        <f>SUM(G145:G152)</f>
        <v>12.712</v>
      </c>
      <c r="H153" s="16" t="s">
        <v>904</v>
      </c>
      <c r="K153" s="384"/>
      <c r="L153" s="177"/>
      <c r="M153" s="177"/>
      <c r="N153" s="76"/>
      <c r="O153" s="12"/>
      <c r="P153" s="77"/>
      <c r="Q153" s="77"/>
      <c r="R153" s="77"/>
    </row>
    <row r="154" spans="2:18" ht="18.75" x14ac:dyDescent="0.25">
      <c r="F154" s="18" t="s">
        <v>102</v>
      </c>
      <c r="G154" s="74">
        <f>1/G153</f>
        <v>7.8665827564505977E-2</v>
      </c>
      <c r="H154" s="16" t="s">
        <v>905</v>
      </c>
      <c r="K154" s="384"/>
      <c r="L154" s="177"/>
      <c r="M154" s="177"/>
      <c r="N154" s="76"/>
      <c r="O154" s="12"/>
      <c r="P154" s="77"/>
      <c r="Q154" s="77"/>
      <c r="R154" s="77"/>
    </row>
    <row r="155" spans="2:18" ht="16.5" thickBot="1" x14ac:dyDescent="0.3">
      <c r="G155" s="39" t="s">
        <v>3</v>
      </c>
      <c r="K155" s="384"/>
      <c r="L155" s="177"/>
      <c r="M155" s="177"/>
      <c r="N155" s="76"/>
      <c r="O155" s="12"/>
      <c r="P155" s="77"/>
      <c r="Q155" s="77"/>
      <c r="R155" s="77"/>
    </row>
    <row r="156" spans="2:18" ht="18.75" thickBot="1" x14ac:dyDescent="0.3">
      <c r="B156" s="1" t="s">
        <v>20</v>
      </c>
      <c r="C156" s="262" t="s">
        <v>671</v>
      </c>
      <c r="D156" s="263"/>
      <c r="E156" s="416"/>
      <c r="G156" s="15" t="s">
        <v>15</v>
      </c>
      <c r="K156" s="384"/>
      <c r="L156" s="177"/>
      <c r="M156" s="177"/>
      <c r="N156" s="76"/>
      <c r="O156" s="12"/>
      <c r="P156" s="77"/>
      <c r="Q156" s="77"/>
      <c r="R156" s="77"/>
    </row>
    <row r="157" spans="2:18" ht="15.75" x14ac:dyDescent="0.25">
      <c r="F157" s="18" t="s">
        <v>16</v>
      </c>
      <c r="G157" s="427">
        <v>0.61</v>
      </c>
      <c r="H157" s="16"/>
      <c r="K157" s="384"/>
      <c r="L157" s="177"/>
      <c r="M157" s="177"/>
      <c r="N157" s="76"/>
      <c r="O157" s="415"/>
      <c r="P157" s="12"/>
      <c r="Q157" s="12"/>
      <c r="R157" s="12"/>
    </row>
    <row r="158" spans="2:18" ht="15.75" x14ac:dyDescent="0.25">
      <c r="F158" s="18" t="s">
        <v>21</v>
      </c>
      <c r="G158" s="428">
        <v>1E-3</v>
      </c>
      <c r="H158" s="16"/>
      <c r="K158" s="384"/>
      <c r="L158" s="177"/>
      <c r="M158" s="177"/>
      <c r="N158" s="76"/>
      <c r="O158" s="12"/>
      <c r="P158" s="77"/>
      <c r="Q158" s="77"/>
      <c r="R158" s="77"/>
    </row>
    <row r="159" spans="2:18" ht="15.75" x14ac:dyDescent="0.25">
      <c r="F159" s="18" t="s">
        <v>664</v>
      </c>
      <c r="G159" s="91">
        <v>20</v>
      </c>
      <c r="H159" s="16"/>
      <c r="K159" s="384"/>
      <c r="L159" s="177"/>
      <c r="M159" s="177"/>
      <c r="N159" s="76"/>
      <c r="O159" s="12"/>
      <c r="P159" s="12"/>
      <c r="Q159" s="12"/>
      <c r="R159" s="12"/>
    </row>
    <row r="160" spans="2:18" ht="15.75" x14ac:dyDescent="0.25">
      <c r="E160" s="177"/>
      <c r="F160" s="76" t="s">
        <v>19</v>
      </c>
      <c r="G160" s="428">
        <v>1.7000000000000001E-2</v>
      </c>
      <c r="H160" s="16"/>
      <c r="K160" s="384"/>
      <c r="L160" s="177"/>
      <c r="M160" s="177"/>
      <c r="N160" s="76"/>
      <c r="O160" s="12"/>
      <c r="P160" s="12"/>
      <c r="Q160" s="12"/>
      <c r="R160" s="12"/>
    </row>
    <row r="161" spans="3:18" ht="15.75" x14ac:dyDescent="0.25">
      <c r="F161" s="44" t="s">
        <v>99</v>
      </c>
      <c r="G161" s="54" t="s">
        <v>49</v>
      </c>
      <c r="H161" s="16"/>
      <c r="K161" s="384"/>
      <c r="L161" s="177"/>
      <c r="M161" s="177"/>
      <c r="N161" s="76"/>
      <c r="O161" s="12"/>
      <c r="P161" s="77"/>
      <c r="Q161" s="77"/>
      <c r="R161" s="77"/>
    </row>
    <row r="162" spans="3:18" ht="15.75" x14ac:dyDescent="0.25">
      <c r="F162" s="44" t="s">
        <v>99</v>
      </c>
      <c r="G162" s="54" t="s">
        <v>49</v>
      </c>
      <c r="H162" s="16"/>
      <c r="K162" s="384"/>
      <c r="L162" s="177"/>
      <c r="M162" s="177"/>
      <c r="N162" s="76"/>
      <c r="O162" s="12"/>
      <c r="P162" s="228"/>
      <c r="Q162" s="77"/>
      <c r="R162" s="77"/>
    </row>
    <row r="163" spans="3:18" ht="16.5" thickBot="1" x14ac:dyDescent="0.3">
      <c r="F163" s="44" t="s">
        <v>99</v>
      </c>
      <c r="G163" s="93" t="s">
        <v>49</v>
      </c>
      <c r="H163" s="16"/>
      <c r="K163" s="384"/>
      <c r="L163" s="177"/>
      <c r="M163" s="177"/>
      <c r="N163" s="177"/>
      <c r="O163" s="177"/>
      <c r="P163" s="177"/>
      <c r="Q163" s="177"/>
      <c r="R163" s="177"/>
    </row>
    <row r="164" spans="3:18" ht="18.75" x14ac:dyDescent="0.25">
      <c r="F164" s="18" t="s">
        <v>103</v>
      </c>
      <c r="G164" s="95">
        <f>SUM(G157:G163)</f>
        <v>20.628</v>
      </c>
      <c r="H164" s="16" t="s">
        <v>904</v>
      </c>
      <c r="K164" s="384"/>
      <c r="L164" s="17"/>
      <c r="M164" s="17"/>
      <c r="N164" s="17"/>
      <c r="O164" s="17"/>
      <c r="P164" s="17"/>
    </row>
    <row r="165" spans="3:18" ht="18.75" x14ac:dyDescent="0.25">
      <c r="F165" s="18" t="s">
        <v>104</v>
      </c>
      <c r="G165" s="74">
        <f>1/G164</f>
        <v>4.8477797168896643E-2</v>
      </c>
      <c r="H165" s="16" t="s">
        <v>905</v>
      </c>
    </row>
    <row r="167" spans="3:18" ht="15.75" x14ac:dyDescent="0.25">
      <c r="D167" s="9" t="s">
        <v>564</v>
      </c>
      <c r="F167" s="17"/>
      <c r="G167" s="20"/>
      <c r="I167" s="43"/>
    </row>
    <row r="168" spans="3:18" x14ac:dyDescent="0.2">
      <c r="D168" s="127" t="s">
        <v>563</v>
      </c>
      <c r="F168" s="17"/>
      <c r="G168" s="20"/>
      <c r="I168" s="43"/>
      <c r="M168" s="17"/>
    </row>
    <row r="169" spans="3:18" x14ac:dyDescent="0.2">
      <c r="F169" s="17"/>
      <c r="G169" s="20"/>
      <c r="I169" s="43"/>
      <c r="M169" s="17"/>
    </row>
    <row r="170" spans="3:18" ht="15.75" x14ac:dyDescent="0.25">
      <c r="C170" s="9" t="s">
        <v>706</v>
      </c>
      <c r="L170" s="17"/>
      <c r="M170" s="17"/>
    </row>
    <row r="171" spans="3:18" ht="16.5" thickBot="1" x14ac:dyDescent="0.3">
      <c r="D171" s="177"/>
      <c r="F171" s="17"/>
      <c r="H171" s="39" t="s">
        <v>3</v>
      </c>
      <c r="L171" s="17"/>
      <c r="M171" s="17"/>
    </row>
    <row r="172" spans="3:18" ht="15.75" x14ac:dyDescent="0.25">
      <c r="C172" s="177"/>
      <c r="D172" s="177"/>
      <c r="F172" s="9"/>
      <c r="G172" s="18" t="s">
        <v>672</v>
      </c>
      <c r="H172" s="430">
        <v>0.7</v>
      </c>
      <c r="I172" s="16" t="s">
        <v>705</v>
      </c>
      <c r="L172" s="17"/>
      <c r="M172" s="17"/>
    </row>
    <row r="173" spans="3:18" ht="15.75" x14ac:dyDescent="0.25">
      <c r="F173" s="9"/>
      <c r="G173" s="18" t="s">
        <v>619</v>
      </c>
      <c r="H173" s="54">
        <v>70</v>
      </c>
      <c r="I173" s="9" t="s">
        <v>12</v>
      </c>
      <c r="L173" s="17"/>
      <c r="M173" s="17"/>
    </row>
    <row r="174" spans="3:18" ht="16.5" thickBot="1" x14ac:dyDescent="0.3">
      <c r="F174" s="9"/>
      <c r="G174" s="18" t="s">
        <v>620</v>
      </c>
      <c r="H174" s="93">
        <v>50</v>
      </c>
      <c r="I174" s="9" t="s">
        <v>12</v>
      </c>
      <c r="L174" s="17"/>
      <c r="M174" s="17"/>
    </row>
    <row r="175" spans="3:18" ht="15.75" x14ac:dyDescent="0.25">
      <c r="F175" s="9"/>
      <c r="G175" s="18"/>
      <c r="H175" s="39" t="s">
        <v>1</v>
      </c>
      <c r="L175" s="17"/>
      <c r="M175" s="17"/>
    </row>
    <row r="176" spans="3:18" ht="15.75" x14ac:dyDescent="0.25">
      <c r="G176" s="18" t="s">
        <v>523</v>
      </c>
      <c r="H176" s="9" t="s">
        <v>551</v>
      </c>
      <c r="L176" s="17"/>
      <c r="M176" s="17"/>
    </row>
    <row r="177" spans="6:15" ht="15.75" x14ac:dyDescent="0.25">
      <c r="G177" s="18" t="s">
        <v>2</v>
      </c>
      <c r="H177" s="16">
        <f>2*(G38+ G39)</f>
        <v>200</v>
      </c>
      <c r="I177" s="9" t="s">
        <v>26</v>
      </c>
      <c r="L177" s="17"/>
      <c r="M177" s="17"/>
    </row>
    <row r="178" spans="6:15" ht="15.75" x14ac:dyDescent="0.25">
      <c r="G178" s="18" t="s">
        <v>707</v>
      </c>
      <c r="H178" s="16" t="s">
        <v>621</v>
      </c>
      <c r="L178" s="17"/>
      <c r="M178" s="17"/>
    </row>
    <row r="179" spans="6:15" ht="15.75" x14ac:dyDescent="0.25">
      <c r="F179" s="17"/>
      <c r="G179" s="20" t="s">
        <v>2</v>
      </c>
      <c r="H179" s="417">
        <f>H177*H172*(H173 - H174)</f>
        <v>2800</v>
      </c>
      <c r="I179" s="16" t="s">
        <v>30</v>
      </c>
    </row>
    <row r="180" spans="6:15" x14ac:dyDescent="0.2">
      <c r="F180" s="17"/>
      <c r="G180" s="20"/>
      <c r="I180" s="43"/>
    </row>
    <row r="186" spans="6:15" ht="15.75" x14ac:dyDescent="0.25">
      <c r="K186" s="30" t="s">
        <v>263</v>
      </c>
      <c r="L186" s="17"/>
      <c r="N186" s="20"/>
    </row>
    <row r="187" spans="6:15" ht="15.75" x14ac:dyDescent="0.25">
      <c r="L187" s="17"/>
      <c r="M187" s="18" t="s">
        <v>264</v>
      </c>
      <c r="N187" s="16" t="s">
        <v>265</v>
      </c>
      <c r="O187" s="18"/>
    </row>
    <row r="188" spans="6:15" ht="15.75" x14ac:dyDescent="0.25">
      <c r="L188" s="17"/>
      <c r="M188" s="18" t="s">
        <v>490</v>
      </c>
      <c r="N188" s="17" t="s">
        <v>484</v>
      </c>
    </row>
    <row r="189" spans="6:15" ht="15.75" x14ac:dyDescent="0.25">
      <c r="L189" s="17"/>
      <c r="M189" s="18" t="s">
        <v>47</v>
      </c>
      <c r="N189" s="17" t="s">
        <v>487</v>
      </c>
    </row>
    <row r="190" spans="6:15" ht="15.75" x14ac:dyDescent="0.25">
      <c r="L190" s="17"/>
      <c r="M190" s="18" t="s">
        <v>486</v>
      </c>
      <c r="N190" s="17" t="s">
        <v>485</v>
      </c>
    </row>
    <row r="191" spans="6:15" ht="15.75" x14ac:dyDescent="0.25">
      <c r="L191" s="17"/>
      <c r="M191" s="18" t="s">
        <v>489</v>
      </c>
      <c r="N191" s="173" t="s">
        <v>488</v>
      </c>
    </row>
    <row r="192" spans="6:15" ht="15.75" x14ac:dyDescent="0.25">
      <c r="K192" s="30" t="s">
        <v>274</v>
      </c>
      <c r="L192" s="17"/>
      <c r="M192" s="17"/>
      <c r="N192" s="20"/>
    </row>
    <row r="193" spans="3:14" ht="18.75" x14ac:dyDescent="0.35">
      <c r="L193" s="17"/>
      <c r="M193" s="18" t="s">
        <v>491</v>
      </c>
      <c r="N193" s="30" t="s">
        <v>906</v>
      </c>
    </row>
    <row r="194" spans="3:14" x14ac:dyDescent="0.2">
      <c r="L194" s="17"/>
    </row>
    <row r="195" spans="3:14" x14ac:dyDescent="0.2">
      <c r="L195" s="17"/>
    </row>
    <row r="196" spans="3:14" x14ac:dyDescent="0.2">
      <c r="L196" s="17"/>
    </row>
    <row r="197" spans="3:14" x14ac:dyDescent="0.2">
      <c r="L197" s="17"/>
    </row>
    <row r="198" spans="3:14" x14ac:dyDescent="0.2">
      <c r="L198" s="17"/>
    </row>
    <row r="199" spans="3:14" x14ac:dyDescent="0.2">
      <c r="L199" s="17"/>
    </row>
    <row r="200" spans="3:14" x14ac:dyDescent="0.2">
      <c r="L200" s="17"/>
    </row>
    <row r="206" spans="3:14" ht="18" x14ac:dyDescent="0.25">
      <c r="C206" s="1" t="s">
        <v>550</v>
      </c>
    </row>
    <row r="207" spans="3:14" x14ac:dyDescent="0.2">
      <c r="C207" s="127" t="s">
        <v>549</v>
      </c>
    </row>
    <row r="208" spans="3:14" x14ac:dyDescent="0.2">
      <c r="L208" s="17"/>
    </row>
    <row r="209" spans="4:12" x14ac:dyDescent="0.2">
      <c r="L209" s="17"/>
    </row>
    <row r="210" spans="4:12" x14ac:dyDescent="0.2">
      <c r="L210" s="17"/>
    </row>
    <row r="211" spans="4:12" x14ac:dyDescent="0.2">
      <c r="L211" s="17"/>
    </row>
    <row r="212" spans="4:12" x14ac:dyDescent="0.2">
      <c r="L212" s="17"/>
    </row>
    <row r="213" spans="4:12" x14ac:dyDescent="0.2">
      <c r="L213" s="17"/>
    </row>
    <row r="214" spans="4:12" x14ac:dyDescent="0.2">
      <c r="L214" s="17"/>
    </row>
    <row r="215" spans="4:12" x14ac:dyDescent="0.2">
      <c r="L215" s="17"/>
    </row>
    <row r="216" spans="4:12" x14ac:dyDescent="0.2">
      <c r="L216" s="17"/>
    </row>
    <row r="217" spans="4:12" x14ac:dyDescent="0.2">
      <c r="L217" s="17"/>
    </row>
    <row r="218" spans="4:12" x14ac:dyDescent="0.2">
      <c r="L218" s="17"/>
    </row>
    <row r="219" spans="4:12" x14ac:dyDescent="0.2">
      <c r="L219" s="17"/>
    </row>
    <row r="220" spans="4:12" x14ac:dyDescent="0.2">
      <c r="D220" s="43"/>
      <c r="E220" s="20"/>
      <c r="F220" s="43"/>
      <c r="G220" s="20"/>
      <c r="L220" s="17"/>
    </row>
    <row r="221" spans="4:12" x14ac:dyDescent="0.2">
      <c r="D221" s="43"/>
      <c r="E221" s="20"/>
      <c r="F221" s="43"/>
      <c r="G221" s="20"/>
      <c r="L221" s="17"/>
    </row>
    <row r="222" spans="4:12" x14ac:dyDescent="0.2">
      <c r="D222" s="43"/>
      <c r="E222" s="20"/>
      <c r="F222" s="43"/>
      <c r="G222" s="20"/>
      <c r="L222" s="17"/>
    </row>
    <row r="223" spans="4:12" x14ac:dyDescent="0.2">
      <c r="D223" s="43"/>
      <c r="E223" s="20"/>
      <c r="F223" s="43"/>
      <c r="G223" s="20"/>
      <c r="L223" s="17"/>
    </row>
    <row r="224" spans="4:12" x14ac:dyDescent="0.2">
      <c r="D224" s="43"/>
      <c r="E224" s="20"/>
      <c r="F224" s="43"/>
      <c r="G224" s="20"/>
      <c r="L224" s="17"/>
    </row>
    <row r="225" spans="3:12" x14ac:dyDescent="0.2">
      <c r="D225" s="43"/>
      <c r="E225" s="20"/>
      <c r="F225" s="43"/>
      <c r="G225" s="20"/>
      <c r="L225" s="17"/>
    </row>
    <row r="226" spans="3:12" x14ac:dyDescent="0.2">
      <c r="D226" s="43"/>
      <c r="E226" s="20"/>
      <c r="F226" s="43"/>
      <c r="G226" s="20"/>
      <c r="L226" s="17"/>
    </row>
    <row r="227" spans="3:12" x14ac:dyDescent="0.2">
      <c r="D227" s="43"/>
      <c r="E227" s="20"/>
      <c r="F227" s="43"/>
      <c r="G227" s="20"/>
      <c r="L227" s="17"/>
    </row>
    <row r="228" spans="3:12" x14ac:dyDescent="0.2">
      <c r="D228" s="43"/>
      <c r="E228" s="20"/>
      <c r="F228" s="43"/>
      <c r="G228" s="20"/>
      <c r="L228" s="17"/>
    </row>
    <row r="229" spans="3:12" x14ac:dyDescent="0.2">
      <c r="D229" s="43"/>
      <c r="E229" s="20"/>
      <c r="F229" s="43"/>
      <c r="G229" s="20"/>
      <c r="L229" s="17"/>
    </row>
    <row r="230" spans="3:12" x14ac:dyDescent="0.2">
      <c r="D230" s="43"/>
      <c r="E230" s="20"/>
      <c r="F230" s="43"/>
      <c r="G230" s="20"/>
      <c r="L230" s="17"/>
    </row>
    <row r="231" spans="3:12" x14ac:dyDescent="0.2">
      <c r="D231" s="43"/>
      <c r="E231" s="20"/>
      <c r="F231" s="43"/>
      <c r="G231" s="20"/>
      <c r="L231" s="17"/>
    </row>
    <row r="232" spans="3:12" ht="15.75" x14ac:dyDescent="0.25">
      <c r="C232" s="9"/>
      <c r="D232" s="43"/>
      <c r="E232" s="20"/>
      <c r="F232" s="43"/>
      <c r="G232" s="20"/>
      <c r="L232" s="17"/>
    </row>
    <row r="233" spans="3:12" x14ac:dyDescent="0.2">
      <c r="D233" s="43"/>
      <c r="E233" s="20"/>
      <c r="F233" s="43" t="s">
        <v>821</v>
      </c>
      <c r="G233" s="20"/>
      <c r="L233" s="17"/>
    </row>
    <row r="234" spans="3:12" x14ac:dyDescent="0.2">
      <c r="D234" s="43"/>
      <c r="E234" s="20"/>
      <c r="F234" s="43"/>
      <c r="G234" s="20"/>
      <c r="L234" s="17"/>
    </row>
    <row r="235" spans="3:12" x14ac:dyDescent="0.2">
      <c r="D235" s="43"/>
      <c r="E235" s="20"/>
      <c r="F235" s="43"/>
      <c r="G235" s="20"/>
      <c r="L235" s="17"/>
    </row>
    <row r="236" spans="3:12" x14ac:dyDescent="0.2">
      <c r="D236" s="43"/>
      <c r="E236" s="20"/>
      <c r="F236" s="43"/>
      <c r="G236" s="20"/>
      <c r="L236" s="17"/>
    </row>
    <row r="237" spans="3:12" x14ac:dyDescent="0.2">
      <c r="D237" s="43"/>
      <c r="E237" s="20"/>
      <c r="F237" s="43"/>
      <c r="G237" s="20"/>
      <c r="L237" s="17"/>
    </row>
    <row r="238" spans="3:12" x14ac:dyDescent="0.2">
      <c r="D238" s="43"/>
      <c r="E238" s="20"/>
      <c r="F238" s="43"/>
      <c r="G238" s="20"/>
      <c r="L238" s="17"/>
    </row>
    <row r="239" spans="3:12" x14ac:dyDescent="0.2">
      <c r="D239" s="43"/>
      <c r="E239" s="20"/>
      <c r="F239" s="43"/>
      <c r="G239" s="20"/>
      <c r="L239" s="17"/>
    </row>
    <row r="240" spans="3:12" x14ac:dyDescent="0.2">
      <c r="D240" s="43"/>
      <c r="E240" s="20"/>
      <c r="F240" s="43"/>
      <c r="G240" s="20"/>
      <c r="L240" s="17"/>
    </row>
    <row r="241" spans="4:16" x14ac:dyDescent="0.2">
      <c r="D241" s="43"/>
      <c r="E241" s="20"/>
      <c r="F241" s="43"/>
      <c r="G241" s="20"/>
      <c r="L241" s="17"/>
    </row>
    <row r="242" spans="4:16" x14ac:dyDescent="0.2">
      <c r="D242" s="43"/>
      <c r="E242" s="20"/>
      <c r="F242" s="43"/>
      <c r="G242" s="20"/>
      <c r="L242" s="17"/>
    </row>
    <row r="243" spans="4:16" x14ac:dyDescent="0.2">
      <c r="D243" s="43"/>
      <c r="E243" s="20"/>
      <c r="F243" s="43"/>
      <c r="G243" s="20"/>
      <c r="L243" s="17"/>
    </row>
    <row r="244" spans="4:16" x14ac:dyDescent="0.2">
      <c r="D244" s="43"/>
      <c r="E244" s="20"/>
      <c r="F244" s="43"/>
      <c r="G244" s="20"/>
      <c r="L244" s="17"/>
    </row>
    <row r="245" spans="4:16" x14ac:dyDescent="0.2">
      <c r="D245" s="43"/>
      <c r="E245" s="20"/>
      <c r="F245" s="43"/>
      <c r="G245" s="20"/>
      <c r="L245" s="17"/>
    </row>
    <row r="246" spans="4:16" x14ac:dyDescent="0.2">
      <c r="D246" s="43"/>
      <c r="E246" s="20"/>
      <c r="F246" s="43"/>
      <c r="G246" s="20"/>
      <c r="L246" s="17"/>
    </row>
    <row r="247" spans="4:16" x14ac:dyDescent="0.2">
      <c r="D247" s="43"/>
      <c r="E247" s="20"/>
      <c r="F247" s="43"/>
      <c r="G247" s="20"/>
      <c r="L247" s="17"/>
    </row>
    <row r="248" spans="4:16" x14ac:dyDescent="0.2">
      <c r="F248" s="17"/>
      <c r="G248" s="17"/>
      <c r="H248" s="17"/>
      <c r="L248" s="17"/>
      <c r="M248" s="17"/>
      <c r="N248" s="17"/>
      <c r="O248" s="17"/>
      <c r="P248" s="17"/>
    </row>
    <row r="251" spans="4:16" x14ac:dyDescent="0.2">
      <c r="D251" s="43"/>
      <c r="E251" s="20"/>
      <c r="F251" s="43"/>
      <c r="G251" s="20"/>
      <c r="L251" s="17"/>
    </row>
    <row r="252" spans="4:16" x14ac:dyDescent="0.2">
      <c r="D252" s="43"/>
      <c r="E252" s="20"/>
      <c r="F252" s="43"/>
      <c r="G252" s="20"/>
      <c r="L252" s="17"/>
    </row>
    <row r="253" spans="4:16" x14ac:dyDescent="0.2">
      <c r="D253" s="43"/>
      <c r="E253" s="20"/>
      <c r="F253" s="43"/>
      <c r="G253" s="20"/>
      <c r="L253" s="17"/>
    </row>
    <row r="254" spans="4:16" x14ac:dyDescent="0.2">
      <c r="D254" s="43"/>
      <c r="E254" s="20"/>
      <c r="F254" s="43"/>
      <c r="G254" s="20"/>
      <c r="L254" s="17"/>
    </row>
  </sheetData>
  <sheetProtection sheet="1" objects="1" scenarios="1" selectLockedCells="1"/>
  <hyperlinks>
    <hyperlink ref="L75" r:id="rId1" xr:uid="{00000000-0004-0000-0300-000000000000}"/>
    <hyperlink ref="L142" r:id="rId2" xr:uid="{00000000-0004-0000-0300-000001000000}"/>
    <hyperlink ref="B82" r:id="rId3" xr:uid="{00000000-0004-0000-0300-000002000000}"/>
    <hyperlink ref="D168" r:id="rId4" xr:uid="{00000000-0004-0000-0300-000003000000}"/>
    <hyperlink ref="K25" r:id="rId5" xr:uid="{00000000-0004-0000-0300-000004000000}"/>
    <hyperlink ref="K49" r:id="rId6" xr:uid="{00000000-0004-0000-0300-000005000000}"/>
  </hyperlinks>
  <printOptions gridLines="1"/>
  <pageMargins left="0.7" right="0.7" top="0.75" bottom="0.75" header="0.3" footer="0.3"/>
  <pageSetup orientation="portrait" r:id="rId7"/>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240"/>
  <sheetViews>
    <sheetView workbookViewId="0">
      <selection activeCell="L1" sqref="L1"/>
    </sheetView>
  </sheetViews>
  <sheetFormatPr defaultRowHeight="15" x14ac:dyDescent="0.2"/>
  <cols>
    <col min="1" max="1" width="4.42578125" style="17" customWidth="1"/>
    <col min="2" max="2" width="9.28515625" style="17" bestFit="1" customWidth="1"/>
    <col min="3" max="3" width="14" style="17" customWidth="1"/>
    <col min="4" max="4" width="12" style="17" customWidth="1"/>
    <col min="5" max="5" width="11.42578125" style="17" customWidth="1"/>
    <col min="6" max="6" width="16.5703125" style="17" customWidth="1"/>
    <col min="7" max="7" width="10.28515625" style="17" customWidth="1"/>
    <col min="8" max="8" width="12.140625" style="17" customWidth="1"/>
    <col min="9" max="9" width="11.28515625" style="17" customWidth="1"/>
    <col min="10" max="10" width="9.140625" style="17"/>
    <col min="11" max="11" width="5" style="17" customWidth="1"/>
    <col min="12" max="14" width="9.140625" style="17"/>
    <col min="15" max="15" width="9.28515625" style="17" bestFit="1" customWidth="1"/>
    <col min="16" max="16384" width="9.140625" style="17"/>
  </cols>
  <sheetData>
    <row r="1" spans="1:20" ht="20.25" x14ac:dyDescent="0.3">
      <c r="A1" s="9"/>
      <c r="B1" s="14" t="s">
        <v>832</v>
      </c>
      <c r="C1" s="16"/>
      <c r="D1" s="18"/>
      <c r="E1" s="18"/>
      <c r="F1" s="18"/>
      <c r="G1" s="43"/>
      <c r="H1" s="43"/>
      <c r="K1" s="19"/>
      <c r="L1" s="45"/>
      <c r="M1" s="48"/>
      <c r="N1" s="45"/>
      <c r="O1" s="48"/>
      <c r="P1" s="45"/>
      <c r="Q1" s="19"/>
      <c r="R1" s="19"/>
      <c r="S1" s="19"/>
      <c r="T1" s="19"/>
    </row>
    <row r="2" spans="1:20" ht="15.75" x14ac:dyDescent="0.25">
      <c r="A2" s="9"/>
      <c r="D2" s="20"/>
      <c r="E2" s="20"/>
      <c r="F2" s="20"/>
      <c r="G2" s="43"/>
      <c r="H2" s="43"/>
      <c r="K2" s="19"/>
      <c r="L2" s="45"/>
      <c r="M2" s="48"/>
      <c r="N2" s="45"/>
      <c r="O2" s="48"/>
      <c r="P2" s="45"/>
      <c r="Q2" s="19"/>
      <c r="R2" s="19"/>
      <c r="S2" s="19"/>
      <c r="T2" s="19"/>
    </row>
    <row r="3" spans="1:20" x14ac:dyDescent="0.2">
      <c r="F3" s="20"/>
      <c r="G3" s="43"/>
      <c r="H3" s="43"/>
      <c r="K3" s="19"/>
      <c r="L3" s="45"/>
      <c r="M3" s="48"/>
      <c r="N3" s="45"/>
      <c r="O3" s="48"/>
      <c r="P3" s="45"/>
      <c r="Q3" s="19"/>
      <c r="R3" s="19"/>
      <c r="S3" s="19"/>
      <c r="T3" s="19"/>
    </row>
    <row r="4" spans="1:20" ht="18" x14ac:dyDescent="0.25">
      <c r="B4" s="418" t="s">
        <v>674</v>
      </c>
      <c r="F4" s="20"/>
      <c r="G4" s="43"/>
      <c r="H4" s="43"/>
      <c r="K4" s="19"/>
      <c r="L4" s="45"/>
      <c r="M4" s="19"/>
      <c r="N4" s="45"/>
      <c r="O4" s="48"/>
      <c r="P4" s="45"/>
      <c r="Q4" s="19"/>
      <c r="R4" s="19"/>
      <c r="S4" s="19"/>
      <c r="T4" s="19"/>
    </row>
    <row r="5" spans="1:20" ht="15.75" x14ac:dyDescent="0.25">
      <c r="F5" s="159"/>
      <c r="H5" s="43"/>
      <c r="K5" s="19"/>
      <c r="L5" s="45"/>
      <c r="M5" s="48"/>
      <c r="N5" s="45"/>
      <c r="O5" s="48"/>
      <c r="P5" s="45"/>
      <c r="Q5" s="19"/>
      <c r="R5" s="19"/>
      <c r="S5" s="19"/>
      <c r="T5" s="19"/>
    </row>
    <row r="6" spans="1:20" ht="18" x14ac:dyDescent="0.25">
      <c r="B6" s="419" t="s">
        <v>513</v>
      </c>
      <c r="F6" s="160"/>
      <c r="H6" s="43"/>
      <c r="K6" s="19"/>
      <c r="L6" s="45"/>
      <c r="M6" s="48"/>
      <c r="N6" s="45"/>
      <c r="O6" s="48"/>
      <c r="P6" s="45"/>
      <c r="Q6" s="19"/>
      <c r="R6" s="19"/>
      <c r="S6" s="19"/>
      <c r="T6" s="19"/>
    </row>
    <row r="7" spans="1:20" ht="15.75" x14ac:dyDescent="0.25">
      <c r="B7" s="9" t="s">
        <v>514</v>
      </c>
      <c r="F7" s="20"/>
      <c r="G7" s="43"/>
      <c r="H7" s="43"/>
      <c r="K7" s="19"/>
      <c r="L7" s="45"/>
      <c r="M7" s="48"/>
      <c r="N7" s="45"/>
      <c r="O7" s="48"/>
      <c r="P7" s="45"/>
      <c r="Q7" s="19"/>
      <c r="R7" s="19"/>
      <c r="S7" s="19"/>
      <c r="T7" s="19"/>
    </row>
    <row r="8" spans="1:20" ht="15.75" x14ac:dyDescent="0.25">
      <c r="B8" s="9" t="s">
        <v>515</v>
      </c>
      <c r="F8" s="20"/>
      <c r="G8" s="43"/>
      <c r="H8" s="43"/>
      <c r="K8" s="19"/>
      <c r="L8" s="45"/>
      <c r="M8" s="48"/>
      <c r="N8" s="45"/>
      <c r="O8" s="48"/>
      <c r="P8" s="45"/>
      <c r="Q8" s="19"/>
      <c r="R8" s="19"/>
      <c r="S8" s="19"/>
      <c r="T8" s="19"/>
    </row>
    <row r="9" spans="1:20" ht="15.75" x14ac:dyDescent="0.25">
      <c r="B9" s="9" t="s">
        <v>601</v>
      </c>
      <c r="F9" s="20"/>
      <c r="G9" s="43"/>
      <c r="H9" s="43"/>
      <c r="K9" s="19"/>
      <c r="L9" s="380"/>
      <c r="M9" s="48"/>
      <c r="N9" s="45"/>
      <c r="O9" s="48"/>
      <c r="P9" s="45"/>
      <c r="Q9" s="19"/>
      <c r="R9" s="19"/>
      <c r="S9" s="19"/>
      <c r="T9" s="19"/>
    </row>
    <row r="10" spans="1:20" ht="15.75" x14ac:dyDescent="0.25">
      <c r="B10" s="381" t="s">
        <v>602</v>
      </c>
      <c r="F10" s="20"/>
      <c r="G10" s="43"/>
      <c r="H10" s="43"/>
      <c r="K10" s="19"/>
      <c r="L10" s="382"/>
      <c r="M10" s="383"/>
      <c r="N10" s="111"/>
      <c r="O10" s="383"/>
      <c r="P10" s="111"/>
      <c r="Q10" s="106"/>
      <c r="R10" s="106"/>
      <c r="S10" s="19"/>
      <c r="T10" s="19"/>
    </row>
    <row r="11" spans="1:20" x14ac:dyDescent="0.2">
      <c r="F11" s="20"/>
      <c r="G11" s="43"/>
      <c r="H11" s="43"/>
      <c r="K11" s="19"/>
      <c r="L11" s="45"/>
      <c r="M11" s="359"/>
      <c r="N11" s="359"/>
      <c r="O11" s="360"/>
      <c r="P11" s="361"/>
      <c r="Q11" s="359"/>
      <c r="R11" s="359"/>
      <c r="S11" s="19"/>
      <c r="T11" s="19"/>
    </row>
    <row r="12" spans="1:20" x14ac:dyDescent="0.2">
      <c r="F12" s="20"/>
      <c r="G12" s="43"/>
      <c r="H12" s="43"/>
      <c r="K12" s="45"/>
      <c r="L12" s="45"/>
      <c r="M12" s="359"/>
      <c r="N12" s="359"/>
      <c r="O12" s="360"/>
      <c r="P12" s="361"/>
      <c r="Q12" s="359"/>
      <c r="R12" s="359"/>
      <c r="S12" s="19"/>
      <c r="T12" s="19"/>
    </row>
    <row r="13" spans="1:20" x14ac:dyDescent="0.2">
      <c r="F13" s="20"/>
      <c r="G13" s="43"/>
      <c r="H13" s="43"/>
      <c r="K13" s="19"/>
      <c r="L13" s="45"/>
      <c r="M13" s="359"/>
      <c r="N13" s="359"/>
      <c r="O13" s="360"/>
      <c r="P13" s="361"/>
      <c r="Q13" s="359"/>
      <c r="R13" s="359"/>
      <c r="S13" s="19"/>
      <c r="T13" s="19"/>
    </row>
    <row r="14" spans="1:20" x14ac:dyDescent="0.2">
      <c r="F14" s="20"/>
      <c r="G14" s="43"/>
      <c r="H14" s="43"/>
      <c r="K14" s="19"/>
      <c r="L14" s="45"/>
      <c r="M14" s="362"/>
      <c r="N14" s="362"/>
      <c r="O14" s="360"/>
      <c r="P14" s="361"/>
      <c r="Q14" s="362"/>
      <c r="R14" s="362"/>
      <c r="S14" s="19"/>
      <c r="T14" s="19"/>
    </row>
    <row r="15" spans="1:20" x14ac:dyDescent="0.2">
      <c r="F15" s="20"/>
      <c r="G15" s="43"/>
      <c r="H15" s="43"/>
      <c r="K15" s="19"/>
      <c r="L15" s="361"/>
      <c r="M15" s="362"/>
      <c r="N15" s="362"/>
      <c r="O15" s="360"/>
      <c r="P15" s="361"/>
      <c r="Q15" s="362"/>
      <c r="R15" s="362"/>
      <c r="S15" s="19"/>
      <c r="T15" s="19"/>
    </row>
    <row r="16" spans="1:20" x14ac:dyDescent="0.2">
      <c r="F16" s="20"/>
      <c r="G16" s="43"/>
      <c r="H16" s="43"/>
      <c r="L16" s="363"/>
      <c r="M16" s="367"/>
      <c r="N16" s="367"/>
      <c r="O16" s="365"/>
      <c r="P16" s="363"/>
      <c r="Q16" s="367"/>
      <c r="R16" s="367"/>
    </row>
    <row r="17" spans="6:20" x14ac:dyDescent="0.2">
      <c r="F17" s="20"/>
      <c r="G17" s="43"/>
      <c r="H17" s="43"/>
      <c r="L17" s="363"/>
      <c r="M17" s="364"/>
      <c r="N17" s="384"/>
      <c r="O17" s="365"/>
      <c r="P17" s="366"/>
      <c r="Q17" s="364"/>
      <c r="R17" s="367"/>
    </row>
    <row r="18" spans="6:20" x14ac:dyDescent="0.2">
      <c r="F18" s="20"/>
      <c r="G18" s="43"/>
      <c r="H18" s="43"/>
      <c r="L18" s="363"/>
      <c r="M18" s="367"/>
      <c r="N18" s="367"/>
      <c r="O18" s="365"/>
      <c r="P18" s="363"/>
      <c r="Q18" s="367"/>
      <c r="R18" s="367"/>
    </row>
    <row r="19" spans="6:20" x14ac:dyDescent="0.2">
      <c r="F19" s="20"/>
      <c r="G19" s="43"/>
      <c r="H19" s="43"/>
      <c r="L19" s="363"/>
      <c r="M19" s="364"/>
      <c r="N19" s="367"/>
      <c r="O19" s="365"/>
      <c r="P19" s="363"/>
      <c r="Q19" s="367"/>
      <c r="R19" s="367"/>
    </row>
    <row r="20" spans="6:20" x14ac:dyDescent="0.2">
      <c r="F20" s="20"/>
      <c r="G20" s="43"/>
      <c r="H20" s="43"/>
      <c r="L20" s="363"/>
      <c r="M20" s="364"/>
      <c r="N20" s="367"/>
      <c r="O20" s="365"/>
      <c r="P20" s="363"/>
      <c r="Q20" s="367"/>
      <c r="R20" s="367"/>
    </row>
    <row r="21" spans="6:20" x14ac:dyDescent="0.2">
      <c r="F21" s="20"/>
      <c r="G21" s="43"/>
      <c r="H21" s="43"/>
      <c r="L21" s="363"/>
      <c r="M21" s="367"/>
      <c r="N21" s="364"/>
      <c r="O21" s="365"/>
      <c r="P21" s="364"/>
      <c r="Q21" s="367"/>
      <c r="R21" s="367"/>
    </row>
    <row r="22" spans="6:20" x14ac:dyDescent="0.2">
      <c r="F22" s="20"/>
      <c r="G22" s="43"/>
      <c r="H22" s="43"/>
      <c r="L22" s="363"/>
      <c r="M22" s="367"/>
      <c r="N22" s="366"/>
      <c r="O22" s="365"/>
      <c r="P22" s="368"/>
      <c r="Q22" s="367"/>
      <c r="R22" s="367"/>
    </row>
    <row r="23" spans="6:20" x14ac:dyDescent="0.2">
      <c r="F23" s="20"/>
      <c r="G23" s="43"/>
      <c r="H23" s="43"/>
      <c r="L23" s="363"/>
      <c r="M23" s="367"/>
      <c r="N23" s="366"/>
      <c r="O23" s="365"/>
      <c r="P23" s="368"/>
      <c r="Q23" s="362"/>
      <c r="R23" s="362"/>
      <c r="S23" s="19"/>
      <c r="T23" s="19"/>
    </row>
    <row r="24" spans="6:20" ht="15.75" x14ac:dyDescent="0.25">
      <c r="F24" s="20"/>
      <c r="G24" s="43"/>
      <c r="H24" s="43"/>
      <c r="J24" s="363"/>
      <c r="L24" s="16" t="s">
        <v>596</v>
      </c>
      <c r="M24" s="43"/>
      <c r="N24" s="20"/>
      <c r="O24" s="20"/>
      <c r="P24" s="48"/>
      <c r="Q24" s="362"/>
      <c r="R24" s="362"/>
      <c r="S24" s="19"/>
      <c r="T24" s="19"/>
    </row>
    <row r="25" spans="6:20" ht="15.75" thickBot="1" x14ac:dyDescent="0.25">
      <c r="F25" s="20"/>
      <c r="G25" s="43"/>
      <c r="H25" s="43"/>
      <c r="J25" s="363"/>
      <c r="L25" s="128" t="s">
        <v>595</v>
      </c>
      <c r="M25" s="43"/>
      <c r="N25" s="20"/>
      <c r="O25" s="20"/>
      <c r="P25" s="48"/>
      <c r="Q25" s="362"/>
      <c r="R25" s="362"/>
      <c r="S25" s="19"/>
      <c r="T25" s="19"/>
    </row>
    <row r="26" spans="6:20" x14ac:dyDescent="0.2">
      <c r="F26" s="20"/>
      <c r="G26" s="43"/>
      <c r="H26" s="43"/>
      <c r="L26" s="116"/>
      <c r="M26" s="385"/>
      <c r="N26" s="386" t="s">
        <v>566</v>
      </c>
      <c r="O26" s="387" t="s">
        <v>569</v>
      </c>
      <c r="P26" s="48"/>
      <c r="Q26" s="362"/>
      <c r="R26" s="362"/>
      <c r="S26" s="19"/>
      <c r="T26" s="19"/>
    </row>
    <row r="27" spans="6:20" x14ac:dyDescent="0.2">
      <c r="F27" s="20"/>
      <c r="G27" s="43"/>
      <c r="H27" s="43"/>
      <c r="L27" s="236"/>
      <c r="M27" s="178"/>
      <c r="N27" s="318" t="s">
        <v>570</v>
      </c>
      <c r="O27" s="388" t="s">
        <v>571</v>
      </c>
      <c r="P27" s="48"/>
      <c r="Q27" s="362"/>
      <c r="R27" s="362"/>
      <c r="S27" s="19"/>
      <c r="T27" s="19"/>
    </row>
    <row r="28" spans="6:20" x14ac:dyDescent="0.2">
      <c r="F28" s="20"/>
      <c r="G28" s="43"/>
      <c r="H28" s="43"/>
      <c r="L28" s="236"/>
      <c r="M28" s="178"/>
      <c r="N28" s="318" t="s">
        <v>567</v>
      </c>
      <c r="O28" s="388" t="s">
        <v>568</v>
      </c>
      <c r="P28" s="48"/>
      <c r="Q28" s="362"/>
      <c r="R28" s="362"/>
      <c r="S28" s="19"/>
      <c r="T28" s="19"/>
    </row>
    <row r="29" spans="6:20" x14ac:dyDescent="0.2">
      <c r="F29" s="20"/>
      <c r="G29" s="43"/>
      <c r="H29" s="43"/>
      <c r="L29" s="236"/>
      <c r="M29" s="178"/>
      <c r="N29" s="318" t="s">
        <v>572</v>
      </c>
      <c r="O29" s="388" t="s">
        <v>569</v>
      </c>
      <c r="P29" s="48"/>
      <c r="Q29" s="362"/>
      <c r="R29" s="362"/>
      <c r="S29" s="19"/>
      <c r="T29" s="19"/>
    </row>
    <row r="30" spans="6:20" x14ac:dyDescent="0.2">
      <c r="F30" s="20"/>
      <c r="G30" s="43"/>
      <c r="H30" s="43"/>
      <c r="L30" s="236"/>
      <c r="M30" s="178"/>
      <c r="N30" s="318" t="s">
        <v>573</v>
      </c>
      <c r="O30" s="388" t="s">
        <v>571</v>
      </c>
      <c r="P30" s="48"/>
      <c r="Q30" s="362"/>
      <c r="R30" s="362"/>
      <c r="S30" s="438"/>
      <c r="T30" s="19"/>
    </row>
    <row r="31" spans="6:20" x14ac:dyDescent="0.2">
      <c r="F31" s="20"/>
      <c r="G31" s="43"/>
      <c r="H31" s="43"/>
      <c r="L31" s="236"/>
      <c r="M31" s="178"/>
      <c r="N31" s="318" t="s">
        <v>574</v>
      </c>
      <c r="O31" s="388" t="s">
        <v>575</v>
      </c>
      <c r="P31" s="48"/>
      <c r="Q31" s="362"/>
      <c r="R31" s="362"/>
      <c r="S31" s="438"/>
      <c r="T31" s="19"/>
    </row>
    <row r="32" spans="6:20" x14ac:dyDescent="0.2">
      <c r="F32" s="20"/>
      <c r="G32" s="43"/>
      <c r="H32" s="43"/>
      <c r="L32" s="236"/>
      <c r="M32" s="178"/>
      <c r="N32" s="318" t="s">
        <v>576</v>
      </c>
      <c r="O32" s="388" t="s">
        <v>577</v>
      </c>
      <c r="P32" s="48"/>
      <c r="Q32" s="19"/>
      <c r="R32" s="19"/>
      <c r="S32" s="106"/>
      <c r="T32" s="19"/>
    </row>
    <row r="33" spans="2:20" ht="18" x14ac:dyDescent="0.25">
      <c r="B33" s="418" t="s">
        <v>702</v>
      </c>
      <c r="F33" s="20"/>
      <c r="G33" s="43"/>
      <c r="H33" s="43"/>
      <c r="I33" s="43"/>
      <c r="L33" s="236"/>
      <c r="M33" s="178"/>
      <c r="N33" s="318" t="s">
        <v>666</v>
      </c>
      <c r="O33" s="388" t="s">
        <v>571</v>
      </c>
      <c r="P33" s="48"/>
      <c r="Q33" s="19"/>
      <c r="R33" s="19"/>
      <c r="S33" s="19"/>
      <c r="T33" s="19"/>
    </row>
    <row r="34" spans="2:20" ht="16.5" thickBot="1" x14ac:dyDescent="0.3">
      <c r="F34" s="20"/>
      <c r="G34" s="39" t="s">
        <v>3</v>
      </c>
      <c r="H34" s="43"/>
      <c r="L34" s="236"/>
      <c r="M34" s="178"/>
      <c r="N34" s="318" t="s">
        <v>578</v>
      </c>
      <c r="O34" s="388" t="s">
        <v>579</v>
      </c>
      <c r="P34" s="48"/>
      <c r="Q34" s="19"/>
      <c r="R34" s="19"/>
      <c r="S34" s="19"/>
      <c r="T34" s="19"/>
    </row>
    <row r="35" spans="2:20" ht="16.5" thickBot="1" x14ac:dyDescent="0.3">
      <c r="F35" s="18" t="s">
        <v>24</v>
      </c>
      <c r="G35" s="433" t="s">
        <v>25</v>
      </c>
      <c r="H35" s="23"/>
      <c r="I35" s="24"/>
      <c r="L35" s="236"/>
      <c r="M35" s="178"/>
      <c r="N35" s="318" t="s">
        <v>580</v>
      </c>
      <c r="O35" s="388" t="s">
        <v>571</v>
      </c>
      <c r="P35" s="48"/>
      <c r="Q35" s="19"/>
      <c r="R35" s="19"/>
      <c r="S35" s="19"/>
      <c r="T35" s="19"/>
    </row>
    <row r="36" spans="2:20" ht="15.75" x14ac:dyDescent="0.25">
      <c r="F36" s="18" t="s">
        <v>630</v>
      </c>
      <c r="G36" s="52">
        <v>8</v>
      </c>
      <c r="H36" s="9" t="s">
        <v>667</v>
      </c>
      <c r="L36" s="236"/>
      <c r="M36" s="178"/>
      <c r="N36" s="318" t="s">
        <v>581</v>
      </c>
      <c r="O36" s="388">
        <v>4</v>
      </c>
      <c r="P36" s="48"/>
      <c r="Q36" s="19"/>
      <c r="R36" s="19"/>
      <c r="S36" s="19"/>
      <c r="T36" s="19"/>
    </row>
    <row r="37" spans="2:20" ht="15.75" x14ac:dyDescent="0.25">
      <c r="F37" s="18" t="s">
        <v>634</v>
      </c>
      <c r="G37" s="422">
        <v>17</v>
      </c>
      <c r="H37" s="16" t="s">
        <v>629</v>
      </c>
      <c r="L37" s="236"/>
      <c r="M37" s="178"/>
      <c r="N37" s="318" t="s">
        <v>582</v>
      </c>
      <c r="O37" s="388" t="s">
        <v>583</v>
      </c>
      <c r="P37" s="48"/>
      <c r="Q37" s="19"/>
      <c r="R37" s="19"/>
      <c r="S37" s="19"/>
      <c r="T37" s="19"/>
    </row>
    <row r="38" spans="2:20" ht="15.75" x14ac:dyDescent="0.25">
      <c r="F38" s="18" t="s">
        <v>615</v>
      </c>
      <c r="G38" s="54">
        <v>60</v>
      </c>
      <c r="H38" s="16" t="s">
        <v>26</v>
      </c>
      <c r="L38" s="236"/>
      <c r="M38" s="178"/>
      <c r="N38" s="318" t="s">
        <v>584</v>
      </c>
      <c r="O38" s="388">
        <v>5</v>
      </c>
      <c r="P38" s="48"/>
      <c r="Q38" s="19"/>
      <c r="R38" s="19"/>
      <c r="S38" s="19"/>
      <c r="T38" s="19"/>
    </row>
    <row r="39" spans="2:20" ht="15.75" x14ac:dyDescent="0.25">
      <c r="E39" s="9"/>
      <c r="F39" s="18" t="s">
        <v>616</v>
      </c>
      <c r="G39" s="54">
        <v>40</v>
      </c>
      <c r="H39" s="16" t="s">
        <v>26</v>
      </c>
      <c r="L39" s="236"/>
      <c r="M39" s="178"/>
      <c r="N39" s="318" t="s">
        <v>585</v>
      </c>
      <c r="O39" s="388" t="s">
        <v>586</v>
      </c>
      <c r="P39" s="48"/>
      <c r="Q39" s="19"/>
      <c r="R39" s="19"/>
      <c r="S39" s="19"/>
      <c r="T39" s="19"/>
    </row>
    <row r="40" spans="2:20" ht="15.75" x14ac:dyDescent="0.25">
      <c r="F40" s="18" t="s">
        <v>617</v>
      </c>
      <c r="G40" s="54">
        <v>12</v>
      </c>
      <c r="H40" s="16" t="s">
        <v>26</v>
      </c>
      <c r="L40" s="236"/>
      <c r="M40" s="178"/>
      <c r="N40" s="318" t="s">
        <v>587</v>
      </c>
      <c r="O40" s="388">
        <v>5</v>
      </c>
      <c r="P40" s="48"/>
      <c r="Q40" s="19"/>
      <c r="R40" s="19"/>
      <c r="S40" s="438"/>
      <c r="T40" s="19"/>
    </row>
    <row r="41" spans="2:20" ht="15.75" x14ac:dyDescent="0.25">
      <c r="F41" s="18" t="s">
        <v>565</v>
      </c>
      <c r="G41" s="54">
        <v>4</v>
      </c>
      <c r="H41" s="16" t="s">
        <v>622</v>
      </c>
      <c r="I41" s="384"/>
      <c r="L41" s="236"/>
      <c r="M41" s="178"/>
      <c r="N41" s="318" t="s">
        <v>588</v>
      </c>
      <c r="O41" s="388" t="s">
        <v>571</v>
      </c>
      <c r="P41" s="48"/>
      <c r="Q41" s="19"/>
      <c r="R41" s="19"/>
      <c r="S41" s="438"/>
      <c r="T41" s="19"/>
    </row>
    <row r="42" spans="2:20" ht="15.75" x14ac:dyDescent="0.25">
      <c r="F42" s="18" t="s">
        <v>607</v>
      </c>
      <c r="G42" s="54">
        <v>19</v>
      </c>
      <c r="H42" s="16" t="s">
        <v>12</v>
      </c>
      <c r="I42" s="384"/>
      <c r="L42" s="236"/>
      <c r="M42" s="178"/>
      <c r="N42" s="318" t="s">
        <v>589</v>
      </c>
      <c r="O42" s="388" t="s">
        <v>590</v>
      </c>
      <c r="P42" s="48"/>
      <c r="Q42" s="19"/>
      <c r="R42" s="19"/>
      <c r="S42" s="438"/>
      <c r="T42" s="19"/>
    </row>
    <row r="43" spans="2:20" ht="15.75" x14ac:dyDescent="0.25">
      <c r="F43" s="18" t="s">
        <v>614</v>
      </c>
      <c r="G43" s="60">
        <v>0.5</v>
      </c>
      <c r="H43" s="43"/>
      <c r="L43" s="236"/>
      <c r="M43" s="178"/>
      <c r="N43" s="318" t="s">
        <v>591</v>
      </c>
      <c r="O43" s="388" t="s">
        <v>569</v>
      </c>
      <c r="P43" s="37"/>
      <c r="Q43" s="19"/>
      <c r="R43" s="19"/>
      <c r="S43" s="438"/>
      <c r="T43" s="19"/>
    </row>
    <row r="44" spans="2:20" ht="15.75" x14ac:dyDescent="0.25">
      <c r="F44" s="18" t="s">
        <v>613</v>
      </c>
      <c r="G44" s="54">
        <v>72</v>
      </c>
      <c r="H44" s="16" t="s">
        <v>12</v>
      </c>
      <c r="L44" s="236"/>
      <c r="M44" s="178"/>
      <c r="N44" s="318" t="s">
        <v>592</v>
      </c>
      <c r="O44" s="388" t="s">
        <v>590</v>
      </c>
      <c r="P44" s="439"/>
      <c r="Q44" s="362"/>
      <c r="R44" s="362"/>
      <c r="S44" s="438"/>
      <c r="T44" s="19"/>
    </row>
    <row r="45" spans="2:20" ht="16.5" thickBot="1" x14ac:dyDescent="0.3">
      <c r="F45" s="18" t="s">
        <v>612</v>
      </c>
      <c r="G45" s="60">
        <v>0.5</v>
      </c>
      <c r="H45" s="43"/>
      <c r="L45" s="249"/>
      <c r="M45" s="391"/>
      <c r="N45" s="251" t="s">
        <v>593</v>
      </c>
      <c r="O45" s="392" t="s">
        <v>594</v>
      </c>
      <c r="P45" s="48"/>
      <c r="Q45" s="362"/>
      <c r="R45" s="362"/>
      <c r="S45" s="438"/>
      <c r="T45" s="19"/>
    </row>
    <row r="46" spans="2:20" ht="15.75" x14ac:dyDescent="0.25">
      <c r="F46" s="18" t="s">
        <v>539</v>
      </c>
      <c r="G46" s="54">
        <v>58.6</v>
      </c>
      <c r="H46" s="9" t="s">
        <v>537</v>
      </c>
      <c r="L46" s="43"/>
      <c r="M46" s="20"/>
      <c r="N46" s="43"/>
      <c r="O46" s="20"/>
      <c r="P46" s="45"/>
      <c r="Q46" s="369"/>
      <c r="R46" s="362"/>
      <c r="S46" s="438"/>
      <c r="T46" s="19"/>
    </row>
    <row r="47" spans="2:20" ht="16.5" thickBot="1" x14ac:dyDescent="0.3">
      <c r="F47" s="18" t="s">
        <v>540</v>
      </c>
      <c r="G47" s="93">
        <v>7.2</v>
      </c>
      <c r="H47" s="9" t="s">
        <v>537</v>
      </c>
      <c r="L47" s="16" t="s">
        <v>662</v>
      </c>
      <c r="M47" s="20"/>
      <c r="N47" s="43"/>
      <c r="O47" s="20"/>
      <c r="P47" s="43"/>
      <c r="Q47" s="369"/>
      <c r="R47" s="364"/>
      <c r="S47" s="384"/>
    </row>
    <row r="48" spans="2:20" ht="15.75" x14ac:dyDescent="0.25">
      <c r="F48" s="20"/>
      <c r="H48" s="43"/>
      <c r="L48" s="16" t="s">
        <v>627</v>
      </c>
      <c r="M48" s="367"/>
      <c r="N48" s="367"/>
      <c r="O48" s="365"/>
      <c r="P48" s="363"/>
      <c r="Q48" s="367"/>
      <c r="R48" s="367"/>
      <c r="S48" s="384"/>
    </row>
    <row r="49" spans="2:23" ht="18" x14ac:dyDescent="0.25">
      <c r="B49" s="1" t="s">
        <v>599</v>
      </c>
      <c r="F49" s="20"/>
      <c r="G49" s="39" t="s">
        <v>1</v>
      </c>
      <c r="H49" s="43"/>
      <c r="L49" s="127" t="s">
        <v>628</v>
      </c>
      <c r="M49" s="370"/>
      <c r="N49" s="367"/>
      <c r="O49" s="365"/>
      <c r="P49" s="363"/>
      <c r="Q49" s="367"/>
      <c r="R49" s="367"/>
      <c r="S49" s="384"/>
    </row>
    <row r="50" spans="2:23" ht="15.75" x14ac:dyDescent="0.25">
      <c r="F50" s="44" t="s">
        <v>597</v>
      </c>
      <c r="G50" s="16" t="s">
        <v>405</v>
      </c>
      <c r="H50" s="43"/>
      <c r="K50" s="19"/>
      <c r="L50" s="361"/>
      <c r="M50" s="362"/>
      <c r="N50" s="360"/>
      <c r="O50" s="360"/>
      <c r="P50" s="361"/>
      <c r="Q50" s="360"/>
      <c r="R50" s="362"/>
      <c r="S50" s="438"/>
      <c r="T50" s="19"/>
      <c r="U50" s="19"/>
      <c r="V50" s="19"/>
      <c r="W50" s="19"/>
    </row>
    <row r="51" spans="2:23" ht="15.75" x14ac:dyDescent="0.25">
      <c r="F51" s="44" t="s">
        <v>2</v>
      </c>
      <c r="G51" s="42">
        <f>G38*G39*G40</f>
        <v>28800</v>
      </c>
      <c r="H51" s="393" t="s">
        <v>406</v>
      </c>
      <c r="K51" s="19"/>
      <c r="L51" s="361"/>
      <c r="M51" s="361"/>
      <c r="N51" s="434"/>
      <c r="O51" s="360"/>
      <c r="P51" s="361"/>
      <c r="Q51" s="435"/>
      <c r="R51" s="362"/>
      <c r="S51" s="438"/>
      <c r="T51" s="19"/>
      <c r="U51" s="19"/>
      <c r="V51" s="19"/>
      <c r="W51" s="19"/>
    </row>
    <row r="52" spans="2:23" ht="15.75" x14ac:dyDescent="0.25">
      <c r="F52" s="18" t="s">
        <v>626</v>
      </c>
      <c r="G52" s="16" t="s">
        <v>598</v>
      </c>
      <c r="H52" s="16"/>
      <c r="K52" s="19"/>
      <c r="L52" s="361"/>
      <c r="M52" s="361"/>
      <c r="N52" s="434"/>
      <c r="O52" s="436"/>
      <c r="P52" s="361"/>
      <c r="Q52" s="435"/>
      <c r="R52" s="362"/>
      <c r="S52" s="438"/>
      <c r="T52" s="19"/>
      <c r="U52" s="19"/>
      <c r="V52" s="19"/>
      <c r="W52" s="19"/>
    </row>
    <row r="53" spans="2:23" ht="15.75" x14ac:dyDescent="0.25">
      <c r="F53" s="18" t="s">
        <v>2</v>
      </c>
      <c r="G53" s="42">
        <f>G41*G51 / 60</f>
        <v>1920</v>
      </c>
      <c r="H53" s="16" t="s">
        <v>95</v>
      </c>
      <c r="K53" s="19"/>
      <c r="L53" s="361"/>
      <c r="M53" s="361"/>
      <c r="N53" s="434"/>
      <c r="O53" s="436"/>
      <c r="P53" s="361"/>
      <c r="Q53" s="435"/>
      <c r="R53" s="362"/>
      <c r="S53" s="438"/>
      <c r="T53" s="19"/>
      <c r="U53" s="19"/>
      <c r="V53" s="19"/>
      <c r="W53" s="19"/>
    </row>
    <row r="54" spans="2:23" ht="15.75" x14ac:dyDescent="0.25">
      <c r="B54" s="9" t="s">
        <v>631</v>
      </c>
      <c r="F54" s="20"/>
      <c r="G54" s="43"/>
      <c r="H54" s="43"/>
      <c r="K54" s="19"/>
      <c r="L54" s="361"/>
      <c r="M54" s="361"/>
      <c r="N54" s="434"/>
      <c r="O54" s="436"/>
      <c r="P54" s="361"/>
      <c r="Q54" s="435"/>
      <c r="R54" s="362"/>
      <c r="S54" s="438"/>
      <c r="T54" s="19"/>
      <c r="U54" s="19"/>
      <c r="V54" s="19"/>
      <c r="W54" s="19"/>
    </row>
    <row r="55" spans="2:23" ht="15.75" x14ac:dyDescent="0.25">
      <c r="B55" s="9" t="s">
        <v>659</v>
      </c>
      <c r="F55" s="20"/>
      <c r="G55" s="43"/>
      <c r="H55" s="43"/>
      <c r="K55" s="19"/>
      <c r="L55" s="361"/>
      <c r="M55" s="361"/>
      <c r="N55" s="434"/>
      <c r="O55" s="19"/>
      <c r="P55" s="19"/>
      <c r="Q55" s="19"/>
      <c r="R55" s="362"/>
      <c r="S55" s="438"/>
      <c r="T55" s="19"/>
      <c r="U55" s="19"/>
      <c r="V55" s="19"/>
      <c r="W55" s="19"/>
    </row>
    <row r="56" spans="2:23" ht="15.75" x14ac:dyDescent="0.25">
      <c r="F56" s="18" t="s">
        <v>632</v>
      </c>
      <c r="G56" s="16" t="s">
        <v>633</v>
      </c>
      <c r="H56" s="16"/>
      <c r="K56" s="19"/>
      <c r="L56" s="361"/>
      <c r="M56" s="361"/>
      <c r="N56" s="434"/>
      <c r="O56" s="19"/>
      <c r="P56" s="19"/>
      <c r="Q56" s="19"/>
      <c r="R56" s="362"/>
      <c r="S56" s="438"/>
      <c r="T56" s="19"/>
      <c r="U56" s="19"/>
      <c r="V56" s="19"/>
      <c r="W56" s="19"/>
    </row>
    <row r="57" spans="2:23" ht="15.75" x14ac:dyDescent="0.25">
      <c r="F57" s="18" t="s">
        <v>2</v>
      </c>
      <c r="G57" s="16">
        <f>G36*G37</f>
        <v>136</v>
      </c>
      <c r="H57" s="16" t="s">
        <v>13</v>
      </c>
      <c r="K57" s="19"/>
      <c r="L57" s="361"/>
      <c r="M57" s="362"/>
      <c r="N57" s="362"/>
      <c r="O57" s="360"/>
      <c r="P57" s="361"/>
      <c r="Q57" s="435"/>
      <c r="R57" s="362"/>
      <c r="S57" s="438"/>
      <c r="T57" s="19"/>
      <c r="U57" s="19"/>
      <c r="V57" s="19"/>
      <c r="W57" s="19"/>
    </row>
    <row r="58" spans="2:23" ht="15.75" x14ac:dyDescent="0.25">
      <c r="B58" s="9" t="s">
        <v>698</v>
      </c>
      <c r="F58" s="20"/>
      <c r="G58" s="43"/>
      <c r="H58" s="43"/>
      <c r="K58" s="19"/>
      <c r="L58" s="361"/>
      <c r="M58" s="362"/>
      <c r="N58" s="360"/>
      <c r="O58" s="360"/>
      <c r="P58" s="361"/>
      <c r="Q58" s="435"/>
      <c r="R58" s="362"/>
      <c r="S58" s="438"/>
      <c r="T58" s="19"/>
      <c r="U58" s="19"/>
      <c r="V58" s="19"/>
      <c r="W58" s="19"/>
    </row>
    <row r="59" spans="2:23" ht="15.75" x14ac:dyDescent="0.25">
      <c r="F59" s="18" t="s">
        <v>699</v>
      </c>
      <c r="G59" s="16" t="s">
        <v>516</v>
      </c>
      <c r="H59" s="43"/>
      <c r="K59" s="19"/>
      <c r="L59" s="361"/>
      <c r="M59" s="437"/>
      <c r="N59" s="19"/>
      <c r="O59" s="19"/>
      <c r="P59" s="19"/>
      <c r="Q59" s="19"/>
      <c r="R59" s="19"/>
      <c r="S59" s="438"/>
      <c r="T59" s="19"/>
      <c r="U59" s="19"/>
      <c r="V59" s="19"/>
      <c r="W59" s="19"/>
    </row>
    <row r="60" spans="2:23" ht="15.75" x14ac:dyDescent="0.25">
      <c r="F60" s="44" t="s">
        <v>2</v>
      </c>
      <c r="G60" s="12">
        <f>G44-G42</f>
        <v>53</v>
      </c>
      <c r="H60" s="16" t="s">
        <v>12</v>
      </c>
      <c r="K60" s="19"/>
      <c r="L60" s="361"/>
      <c r="M60" s="361"/>
      <c r="N60" s="19"/>
      <c r="O60" s="19"/>
      <c r="P60" s="19"/>
      <c r="Q60" s="19"/>
      <c r="R60" s="19"/>
      <c r="S60" s="438"/>
      <c r="T60" s="19"/>
      <c r="U60" s="19"/>
      <c r="V60" s="19"/>
      <c r="W60" s="19"/>
    </row>
    <row r="61" spans="2:23" ht="15.75" x14ac:dyDescent="0.25">
      <c r="F61" s="18" t="s">
        <v>524</v>
      </c>
      <c r="G61" s="12">
        <v>7.4999999999999997E-2</v>
      </c>
      <c r="H61" s="9" t="s">
        <v>526</v>
      </c>
      <c r="I61" s="367"/>
      <c r="K61" s="19"/>
      <c r="L61" s="361"/>
      <c r="M61" s="361"/>
      <c r="N61" s="375"/>
      <c r="O61" s="360"/>
      <c r="P61" s="361"/>
      <c r="Q61" s="435"/>
      <c r="R61" s="362"/>
      <c r="S61" s="438"/>
      <c r="T61" s="19"/>
      <c r="U61" s="19"/>
      <c r="V61" s="19"/>
      <c r="W61" s="19"/>
    </row>
    <row r="62" spans="2:23" ht="15.75" x14ac:dyDescent="0.25">
      <c r="F62" s="18" t="s">
        <v>525</v>
      </c>
      <c r="G62" s="257">
        <v>0.24</v>
      </c>
      <c r="H62" s="9" t="s">
        <v>532</v>
      </c>
      <c r="I62" s="367"/>
      <c r="K62" s="19"/>
      <c r="L62" s="361"/>
      <c r="M62" s="438"/>
      <c r="N62" s="362"/>
      <c r="O62" s="360"/>
      <c r="P62" s="361"/>
      <c r="Q62" s="435"/>
      <c r="R62" s="361"/>
      <c r="S62" s="438"/>
      <c r="T62" s="19"/>
      <c r="U62" s="19"/>
      <c r="V62" s="19"/>
      <c r="W62" s="19"/>
    </row>
    <row r="63" spans="2:23" ht="15.75" x14ac:dyDescent="0.25">
      <c r="F63" s="18" t="s">
        <v>610</v>
      </c>
      <c r="G63" s="16" t="s">
        <v>900</v>
      </c>
      <c r="H63" s="9"/>
      <c r="K63" s="19"/>
      <c r="L63" s="361"/>
      <c r="M63" s="362"/>
      <c r="N63" s="362"/>
      <c r="O63" s="360"/>
      <c r="P63" s="361"/>
      <c r="Q63" s="362"/>
      <c r="R63" s="362"/>
      <c r="S63" s="438"/>
      <c r="T63" s="19"/>
      <c r="U63" s="19"/>
      <c r="V63" s="19"/>
      <c r="W63" s="19"/>
    </row>
    <row r="64" spans="2:23" ht="15.75" x14ac:dyDescent="0.25">
      <c r="F64" s="20" t="s">
        <v>2</v>
      </c>
      <c r="G64" s="42">
        <f>(G57+H92)*G61*G62*G60</f>
        <v>948.81023999999991</v>
      </c>
      <c r="H64" s="9" t="s">
        <v>534</v>
      </c>
      <c r="K64" s="19"/>
      <c r="L64" s="361"/>
      <c r="M64" s="362"/>
      <c r="N64" s="362"/>
      <c r="O64" s="360"/>
      <c r="P64" s="361"/>
      <c r="Q64" s="362"/>
      <c r="R64" s="362"/>
      <c r="S64" s="438"/>
      <c r="T64" s="19"/>
      <c r="U64" s="19"/>
      <c r="V64" s="19"/>
      <c r="W64" s="19"/>
    </row>
    <row r="65" spans="2:23" ht="15.75" x14ac:dyDescent="0.25">
      <c r="F65" s="16" t="s">
        <v>700</v>
      </c>
      <c r="H65" s="43"/>
      <c r="K65" s="19"/>
      <c r="L65" s="111"/>
      <c r="M65" s="106"/>
      <c r="N65" s="106"/>
      <c r="O65" s="383"/>
      <c r="P65" s="111"/>
      <c r="Q65" s="106"/>
      <c r="R65" s="106"/>
      <c r="S65" s="106"/>
      <c r="T65" s="19"/>
      <c r="U65" s="19"/>
      <c r="V65" s="19"/>
      <c r="W65" s="19"/>
    </row>
    <row r="66" spans="2:23" ht="15.75" x14ac:dyDescent="0.25">
      <c r="B66" s="9" t="s">
        <v>660</v>
      </c>
      <c r="F66" s="20"/>
      <c r="G66" s="43"/>
      <c r="H66" s="43"/>
      <c r="K66" s="19"/>
      <c r="L66" s="111"/>
      <c r="M66" s="106"/>
      <c r="N66" s="106"/>
      <c r="O66" s="383"/>
      <c r="P66" s="111"/>
      <c r="Q66" s="106"/>
      <c r="R66" s="106"/>
      <c r="S66" s="106"/>
      <c r="T66" s="19"/>
      <c r="U66" s="19"/>
      <c r="V66" s="19"/>
      <c r="W66" s="19"/>
    </row>
    <row r="67" spans="2:23" ht="15.75" x14ac:dyDescent="0.25">
      <c r="B67" s="9" t="s">
        <v>600</v>
      </c>
      <c r="F67" s="20"/>
      <c r="G67" s="43"/>
      <c r="H67" s="43"/>
      <c r="J67" s="9"/>
      <c r="K67" s="19"/>
      <c r="L67" s="111"/>
      <c r="M67" s="106"/>
      <c r="N67" s="106"/>
      <c r="O67" s="383"/>
      <c r="P67" s="111"/>
      <c r="Q67" s="106"/>
      <c r="R67" s="106"/>
      <c r="S67" s="106"/>
      <c r="T67" s="19"/>
      <c r="U67" s="19"/>
      <c r="V67" s="19"/>
      <c r="W67" s="19"/>
    </row>
    <row r="68" spans="2:23" ht="15.75" x14ac:dyDescent="0.25">
      <c r="F68" s="18" t="s">
        <v>535</v>
      </c>
      <c r="G68" s="394">
        <v>1061</v>
      </c>
      <c r="H68" s="9" t="s">
        <v>536</v>
      </c>
      <c r="K68" s="19"/>
      <c r="L68" s="111"/>
      <c r="M68" s="106"/>
      <c r="N68" s="106"/>
      <c r="O68" s="383"/>
      <c r="P68" s="111"/>
      <c r="Q68" s="106"/>
      <c r="R68" s="106"/>
      <c r="S68" s="106"/>
      <c r="T68" s="19"/>
      <c r="U68" s="19"/>
      <c r="V68" s="19"/>
      <c r="W68" s="19"/>
    </row>
    <row r="69" spans="2:23" ht="15.75" x14ac:dyDescent="0.25">
      <c r="F69" s="18" t="s">
        <v>608</v>
      </c>
      <c r="G69" s="16" t="s">
        <v>541</v>
      </c>
      <c r="H69" s="9"/>
      <c r="K69" s="19"/>
      <c r="L69" s="111"/>
      <c r="M69" s="106"/>
      <c r="N69" s="106"/>
      <c r="O69" s="383"/>
      <c r="P69" s="111"/>
      <c r="Q69" s="106"/>
      <c r="R69" s="106"/>
      <c r="S69" s="106"/>
      <c r="T69" s="19"/>
      <c r="U69" s="19"/>
      <c r="V69" s="19"/>
      <c r="W69" s="19"/>
    </row>
    <row r="70" spans="2:23" ht="15.75" x14ac:dyDescent="0.25">
      <c r="F70" s="20" t="s">
        <v>2</v>
      </c>
      <c r="G70" s="16">
        <f>G46/7000</f>
        <v>8.3714285714285713E-3</v>
      </c>
      <c r="H70" s="9" t="s">
        <v>538</v>
      </c>
      <c r="K70" s="19"/>
      <c r="L70" s="45"/>
      <c r="M70" s="19"/>
      <c r="N70" s="106"/>
      <c r="O70" s="383"/>
      <c r="P70" s="111"/>
      <c r="Q70" s="106"/>
      <c r="R70" s="106"/>
      <c r="S70" s="106"/>
      <c r="T70" s="19"/>
      <c r="U70" s="19"/>
      <c r="V70" s="19"/>
      <c r="W70" s="19"/>
    </row>
    <row r="71" spans="2:23" ht="15.75" x14ac:dyDescent="0.25">
      <c r="F71" s="18" t="s">
        <v>609</v>
      </c>
      <c r="G71" s="16" t="s">
        <v>542</v>
      </c>
      <c r="H71" s="9"/>
      <c r="K71" s="19"/>
      <c r="L71" s="45"/>
      <c r="M71" s="19"/>
      <c r="N71" s="106"/>
      <c r="O71" s="383"/>
      <c r="P71" s="111"/>
      <c r="Q71" s="106"/>
      <c r="R71" s="106"/>
      <c r="S71" s="106"/>
      <c r="T71" s="19"/>
      <c r="U71" s="19"/>
      <c r="V71" s="19"/>
      <c r="W71" s="19"/>
    </row>
    <row r="72" spans="2:23" ht="15.75" x14ac:dyDescent="0.25">
      <c r="F72" s="20" t="s">
        <v>2</v>
      </c>
      <c r="G72" s="16">
        <f>G47/7000</f>
        <v>1.0285714285714286E-3</v>
      </c>
      <c r="H72" s="9" t="s">
        <v>538</v>
      </c>
      <c r="K72" s="19"/>
      <c r="L72" s="45"/>
      <c r="M72" s="48"/>
      <c r="N72" s="45"/>
      <c r="O72" s="48"/>
      <c r="P72" s="45"/>
      <c r="Q72" s="19"/>
      <c r="R72" s="19"/>
      <c r="S72" s="19"/>
      <c r="T72" s="19"/>
      <c r="U72" s="19"/>
      <c r="V72" s="19"/>
      <c r="W72" s="19"/>
    </row>
    <row r="73" spans="2:23" ht="15.75" x14ac:dyDescent="0.25">
      <c r="F73" s="18" t="s">
        <v>611</v>
      </c>
      <c r="G73" s="16" t="s">
        <v>901</v>
      </c>
      <c r="H73" s="9"/>
      <c r="K73" s="19"/>
      <c r="L73" s="45"/>
      <c r="M73" s="48"/>
      <c r="N73" s="45"/>
      <c r="O73" s="48"/>
      <c r="P73" s="45"/>
      <c r="Q73" s="19"/>
      <c r="R73" s="19"/>
      <c r="S73" s="19"/>
      <c r="T73" s="19"/>
      <c r="U73" s="19"/>
      <c r="V73" s="19"/>
      <c r="W73" s="19"/>
    </row>
    <row r="74" spans="2:23" ht="15.75" x14ac:dyDescent="0.25">
      <c r="F74" s="20" t="s">
        <v>2</v>
      </c>
      <c r="G74" s="42">
        <f>(G57+H92)*G61*G68*(G70 - G72)</f>
        <v>581.12922239999989</v>
      </c>
      <c r="H74" s="9" t="s">
        <v>534</v>
      </c>
      <c r="L74" s="16" t="s">
        <v>668</v>
      </c>
      <c r="N74" s="177"/>
      <c r="O74" s="175"/>
      <c r="P74" s="178"/>
      <c r="Q74" s="177"/>
      <c r="R74" s="177"/>
      <c r="S74" s="177"/>
    </row>
    <row r="75" spans="2:23" ht="15.75" x14ac:dyDescent="0.25">
      <c r="B75" s="9" t="s">
        <v>547</v>
      </c>
      <c r="F75" s="20"/>
      <c r="G75" s="43"/>
      <c r="H75" s="43"/>
      <c r="L75" s="128" t="s">
        <v>519</v>
      </c>
      <c r="M75" s="20"/>
      <c r="N75" s="43"/>
      <c r="O75" s="20"/>
      <c r="P75" s="43"/>
    </row>
    <row r="76" spans="2:23" ht="15.75" x14ac:dyDescent="0.25">
      <c r="B76" s="16" t="s">
        <v>603</v>
      </c>
      <c r="F76" s="20"/>
      <c r="G76" s="43"/>
      <c r="H76" s="43"/>
      <c r="L76" s="43"/>
      <c r="M76" s="20"/>
      <c r="N76" s="43"/>
      <c r="O76" s="20"/>
      <c r="P76" s="43"/>
    </row>
    <row r="77" spans="2:23" ht="15.75" x14ac:dyDescent="0.25">
      <c r="F77" s="18" t="s">
        <v>604</v>
      </c>
      <c r="G77" s="16" t="s">
        <v>605</v>
      </c>
      <c r="K77" s="9" t="s">
        <v>546</v>
      </c>
      <c r="O77" s="20"/>
      <c r="P77" s="43"/>
      <c r="Q77" s="43"/>
      <c r="S77" s="177"/>
    </row>
    <row r="78" spans="2:23" ht="15.75" x14ac:dyDescent="0.25">
      <c r="F78" s="18" t="s">
        <v>2</v>
      </c>
      <c r="G78" s="42">
        <f>G64+G74</f>
        <v>1529.9394623999997</v>
      </c>
      <c r="H78" s="9" t="s">
        <v>534</v>
      </c>
      <c r="K78" s="9" t="s">
        <v>543</v>
      </c>
      <c r="L78" s="9"/>
      <c r="M78" s="9"/>
      <c r="O78" s="9" t="s">
        <v>544</v>
      </c>
      <c r="P78" s="16"/>
      <c r="R78" s="16" t="s">
        <v>545</v>
      </c>
      <c r="S78" s="177"/>
    </row>
    <row r="79" spans="2:23" ht="15.75" x14ac:dyDescent="0.25">
      <c r="F79" s="20" t="s">
        <v>2</v>
      </c>
      <c r="G79" s="42">
        <f>G78*60</f>
        <v>91796.367743999988</v>
      </c>
      <c r="H79" s="9" t="s">
        <v>0</v>
      </c>
      <c r="K79" s="13"/>
      <c r="L79" s="13"/>
      <c r="M79" s="13"/>
      <c r="N79" s="13"/>
      <c r="O79" s="27"/>
      <c r="P79" s="37"/>
      <c r="Q79" s="37"/>
      <c r="R79" s="19"/>
      <c r="S79" s="106"/>
      <c r="T79" s="19"/>
      <c r="U79" s="19"/>
    </row>
    <row r="80" spans="2:23" x14ac:dyDescent="0.2">
      <c r="F80" s="20"/>
      <c r="G80" s="43"/>
      <c r="H80" s="43"/>
      <c r="K80" s="19"/>
      <c r="L80" s="19"/>
      <c r="M80" s="19"/>
      <c r="N80" s="19"/>
      <c r="O80" s="48"/>
      <c r="P80" s="45"/>
      <c r="Q80" s="45"/>
      <c r="R80" s="19"/>
      <c r="S80" s="106"/>
      <c r="T80" s="19"/>
      <c r="U80" s="19"/>
    </row>
    <row r="81" spans="2:24" ht="15.75" x14ac:dyDescent="0.25">
      <c r="B81" s="16" t="s">
        <v>899</v>
      </c>
      <c r="F81" s="20"/>
      <c r="G81" s="43"/>
      <c r="H81" s="43"/>
      <c r="K81" s="19"/>
      <c r="L81" s="19"/>
      <c r="M81" s="19"/>
      <c r="N81" s="19"/>
      <c r="O81" s="48"/>
      <c r="P81" s="45"/>
      <c r="Q81" s="45"/>
      <c r="R81" s="19"/>
      <c r="S81" s="106"/>
      <c r="T81" s="19"/>
      <c r="U81" s="19"/>
    </row>
    <row r="82" spans="2:24" x14ac:dyDescent="0.2">
      <c r="B82" s="128" t="s">
        <v>548</v>
      </c>
      <c r="F82" s="20"/>
      <c r="G82" s="43"/>
      <c r="H82" s="43"/>
      <c r="K82" s="19"/>
      <c r="L82" s="19"/>
      <c r="M82" s="19"/>
      <c r="N82" s="19"/>
      <c r="O82" s="48"/>
      <c r="P82" s="45"/>
      <c r="Q82" s="45"/>
      <c r="R82" s="19"/>
      <c r="S82" s="106"/>
      <c r="T82" s="19"/>
      <c r="U82" s="19"/>
    </row>
    <row r="83" spans="2:24" ht="16.5" thickBot="1" x14ac:dyDescent="0.3">
      <c r="B83" s="9" t="s">
        <v>661</v>
      </c>
      <c r="E83" s="39" t="s">
        <v>3</v>
      </c>
      <c r="F83" s="20"/>
      <c r="G83" s="43"/>
      <c r="H83" s="43"/>
      <c r="K83" s="19"/>
      <c r="L83" s="19"/>
      <c r="M83" s="19"/>
      <c r="N83" s="19"/>
      <c r="O83" s="48"/>
      <c r="P83" s="45"/>
      <c r="Q83" s="45"/>
      <c r="R83" s="19"/>
      <c r="S83" s="106"/>
      <c r="T83" s="19"/>
      <c r="U83" s="19"/>
    </row>
    <row r="84" spans="2:24" ht="16.5" thickBot="1" x14ac:dyDescent="0.3">
      <c r="D84" s="39" t="s">
        <v>3</v>
      </c>
      <c r="E84" s="222" t="s">
        <v>59</v>
      </c>
      <c r="F84" s="39" t="s">
        <v>3</v>
      </c>
      <c r="G84" s="39" t="s">
        <v>3</v>
      </c>
      <c r="H84" s="39" t="s">
        <v>1</v>
      </c>
      <c r="I84" s="177"/>
      <c r="K84" s="19"/>
      <c r="L84" s="19"/>
      <c r="M84" s="19"/>
      <c r="N84" s="19"/>
      <c r="O84" s="48"/>
      <c r="P84" s="45"/>
      <c r="Q84" s="45"/>
      <c r="R84" s="19"/>
      <c r="S84" s="106"/>
      <c r="T84" s="19"/>
      <c r="U84" s="19"/>
    </row>
    <row r="85" spans="2:24" ht="16.5" thickBot="1" x14ac:dyDescent="0.3">
      <c r="B85" s="116"/>
      <c r="C85" s="117"/>
      <c r="D85" s="442" t="s">
        <v>562</v>
      </c>
      <c r="E85" s="226" t="s">
        <v>560</v>
      </c>
      <c r="F85" s="395" t="s">
        <v>60</v>
      </c>
      <c r="G85" s="66" t="s">
        <v>89</v>
      </c>
      <c r="H85" s="396" t="s">
        <v>559</v>
      </c>
      <c r="K85" s="19"/>
      <c r="L85" s="19"/>
      <c r="M85" s="19"/>
      <c r="N85" s="19"/>
      <c r="O85" s="48"/>
      <c r="P85" s="45"/>
      <c r="Q85" s="45"/>
      <c r="R85" s="19"/>
      <c r="S85" s="106"/>
      <c r="T85" s="19"/>
      <c r="U85" s="19"/>
    </row>
    <row r="86" spans="2:24" ht="15.75" x14ac:dyDescent="0.25">
      <c r="B86" s="236"/>
      <c r="C86" s="76" t="s">
        <v>553</v>
      </c>
      <c r="D86" s="186">
        <v>0.02</v>
      </c>
      <c r="E86" s="182">
        <v>150</v>
      </c>
      <c r="F86" s="167">
        <v>100</v>
      </c>
      <c r="G86" s="182">
        <v>1</v>
      </c>
      <c r="H86" s="307">
        <f t="shared" ref="H86:H91" si="0">D86*E86*F86*G86</f>
        <v>300</v>
      </c>
      <c r="K86" s="19"/>
      <c r="L86" s="19"/>
      <c r="M86" s="19"/>
      <c r="N86" s="19"/>
      <c r="O86" s="48"/>
      <c r="P86" s="45"/>
      <c r="Q86" s="45"/>
      <c r="R86" s="19"/>
      <c r="S86" s="106"/>
      <c r="T86" s="19"/>
      <c r="U86" s="19"/>
    </row>
    <row r="87" spans="2:24" ht="15.75" x14ac:dyDescent="0.25">
      <c r="B87" s="236"/>
      <c r="C87" s="76" t="s">
        <v>554</v>
      </c>
      <c r="D87" s="186">
        <v>0.02</v>
      </c>
      <c r="E87" s="186">
        <v>150</v>
      </c>
      <c r="F87" s="167">
        <v>100</v>
      </c>
      <c r="G87" s="186">
        <v>1</v>
      </c>
      <c r="H87" s="307">
        <f t="shared" si="0"/>
        <v>300</v>
      </c>
      <c r="K87" s="19"/>
      <c r="L87" s="19"/>
      <c r="M87" s="19"/>
      <c r="N87" s="19"/>
      <c r="O87" s="48"/>
      <c r="P87" s="45"/>
      <c r="Q87" s="45"/>
      <c r="R87" s="19"/>
      <c r="S87" s="106"/>
      <c r="T87" s="19"/>
      <c r="U87" s="19"/>
    </row>
    <row r="88" spans="2:24" ht="15.75" x14ac:dyDescent="0.25">
      <c r="B88" s="236"/>
      <c r="C88" s="76" t="s">
        <v>557</v>
      </c>
      <c r="D88" s="186">
        <v>0.02</v>
      </c>
      <c r="E88" s="186">
        <v>16</v>
      </c>
      <c r="F88" s="167">
        <v>150</v>
      </c>
      <c r="G88" s="186">
        <v>2</v>
      </c>
      <c r="H88" s="307">
        <f t="shared" si="0"/>
        <v>96</v>
      </c>
      <c r="K88" s="19"/>
      <c r="L88" s="19"/>
      <c r="M88" s="19"/>
      <c r="N88" s="19"/>
      <c r="O88" s="48"/>
      <c r="P88" s="45"/>
      <c r="Q88" s="45"/>
      <c r="R88" s="19"/>
      <c r="S88" s="106"/>
      <c r="T88" s="19"/>
      <c r="U88" s="19"/>
    </row>
    <row r="89" spans="2:24" ht="15.75" x14ac:dyDescent="0.25">
      <c r="B89" s="236"/>
      <c r="C89" s="76" t="s">
        <v>558</v>
      </c>
      <c r="D89" s="186">
        <v>0.02</v>
      </c>
      <c r="E89" s="186">
        <v>16</v>
      </c>
      <c r="F89" s="167">
        <v>100</v>
      </c>
      <c r="G89" s="186">
        <v>2</v>
      </c>
      <c r="H89" s="307">
        <f t="shared" si="0"/>
        <v>64</v>
      </c>
      <c r="K89" s="19"/>
      <c r="L89" s="19"/>
      <c r="M89" s="19"/>
      <c r="N89" s="19"/>
      <c r="O89" s="48"/>
      <c r="P89" s="45"/>
      <c r="Q89" s="45"/>
      <c r="R89" s="19"/>
      <c r="S89" s="19"/>
      <c r="T89" s="19"/>
      <c r="U89" s="19"/>
      <c r="W89" s="43"/>
    </row>
    <row r="90" spans="2:24" ht="15.75" x14ac:dyDescent="0.25">
      <c r="B90" s="236"/>
      <c r="C90" s="76" t="s">
        <v>561</v>
      </c>
      <c r="D90" s="431">
        <v>0.02</v>
      </c>
      <c r="E90" s="186">
        <v>8</v>
      </c>
      <c r="F90" s="167">
        <v>4</v>
      </c>
      <c r="G90" s="186">
        <v>4</v>
      </c>
      <c r="H90" s="307">
        <f t="shared" si="0"/>
        <v>2.56</v>
      </c>
      <c r="K90" s="19"/>
      <c r="L90" s="19"/>
      <c r="M90" s="19"/>
      <c r="N90" s="19"/>
      <c r="O90" s="48"/>
      <c r="P90" s="45"/>
      <c r="Q90" s="45"/>
      <c r="R90" s="19"/>
      <c r="S90" s="19"/>
      <c r="T90" s="19"/>
      <c r="U90" s="19"/>
      <c r="W90" s="43"/>
      <c r="X90" s="20"/>
    </row>
    <row r="91" spans="2:24" ht="16.5" thickBot="1" x14ac:dyDescent="0.3">
      <c r="B91" s="249"/>
      <c r="C91" s="398" t="s">
        <v>556</v>
      </c>
      <c r="D91" s="432">
        <v>1</v>
      </c>
      <c r="E91" s="192">
        <v>8</v>
      </c>
      <c r="F91" s="266">
        <v>4</v>
      </c>
      <c r="G91" s="192">
        <v>3</v>
      </c>
      <c r="H91" s="399">
        <f t="shared" si="0"/>
        <v>96</v>
      </c>
      <c r="K91" s="19"/>
      <c r="L91" s="19"/>
      <c r="M91" s="19"/>
      <c r="N91" s="19"/>
      <c r="O91" s="48"/>
      <c r="P91" s="45"/>
      <c r="Q91" s="45"/>
      <c r="R91" s="19"/>
      <c r="S91" s="19"/>
      <c r="T91" s="19"/>
      <c r="U91" s="19"/>
      <c r="W91" s="128"/>
      <c r="X91" s="20"/>
    </row>
    <row r="92" spans="2:24" ht="16.5" thickBot="1" x14ac:dyDescent="0.3">
      <c r="D92" s="20"/>
      <c r="E92" s="20"/>
      <c r="F92" s="20"/>
      <c r="G92" s="18" t="s">
        <v>552</v>
      </c>
      <c r="H92" s="400">
        <f>SUM(H86:H91)</f>
        <v>858.56</v>
      </c>
      <c r="I92" s="9" t="s">
        <v>13</v>
      </c>
      <c r="K92" s="19"/>
      <c r="L92" s="19"/>
      <c r="M92" s="19"/>
      <c r="N92" s="19"/>
      <c r="O92" s="48"/>
      <c r="P92" s="45"/>
      <c r="Q92" s="45"/>
      <c r="R92" s="19"/>
      <c r="S92" s="19"/>
      <c r="T92" s="19"/>
      <c r="U92" s="19"/>
      <c r="W92" s="43"/>
      <c r="X92" s="20"/>
    </row>
    <row r="93" spans="2:24" x14ac:dyDescent="0.2">
      <c r="B93" s="17" t="s">
        <v>669</v>
      </c>
      <c r="D93" s="20"/>
      <c r="E93" s="20"/>
      <c r="F93" s="20"/>
      <c r="G93" s="43"/>
      <c r="K93" s="19"/>
      <c r="L93" s="19"/>
      <c r="M93" s="19"/>
      <c r="N93" s="19"/>
      <c r="O93" s="48"/>
      <c r="P93" s="45"/>
      <c r="Q93" s="45"/>
      <c r="R93" s="19"/>
      <c r="S93" s="19"/>
      <c r="T93" s="19"/>
      <c r="U93" s="19"/>
    </row>
    <row r="94" spans="2:24" ht="15.75" x14ac:dyDescent="0.25">
      <c r="B94" s="401">
        <v>40057</v>
      </c>
      <c r="D94" s="18" t="s">
        <v>606</v>
      </c>
      <c r="E94" s="12">
        <v>0.02</v>
      </c>
      <c r="F94" s="16" t="s">
        <v>555</v>
      </c>
      <c r="G94" s="43"/>
      <c r="H94" s="43"/>
      <c r="K94" s="19"/>
      <c r="L94" s="19"/>
      <c r="M94" s="19"/>
      <c r="N94" s="19"/>
      <c r="O94" s="48"/>
      <c r="P94" s="45"/>
      <c r="Q94" s="45"/>
      <c r="R94" s="19"/>
      <c r="S94" s="19"/>
      <c r="T94" s="19"/>
      <c r="U94" s="19"/>
    </row>
    <row r="95" spans="2:24" ht="19.5" thickBot="1" x14ac:dyDescent="0.3">
      <c r="B95" s="9" t="s">
        <v>517</v>
      </c>
      <c r="F95" s="20"/>
      <c r="G95" s="43"/>
      <c r="H95" s="43"/>
      <c r="L95" s="77" t="s">
        <v>648</v>
      </c>
      <c r="M95" s="20"/>
      <c r="N95" s="264" t="s">
        <v>636</v>
      </c>
      <c r="O95" s="402">
        <v>0.49</v>
      </c>
      <c r="P95" s="250" t="s">
        <v>902</v>
      </c>
      <c r="Q95" s="250"/>
      <c r="R95" s="9"/>
      <c r="S95" s="9"/>
    </row>
    <row r="96" spans="2:24" ht="16.5" thickBot="1" x14ac:dyDescent="0.3">
      <c r="E96" s="39" t="s">
        <v>1</v>
      </c>
      <c r="F96" s="20"/>
      <c r="G96" s="43"/>
      <c r="H96" s="43"/>
      <c r="M96" s="20"/>
      <c r="N96" s="43"/>
      <c r="Q96" s="9"/>
      <c r="R96" s="9"/>
      <c r="S96" s="9"/>
    </row>
    <row r="97" spans="2:19" ht="16.5" thickBot="1" x14ac:dyDescent="0.3">
      <c r="D97" s="39" t="s">
        <v>3</v>
      </c>
      <c r="E97" s="222" t="s">
        <v>51</v>
      </c>
      <c r="F97" s="39" t="s">
        <v>3</v>
      </c>
      <c r="G97" s="43"/>
      <c r="H97" s="43"/>
      <c r="M97" s="20"/>
      <c r="N97" s="43"/>
      <c r="Q97" s="9"/>
      <c r="R97" s="9"/>
      <c r="S97" s="16"/>
    </row>
    <row r="98" spans="2:19" ht="16.5" thickBot="1" x14ac:dyDescent="0.3">
      <c r="D98" s="395" t="s">
        <v>27</v>
      </c>
      <c r="E98" s="224" t="s">
        <v>28</v>
      </c>
      <c r="F98" s="80" t="s">
        <v>656</v>
      </c>
      <c r="G98" s="403" t="s">
        <v>53</v>
      </c>
      <c r="H98" s="222" t="s">
        <v>29</v>
      </c>
      <c r="I98" s="396" t="s">
        <v>30</v>
      </c>
      <c r="M98" s="20"/>
      <c r="N98" s="43"/>
      <c r="Q98" s="9"/>
      <c r="R98" s="9"/>
      <c r="S98" s="9"/>
    </row>
    <row r="99" spans="2:19" ht="15.75" x14ac:dyDescent="0.25">
      <c r="B99" s="116"/>
      <c r="C99" s="404" t="s">
        <v>20</v>
      </c>
      <c r="D99" s="182">
        <v>4.8000000000000001E-2</v>
      </c>
      <c r="E99" s="261">
        <f>G38*G39</f>
        <v>2400</v>
      </c>
      <c r="F99" s="182"/>
      <c r="G99" s="405">
        <f>E99*(1-F100)</f>
        <v>1944.0000000000002</v>
      </c>
      <c r="H99" s="179">
        <f>G$60</f>
        <v>53</v>
      </c>
      <c r="I99" s="406">
        <f>D99*G99*H99</f>
        <v>4945.536000000001</v>
      </c>
      <c r="M99" s="20"/>
      <c r="N99" s="43"/>
      <c r="Q99" s="9"/>
      <c r="R99" s="9"/>
      <c r="S99" s="16"/>
    </row>
    <row r="100" spans="2:19" ht="15.75" x14ac:dyDescent="0.25">
      <c r="B100" s="236"/>
      <c r="C100" s="76" t="s">
        <v>50</v>
      </c>
      <c r="D100" s="423">
        <v>0.49</v>
      </c>
      <c r="E100" s="177"/>
      <c r="F100" s="425">
        <v>0.19</v>
      </c>
      <c r="G100" s="407">
        <f>E99*F100</f>
        <v>456</v>
      </c>
      <c r="H100" s="187">
        <f t="shared" ref="H100:H108" si="1">G$60</f>
        <v>53</v>
      </c>
      <c r="I100" s="408">
        <f t="shared" ref="I100:I108" si="2">D100*G100*H100</f>
        <v>11842.32</v>
      </c>
      <c r="M100" s="20"/>
      <c r="N100" s="43"/>
      <c r="Q100" s="9"/>
      <c r="R100" s="9"/>
      <c r="S100" s="16"/>
    </row>
    <row r="101" spans="2:19" ht="15.75" x14ac:dyDescent="0.25">
      <c r="B101" s="236"/>
      <c r="C101" s="76" t="s">
        <v>222</v>
      </c>
      <c r="D101" s="186">
        <v>7.9000000000000001E-2</v>
      </c>
      <c r="E101" s="261">
        <f>G38*G40</f>
        <v>720</v>
      </c>
      <c r="F101" s="186"/>
      <c r="G101" s="407">
        <f>E101*(1-F102)</f>
        <v>648</v>
      </c>
      <c r="H101" s="187">
        <f t="shared" si="1"/>
        <v>53</v>
      </c>
      <c r="I101" s="408">
        <f t="shared" si="2"/>
        <v>2713.1759999999999</v>
      </c>
      <c r="M101" s="20"/>
      <c r="N101" s="43"/>
      <c r="Q101" s="9"/>
      <c r="R101" s="9"/>
      <c r="S101" s="9"/>
    </row>
    <row r="102" spans="2:19" ht="15.75" x14ac:dyDescent="0.25">
      <c r="B102" s="236"/>
      <c r="C102" s="76" t="s">
        <v>221</v>
      </c>
      <c r="D102" s="423">
        <v>0.49</v>
      </c>
      <c r="E102" s="177"/>
      <c r="F102" s="425">
        <v>0.1</v>
      </c>
      <c r="G102" s="407">
        <f>E101*F102</f>
        <v>72</v>
      </c>
      <c r="H102" s="187">
        <f t="shared" si="1"/>
        <v>53</v>
      </c>
      <c r="I102" s="408">
        <f t="shared" si="2"/>
        <v>1869.8400000000001</v>
      </c>
      <c r="M102" s="20"/>
      <c r="N102" s="43"/>
      <c r="Q102" s="9"/>
      <c r="R102" s="9"/>
      <c r="S102" s="9"/>
    </row>
    <row r="103" spans="2:19" ht="15.75" x14ac:dyDescent="0.25">
      <c r="B103" s="236"/>
      <c r="C103" s="76" t="s">
        <v>223</v>
      </c>
      <c r="D103" s="186">
        <v>7.9000000000000001E-2</v>
      </c>
      <c r="E103" s="261">
        <f>G39*G40</f>
        <v>480</v>
      </c>
      <c r="F103" s="186"/>
      <c r="G103" s="407">
        <f>E103*(1-F104)</f>
        <v>336</v>
      </c>
      <c r="H103" s="187">
        <f t="shared" si="1"/>
        <v>53</v>
      </c>
      <c r="I103" s="408">
        <f t="shared" si="2"/>
        <v>1406.8320000000001</v>
      </c>
      <c r="M103" s="20"/>
      <c r="N103" s="43"/>
      <c r="Q103" s="9"/>
      <c r="R103" s="9"/>
      <c r="S103" s="9"/>
    </row>
    <row r="104" spans="2:19" ht="15.75" x14ac:dyDescent="0.25">
      <c r="B104" s="236"/>
      <c r="C104" s="76" t="s">
        <v>224</v>
      </c>
      <c r="D104" s="423">
        <v>0.49</v>
      </c>
      <c r="E104" s="177"/>
      <c r="F104" s="425">
        <v>0.3</v>
      </c>
      <c r="G104" s="407">
        <f>E103*F104</f>
        <v>144</v>
      </c>
      <c r="H104" s="187">
        <f t="shared" si="1"/>
        <v>53</v>
      </c>
      <c r="I104" s="408">
        <f t="shared" si="2"/>
        <v>3739.6800000000003</v>
      </c>
      <c r="M104" s="20"/>
      <c r="N104" s="43"/>
    </row>
    <row r="105" spans="2:19" ht="15.75" x14ac:dyDescent="0.25">
      <c r="B105" s="236"/>
      <c r="C105" s="76" t="s">
        <v>225</v>
      </c>
      <c r="D105" s="186">
        <v>7.9000000000000001E-2</v>
      </c>
      <c r="E105" s="261">
        <f>G38*G40</f>
        <v>720</v>
      </c>
      <c r="F105" s="186"/>
      <c r="G105" s="407">
        <f>E105*(1-F106)</f>
        <v>576</v>
      </c>
      <c r="H105" s="187">
        <f t="shared" si="1"/>
        <v>53</v>
      </c>
      <c r="I105" s="408">
        <f t="shared" si="2"/>
        <v>2411.712</v>
      </c>
      <c r="M105" s="20"/>
      <c r="N105" s="43"/>
    </row>
    <row r="106" spans="2:19" ht="15.75" x14ac:dyDescent="0.25">
      <c r="B106" s="236"/>
      <c r="C106" s="76" t="s">
        <v>226</v>
      </c>
      <c r="D106" s="423">
        <v>0.49</v>
      </c>
      <c r="E106" s="177"/>
      <c r="F106" s="425">
        <v>0.2</v>
      </c>
      <c r="G106" s="407">
        <f>E105*F106</f>
        <v>144</v>
      </c>
      <c r="H106" s="187">
        <f t="shared" si="1"/>
        <v>53</v>
      </c>
      <c r="I106" s="408">
        <f t="shared" si="2"/>
        <v>3739.6800000000003</v>
      </c>
      <c r="M106" s="20"/>
      <c r="N106" s="43"/>
    </row>
    <row r="107" spans="2:19" ht="16.5" thickBot="1" x14ac:dyDescent="0.3">
      <c r="B107" s="236"/>
      <c r="C107" s="76" t="s">
        <v>82</v>
      </c>
      <c r="D107" s="186">
        <v>7.9000000000000001E-2</v>
      </c>
      <c r="E107" s="261">
        <f>G39*G40</f>
        <v>480</v>
      </c>
      <c r="F107" s="186"/>
      <c r="G107" s="407">
        <f>E107*(1-F108)</f>
        <v>360</v>
      </c>
      <c r="H107" s="187">
        <f t="shared" si="1"/>
        <v>53</v>
      </c>
      <c r="I107" s="408">
        <f t="shared" si="2"/>
        <v>1507.3200000000002</v>
      </c>
      <c r="L107" s="9" t="s">
        <v>657</v>
      </c>
      <c r="M107" s="43"/>
      <c r="N107" s="20"/>
      <c r="O107" s="43"/>
      <c r="P107" s="20"/>
      <c r="Q107" s="43"/>
    </row>
    <row r="108" spans="2:19" ht="16.5" thickBot="1" x14ac:dyDescent="0.3">
      <c r="B108" s="249"/>
      <c r="C108" s="398" t="s">
        <v>227</v>
      </c>
      <c r="D108" s="424">
        <v>0.49</v>
      </c>
      <c r="E108" s="265" t="s">
        <v>52</v>
      </c>
      <c r="F108" s="426">
        <v>0.25</v>
      </c>
      <c r="G108" s="411">
        <f>E107*F108</f>
        <v>120</v>
      </c>
      <c r="H108" s="193">
        <f t="shared" si="1"/>
        <v>53</v>
      </c>
      <c r="I108" s="412">
        <f t="shared" si="2"/>
        <v>3116.3999999999996</v>
      </c>
      <c r="M108" s="15" t="s">
        <v>637</v>
      </c>
      <c r="N108" s="409" t="s">
        <v>638</v>
      </c>
      <c r="O108" s="410"/>
      <c r="P108" s="390"/>
    </row>
    <row r="109" spans="2:19" ht="16.5" thickBot="1" x14ac:dyDescent="0.3">
      <c r="C109" s="20"/>
      <c r="D109" s="69"/>
      <c r="E109" s="69"/>
      <c r="F109" s="20"/>
      <c r="G109" s="178"/>
      <c r="H109" s="12" t="s">
        <v>518</v>
      </c>
      <c r="I109" s="413">
        <f>SUM(I99:I108)</f>
        <v>37292.495999999999</v>
      </c>
      <c r="N109" s="20"/>
      <c r="O109" s="39" t="s">
        <v>3</v>
      </c>
      <c r="Q109" s="43"/>
    </row>
    <row r="110" spans="2:19" ht="15.75" x14ac:dyDescent="0.25">
      <c r="F110" s="20"/>
      <c r="G110" s="43"/>
      <c r="H110" s="43"/>
      <c r="I110" s="18" t="s">
        <v>30</v>
      </c>
      <c r="N110" s="18" t="s">
        <v>639</v>
      </c>
      <c r="O110" s="52">
        <v>60</v>
      </c>
      <c r="P110" s="9" t="s">
        <v>26</v>
      </c>
      <c r="Q110" s="43"/>
    </row>
    <row r="111" spans="2:19" ht="15.75" x14ac:dyDescent="0.25">
      <c r="F111" s="20"/>
      <c r="G111" s="174" t="s">
        <v>1</v>
      </c>
      <c r="H111" s="43"/>
      <c r="N111" s="18" t="s">
        <v>48</v>
      </c>
      <c r="O111" s="54">
        <v>12</v>
      </c>
      <c r="P111" s="9" t="s">
        <v>26</v>
      </c>
      <c r="Q111" s="43"/>
    </row>
    <row r="112" spans="2:19" ht="15.75" x14ac:dyDescent="0.25">
      <c r="F112" s="18" t="s">
        <v>31</v>
      </c>
      <c r="G112" s="42" t="s">
        <v>618</v>
      </c>
      <c r="N112" s="18" t="s">
        <v>640</v>
      </c>
      <c r="O112" s="54">
        <v>8</v>
      </c>
      <c r="P112" s="9" t="s">
        <v>26</v>
      </c>
      <c r="Q112" s="43"/>
    </row>
    <row r="113" spans="6:17" ht="15.75" x14ac:dyDescent="0.25">
      <c r="F113" s="18" t="s">
        <v>2</v>
      </c>
      <c r="G113" s="42">
        <f>I109+G79+H179</f>
        <v>132008.86374399997</v>
      </c>
      <c r="H113" s="16" t="s">
        <v>30</v>
      </c>
      <c r="N113" s="18" t="s">
        <v>641</v>
      </c>
      <c r="O113" s="54">
        <v>6</v>
      </c>
      <c r="P113" s="9" t="s">
        <v>26</v>
      </c>
      <c r="Q113" s="43"/>
    </row>
    <row r="114" spans="6:17" ht="15.75" x14ac:dyDescent="0.25">
      <c r="F114" s="18" t="s">
        <v>635</v>
      </c>
      <c r="G114" s="43"/>
      <c r="H114" s="43"/>
      <c r="N114" s="18" t="s">
        <v>649</v>
      </c>
      <c r="O114" s="54">
        <v>2</v>
      </c>
      <c r="P114" s="9" t="s">
        <v>49</v>
      </c>
      <c r="Q114" s="43"/>
    </row>
    <row r="115" spans="6:17" ht="15.75" x14ac:dyDescent="0.25">
      <c r="F115" s="20"/>
      <c r="G115" s="43"/>
      <c r="H115" s="43"/>
      <c r="N115" s="18" t="s">
        <v>642</v>
      </c>
      <c r="O115" s="54">
        <v>8</v>
      </c>
      <c r="P115" s="9" t="s">
        <v>26</v>
      </c>
      <c r="Q115" s="43"/>
    </row>
    <row r="116" spans="6:17" ht="15.75" x14ac:dyDescent="0.25">
      <c r="F116" s="20"/>
      <c r="G116" s="43"/>
      <c r="H116" s="43"/>
      <c r="N116" s="18" t="s">
        <v>643</v>
      </c>
      <c r="O116" s="54">
        <v>2.5</v>
      </c>
      <c r="P116" s="9" t="s">
        <v>26</v>
      </c>
      <c r="Q116" s="43"/>
    </row>
    <row r="117" spans="6:17" ht="15.75" x14ac:dyDescent="0.25">
      <c r="F117" s="20"/>
      <c r="G117" s="43"/>
      <c r="H117" s="43"/>
      <c r="N117" s="18" t="s">
        <v>651</v>
      </c>
      <c r="O117" s="54">
        <v>2</v>
      </c>
      <c r="P117" s="9" t="s">
        <v>49</v>
      </c>
      <c r="Q117" s="43"/>
    </row>
    <row r="118" spans="6:17" ht="15.75" x14ac:dyDescent="0.25">
      <c r="F118" s="20"/>
      <c r="G118" s="43"/>
      <c r="H118" s="43"/>
      <c r="N118" s="18" t="s">
        <v>644</v>
      </c>
      <c r="O118" s="54">
        <v>0</v>
      </c>
      <c r="P118" s="9" t="s">
        <v>26</v>
      </c>
      <c r="Q118" s="43"/>
    </row>
    <row r="119" spans="6:17" ht="15.75" x14ac:dyDescent="0.25">
      <c r="F119" s="20"/>
      <c r="G119" s="43"/>
      <c r="H119" s="43"/>
      <c r="N119" s="18" t="s">
        <v>645</v>
      </c>
      <c r="O119" s="54">
        <v>0</v>
      </c>
      <c r="P119" s="9" t="s">
        <v>26</v>
      </c>
      <c r="Q119" s="43"/>
    </row>
    <row r="120" spans="6:17" ht="16.5" thickBot="1" x14ac:dyDescent="0.3">
      <c r="F120" s="20"/>
      <c r="G120" s="43"/>
      <c r="H120" s="43"/>
      <c r="N120" s="18" t="s">
        <v>650</v>
      </c>
      <c r="O120" s="93">
        <v>0</v>
      </c>
      <c r="P120" s="9" t="s">
        <v>49</v>
      </c>
      <c r="Q120" s="43"/>
    </row>
    <row r="121" spans="6:17" ht="15.75" x14ac:dyDescent="0.25">
      <c r="F121" s="20"/>
      <c r="G121" s="43"/>
      <c r="H121" s="43"/>
      <c r="N121" s="18"/>
      <c r="O121" s="39" t="s">
        <v>1</v>
      </c>
      <c r="P121" s="9"/>
      <c r="Q121" s="43"/>
    </row>
    <row r="122" spans="6:17" ht="15.75" x14ac:dyDescent="0.25">
      <c r="F122" s="20"/>
      <c r="G122" s="43"/>
      <c r="H122" s="43"/>
      <c r="N122" s="18" t="s">
        <v>653</v>
      </c>
      <c r="O122" s="16" t="s">
        <v>646</v>
      </c>
      <c r="P122" s="9"/>
      <c r="Q122" s="43"/>
    </row>
    <row r="123" spans="6:17" ht="15.75" x14ac:dyDescent="0.25">
      <c r="F123" s="20"/>
      <c r="G123" s="43"/>
      <c r="H123" s="43"/>
      <c r="N123" s="18" t="s">
        <v>2</v>
      </c>
      <c r="O123" s="16">
        <f>O110*O111</f>
        <v>720</v>
      </c>
      <c r="P123" s="9"/>
      <c r="Q123" s="43"/>
    </row>
    <row r="124" spans="6:17" ht="15.75" x14ac:dyDescent="0.25">
      <c r="F124" s="20"/>
      <c r="G124" s="43"/>
      <c r="H124" s="43"/>
      <c r="N124" s="18" t="s">
        <v>654</v>
      </c>
      <c r="O124" s="16" t="s">
        <v>647</v>
      </c>
      <c r="P124" s="9"/>
      <c r="Q124" s="43"/>
    </row>
    <row r="125" spans="6:17" ht="18.75" x14ac:dyDescent="0.25">
      <c r="F125" s="20"/>
      <c r="G125" s="43"/>
      <c r="H125" s="43"/>
      <c r="N125" s="18" t="s">
        <v>2</v>
      </c>
      <c r="O125" s="16">
        <f>(O112*O113*O114) + (O115*O116*O117) + (O118*O119*O120)</f>
        <v>136</v>
      </c>
      <c r="P125" s="9" t="s">
        <v>903</v>
      </c>
      <c r="Q125" s="43"/>
    </row>
    <row r="126" spans="6:17" ht="15.75" x14ac:dyDescent="0.25">
      <c r="F126" s="20"/>
      <c r="G126" s="43"/>
      <c r="H126" s="43"/>
      <c r="N126" s="18" t="s">
        <v>652</v>
      </c>
      <c r="O126" s="16" t="s">
        <v>646</v>
      </c>
      <c r="P126" s="9"/>
      <c r="Q126" s="43"/>
    </row>
    <row r="127" spans="6:17" ht="18.75" x14ac:dyDescent="0.25">
      <c r="F127" s="20"/>
      <c r="G127" s="43"/>
      <c r="H127" s="43"/>
      <c r="N127" s="18" t="s">
        <v>2</v>
      </c>
      <c r="O127" s="16">
        <f>O110*O111</f>
        <v>720</v>
      </c>
      <c r="P127" s="9" t="s">
        <v>903</v>
      </c>
      <c r="Q127" s="43"/>
    </row>
    <row r="128" spans="6:17" ht="15.75" x14ac:dyDescent="0.25">
      <c r="F128" s="20"/>
      <c r="G128" s="43"/>
      <c r="H128" s="43"/>
      <c r="N128" s="18" t="s">
        <v>658</v>
      </c>
      <c r="O128" s="16" t="s">
        <v>655</v>
      </c>
      <c r="P128" s="9"/>
      <c r="Q128" s="43"/>
    </row>
    <row r="129" spans="2:18" ht="15.75" x14ac:dyDescent="0.25">
      <c r="F129" s="20"/>
      <c r="G129" s="43"/>
      <c r="H129" s="43"/>
      <c r="N129" s="18" t="s">
        <v>2</v>
      </c>
      <c r="O129" s="217">
        <f>O125/O123</f>
        <v>0.18888888888888888</v>
      </c>
      <c r="P129" s="9"/>
      <c r="Q129" s="43"/>
    </row>
    <row r="130" spans="2:18" x14ac:dyDescent="0.2">
      <c r="F130" s="20"/>
      <c r="G130" s="43"/>
      <c r="H130" s="43"/>
      <c r="K130" s="43"/>
      <c r="L130" s="20"/>
      <c r="M130" s="43"/>
      <c r="O130" s="43"/>
    </row>
    <row r="131" spans="2:18" x14ac:dyDescent="0.2">
      <c r="F131" s="20"/>
      <c r="G131" s="43"/>
      <c r="H131" s="43"/>
      <c r="L131" s="43"/>
      <c r="M131" s="20"/>
      <c r="N131" s="43"/>
      <c r="O131" s="20"/>
      <c r="P131" s="43"/>
    </row>
    <row r="141" spans="2:18" ht="18" x14ac:dyDescent="0.25">
      <c r="B141" s="1" t="s">
        <v>100</v>
      </c>
    </row>
    <row r="142" spans="2:18" ht="18.75" thickBot="1" x14ac:dyDescent="0.3">
      <c r="C142" s="9"/>
      <c r="F142" s="20"/>
      <c r="G142" s="39" t="s">
        <v>3</v>
      </c>
      <c r="H142" s="43"/>
      <c r="L142" s="420" t="s">
        <v>521</v>
      </c>
    </row>
    <row r="143" spans="2:18" ht="18.75" thickBot="1" x14ac:dyDescent="0.3">
      <c r="B143" s="1" t="s">
        <v>14</v>
      </c>
      <c r="C143" s="433" t="s">
        <v>55</v>
      </c>
      <c r="D143" s="23"/>
      <c r="E143" s="24"/>
      <c r="F143" s="20"/>
      <c r="G143" s="16" t="s">
        <v>15</v>
      </c>
      <c r="H143" s="43"/>
      <c r="L143" s="414" t="s">
        <v>520</v>
      </c>
    </row>
    <row r="144" spans="2:18" ht="15.75" x14ac:dyDescent="0.25">
      <c r="F144" s="18" t="s">
        <v>16</v>
      </c>
      <c r="G144" s="427">
        <v>0.61</v>
      </c>
      <c r="H144" s="16"/>
      <c r="L144" s="378"/>
      <c r="M144" s="177"/>
      <c r="N144" s="177"/>
      <c r="O144" s="177"/>
      <c r="P144" s="177"/>
      <c r="Q144" s="177"/>
      <c r="R144" s="177"/>
    </row>
    <row r="145" spans="2:18" ht="15.75" x14ac:dyDescent="0.25">
      <c r="F145" s="18" t="s">
        <v>670</v>
      </c>
      <c r="G145" s="428">
        <v>4.4999999999999998E-2</v>
      </c>
      <c r="H145" s="16"/>
      <c r="L145" s="379" t="s">
        <v>522</v>
      </c>
      <c r="M145" s="177"/>
      <c r="N145" s="76"/>
      <c r="O145" s="12"/>
      <c r="P145" s="228"/>
      <c r="Q145" s="77"/>
      <c r="R145" s="177"/>
    </row>
    <row r="146" spans="2:18" ht="15.75" x14ac:dyDescent="0.25">
      <c r="F146" s="18" t="s">
        <v>17</v>
      </c>
      <c r="G146" s="91">
        <v>11</v>
      </c>
      <c r="H146" s="16"/>
      <c r="K146" s="177"/>
      <c r="L146" s="177"/>
      <c r="M146" s="177"/>
      <c r="N146" s="76"/>
      <c r="O146" s="12"/>
      <c r="P146" s="228"/>
      <c r="Q146" s="77"/>
      <c r="R146" s="77"/>
    </row>
    <row r="147" spans="2:18" ht="15.75" x14ac:dyDescent="0.25">
      <c r="F147" s="18" t="s">
        <v>18</v>
      </c>
      <c r="G147" s="428">
        <v>1.04</v>
      </c>
      <c r="H147" s="16"/>
      <c r="K147" s="384"/>
      <c r="L147" s="177"/>
      <c r="M147" s="177"/>
      <c r="N147" s="76"/>
      <c r="O147" s="12"/>
      <c r="P147" s="228"/>
      <c r="Q147" s="77"/>
      <c r="R147" s="77"/>
    </row>
    <row r="148" spans="2:18" ht="15.75" x14ac:dyDescent="0.25">
      <c r="F148" s="44" t="s">
        <v>99</v>
      </c>
      <c r="G148" s="330" t="s">
        <v>49</v>
      </c>
      <c r="H148" s="16"/>
      <c r="K148" s="384"/>
      <c r="L148" s="177"/>
      <c r="M148" s="177"/>
      <c r="N148" s="76"/>
      <c r="O148" s="12"/>
      <c r="P148" s="228"/>
      <c r="Q148" s="77"/>
      <c r="R148" s="12"/>
    </row>
    <row r="149" spans="2:18" ht="15.75" x14ac:dyDescent="0.25">
      <c r="F149" s="44" t="s">
        <v>99</v>
      </c>
      <c r="G149" s="54" t="s">
        <v>49</v>
      </c>
      <c r="H149" s="16"/>
      <c r="K149" s="384"/>
      <c r="L149" s="177"/>
      <c r="M149" s="177"/>
      <c r="N149" s="76"/>
      <c r="O149" s="12"/>
      <c r="P149" s="228"/>
      <c r="Q149" s="77"/>
      <c r="R149" s="77"/>
    </row>
    <row r="150" spans="2:18" ht="15.75" x14ac:dyDescent="0.25">
      <c r="F150" s="44" t="s">
        <v>99</v>
      </c>
      <c r="G150" s="54" t="s">
        <v>49</v>
      </c>
      <c r="H150" s="16"/>
      <c r="K150" s="384"/>
      <c r="L150" s="177"/>
      <c r="M150" s="177"/>
      <c r="N150" s="76"/>
      <c r="O150" s="12"/>
      <c r="P150" s="228"/>
      <c r="Q150" s="77"/>
      <c r="R150" s="77"/>
    </row>
    <row r="151" spans="2:18" ht="16.5" thickBot="1" x14ac:dyDescent="0.3">
      <c r="E151" s="177"/>
      <c r="F151" s="76" t="s">
        <v>19</v>
      </c>
      <c r="G151" s="429">
        <v>1.7000000000000001E-2</v>
      </c>
      <c r="H151" s="43"/>
      <c r="K151" s="384"/>
      <c r="L151" s="177"/>
      <c r="M151" s="177"/>
      <c r="N151" s="175"/>
      <c r="O151" s="178"/>
      <c r="P151" s="177"/>
      <c r="Q151" s="177"/>
      <c r="R151" s="77"/>
    </row>
    <row r="152" spans="2:18" ht="18.75" x14ac:dyDescent="0.25">
      <c r="F152" s="18" t="s">
        <v>101</v>
      </c>
      <c r="G152" s="95">
        <f>SUM(G144:G151)</f>
        <v>12.712</v>
      </c>
      <c r="H152" s="16" t="s">
        <v>904</v>
      </c>
      <c r="K152" s="384"/>
      <c r="L152" s="177"/>
      <c r="M152" s="12"/>
      <c r="N152" s="175"/>
      <c r="O152" s="12"/>
      <c r="P152" s="228"/>
      <c r="Q152" s="77"/>
      <c r="R152" s="77"/>
    </row>
    <row r="153" spans="2:18" ht="18.75" x14ac:dyDescent="0.25">
      <c r="F153" s="18" t="s">
        <v>102</v>
      </c>
      <c r="G153" s="74">
        <f>1/G152</f>
        <v>7.8665827564505977E-2</v>
      </c>
      <c r="H153" s="16" t="s">
        <v>905</v>
      </c>
      <c r="K153" s="384"/>
      <c r="L153" s="177"/>
      <c r="M153" s="177"/>
      <c r="N153" s="76"/>
      <c r="O153" s="415"/>
      <c r="P153" s="77"/>
      <c r="Q153" s="77"/>
      <c r="R153" s="77"/>
    </row>
    <row r="154" spans="2:18" ht="15.75" x14ac:dyDescent="0.25">
      <c r="K154" s="384"/>
      <c r="L154" s="177"/>
      <c r="M154" s="177"/>
      <c r="N154" s="76"/>
      <c r="O154" s="12"/>
      <c r="P154" s="77"/>
      <c r="Q154" s="77"/>
      <c r="R154" s="77"/>
    </row>
    <row r="155" spans="2:18" ht="16.5" thickBot="1" x14ac:dyDescent="0.3">
      <c r="F155" s="20"/>
      <c r="G155" s="39" t="s">
        <v>3</v>
      </c>
      <c r="H155" s="43"/>
      <c r="K155" s="384"/>
      <c r="L155" s="177"/>
      <c r="M155" s="177"/>
      <c r="N155" s="76"/>
      <c r="O155" s="12"/>
      <c r="P155" s="77"/>
      <c r="Q155" s="77"/>
      <c r="R155" s="77"/>
    </row>
    <row r="156" spans="2:18" ht="18.75" thickBot="1" x14ac:dyDescent="0.3">
      <c r="B156" s="1" t="s">
        <v>20</v>
      </c>
      <c r="C156" s="433" t="s">
        <v>671</v>
      </c>
      <c r="D156" s="440"/>
      <c r="E156" s="441"/>
      <c r="F156" s="20"/>
      <c r="G156" s="16" t="s">
        <v>15</v>
      </c>
      <c r="H156" s="43"/>
      <c r="K156" s="384"/>
      <c r="L156" s="177"/>
      <c r="M156" s="177"/>
      <c r="N156" s="76"/>
      <c r="O156" s="12"/>
      <c r="P156" s="77"/>
      <c r="Q156" s="77"/>
      <c r="R156" s="77"/>
    </row>
    <row r="157" spans="2:18" ht="15.75" x14ac:dyDescent="0.25">
      <c r="F157" s="18" t="s">
        <v>16</v>
      </c>
      <c r="G157" s="427">
        <v>0.61</v>
      </c>
      <c r="H157" s="16"/>
      <c r="K157" s="384"/>
      <c r="L157" s="177"/>
      <c r="M157" s="177"/>
      <c r="N157" s="76"/>
      <c r="O157" s="12"/>
      <c r="P157" s="77"/>
      <c r="Q157" s="77"/>
      <c r="R157" s="77"/>
    </row>
    <row r="158" spans="2:18" ht="15.75" x14ac:dyDescent="0.25">
      <c r="F158" s="18" t="s">
        <v>21</v>
      </c>
      <c r="G158" s="428">
        <v>1E-3</v>
      </c>
      <c r="H158" s="16"/>
      <c r="K158" s="384"/>
      <c r="L158" s="177"/>
      <c r="M158" s="177"/>
      <c r="N158" s="76"/>
      <c r="O158" s="415"/>
      <c r="P158" s="12"/>
      <c r="Q158" s="12"/>
      <c r="R158" s="12"/>
    </row>
    <row r="159" spans="2:18" ht="15.75" x14ac:dyDescent="0.25">
      <c r="F159" s="18" t="s">
        <v>664</v>
      </c>
      <c r="G159" s="91">
        <v>20</v>
      </c>
      <c r="H159" s="16"/>
      <c r="K159" s="384"/>
      <c r="L159" s="177"/>
      <c r="M159" s="177"/>
      <c r="N159" s="76"/>
      <c r="O159" s="12"/>
      <c r="P159" s="77"/>
      <c r="Q159" s="77"/>
      <c r="R159" s="77"/>
    </row>
    <row r="160" spans="2:18" ht="15.75" x14ac:dyDescent="0.25">
      <c r="E160" s="177"/>
      <c r="F160" s="76" t="s">
        <v>19</v>
      </c>
      <c r="G160" s="428">
        <v>1.7000000000000001E-2</v>
      </c>
      <c r="H160" s="16"/>
      <c r="K160" s="384"/>
      <c r="L160" s="177"/>
      <c r="M160" s="177"/>
      <c r="N160" s="76"/>
      <c r="O160" s="12"/>
      <c r="P160" s="12"/>
      <c r="Q160" s="12"/>
      <c r="R160" s="12"/>
    </row>
    <row r="161" spans="2:18" ht="15.75" x14ac:dyDescent="0.25">
      <c r="F161" s="44" t="s">
        <v>99</v>
      </c>
      <c r="G161" s="54" t="s">
        <v>49</v>
      </c>
      <c r="H161" s="16"/>
      <c r="K161" s="384"/>
      <c r="L161" s="177"/>
      <c r="M161" s="177"/>
      <c r="N161" s="76"/>
      <c r="O161" s="12"/>
      <c r="P161" s="12"/>
      <c r="Q161" s="12"/>
      <c r="R161" s="12"/>
    </row>
    <row r="162" spans="2:18" ht="15.75" x14ac:dyDescent="0.25">
      <c r="F162" s="44" t="s">
        <v>99</v>
      </c>
      <c r="G162" s="54" t="s">
        <v>49</v>
      </c>
      <c r="H162" s="16"/>
      <c r="K162" s="384"/>
      <c r="L162" s="177"/>
      <c r="M162" s="177"/>
      <c r="N162" s="76"/>
      <c r="O162" s="12"/>
      <c r="P162" s="77"/>
      <c r="Q162" s="77"/>
      <c r="R162" s="77"/>
    </row>
    <row r="163" spans="2:18" ht="16.5" thickBot="1" x14ac:dyDescent="0.3">
      <c r="F163" s="44" t="s">
        <v>99</v>
      </c>
      <c r="G163" s="93" t="s">
        <v>49</v>
      </c>
      <c r="H163" s="16"/>
      <c r="K163" s="384"/>
      <c r="L163" s="177"/>
      <c r="M163" s="177"/>
      <c r="N163" s="76"/>
      <c r="O163" s="12"/>
      <c r="P163" s="228"/>
      <c r="Q163" s="77"/>
      <c r="R163" s="77"/>
    </row>
    <row r="164" spans="2:18" ht="18.75" x14ac:dyDescent="0.25">
      <c r="F164" s="18" t="s">
        <v>103</v>
      </c>
      <c r="G164" s="95">
        <f>SUM(G157:G163)</f>
        <v>20.628</v>
      </c>
      <c r="H164" s="16" t="s">
        <v>904</v>
      </c>
      <c r="K164" s="384"/>
      <c r="L164" s="177"/>
      <c r="M164" s="177"/>
      <c r="N164" s="177"/>
      <c r="O164" s="177"/>
      <c r="P164" s="177"/>
      <c r="Q164" s="177"/>
      <c r="R164" s="177"/>
    </row>
    <row r="165" spans="2:18" ht="18.75" x14ac:dyDescent="0.25">
      <c r="F165" s="18" t="s">
        <v>104</v>
      </c>
      <c r="G165" s="74">
        <f>1/G164</f>
        <v>4.8477797168896643E-2</v>
      </c>
      <c r="H165" s="16" t="s">
        <v>905</v>
      </c>
      <c r="K165" s="384"/>
    </row>
    <row r="166" spans="2:18" x14ac:dyDescent="0.2">
      <c r="F166" s="20"/>
      <c r="G166" s="43"/>
      <c r="H166" s="43"/>
      <c r="L166" s="43"/>
      <c r="M166" s="20"/>
      <c r="N166" s="43"/>
      <c r="O166" s="20"/>
      <c r="P166" s="43"/>
    </row>
    <row r="167" spans="2:18" ht="15.75" x14ac:dyDescent="0.25">
      <c r="D167" s="9" t="s">
        <v>564</v>
      </c>
      <c r="G167" s="20"/>
      <c r="H167" s="43"/>
      <c r="I167" s="43"/>
      <c r="L167" s="43"/>
      <c r="M167" s="20"/>
      <c r="O167" s="20"/>
      <c r="P167" s="43"/>
    </row>
    <row r="168" spans="2:18" x14ac:dyDescent="0.2">
      <c r="D168" s="127" t="s">
        <v>563</v>
      </c>
      <c r="G168" s="20"/>
      <c r="H168" s="43"/>
      <c r="I168" s="43"/>
      <c r="L168" s="43"/>
      <c r="M168" s="20"/>
      <c r="N168" s="43"/>
      <c r="O168" s="20"/>
      <c r="P168" s="43"/>
    </row>
    <row r="169" spans="2:18" x14ac:dyDescent="0.2">
      <c r="G169" s="20"/>
      <c r="H169" s="43"/>
      <c r="I169" s="43"/>
      <c r="N169" s="43"/>
      <c r="O169" s="20"/>
      <c r="P169" s="43"/>
    </row>
    <row r="170" spans="2:18" ht="18" x14ac:dyDescent="0.25">
      <c r="B170" s="1" t="s">
        <v>706</v>
      </c>
      <c r="D170" s="177"/>
      <c r="N170" s="43"/>
      <c r="O170" s="20"/>
      <c r="P170" s="43"/>
    </row>
    <row r="171" spans="2:18" ht="16.5" thickBot="1" x14ac:dyDescent="0.3">
      <c r="C171" s="177"/>
      <c r="D171" s="177"/>
      <c r="G171" s="43"/>
      <c r="H171" s="39" t="s">
        <v>3</v>
      </c>
      <c r="N171" s="43"/>
      <c r="O171" s="20"/>
      <c r="P171" s="43"/>
    </row>
    <row r="172" spans="2:18" ht="15.75" x14ac:dyDescent="0.25">
      <c r="F172" s="9"/>
      <c r="G172" s="18" t="s">
        <v>672</v>
      </c>
      <c r="H172" s="430">
        <v>0.73</v>
      </c>
      <c r="I172" s="16" t="s">
        <v>705</v>
      </c>
      <c r="N172" s="43"/>
      <c r="O172" s="20"/>
      <c r="P172" s="43"/>
    </row>
    <row r="173" spans="2:18" ht="15.75" x14ac:dyDescent="0.25">
      <c r="F173" s="9"/>
      <c r="G173" s="18" t="s">
        <v>619</v>
      </c>
      <c r="H173" s="54">
        <v>70</v>
      </c>
      <c r="I173" s="9" t="s">
        <v>12</v>
      </c>
      <c r="N173" s="43"/>
      <c r="O173" s="20"/>
      <c r="P173" s="43"/>
    </row>
    <row r="174" spans="2:18" ht="16.5" thickBot="1" x14ac:dyDescent="0.3">
      <c r="F174" s="9"/>
      <c r="G174" s="18" t="s">
        <v>620</v>
      </c>
      <c r="H174" s="93">
        <v>50</v>
      </c>
      <c r="I174" s="9" t="s">
        <v>12</v>
      </c>
      <c r="N174" s="43"/>
      <c r="O174" s="20"/>
      <c r="P174" s="43"/>
    </row>
    <row r="175" spans="2:18" ht="15.75" x14ac:dyDescent="0.25">
      <c r="F175" s="9"/>
      <c r="G175" s="18"/>
      <c r="H175" s="39" t="s">
        <v>1</v>
      </c>
      <c r="N175" s="43"/>
      <c r="O175" s="20"/>
      <c r="P175" s="43"/>
    </row>
    <row r="176" spans="2:18" ht="15.75" x14ac:dyDescent="0.25">
      <c r="F176" s="20"/>
      <c r="G176" s="18" t="s">
        <v>523</v>
      </c>
      <c r="H176" s="9" t="s">
        <v>551</v>
      </c>
      <c r="N176" s="43"/>
      <c r="O176" s="20"/>
      <c r="P176" s="43"/>
    </row>
    <row r="177" spans="3:16" ht="15.75" x14ac:dyDescent="0.25">
      <c r="F177" s="20"/>
      <c r="G177" s="18" t="s">
        <v>2</v>
      </c>
      <c r="H177" s="16">
        <f>2*(G38+ G39)</f>
        <v>200</v>
      </c>
      <c r="I177" s="9" t="s">
        <v>26</v>
      </c>
      <c r="N177" s="43"/>
      <c r="O177" s="20"/>
      <c r="P177" s="43"/>
    </row>
    <row r="178" spans="3:16" ht="15.75" x14ac:dyDescent="0.25">
      <c r="F178" s="20"/>
      <c r="G178" s="18" t="s">
        <v>707</v>
      </c>
      <c r="H178" s="16" t="s">
        <v>621</v>
      </c>
      <c r="N178" s="43"/>
      <c r="O178" s="20"/>
      <c r="P178" s="43"/>
    </row>
    <row r="179" spans="3:16" ht="15.75" x14ac:dyDescent="0.25">
      <c r="C179" s="43"/>
      <c r="G179" s="20" t="s">
        <v>2</v>
      </c>
      <c r="H179" s="417">
        <f>H177*H172*(H173 - H174)</f>
        <v>2920</v>
      </c>
      <c r="I179" s="16" t="s">
        <v>30</v>
      </c>
      <c r="N179" s="43"/>
      <c r="O179" s="20"/>
      <c r="P179" s="43"/>
    </row>
    <row r="180" spans="3:16" x14ac:dyDescent="0.2">
      <c r="G180" s="20"/>
      <c r="H180" s="43"/>
      <c r="I180" s="43"/>
      <c r="L180" s="43"/>
      <c r="M180" s="20"/>
      <c r="N180" s="43"/>
      <c r="O180" s="20"/>
      <c r="P180" s="43"/>
    </row>
    <row r="181" spans="3:16" x14ac:dyDescent="0.2">
      <c r="F181" s="20"/>
      <c r="G181" s="43"/>
      <c r="H181" s="43"/>
      <c r="L181" s="43"/>
      <c r="M181" s="20"/>
      <c r="N181" s="43"/>
      <c r="O181" s="20"/>
      <c r="P181" s="43"/>
    </row>
    <row r="182" spans="3:16" x14ac:dyDescent="0.2">
      <c r="F182" s="20"/>
      <c r="G182" s="43"/>
      <c r="H182" s="43"/>
      <c r="L182" s="43"/>
      <c r="M182" s="20"/>
      <c r="N182" s="43"/>
      <c r="O182" s="20"/>
      <c r="P182" s="43"/>
    </row>
    <row r="183" spans="3:16" x14ac:dyDescent="0.2">
      <c r="F183" s="20"/>
      <c r="G183" s="43"/>
      <c r="H183" s="43"/>
      <c r="L183" s="43"/>
      <c r="M183" s="20"/>
      <c r="N183" s="43"/>
      <c r="O183" s="20"/>
      <c r="P183" s="43"/>
    </row>
    <row r="184" spans="3:16" x14ac:dyDescent="0.2">
      <c r="F184" s="20"/>
      <c r="G184" s="43"/>
      <c r="H184" s="43"/>
      <c r="L184" s="43"/>
      <c r="M184" s="20"/>
      <c r="N184" s="43"/>
      <c r="O184" s="20"/>
      <c r="P184" s="43"/>
    </row>
    <row r="185" spans="3:16" ht="15.75" x14ac:dyDescent="0.25">
      <c r="F185" s="20"/>
      <c r="G185" s="43"/>
      <c r="H185" s="43"/>
      <c r="L185" s="30" t="s">
        <v>263</v>
      </c>
      <c r="N185" s="20"/>
      <c r="O185" s="20"/>
      <c r="P185" s="20"/>
    </row>
    <row r="186" spans="3:16" ht="15.75" x14ac:dyDescent="0.25">
      <c r="F186" s="20"/>
      <c r="G186" s="43"/>
      <c r="H186" s="43"/>
      <c r="N186" s="18" t="s">
        <v>264</v>
      </c>
      <c r="O186" s="16" t="s">
        <v>265</v>
      </c>
      <c r="P186" s="18"/>
    </row>
    <row r="187" spans="3:16" ht="15.75" x14ac:dyDescent="0.25">
      <c r="F187" s="20"/>
      <c r="G187" s="43"/>
      <c r="H187" s="43"/>
      <c r="N187" s="18" t="s">
        <v>490</v>
      </c>
      <c r="O187" s="17" t="s">
        <v>484</v>
      </c>
      <c r="P187" s="20"/>
    </row>
    <row r="188" spans="3:16" ht="15.75" x14ac:dyDescent="0.25">
      <c r="F188" s="20"/>
      <c r="G188" s="43"/>
      <c r="H188" s="43"/>
      <c r="N188" s="18" t="s">
        <v>47</v>
      </c>
      <c r="O188" s="17" t="s">
        <v>487</v>
      </c>
      <c r="P188" s="20"/>
    </row>
    <row r="189" spans="3:16" ht="15.75" x14ac:dyDescent="0.25">
      <c r="F189" s="20"/>
      <c r="G189" s="43"/>
      <c r="H189" s="43"/>
      <c r="N189" s="18" t="s">
        <v>486</v>
      </c>
      <c r="O189" s="17" t="s">
        <v>485</v>
      </c>
      <c r="P189" s="20"/>
    </row>
    <row r="190" spans="3:16" ht="15.75" x14ac:dyDescent="0.25">
      <c r="F190" s="20"/>
      <c r="G190" s="43"/>
      <c r="H190" s="43"/>
      <c r="N190" s="18" t="s">
        <v>489</v>
      </c>
      <c r="O190" s="173" t="s">
        <v>488</v>
      </c>
      <c r="P190" s="20"/>
    </row>
    <row r="191" spans="3:16" ht="15.75" x14ac:dyDescent="0.25">
      <c r="F191" s="20"/>
      <c r="G191" s="43"/>
      <c r="H191" s="43"/>
      <c r="L191" s="30" t="s">
        <v>274</v>
      </c>
      <c r="O191" s="20"/>
      <c r="P191" s="20"/>
    </row>
    <row r="192" spans="3:16" ht="18.75" x14ac:dyDescent="0.35">
      <c r="F192" s="20"/>
      <c r="G192" s="43"/>
      <c r="H192" s="43"/>
      <c r="N192" s="18" t="s">
        <v>491</v>
      </c>
      <c r="O192" s="30" t="s">
        <v>906</v>
      </c>
      <c r="P192" s="20"/>
    </row>
    <row r="193" spans="2:20" x14ac:dyDescent="0.2">
      <c r="F193" s="20"/>
      <c r="G193" s="43"/>
      <c r="H193" s="43"/>
      <c r="K193" s="19"/>
      <c r="L193" s="19"/>
      <c r="M193" s="48"/>
      <c r="N193" s="45"/>
      <c r="O193" s="48"/>
      <c r="P193" s="45"/>
      <c r="Q193" s="19"/>
      <c r="R193" s="19"/>
      <c r="S193" s="19"/>
      <c r="T193" s="19"/>
    </row>
    <row r="194" spans="2:20" x14ac:dyDescent="0.2">
      <c r="F194" s="20"/>
      <c r="G194" s="43"/>
      <c r="H194" s="43"/>
      <c r="K194" s="19"/>
      <c r="L194" s="19"/>
      <c r="M194" s="48"/>
      <c r="N194" s="45"/>
      <c r="O194" s="48"/>
      <c r="P194" s="45"/>
      <c r="Q194" s="19"/>
      <c r="R194" s="19"/>
      <c r="S194" s="19"/>
      <c r="T194" s="19"/>
    </row>
    <row r="195" spans="2:20" x14ac:dyDescent="0.2">
      <c r="F195" s="20"/>
      <c r="G195" s="43"/>
      <c r="H195" s="43"/>
      <c r="K195" s="19"/>
      <c r="L195" s="19"/>
      <c r="M195" s="48"/>
      <c r="N195" s="45"/>
      <c r="O195" s="48"/>
      <c r="P195" s="45"/>
      <c r="Q195" s="19"/>
      <c r="R195" s="19"/>
      <c r="S195" s="19"/>
      <c r="T195" s="19"/>
    </row>
    <row r="196" spans="2:20" x14ac:dyDescent="0.2">
      <c r="F196" s="20"/>
      <c r="G196" s="43"/>
      <c r="H196" s="43"/>
      <c r="K196" s="19"/>
      <c r="L196" s="19"/>
      <c r="M196" s="48"/>
      <c r="N196" s="45"/>
      <c r="O196" s="48"/>
      <c r="P196" s="45"/>
      <c r="Q196" s="19"/>
      <c r="R196" s="19"/>
      <c r="S196" s="19"/>
      <c r="T196" s="19"/>
    </row>
    <row r="197" spans="2:20" x14ac:dyDescent="0.2">
      <c r="F197" s="20"/>
      <c r="G197" s="43"/>
      <c r="H197" s="43"/>
      <c r="K197" s="19"/>
      <c r="L197" s="19"/>
      <c r="M197" s="48"/>
      <c r="N197" s="45"/>
      <c r="O197" s="48"/>
      <c r="P197" s="45"/>
      <c r="Q197" s="19"/>
      <c r="R197" s="19"/>
      <c r="S197" s="19"/>
      <c r="T197" s="19"/>
    </row>
    <row r="198" spans="2:20" x14ac:dyDescent="0.2">
      <c r="F198" s="20"/>
      <c r="G198" s="43"/>
      <c r="H198" s="43"/>
      <c r="K198" s="19"/>
      <c r="L198" s="19"/>
      <c r="M198" s="48"/>
      <c r="N198" s="45"/>
      <c r="O198" s="48"/>
      <c r="P198" s="45"/>
      <c r="Q198" s="19"/>
      <c r="R198" s="19"/>
      <c r="S198" s="19"/>
      <c r="T198" s="19"/>
    </row>
    <row r="199" spans="2:20" x14ac:dyDescent="0.2">
      <c r="F199" s="20"/>
      <c r="G199" s="43"/>
      <c r="H199" s="43"/>
      <c r="K199" s="19"/>
      <c r="L199" s="19"/>
      <c r="M199" s="48"/>
      <c r="N199" s="45"/>
      <c r="O199" s="48"/>
      <c r="P199" s="45"/>
      <c r="Q199" s="19"/>
      <c r="R199" s="19"/>
      <c r="S199" s="19"/>
      <c r="T199" s="19"/>
    </row>
    <row r="200" spans="2:20" x14ac:dyDescent="0.2">
      <c r="F200" s="20"/>
      <c r="G200" s="43"/>
      <c r="H200" s="43"/>
      <c r="K200" s="19"/>
      <c r="L200" s="19"/>
      <c r="M200" s="48"/>
      <c r="N200" s="45"/>
      <c r="O200" s="48"/>
      <c r="P200" s="45"/>
      <c r="Q200" s="19"/>
      <c r="R200" s="19"/>
      <c r="S200" s="19"/>
      <c r="T200" s="19"/>
    </row>
    <row r="201" spans="2:20" x14ac:dyDescent="0.2">
      <c r="F201" s="20"/>
      <c r="G201" s="43"/>
      <c r="H201" s="43"/>
      <c r="K201" s="19"/>
      <c r="L201" s="19"/>
      <c r="M201" s="48"/>
      <c r="N201" s="45"/>
      <c r="O201" s="48"/>
      <c r="P201" s="45"/>
      <c r="Q201" s="19"/>
      <c r="R201" s="19"/>
      <c r="S201" s="19"/>
      <c r="T201" s="19"/>
    </row>
    <row r="202" spans="2:20" x14ac:dyDescent="0.2">
      <c r="F202" s="20"/>
      <c r="G202" s="43"/>
      <c r="H202" s="43"/>
      <c r="K202" s="19"/>
      <c r="L202" s="45"/>
      <c r="M202" s="48"/>
      <c r="N202" s="45"/>
      <c r="O202" s="48"/>
      <c r="P202" s="45"/>
      <c r="Q202" s="19"/>
      <c r="R202" s="19"/>
      <c r="S202" s="19"/>
      <c r="T202" s="19"/>
    </row>
    <row r="203" spans="2:20" x14ac:dyDescent="0.2">
      <c r="F203" s="20"/>
      <c r="G203" s="43"/>
      <c r="H203" s="43"/>
      <c r="K203" s="19"/>
      <c r="L203" s="45"/>
      <c r="M203" s="48"/>
      <c r="N203" s="45"/>
      <c r="O203" s="48"/>
      <c r="P203" s="45"/>
      <c r="Q203" s="19"/>
      <c r="R203" s="19"/>
      <c r="S203" s="19"/>
      <c r="T203" s="19"/>
    </row>
    <row r="204" spans="2:20" x14ac:dyDescent="0.2">
      <c r="F204" s="20"/>
      <c r="G204" s="43"/>
      <c r="H204" s="43"/>
      <c r="K204" s="19"/>
      <c r="L204" s="45"/>
      <c r="M204" s="48"/>
      <c r="N204" s="45"/>
      <c r="O204" s="48"/>
      <c r="P204" s="45"/>
      <c r="Q204" s="19"/>
      <c r="R204" s="19"/>
      <c r="S204" s="19"/>
      <c r="T204" s="19"/>
    </row>
    <row r="205" spans="2:20" ht="18" x14ac:dyDescent="0.25">
      <c r="B205" s="1" t="s">
        <v>550</v>
      </c>
      <c r="F205" s="20"/>
      <c r="G205" s="43"/>
      <c r="H205" s="43"/>
      <c r="K205" s="19"/>
      <c r="L205" s="45"/>
      <c r="M205" s="48"/>
      <c r="N205" s="45"/>
      <c r="O205" s="48"/>
      <c r="P205" s="45"/>
      <c r="Q205" s="19"/>
      <c r="R205" s="19"/>
      <c r="S205" s="19"/>
      <c r="T205" s="19"/>
    </row>
    <row r="206" spans="2:20" x14ac:dyDescent="0.2">
      <c r="B206" s="127" t="s">
        <v>549</v>
      </c>
      <c r="F206" s="20"/>
      <c r="G206" s="43"/>
      <c r="H206" s="43"/>
      <c r="K206" s="19"/>
      <c r="L206" s="45"/>
      <c r="M206" s="48"/>
      <c r="N206" s="45"/>
      <c r="O206" s="48"/>
      <c r="P206" s="45"/>
      <c r="Q206" s="19"/>
      <c r="R206" s="19"/>
      <c r="S206" s="19"/>
      <c r="T206" s="19"/>
    </row>
    <row r="207" spans="2:20" x14ac:dyDescent="0.2">
      <c r="F207" s="20"/>
      <c r="G207" s="43"/>
      <c r="H207" s="43"/>
      <c r="K207" s="19"/>
      <c r="L207" s="45"/>
      <c r="M207" s="48"/>
      <c r="N207" s="45"/>
      <c r="O207" s="48"/>
      <c r="P207" s="45"/>
      <c r="Q207" s="19"/>
      <c r="R207" s="19"/>
      <c r="S207" s="19"/>
      <c r="T207" s="19"/>
    </row>
    <row r="208" spans="2:20" x14ac:dyDescent="0.2">
      <c r="F208" s="20"/>
      <c r="G208" s="43"/>
      <c r="H208" s="43"/>
      <c r="K208" s="19"/>
      <c r="L208" s="45"/>
      <c r="M208" s="48"/>
      <c r="N208" s="45"/>
      <c r="O208" s="48"/>
      <c r="P208" s="45"/>
      <c r="Q208" s="19"/>
      <c r="R208" s="19"/>
      <c r="S208" s="19"/>
      <c r="T208" s="19"/>
    </row>
    <row r="209" spans="4:20" x14ac:dyDescent="0.2">
      <c r="F209" s="20"/>
      <c r="G209" s="43"/>
      <c r="H209" s="43"/>
      <c r="K209" s="19"/>
      <c r="L209" s="19"/>
      <c r="M209" s="48"/>
      <c r="N209" s="45"/>
      <c r="O209" s="48"/>
      <c r="P209" s="45"/>
      <c r="Q209" s="19"/>
      <c r="R209" s="19"/>
      <c r="S209" s="19"/>
      <c r="T209" s="19"/>
    </row>
    <row r="210" spans="4:20" x14ac:dyDescent="0.2">
      <c r="F210" s="20"/>
      <c r="G210" s="43"/>
      <c r="H210" s="43"/>
      <c r="K210" s="19"/>
      <c r="L210" s="19"/>
      <c r="M210" s="48"/>
      <c r="N210" s="45"/>
      <c r="O210" s="48"/>
      <c r="P210" s="45"/>
      <c r="Q210" s="19"/>
      <c r="R210" s="19"/>
      <c r="S210" s="19"/>
      <c r="T210" s="19"/>
    </row>
    <row r="211" spans="4:20" x14ac:dyDescent="0.2">
      <c r="F211" s="20"/>
      <c r="G211" s="43"/>
      <c r="H211" s="43"/>
      <c r="K211" s="19"/>
      <c r="L211" s="19"/>
      <c r="M211" s="48"/>
      <c r="N211" s="45"/>
      <c r="O211" s="48"/>
      <c r="P211" s="45"/>
      <c r="Q211" s="19"/>
      <c r="R211" s="19"/>
      <c r="S211" s="19"/>
      <c r="T211" s="19"/>
    </row>
    <row r="212" spans="4:20" x14ac:dyDescent="0.2">
      <c r="F212" s="20"/>
      <c r="G212" s="43"/>
      <c r="H212" s="43"/>
      <c r="K212" s="19"/>
      <c r="L212" s="19"/>
      <c r="M212" s="48"/>
      <c r="N212" s="45"/>
      <c r="O212" s="48"/>
      <c r="P212" s="45"/>
      <c r="Q212" s="19"/>
      <c r="R212" s="19"/>
      <c r="S212" s="19"/>
      <c r="T212" s="19"/>
    </row>
    <row r="213" spans="4:20" x14ac:dyDescent="0.2">
      <c r="F213" s="20"/>
      <c r="G213" s="43"/>
      <c r="H213" s="43"/>
      <c r="K213" s="19"/>
      <c r="L213" s="19"/>
      <c r="M213" s="48"/>
      <c r="N213" s="45"/>
      <c r="O213" s="48"/>
      <c r="P213" s="45"/>
      <c r="Q213" s="19"/>
      <c r="R213" s="19"/>
      <c r="S213" s="19"/>
      <c r="T213" s="19"/>
    </row>
    <row r="214" spans="4:20" x14ac:dyDescent="0.2">
      <c r="F214" s="20"/>
      <c r="G214" s="43"/>
      <c r="H214" s="43"/>
      <c r="K214" s="19"/>
      <c r="L214" s="19"/>
      <c r="M214" s="48"/>
      <c r="N214" s="45"/>
      <c r="O214" s="48"/>
      <c r="P214" s="45"/>
      <c r="Q214" s="19"/>
      <c r="R214" s="19"/>
      <c r="S214" s="19"/>
      <c r="T214" s="19"/>
    </row>
    <row r="215" spans="4:20" x14ac:dyDescent="0.2">
      <c r="F215" s="20"/>
      <c r="G215" s="43"/>
      <c r="H215" s="43"/>
      <c r="K215" s="19"/>
      <c r="L215" s="19"/>
      <c r="M215" s="48"/>
      <c r="N215" s="45"/>
      <c r="O215" s="48"/>
      <c r="P215" s="45"/>
      <c r="Q215" s="19"/>
      <c r="R215" s="19"/>
      <c r="S215" s="19"/>
      <c r="T215" s="19"/>
    </row>
    <row r="216" spans="4:20" x14ac:dyDescent="0.2">
      <c r="F216" s="20"/>
      <c r="G216" s="43"/>
      <c r="H216" s="43"/>
      <c r="K216" s="19"/>
      <c r="L216" s="19"/>
      <c r="M216" s="48"/>
      <c r="N216" s="45"/>
      <c r="O216" s="48"/>
      <c r="P216" s="45"/>
      <c r="Q216" s="19"/>
      <c r="R216" s="19"/>
      <c r="S216" s="19"/>
      <c r="T216" s="19"/>
    </row>
    <row r="217" spans="4:20" x14ac:dyDescent="0.2">
      <c r="F217" s="20"/>
      <c r="G217" s="43"/>
      <c r="H217" s="43"/>
      <c r="K217" s="19"/>
      <c r="L217" s="19"/>
      <c r="M217" s="48"/>
      <c r="N217" s="45"/>
      <c r="O217" s="48"/>
      <c r="P217" s="45"/>
      <c r="Q217" s="19"/>
      <c r="R217" s="19"/>
      <c r="S217" s="19"/>
      <c r="T217" s="19"/>
    </row>
    <row r="218" spans="4:20" x14ac:dyDescent="0.2">
      <c r="F218" s="20"/>
      <c r="G218" s="43"/>
      <c r="H218" s="43"/>
      <c r="K218" s="19"/>
      <c r="L218" s="19"/>
      <c r="M218" s="48"/>
      <c r="N218" s="45"/>
      <c r="O218" s="48"/>
      <c r="P218" s="45"/>
      <c r="Q218" s="19"/>
      <c r="R218" s="19"/>
      <c r="S218" s="19"/>
      <c r="T218" s="19"/>
    </row>
    <row r="219" spans="4:20" x14ac:dyDescent="0.2">
      <c r="F219" s="20"/>
      <c r="G219" s="43"/>
      <c r="H219" s="43"/>
      <c r="K219" s="19"/>
      <c r="L219" s="19"/>
      <c r="M219" s="48"/>
      <c r="N219" s="45"/>
      <c r="O219" s="48"/>
      <c r="P219" s="45"/>
      <c r="Q219" s="19"/>
      <c r="R219" s="19"/>
      <c r="S219" s="19"/>
      <c r="T219" s="19"/>
    </row>
    <row r="220" spans="4:20" x14ac:dyDescent="0.2">
      <c r="D220" s="43"/>
      <c r="E220" s="20"/>
      <c r="F220" s="43"/>
      <c r="G220" s="20"/>
      <c r="H220" s="43"/>
      <c r="K220" s="19"/>
      <c r="L220" s="19"/>
      <c r="M220" s="48"/>
      <c r="N220" s="45"/>
      <c r="O220" s="48"/>
      <c r="P220" s="45"/>
      <c r="Q220" s="19"/>
      <c r="R220" s="19"/>
      <c r="S220" s="19"/>
      <c r="T220" s="19"/>
    </row>
    <row r="221" spans="4:20" x14ac:dyDescent="0.2">
      <c r="K221" s="19"/>
      <c r="L221" s="19"/>
      <c r="M221" s="19"/>
      <c r="N221" s="19"/>
      <c r="O221" s="19"/>
      <c r="P221" s="19"/>
      <c r="Q221" s="19"/>
      <c r="R221" s="19"/>
      <c r="S221" s="19"/>
      <c r="T221" s="19"/>
    </row>
    <row r="222" spans="4:20" x14ac:dyDescent="0.2">
      <c r="K222" s="19"/>
      <c r="L222" s="19"/>
      <c r="M222" s="19"/>
      <c r="N222" s="19"/>
      <c r="O222" s="19"/>
      <c r="P222" s="19"/>
      <c r="Q222" s="19"/>
      <c r="R222" s="19"/>
      <c r="S222" s="19"/>
      <c r="T222" s="19"/>
    </row>
    <row r="223" spans="4:20" x14ac:dyDescent="0.2">
      <c r="K223" s="19"/>
      <c r="L223" s="19"/>
      <c r="M223" s="19"/>
      <c r="N223" s="19"/>
      <c r="O223" s="19"/>
      <c r="P223" s="19"/>
      <c r="Q223" s="19"/>
      <c r="R223" s="19"/>
      <c r="S223" s="19"/>
      <c r="T223" s="19"/>
    </row>
    <row r="224" spans="4:20" x14ac:dyDescent="0.2">
      <c r="K224" s="19"/>
      <c r="L224" s="19"/>
      <c r="M224" s="19"/>
      <c r="N224" s="19"/>
      <c r="O224" s="19"/>
      <c r="P224" s="19"/>
      <c r="Q224" s="19"/>
      <c r="R224" s="19"/>
      <c r="S224" s="19"/>
      <c r="T224" s="19"/>
    </row>
    <row r="225" spans="2:20" x14ac:dyDescent="0.2">
      <c r="K225" s="19"/>
      <c r="L225" s="19"/>
      <c r="M225" s="19"/>
      <c r="N225" s="19"/>
      <c r="O225" s="19"/>
      <c r="P225" s="19"/>
      <c r="Q225" s="19"/>
      <c r="R225" s="19"/>
      <c r="S225" s="19"/>
      <c r="T225" s="19"/>
    </row>
    <row r="226" spans="2:20" x14ac:dyDescent="0.2">
      <c r="K226" s="19"/>
      <c r="L226" s="19"/>
      <c r="M226" s="19"/>
      <c r="N226" s="19"/>
      <c r="O226" s="19"/>
      <c r="P226" s="19"/>
      <c r="Q226" s="19"/>
      <c r="R226" s="19"/>
      <c r="S226" s="19"/>
      <c r="T226" s="19"/>
    </row>
    <row r="227" spans="2:20" x14ac:dyDescent="0.2">
      <c r="K227" s="19"/>
      <c r="L227" s="19"/>
      <c r="M227" s="19"/>
      <c r="N227" s="19"/>
      <c r="O227" s="19"/>
      <c r="P227" s="19"/>
      <c r="Q227" s="19"/>
      <c r="R227" s="19"/>
      <c r="S227" s="19"/>
      <c r="T227" s="19"/>
    </row>
    <row r="228" spans="2:20" x14ac:dyDescent="0.2">
      <c r="K228" s="19"/>
      <c r="L228" s="19"/>
      <c r="M228" s="19"/>
      <c r="N228" s="19"/>
      <c r="O228" s="19"/>
      <c r="P228" s="19"/>
      <c r="Q228" s="19"/>
      <c r="R228" s="19"/>
      <c r="S228" s="19"/>
      <c r="T228" s="19"/>
    </row>
    <row r="229" spans="2:20" x14ac:dyDescent="0.2">
      <c r="K229" s="19"/>
      <c r="L229" s="19"/>
      <c r="M229" s="19"/>
      <c r="N229" s="19"/>
      <c r="O229" s="19"/>
      <c r="P229" s="19"/>
      <c r="Q229" s="19"/>
      <c r="R229" s="19"/>
      <c r="S229" s="19"/>
      <c r="T229" s="19"/>
    </row>
    <row r="230" spans="2:20" x14ac:dyDescent="0.2">
      <c r="K230" s="19"/>
      <c r="L230" s="19"/>
      <c r="M230" s="19"/>
      <c r="N230" s="19"/>
      <c r="O230" s="19"/>
      <c r="P230" s="19"/>
      <c r="Q230" s="19"/>
      <c r="R230" s="19"/>
      <c r="S230" s="19"/>
      <c r="T230" s="19"/>
    </row>
    <row r="231" spans="2:20" x14ac:dyDescent="0.2">
      <c r="K231" s="19"/>
      <c r="L231" s="19"/>
      <c r="M231" s="19"/>
      <c r="N231" s="19"/>
      <c r="O231" s="19"/>
      <c r="P231" s="19"/>
      <c r="Q231" s="19"/>
      <c r="R231" s="19"/>
      <c r="S231" s="19"/>
      <c r="T231" s="19"/>
    </row>
    <row r="232" spans="2:20" ht="15.75" x14ac:dyDescent="0.25">
      <c r="B232" s="9"/>
      <c r="K232" s="19"/>
      <c r="L232" s="19"/>
      <c r="M232" s="19"/>
      <c r="N232" s="19"/>
      <c r="O232" s="19"/>
      <c r="P232" s="19"/>
      <c r="Q232" s="19"/>
      <c r="R232" s="19"/>
      <c r="S232" s="19"/>
      <c r="T232" s="19"/>
    </row>
    <row r="233" spans="2:20" x14ac:dyDescent="0.2">
      <c r="E233" s="17" t="s">
        <v>821</v>
      </c>
      <c r="K233" s="19"/>
      <c r="L233" s="19"/>
      <c r="M233" s="19"/>
      <c r="N233" s="19"/>
      <c r="O233" s="19"/>
      <c r="P233" s="19"/>
      <c r="Q233" s="19"/>
      <c r="R233" s="19"/>
      <c r="S233" s="19"/>
      <c r="T233" s="19"/>
    </row>
    <row r="234" spans="2:20" x14ac:dyDescent="0.2">
      <c r="K234" s="19"/>
      <c r="L234" s="19"/>
      <c r="M234" s="19"/>
      <c r="N234" s="19"/>
      <c r="O234" s="19"/>
      <c r="P234" s="19"/>
      <c r="Q234" s="19"/>
      <c r="R234" s="19"/>
      <c r="S234" s="19"/>
      <c r="T234" s="19"/>
    </row>
    <row r="235" spans="2:20" x14ac:dyDescent="0.2">
      <c r="K235" s="19"/>
      <c r="L235" s="19"/>
      <c r="M235" s="19"/>
      <c r="N235" s="19"/>
      <c r="O235" s="19"/>
      <c r="P235" s="19"/>
      <c r="Q235" s="19"/>
      <c r="R235" s="19"/>
      <c r="S235" s="19"/>
      <c r="T235" s="19"/>
    </row>
    <row r="236" spans="2:20" x14ac:dyDescent="0.2">
      <c r="K236" s="19"/>
      <c r="L236" s="19"/>
      <c r="M236" s="19"/>
      <c r="N236" s="19"/>
      <c r="O236" s="19"/>
      <c r="P236" s="19"/>
      <c r="Q236" s="19"/>
      <c r="R236" s="19"/>
      <c r="S236" s="19"/>
      <c r="T236" s="19"/>
    </row>
    <row r="237" spans="2:20" x14ac:dyDescent="0.2">
      <c r="K237" s="19"/>
      <c r="L237" s="19"/>
      <c r="M237" s="19"/>
      <c r="N237" s="19"/>
      <c r="O237" s="19"/>
      <c r="P237" s="19"/>
      <c r="Q237" s="19"/>
      <c r="R237" s="19"/>
      <c r="S237" s="19"/>
      <c r="T237" s="19"/>
    </row>
    <row r="238" spans="2:20" x14ac:dyDescent="0.2">
      <c r="K238" s="19"/>
      <c r="L238" s="19"/>
      <c r="M238" s="19"/>
      <c r="N238" s="19"/>
      <c r="O238" s="19"/>
      <c r="P238" s="19"/>
      <c r="Q238" s="19"/>
      <c r="R238" s="19"/>
      <c r="S238" s="19"/>
      <c r="T238" s="19"/>
    </row>
    <row r="239" spans="2:20" x14ac:dyDescent="0.2">
      <c r="K239" s="19"/>
      <c r="L239" s="19"/>
      <c r="M239" s="19"/>
      <c r="N239" s="19"/>
      <c r="O239" s="19"/>
      <c r="P239" s="19"/>
      <c r="Q239" s="19"/>
      <c r="R239" s="19"/>
      <c r="S239" s="19"/>
      <c r="T239" s="19"/>
    </row>
    <row r="240" spans="2:20" x14ac:dyDescent="0.2">
      <c r="K240" s="19"/>
      <c r="L240" s="19"/>
      <c r="M240" s="19"/>
      <c r="N240" s="19"/>
      <c r="O240" s="19"/>
      <c r="P240" s="19"/>
      <c r="Q240" s="19"/>
      <c r="R240" s="19"/>
      <c r="S240" s="19"/>
      <c r="T240" s="19"/>
    </row>
  </sheetData>
  <sheetProtection sheet="1" objects="1" scenarios="1" selectLockedCells="1"/>
  <hyperlinks>
    <hyperlink ref="L75" r:id="rId1" xr:uid="{00000000-0004-0000-0400-000000000000}"/>
    <hyperlink ref="L143" r:id="rId2" xr:uid="{00000000-0004-0000-0400-000001000000}"/>
    <hyperlink ref="B82" r:id="rId3" xr:uid="{00000000-0004-0000-0400-000002000000}"/>
    <hyperlink ref="D168" r:id="rId4" xr:uid="{00000000-0004-0000-0400-000003000000}"/>
    <hyperlink ref="L25" r:id="rId5" xr:uid="{00000000-0004-0000-0400-000004000000}"/>
    <hyperlink ref="L49" r:id="rId6" xr:uid="{00000000-0004-0000-0400-000005000000}"/>
    <hyperlink ref="B206" r:id="rId7" xr:uid="{00000000-0004-0000-0400-000006000000}"/>
  </hyperlinks>
  <pageMargins left="0.7" right="0.7" top="0.75" bottom="0.75" header="0.3" footer="0.3"/>
  <pageSetup orientation="portrait" r:id="rId8"/>
  <drawing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249"/>
  <sheetViews>
    <sheetView zoomScaleNormal="100" workbookViewId="0">
      <selection activeCell="G26" sqref="G26"/>
    </sheetView>
  </sheetViews>
  <sheetFormatPr defaultRowHeight="15" x14ac:dyDescent="0.2"/>
  <cols>
    <col min="1" max="1" width="5" style="17" customWidth="1"/>
    <col min="2" max="2" width="8.140625" style="17" customWidth="1"/>
    <col min="3" max="3" width="9.140625" style="17"/>
    <col min="4" max="4" width="7.28515625" style="17" customWidth="1"/>
    <col min="5" max="5" width="15.85546875" style="20" customWidth="1"/>
    <col min="6" max="6" width="13.7109375" style="43" customWidth="1"/>
    <col min="7" max="7" width="9.28515625" style="17" customWidth="1"/>
    <col min="8" max="8" width="6.140625" style="17" customWidth="1"/>
    <col min="9" max="9" width="7.28515625" style="17" customWidth="1"/>
    <col min="10" max="10" width="13.28515625" style="17" customWidth="1"/>
    <col min="11" max="11" width="13.7109375" style="17" customWidth="1"/>
    <col min="12" max="12" width="8.140625" style="17" customWidth="1"/>
    <col min="13" max="13" width="10.7109375" style="17" customWidth="1"/>
    <col min="14" max="14" width="8.7109375" style="17" customWidth="1"/>
    <col min="15" max="15" width="11.5703125" style="17" customWidth="1"/>
    <col min="16" max="16" width="8" style="17" customWidth="1"/>
    <col min="17" max="16384" width="9.140625" style="17"/>
  </cols>
  <sheetData>
    <row r="1" spans="1:29" ht="20.25" x14ac:dyDescent="0.3">
      <c r="A1" s="9"/>
      <c r="B1" s="14" t="s">
        <v>829</v>
      </c>
      <c r="C1" s="16"/>
      <c r="D1" s="15"/>
      <c r="E1" s="18"/>
      <c r="F1" s="16"/>
      <c r="Q1" s="19"/>
      <c r="R1" s="19"/>
      <c r="S1" s="19"/>
      <c r="T1" s="19"/>
      <c r="U1" s="19"/>
      <c r="V1" s="19"/>
      <c r="W1" s="19"/>
      <c r="X1" s="19"/>
      <c r="Y1" s="19"/>
      <c r="Z1" s="19"/>
      <c r="AA1" s="19"/>
      <c r="AB1" s="19"/>
      <c r="AC1" s="19"/>
    </row>
    <row r="2" spans="1:29" ht="15.75" x14ac:dyDescent="0.25">
      <c r="A2" s="9"/>
      <c r="D2" s="69"/>
      <c r="Q2" s="19"/>
      <c r="R2" s="19"/>
      <c r="S2" s="19"/>
      <c r="T2" s="19"/>
      <c r="U2" s="19"/>
      <c r="V2" s="19"/>
      <c r="W2" s="106"/>
      <c r="X2" s="106"/>
      <c r="Y2" s="106"/>
      <c r="Z2" s="106"/>
      <c r="AA2" s="19"/>
      <c r="AB2" s="19"/>
      <c r="AC2" s="19"/>
    </row>
    <row r="3" spans="1:29" ht="15.75" x14ac:dyDescent="0.25">
      <c r="Q3" s="19"/>
      <c r="R3" s="19"/>
      <c r="S3" s="19"/>
      <c r="T3" s="19"/>
      <c r="U3" s="19"/>
      <c r="V3" s="19"/>
      <c r="W3" s="106"/>
      <c r="X3" s="383"/>
      <c r="Y3" s="443"/>
      <c r="Z3" s="106"/>
      <c r="AA3" s="19"/>
      <c r="AB3" s="19"/>
      <c r="AC3" s="19"/>
    </row>
    <row r="4" spans="1:29" ht="18" x14ac:dyDescent="0.25">
      <c r="B4" s="1" t="s">
        <v>145</v>
      </c>
      <c r="Q4" s="19"/>
      <c r="R4" s="19"/>
      <c r="S4" s="19"/>
      <c r="T4" s="19"/>
      <c r="U4" s="19"/>
      <c r="V4" s="19"/>
      <c r="W4" s="106"/>
      <c r="X4" s="78"/>
      <c r="Y4" s="444"/>
      <c r="Z4" s="79"/>
      <c r="AA4" s="19"/>
      <c r="AB4" s="19"/>
      <c r="AC4" s="19"/>
    </row>
    <row r="5" spans="1:29" ht="15.75" x14ac:dyDescent="0.25">
      <c r="G5" s="159"/>
      <c r="Q5" s="19"/>
      <c r="R5" s="19"/>
      <c r="S5" s="19"/>
      <c r="T5" s="19"/>
      <c r="U5" s="19"/>
      <c r="V5" s="19"/>
      <c r="W5" s="106"/>
      <c r="X5" s="78"/>
      <c r="Y5" s="444"/>
      <c r="Z5" s="79"/>
      <c r="AA5" s="19"/>
      <c r="AB5" s="19"/>
      <c r="AC5" s="19"/>
    </row>
    <row r="6" spans="1:29" ht="18" x14ac:dyDescent="0.25">
      <c r="B6" s="1" t="s">
        <v>105</v>
      </c>
      <c r="G6" s="160"/>
      <c r="Q6" s="19"/>
      <c r="R6" s="19"/>
      <c r="S6" s="19"/>
      <c r="T6" s="19"/>
      <c r="U6" s="19"/>
      <c r="V6" s="19"/>
      <c r="W6" s="106"/>
      <c r="X6" s="383"/>
      <c r="Y6" s="443"/>
      <c r="Z6" s="106"/>
      <c r="AA6" s="19"/>
      <c r="AB6" s="19"/>
      <c r="AC6" s="19"/>
    </row>
    <row r="7" spans="1:29" ht="15.75" x14ac:dyDescent="0.25">
      <c r="Q7" s="19"/>
      <c r="R7" s="19"/>
      <c r="S7" s="19"/>
      <c r="T7" s="19"/>
      <c r="U7" s="19"/>
      <c r="V7" s="19"/>
      <c r="W7" s="106"/>
      <c r="X7" s="78"/>
      <c r="Y7" s="46"/>
      <c r="Z7" s="79"/>
      <c r="AA7" s="19"/>
      <c r="AB7" s="19"/>
      <c r="AC7" s="19"/>
    </row>
    <row r="8" spans="1:29" ht="15.75" x14ac:dyDescent="0.25">
      <c r="Q8" s="19"/>
      <c r="R8" s="19"/>
      <c r="S8" s="19"/>
      <c r="T8" s="19"/>
      <c r="U8" s="19"/>
      <c r="V8" s="19"/>
      <c r="W8" s="106"/>
      <c r="X8" s="78"/>
      <c r="Y8" s="445"/>
      <c r="Z8" s="79"/>
      <c r="AA8" s="19"/>
      <c r="AB8" s="19"/>
      <c r="AC8" s="19"/>
    </row>
    <row r="9" spans="1:29" ht="15.75" x14ac:dyDescent="0.25">
      <c r="G9" s="16" t="s">
        <v>172</v>
      </c>
      <c r="Q9" s="19"/>
      <c r="R9" s="19"/>
      <c r="S9" s="19"/>
      <c r="T9" s="19"/>
      <c r="U9" s="19"/>
      <c r="V9" s="19"/>
      <c r="W9" s="106"/>
      <c r="X9" s="106"/>
      <c r="Y9" s="106"/>
      <c r="Z9" s="106"/>
      <c r="AA9" s="19"/>
      <c r="AB9" s="19"/>
      <c r="AC9" s="19"/>
    </row>
    <row r="10" spans="1:29" ht="15.75" x14ac:dyDescent="0.25">
      <c r="G10" s="30" t="s">
        <v>162</v>
      </c>
      <c r="Q10" s="19"/>
      <c r="R10" s="19"/>
      <c r="S10" s="19"/>
      <c r="T10" s="19"/>
      <c r="U10" s="19"/>
      <c r="V10" s="19"/>
      <c r="W10" s="19"/>
      <c r="X10" s="19"/>
      <c r="Y10" s="19"/>
      <c r="Z10" s="19"/>
      <c r="AA10" s="19"/>
      <c r="AB10" s="19"/>
      <c r="AC10" s="19"/>
    </row>
    <row r="11" spans="1:29" ht="15.75" x14ac:dyDescent="0.25">
      <c r="G11" s="30" t="s">
        <v>161</v>
      </c>
      <c r="Q11" s="19"/>
      <c r="R11" s="19"/>
      <c r="S11" s="19"/>
      <c r="T11" s="19"/>
      <c r="U11" s="19"/>
      <c r="V11" s="19"/>
      <c r="W11" s="19"/>
      <c r="X11" s="19"/>
      <c r="Y11" s="19"/>
      <c r="Z11" s="19"/>
      <c r="AA11" s="19"/>
      <c r="AB11" s="19"/>
      <c r="AC11" s="19"/>
    </row>
    <row r="12" spans="1:29" ht="15.75" x14ac:dyDescent="0.25">
      <c r="G12" s="30" t="s">
        <v>160</v>
      </c>
      <c r="Q12" s="19"/>
      <c r="R12" s="19"/>
      <c r="S12" s="19"/>
      <c r="T12" s="19"/>
      <c r="U12" s="19"/>
      <c r="V12" s="19"/>
      <c r="W12" s="19"/>
      <c r="X12" s="19"/>
      <c r="Y12" s="19"/>
      <c r="Z12" s="19"/>
      <c r="AA12" s="19"/>
      <c r="AB12" s="19"/>
      <c r="AC12" s="19"/>
    </row>
    <row r="13" spans="1:29" x14ac:dyDescent="0.2">
      <c r="Q13" s="19"/>
      <c r="R13" s="19"/>
      <c r="S13" s="19"/>
      <c r="T13" s="19"/>
      <c r="U13" s="19"/>
      <c r="V13" s="19"/>
      <c r="W13" s="19"/>
      <c r="X13" s="19"/>
      <c r="Y13" s="19"/>
      <c r="Z13" s="19"/>
      <c r="AA13" s="19"/>
      <c r="AB13" s="19"/>
      <c r="AC13" s="19"/>
    </row>
    <row r="14" spans="1:29" x14ac:dyDescent="0.2">
      <c r="Q14" s="19"/>
      <c r="R14" s="19"/>
      <c r="S14" s="19"/>
      <c r="T14" s="19"/>
      <c r="U14" s="19"/>
      <c r="V14" s="19"/>
      <c r="W14" s="19"/>
      <c r="X14" s="19"/>
      <c r="Y14" s="19"/>
      <c r="Z14" s="19"/>
      <c r="AA14" s="19"/>
      <c r="AB14" s="19"/>
      <c r="AC14" s="19"/>
    </row>
    <row r="15" spans="1:29" ht="15.75" x14ac:dyDescent="0.25">
      <c r="C15" s="9" t="s">
        <v>740</v>
      </c>
      <c r="E15" s="17"/>
      <c r="F15" s="17"/>
      <c r="Q15" s="19"/>
      <c r="R15" s="19"/>
      <c r="S15" s="19"/>
      <c r="T15" s="19"/>
      <c r="U15" s="19"/>
      <c r="V15" s="19"/>
      <c r="W15" s="19"/>
      <c r="X15" s="19"/>
      <c r="Y15" s="19"/>
      <c r="Z15" s="19"/>
      <c r="AA15" s="19"/>
      <c r="AB15" s="19"/>
      <c r="AC15" s="19"/>
    </row>
    <row r="16" spans="1:29" x14ac:dyDescent="0.2">
      <c r="E16" s="17"/>
      <c r="F16" s="17"/>
      <c r="U16" s="19"/>
      <c r="V16" s="19"/>
      <c r="W16" s="19"/>
      <c r="X16" s="19"/>
      <c r="Y16" s="19"/>
      <c r="Z16" s="19"/>
      <c r="AA16" s="19"/>
      <c r="AB16" s="19"/>
      <c r="AC16" s="19"/>
    </row>
    <row r="17" spans="3:29" ht="15.75" x14ac:dyDescent="0.25">
      <c r="C17" s="9" t="s">
        <v>926</v>
      </c>
      <c r="E17" s="17"/>
      <c r="F17" s="17"/>
      <c r="V17" s="19"/>
      <c r="W17" s="19"/>
      <c r="X17" s="19"/>
      <c r="Y17" s="19"/>
      <c r="Z17" s="19"/>
      <c r="AA17" s="19"/>
      <c r="AB17" s="19"/>
      <c r="AC17" s="19"/>
    </row>
    <row r="18" spans="3:29" ht="15.75" x14ac:dyDescent="0.25">
      <c r="C18" s="120" t="s">
        <v>927</v>
      </c>
      <c r="E18" s="17"/>
      <c r="F18" s="17"/>
      <c r="Q18" s="19"/>
      <c r="R18" s="19"/>
      <c r="S18" s="19"/>
      <c r="T18" s="19"/>
      <c r="V18" s="19"/>
      <c r="W18" s="19"/>
      <c r="X18" s="19"/>
      <c r="Y18" s="19"/>
      <c r="Z18" s="19"/>
      <c r="AA18" s="19"/>
      <c r="AB18" s="19"/>
      <c r="AC18" s="19"/>
    </row>
    <row r="19" spans="3:29" ht="15.75" x14ac:dyDescent="0.25">
      <c r="D19" s="9" t="s">
        <v>923</v>
      </c>
      <c r="E19" s="17"/>
      <c r="F19" s="17"/>
      <c r="U19" s="19"/>
      <c r="V19" s="19"/>
      <c r="W19" s="19"/>
      <c r="X19" s="19"/>
      <c r="Y19" s="19"/>
      <c r="Z19" s="19"/>
      <c r="AA19" s="19"/>
      <c r="AB19" s="19"/>
      <c r="AC19" s="19"/>
    </row>
    <row r="20" spans="3:29" ht="15.75" x14ac:dyDescent="0.25">
      <c r="D20" s="9" t="s">
        <v>924</v>
      </c>
      <c r="E20" s="17"/>
      <c r="F20" s="17"/>
      <c r="L20" s="9" t="s">
        <v>929</v>
      </c>
      <c r="U20" s="19"/>
      <c r="V20" s="19"/>
      <c r="W20" s="19"/>
      <c r="X20" s="19"/>
      <c r="Y20" s="19"/>
      <c r="Z20" s="19"/>
      <c r="AA20" s="19"/>
      <c r="AB20" s="19"/>
      <c r="AC20" s="19"/>
    </row>
    <row r="21" spans="3:29" ht="16.5" thickBot="1" x14ac:dyDescent="0.3">
      <c r="E21" s="17"/>
      <c r="F21" s="20"/>
      <c r="G21" s="39" t="s">
        <v>3</v>
      </c>
      <c r="L21" s="9" t="s">
        <v>930</v>
      </c>
      <c r="Q21" s="19"/>
      <c r="R21" s="19"/>
      <c r="S21" s="19"/>
      <c r="T21" s="19"/>
      <c r="U21" s="19"/>
      <c r="V21" s="19"/>
      <c r="W21" s="19"/>
      <c r="X21" s="19"/>
      <c r="Y21" s="19"/>
      <c r="Z21" s="19"/>
      <c r="AA21" s="19"/>
      <c r="AB21" s="19"/>
      <c r="AC21" s="19"/>
    </row>
    <row r="22" spans="3:29" ht="15.75" x14ac:dyDescent="0.25">
      <c r="E22" s="17"/>
      <c r="F22" s="18" t="s">
        <v>106</v>
      </c>
      <c r="G22" s="123">
        <v>28</v>
      </c>
      <c r="H22" s="9" t="s">
        <v>88</v>
      </c>
      <c r="L22" s="9" t="s">
        <v>932</v>
      </c>
      <c r="Q22" s="19"/>
      <c r="R22" s="19"/>
      <c r="S22" s="19"/>
      <c r="T22" s="19"/>
      <c r="U22" s="19"/>
      <c r="V22" s="19"/>
      <c r="W22" s="19"/>
      <c r="X22" s="19"/>
      <c r="Y22" s="19"/>
      <c r="Z22" s="19"/>
      <c r="AA22" s="19"/>
      <c r="AB22" s="19"/>
      <c r="AC22" s="19"/>
    </row>
    <row r="23" spans="3:29" ht="16.5" thickBot="1" x14ac:dyDescent="0.3">
      <c r="E23" s="17"/>
      <c r="F23" s="18" t="s">
        <v>673</v>
      </c>
      <c r="G23" s="124">
        <v>16</v>
      </c>
      <c r="H23" s="9" t="s">
        <v>88</v>
      </c>
      <c r="L23" s="9" t="s">
        <v>931</v>
      </c>
      <c r="Q23" s="19"/>
      <c r="R23" s="19"/>
      <c r="S23" s="19"/>
      <c r="T23" s="19"/>
      <c r="U23" s="19"/>
      <c r="V23" s="19"/>
      <c r="W23" s="19"/>
      <c r="X23" s="19"/>
      <c r="Y23" s="19"/>
      <c r="Z23" s="19"/>
      <c r="AA23" s="19"/>
      <c r="AB23" s="19"/>
      <c r="AC23" s="19"/>
    </row>
    <row r="24" spans="3:29" ht="15.75" x14ac:dyDescent="0.25">
      <c r="E24" s="17"/>
      <c r="F24" s="20"/>
      <c r="G24" s="39" t="s">
        <v>1</v>
      </c>
      <c r="Q24" s="19"/>
      <c r="R24" s="19"/>
      <c r="S24" s="19"/>
      <c r="T24" s="19"/>
      <c r="U24" s="19"/>
      <c r="V24" s="19"/>
      <c r="W24" s="19"/>
      <c r="X24" s="19"/>
      <c r="Y24" s="19"/>
      <c r="Z24" s="19"/>
      <c r="AA24" s="19"/>
      <c r="AB24" s="19"/>
      <c r="AC24" s="19"/>
    </row>
    <row r="25" spans="3:29" ht="16.5" thickBot="1" x14ac:dyDescent="0.3">
      <c r="E25" s="17"/>
      <c r="F25" s="18" t="s">
        <v>107</v>
      </c>
      <c r="G25" s="16" t="s">
        <v>108</v>
      </c>
      <c r="H25" s="9"/>
      <c r="Q25" s="19"/>
      <c r="R25" s="19"/>
      <c r="S25" s="19"/>
      <c r="T25" s="19"/>
      <c r="U25" s="19"/>
      <c r="V25" s="19"/>
      <c r="W25" s="19"/>
      <c r="X25" s="19"/>
      <c r="Y25" s="19"/>
      <c r="Z25" s="19"/>
      <c r="AA25" s="19"/>
      <c r="AB25" s="19"/>
      <c r="AC25" s="19"/>
    </row>
    <row r="26" spans="3:29" ht="16.5" thickBot="1" x14ac:dyDescent="0.3">
      <c r="E26" s="17"/>
      <c r="F26" s="18" t="s">
        <v>2</v>
      </c>
      <c r="G26" s="480">
        <f>1.3*((G22*G23)^0.625 / (G22 + G23)^0.25)</f>
        <v>22.915479118387115</v>
      </c>
      <c r="H26" s="9" t="s">
        <v>721</v>
      </c>
      <c r="Q26" s="19"/>
      <c r="R26" s="19"/>
      <c r="S26" s="19"/>
      <c r="T26" s="19"/>
      <c r="U26" s="19"/>
      <c r="V26" s="19"/>
      <c r="W26" s="19"/>
      <c r="X26" s="19"/>
      <c r="Y26" s="19"/>
      <c r="Z26" s="19"/>
      <c r="AA26" s="19"/>
      <c r="AB26" s="19"/>
      <c r="AC26" s="19"/>
    </row>
    <row r="27" spans="3:29" x14ac:dyDescent="0.2">
      <c r="E27" s="17"/>
      <c r="F27" s="17"/>
      <c r="Q27" s="19"/>
      <c r="R27" s="19"/>
      <c r="S27" s="19"/>
      <c r="T27" s="19"/>
      <c r="U27" s="19"/>
      <c r="V27" s="19"/>
      <c r="W27" s="19"/>
      <c r="X27" s="19"/>
      <c r="Y27" s="19"/>
      <c r="Z27" s="19"/>
      <c r="AA27" s="19"/>
      <c r="AB27" s="19"/>
      <c r="AC27" s="19"/>
    </row>
    <row r="28" spans="3:29" ht="15.75" x14ac:dyDescent="0.25">
      <c r="C28" s="9" t="s">
        <v>925</v>
      </c>
      <c r="E28" s="17"/>
      <c r="F28" s="17"/>
      <c r="Q28" s="19"/>
      <c r="R28" s="19"/>
      <c r="S28" s="19"/>
      <c r="T28" s="19"/>
      <c r="U28" s="19"/>
      <c r="V28" s="19"/>
      <c r="W28" s="19"/>
      <c r="X28" s="19"/>
      <c r="Y28" s="19"/>
      <c r="Z28" s="19"/>
      <c r="AA28" s="19"/>
      <c r="AB28" s="19"/>
      <c r="AC28" s="19"/>
    </row>
    <row r="29" spans="3:29" ht="15.75" x14ac:dyDescent="0.25">
      <c r="C29" s="120" t="s">
        <v>928</v>
      </c>
      <c r="E29" s="17"/>
      <c r="F29" s="17"/>
      <c r="Q29" s="19"/>
      <c r="R29" s="19"/>
      <c r="S29" s="19"/>
      <c r="T29" s="19"/>
      <c r="U29" s="19"/>
      <c r="V29" s="19"/>
      <c r="W29" s="19"/>
      <c r="X29" s="19"/>
      <c r="Y29" s="19"/>
      <c r="Z29" s="19"/>
      <c r="AA29" s="19"/>
      <c r="AB29" s="19"/>
      <c r="AC29" s="19"/>
    </row>
    <row r="30" spans="3:29" ht="16.5" thickBot="1" x14ac:dyDescent="0.3">
      <c r="E30" s="17"/>
      <c r="F30" s="20"/>
      <c r="G30" s="39" t="s">
        <v>3</v>
      </c>
      <c r="Q30" s="19"/>
      <c r="R30" s="19"/>
      <c r="S30" s="19"/>
      <c r="T30" s="19"/>
      <c r="U30" s="19"/>
      <c r="V30" s="19"/>
      <c r="W30" s="19"/>
      <c r="X30" s="19"/>
      <c r="Y30" s="19"/>
      <c r="Z30" s="19"/>
      <c r="AA30" s="19"/>
      <c r="AB30" s="19"/>
      <c r="AC30" s="19"/>
    </row>
    <row r="31" spans="3:29" ht="15.75" x14ac:dyDescent="0.25">
      <c r="E31" s="17"/>
      <c r="F31" s="18" t="s">
        <v>106</v>
      </c>
      <c r="G31" s="125">
        <v>28</v>
      </c>
      <c r="H31" s="9" t="s">
        <v>88</v>
      </c>
      <c r="Q31" s="19"/>
      <c r="R31" s="19"/>
      <c r="S31" s="19"/>
      <c r="T31" s="19"/>
      <c r="U31" s="19"/>
      <c r="V31" s="19"/>
      <c r="W31" s="19"/>
      <c r="X31" s="19"/>
      <c r="Y31" s="19"/>
      <c r="Z31" s="19"/>
      <c r="AA31" s="19"/>
      <c r="AB31" s="19"/>
      <c r="AC31" s="19"/>
    </row>
    <row r="32" spans="3:29" ht="16.5" thickBot="1" x14ac:dyDescent="0.3">
      <c r="E32" s="17"/>
      <c r="F32" s="18" t="s">
        <v>673</v>
      </c>
      <c r="G32" s="126">
        <v>17.453502983702826</v>
      </c>
      <c r="H32" s="9" t="s">
        <v>88</v>
      </c>
      <c r="Q32" s="19"/>
      <c r="R32" s="19"/>
      <c r="S32" s="19"/>
      <c r="T32" s="19"/>
      <c r="U32" s="19"/>
      <c r="V32" s="19"/>
      <c r="W32" s="19"/>
      <c r="X32" s="19"/>
      <c r="Y32" s="19"/>
      <c r="Z32" s="19"/>
      <c r="AA32" s="19"/>
      <c r="AB32" s="19"/>
      <c r="AC32" s="19"/>
    </row>
    <row r="33" spans="2:29" ht="15.75" x14ac:dyDescent="0.25">
      <c r="E33" s="17"/>
      <c r="F33" s="20"/>
      <c r="G33" s="39" t="s">
        <v>1</v>
      </c>
      <c r="Q33" s="19"/>
      <c r="R33" s="19"/>
      <c r="S33" s="19"/>
      <c r="T33" s="19"/>
      <c r="U33" s="19"/>
      <c r="V33" s="19"/>
      <c r="W33" s="19"/>
      <c r="X33" s="19"/>
      <c r="Y33" s="19"/>
      <c r="Z33" s="19"/>
      <c r="AA33" s="19"/>
      <c r="AB33" s="19"/>
      <c r="AC33" s="19"/>
    </row>
    <row r="34" spans="2:29" ht="16.5" thickBot="1" x14ac:dyDescent="0.3">
      <c r="E34" s="17"/>
      <c r="F34" s="18" t="s">
        <v>107</v>
      </c>
      <c r="G34" s="16" t="s">
        <v>108</v>
      </c>
      <c r="H34" s="9"/>
      <c r="Q34" s="19"/>
      <c r="R34" s="19"/>
      <c r="S34" s="19"/>
      <c r="T34" s="19"/>
      <c r="U34" s="19"/>
      <c r="V34" s="19"/>
      <c r="W34" s="19"/>
      <c r="X34" s="19"/>
      <c r="Y34" s="19"/>
      <c r="Z34" s="19"/>
      <c r="AA34" s="19"/>
      <c r="AB34" s="19"/>
      <c r="AC34" s="19"/>
    </row>
    <row r="35" spans="2:29" ht="16.5" thickBot="1" x14ac:dyDescent="0.3">
      <c r="E35" s="17"/>
      <c r="F35" s="18" t="s">
        <v>2</v>
      </c>
      <c r="G35" s="478">
        <f>1.3*((G31*G32)^0.625 / (G31 + G32)^0.25)</f>
        <v>23.999484319330389</v>
      </c>
      <c r="H35" s="9" t="s">
        <v>721</v>
      </c>
      <c r="Q35" s="19"/>
      <c r="R35" s="19"/>
      <c r="S35" s="19"/>
      <c r="T35" s="19"/>
      <c r="U35" s="19"/>
      <c r="V35" s="19"/>
      <c r="W35" s="19"/>
      <c r="X35" s="19"/>
      <c r="Y35" s="19"/>
      <c r="Z35" s="19"/>
      <c r="AA35" s="19"/>
      <c r="AB35" s="19"/>
      <c r="AC35" s="19"/>
    </row>
    <row r="36" spans="2:29" x14ac:dyDescent="0.2">
      <c r="E36" s="17"/>
      <c r="F36" s="17"/>
      <c r="Q36" s="19"/>
      <c r="R36" s="19"/>
      <c r="S36" s="19"/>
      <c r="T36" s="19"/>
      <c r="U36" s="19"/>
      <c r="V36" s="19"/>
      <c r="W36" s="19"/>
      <c r="X36" s="19"/>
      <c r="Y36" s="19"/>
      <c r="Z36" s="19"/>
      <c r="AA36" s="19"/>
      <c r="AB36" s="19"/>
      <c r="AC36" s="19"/>
    </row>
    <row r="37" spans="2:29" x14ac:dyDescent="0.2">
      <c r="E37" s="17"/>
      <c r="F37" s="17"/>
      <c r="Q37" s="19"/>
      <c r="R37" s="19"/>
      <c r="S37" s="19"/>
      <c r="T37" s="19"/>
      <c r="U37" s="19"/>
      <c r="V37" s="19"/>
      <c r="W37" s="19"/>
      <c r="X37" s="19"/>
      <c r="Y37" s="19"/>
      <c r="Z37" s="19"/>
      <c r="AA37" s="19"/>
      <c r="AB37" s="19"/>
      <c r="AC37" s="19"/>
    </row>
    <row r="38" spans="2:29" x14ac:dyDescent="0.2">
      <c r="E38" s="17"/>
      <c r="F38" s="17"/>
      <c r="Q38" s="19"/>
      <c r="R38" s="19"/>
      <c r="S38" s="19"/>
      <c r="T38" s="19"/>
      <c r="U38" s="19"/>
      <c r="V38" s="19"/>
      <c r="W38" s="19"/>
      <c r="X38" s="19"/>
      <c r="Y38" s="19"/>
      <c r="Z38" s="19"/>
      <c r="AA38" s="19"/>
      <c r="AB38" s="19"/>
      <c r="AC38" s="19"/>
    </row>
    <row r="39" spans="2:29" x14ac:dyDescent="0.2">
      <c r="E39" s="17"/>
      <c r="F39" s="17"/>
      <c r="Q39" s="19"/>
      <c r="R39" s="19"/>
      <c r="S39" s="19"/>
      <c r="T39" s="19"/>
      <c r="U39" s="19"/>
      <c r="V39" s="19"/>
      <c r="W39" s="19"/>
      <c r="X39" s="19"/>
      <c r="Y39" s="19"/>
      <c r="Z39" s="19"/>
      <c r="AA39" s="19"/>
      <c r="AB39" s="19"/>
      <c r="AC39" s="19"/>
    </row>
    <row r="40" spans="2:29" ht="18" x14ac:dyDescent="0.25">
      <c r="B40" s="1" t="s">
        <v>731</v>
      </c>
      <c r="Q40" s="19"/>
      <c r="R40" s="19"/>
      <c r="S40" s="19"/>
      <c r="T40" s="19"/>
      <c r="U40" s="19"/>
      <c r="V40" s="19"/>
      <c r="W40" s="19"/>
      <c r="X40" s="19"/>
      <c r="Y40" s="19"/>
      <c r="Z40" s="19"/>
      <c r="AA40" s="19"/>
      <c r="AB40" s="19"/>
      <c r="AC40" s="19"/>
    </row>
    <row r="41" spans="2:29" ht="15.75" x14ac:dyDescent="0.25">
      <c r="B41" s="9" t="s">
        <v>738</v>
      </c>
      <c r="Q41" s="19"/>
      <c r="R41" s="19"/>
      <c r="S41" s="19"/>
      <c r="T41" s="19"/>
      <c r="U41" s="19"/>
      <c r="V41" s="19"/>
      <c r="W41" s="19"/>
      <c r="X41" s="19"/>
      <c r="Y41" s="19"/>
      <c r="Z41" s="19"/>
      <c r="AA41" s="19"/>
      <c r="AB41" s="19"/>
      <c r="AC41" s="19"/>
    </row>
    <row r="42" spans="2:29" x14ac:dyDescent="0.2">
      <c r="Q42" s="19"/>
      <c r="R42" s="19"/>
      <c r="S42" s="19"/>
      <c r="T42" s="19"/>
      <c r="U42" s="19"/>
      <c r="V42" s="19"/>
      <c r="W42" s="19"/>
      <c r="X42" s="19"/>
      <c r="Y42" s="19"/>
      <c r="Z42" s="19"/>
      <c r="AA42" s="19"/>
      <c r="AB42" s="19"/>
      <c r="AC42" s="19"/>
    </row>
    <row r="43" spans="2:29" ht="15.75" x14ac:dyDescent="0.25">
      <c r="B43" s="9" t="s">
        <v>732</v>
      </c>
      <c r="Q43" s="19"/>
      <c r="R43" s="19"/>
      <c r="S43" s="19"/>
      <c r="T43" s="19"/>
      <c r="U43" s="19"/>
      <c r="V43" s="19"/>
      <c r="W43" s="19"/>
      <c r="X43" s="19"/>
      <c r="Y43" s="19"/>
      <c r="Z43" s="19"/>
      <c r="AA43" s="19"/>
      <c r="AB43" s="19"/>
      <c r="AC43" s="19"/>
    </row>
    <row r="44" spans="2:29" x14ac:dyDescent="0.2">
      <c r="Q44" s="19"/>
      <c r="R44" s="19"/>
      <c r="S44" s="19"/>
      <c r="T44" s="19"/>
      <c r="U44" s="19"/>
      <c r="V44" s="19"/>
      <c r="W44" s="19"/>
      <c r="X44" s="19"/>
      <c r="Y44" s="19"/>
      <c r="Z44" s="19"/>
      <c r="AA44" s="19"/>
      <c r="AB44" s="19"/>
      <c r="AC44" s="19"/>
    </row>
    <row r="45" spans="2:29" ht="15.75" x14ac:dyDescent="0.25">
      <c r="B45" s="9" t="s">
        <v>908</v>
      </c>
      <c r="Q45" s="19"/>
      <c r="R45" s="19"/>
      <c r="S45" s="19"/>
      <c r="T45" s="19"/>
      <c r="U45" s="19"/>
      <c r="V45" s="19"/>
      <c r="W45" s="19"/>
      <c r="X45" s="19"/>
      <c r="Y45" s="19"/>
      <c r="Z45" s="19"/>
      <c r="AA45" s="19"/>
      <c r="AB45" s="19"/>
      <c r="AC45" s="19"/>
    </row>
    <row r="46" spans="2:29" x14ac:dyDescent="0.2">
      <c r="Q46" s="19"/>
      <c r="R46" s="19"/>
      <c r="S46" s="19"/>
      <c r="T46" s="19"/>
      <c r="U46" s="19"/>
      <c r="V46" s="19"/>
      <c r="W46" s="19"/>
      <c r="X46" s="19"/>
      <c r="Y46" s="19"/>
      <c r="Z46" s="19"/>
      <c r="AA46" s="19"/>
      <c r="AB46" s="19"/>
      <c r="AC46" s="19"/>
    </row>
    <row r="47" spans="2:29" ht="15.75" x14ac:dyDescent="0.25">
      <c r="B47" s="9" t="s">
        <v>733</v>
      </c>
      <c r="Q47" s="19"/>
      <c r="R47" s="19"/>
      <c r="S47" s="19"/>
      <c r="T47" s="19"/>
      <c r="U47" s="19"/>
      <c r="V47" s="19"/>
      <c r="W47" s="19"/>
      <c r="X47" s="19"/>
      <c r="Y47" s="19"/>
      <c r="Z47" s="19"/>
      <c r="AA47" s="19"/>
      <c r="AB47" s="19"/>
      <c r="AC47" s="19"/>
    </row>
    <row r="48" spans="2:29" x14ac:dyDescent="0.2">
      <c r="Q48" s="19"/>
      <c r="R48" s="19"/>
      <c r="S48" s="19"/>
      <c r="T48" s="19"/>
      <c r="U48" s="19"/>
      <c r="V48" s="19"/>
      <c r="W48" s="19"/>
      <c r="X48" s="19"/>
      <c r="Y48" s="19"/>
      <c r="Z48" s="19"/>
      <c r="AA48" s="19"/>
      <c r="AB48" s="19"/>
      <c r="AC48" s="19"/>
    </row>
    <row r="49" spans="2:29" ht="15.75" x14ac:dyDescent="0.25">
      <c r="B49" s="9" t="s">
        <v>734</v>
      </c>
      <c r="E49" s="17"/>
      <c r="F49" s="17"/>
      <c r="V49" s="19"/>
      <c r="W49" s="19"/>
      <c r="X49" s="19"/>
      <c r="Y49" s="19"/>
      <c r="Z49" s="19"/>
      <c r="AA49" s="19"/>
      <c r="AB49" s="19"/>
      <c r="AC49" s="19"/>
    </row>
    <row r="50" spans="2:29" ht="15.75" x14ac:dyDescent="0.25">
      <c r="B50" s="9" t="s">
        <v>735</v>
      </c>
      <c r="E50" s="17"/>
      <c r="F50" s="17"/>
      <c r="V50" s="19"/>
      <c r="W50" s="19"/>
      <c r="X50" s="19"/>
      <c r="Y50" s="19"/>
      <c r="Z50" s="19"/>
      <c r="AA50" s="19"/>
      <c r="AB50" s="19"/>
      <c r="AC50" s="19"/>
    </row>
    <row r="51" spans="2:29" x14ac:dyDescent="0.2">
      <c r="E51" s="17"/>
      <c r="F51" s="17"/>
      <c r="W51" s="19"/>
      <c r="X51" s="19"/>
      <c r="Y51" s="19"/>
      <c r="Z51" s="19"/>
      <c r="AA51" s="19"/>
      <c r="AB51" s="19"/>
      <c r="AC51" s="19"/>
    </row>
    <row r="52" spans="2:29" ht="15.75" x14ac:dyDescent="0.25">
      <c r="B52" s="9" t="s">
        <v>736</v>
      </c>
      <c r="E52" s="17"/>
      <c r="F52" s="17"/>
      <c r="W52" s="19"/>
      <c r="X52" s="19"/>
      <c r="Y52" s="19"/>
      <c r="Z52" s="19"/>
      <c r="AA52" s="19"/>
      <c r="AB52" s="19"/>
      <c r="AC52" s="19"/>
    </row>
    <row r="53" spans="2:29" ht="15.75" x14ac:dyDescent="0.25">
      <c r="B53" s="9" t="s">
        <v>737</v>
      </c>
      <c r="E53" s="17"/>
      <c r="F53" s="17"/>
      <c r="W53" s="19"/>
      <c r="X53" s="19"/>
      <c r="Y53" s="19"/>
      <c r="Z53" s="19"/>
      <c r="AA53" s="19"/>
      <c r="AB53" s="19"/>
      <c r="AC53" s="19"/>
    </row>
    <row r="54" spans="2:29" x14ac:dyDescent="0.2">
      <c r="E54" s="17"/>
      <c r="F54" s="17"/>
      <c r="W54" s="19"/>
      <c r="X54" s="19"/>
      <c r="Y54" s="19"/>
      <c r="Z54" s="19"/>
      <c r="AA54" s="19"/>
      <c r="AB54" s="19"/>
      <c r="AC54" s="19"/>
    </row>
    <row r="55" spans="2:29" x14ac:dyDescent="0.2">
      <c r="Q55" s="19"/>
      <c r="R55" s="19"/>
      <c r="S55" s="19"/>
      <c r="T55" s="19"/>
      <c r="U55" s="19"/>
      <c r="W55" s="19"/>
      <c r="X55" s="19"/>
      <c r="Y55" s="19"/>
      <c r="Z55" s="19"/>
      <c r="AA55" s="19"/>
      <c r="AB55" s="19"/>
      <c r="AC55" s="19"/>
    </row>
    <row r="56" spans="2:29" x14ac:dyDescent="0.2">
      <c r="Q56" s="19"/>
      <c r="R56" s="19"/>
      <c r="S56" s="19"/>
      <c r="T56" s="19"/>
      <c r="U56" s="19"/>
      <c r="W56" s="19"/>
      <c r="X56" s="19"/>
      <c r="Y56" s="19"/>
      <c r="Z56" s="19"/>
      <c r="AA56" s="19"/>
      <c r="AB56" s="19"/>
      <c r="AC56" s="19"/>
    </row>
    <row r="57" spans="2:29" x14ac:dyDescent="0.2">
      <c r="Q57" s="19"/>
      <c r="R57" s="19"/>
      <c r="S57" s="19"/>
      <c r="T57" s="19"/>
      <c r="U57" s="19"/>
      <c r="V57" s="19"/>
      <c r="W57" s="19"/>
      <c r="X57" s="19"/>
      <c r="Y57" s="19"/>
      <c r="Z57" s="19"/>
      <c r="AA57" s="19"/>
      <c r="AB57" s="19"/>
      <c r="AC57" s="19"/>
    </row>
    <row r="58" spans="2:29" x14ac:dyDescent="0.2">
      <c r="Q58" s="132"/>
      <c r="R58" s="132"/>
      <c r="S58" s="132"/>
      <c r="T58" s="19"/>
      <c r="U58" s="19"/>
      <c r="V58" s="19"/>
      <c r="W58" s="19"/>
      <c r="X58" s="19"/>
      <c r="Y58" s="19"/>
      <c r="Z58" s="19"/>
      <c r="AA58" s="19"/>
      <c r="AB58" s="19"/>
      <c r="AC58" s="19"/>
    </row>
    <row r="59" spans="2:29" x14ac:dyDescent="0.2">
      <c r="Q59" s="132"/>
      <c r="R59" s="132"/>
      <c r="S59" s="132"/>
      <c r="T59" s="19"/>
      <c r="U59" s="19"/>
      <c r="V59" s="19"/>
      <c r="W59" s="19"/>
      <c r="X59" s="19"/>
      <c r="Y59" s="19"/>
      <c r="Z59" s="19"/>
      <c r="AA59" s="19"/>
      <c r="AB59" s="19"/>
      <c r="AC59" s="19"/>
    </row>
    <row r="60" spans="2:29" x14ac:dyDescent="0.2">
      <c r="Q60" s="19"/>
      <c r="R60" s="19"/>
      <c r="S60" s="19"/>
      <c r="T60" s="19"/>
      <c r="U60" s="19"/>
      <c r="V60" s="19"/>
      <c r="W60" s="19"/>
      <c r="X60" s="19"/>
      <c r="Y60" s="19"/>
      <c r="Z60" s="19"/>
      <c r="AA60" s="19"/>
      <c r="AB60" s="19"/>
      <c r="AC60" s="19"/>
    </row>
    <row r="61" spans="2:29" x14ac:dyDescent="0.2">
      <c r="Q61" s="19"/>
      <c r="R61" s="19"/>
      <c r="S61" s="19"/>
      <c r="T61" s="19"/>
      <c r="U61" s="19"/>
      <c r="V61" s="19"/>
      <c r="W61" s="19"/>
      <c r="X61" s="19"/>
      <c r="Y61" s="19"/>
      <c r="Z61" s="19"/>
      <c r="AA61" s="19"/>
      <c r="AB61" s="19"/>
      <c r="AC61" s="19"/>
    </row>
    <row r="62" spans="2:29" x14ac:dyDescent="0.2">
      <c r="Q62" s="19"/>
      <c r="R62" s="19"/>
      <c r="S62" s="19"/>
      <c r="T62" s="19"/>
      <c r="U62" s="19"/>
      <c r="V62" s="19"/>
      <c r="W62" s="19"/>
      <c r="X62" s="19"/>
      <c r="Y62" s="19"/>
      <c r="Z62" s="19"/>
      <c r="AA62" s="19"/>
      <c r="AB62" s="19"/>
      <c r="AC62" s="19"/>
    </row>
    <row r="63" spans="2:29" x14ac:dyDescent="0.2">
      <c r="Q63" s="19"/>
      <c r="R63" s="19"/>
      <c r="S63" s="19"/>
      <c r="T63" s="19"/>
      <c r="U63" s="19"/>
      <c r="V63" s="19"/>
      <c r="W63" s="19"/>
      <c r="X63" s="19"/>
      <c r="Y63" s="19"/>
      <c r="Z63" s="19"/>
      <c r="AA63" s="19"/>
      <c r="AB63" s="19"/>
      <c r="AC63" s="19"/>
    </row>
    <row r="64" spans="2:29" x14ac:dyDescent="0.2">
      <c r="Q64" s="19"/>
      <c r="R64" s="19"/>
      <c r="S64" s="19"/>
      <c r="T64" s="19"/>
      <c r="U64" s="19"/>
      <c r="V64" s="19"/>
      <c r="W64" s="19"/>
      <c r="X64" s="19"/>
      <c r="Y64" s="19"/>
      <c r="Z64" s="19"/>
      <c r="AA64" s="19"/>
      <c r="AB64" s="19"/>
      <c r="AC64" s="19"/>
    </row>
    <row r="65" spans="2:29" x14ac:dyDescent="0.2">
      <c r="Q65" s="19"/>
      <c r="R65" s="19"/>
      <c r="S65" s="19"/>
      <c r="T65" s="19"/>
      <c r="U65" s="19"/>
      <c r="V65" s="19"/>
      <c r="W65" s="19"/>
      <c r="X65" s="19"/>
      <c r="Y65" s="19"/>
      <c r="Z65" s="19"/>
      <c r="AA65" s="19"/>
      <c r="AB65" s="19"/>
      <c r="AC65" s="19"/>
    </row>
    <row r="66" spans="2:29" x14ac:dyDescent="0.2">
      <c r="Q66" s="19"/>
      <c r="R66" s="19"/>
      <c r="S66" s="19"/>
      <c r="T66" s="19"/>
      <c r="U66" s="19"/>
      <c r="V66" s="19"/>
      <c r="W66" s="19"/>
      <c r="X66" s="19"/>
      <c r="Y66" s="19"/>
      <c r="Z66" s="19"/>
      <c r="AA66" s="19"/>
      <c r="AB66" s="19"/>
      <c r="AC66" s="19"/>
    </row>
    <row r="67" spans="2:29" x14ac:dyDescent="0.2">
      <c r="Q67" s="19"/>
      <c r="R67" s="19"/>
      <c r="S67" s="19"/>
      <c r="T67" s="19"/>
      <c r="U67" s="19"/>
      <c r="V67" s="19"/>
      <c r="W67" s="132"/>
      <c r="X67" s="19"/>
      <c r="Y67" s="19"/>
      <c r="Z67" s="19"/>
      <c r="AA67" s="19"/>
      <c r="AB67" s="19"/>
      <c r="AC67" s="19"/>
    </row>
    <row r="68" spans="2:29" x14ac:dyDescent="0.2">
      <c r="Q68" s="19"/>
      <c r="R68" s="19"/>
      <c r="S68" s="19"/>
      <c r="T68" s="19"/>
      <c r="U68" s="19"/>
      <c r="V68" s="19"/>
      <c r="W68" s="132"/>
      <c r="X68" s="19"/>
      <c r="Y68" s="19"/>
      <c r="Z68" s="19"/>
      <c r="AA68" s="19"/>
      <c r="AB68" s="19"/>
      <c r="AC68" s="19"/>
    </row>
    <row r="69" spans="2:29" x14ac:dyDescent="0.2">
      <c r="Q69" s="19"/>
      <c r="R69" s="19"/>
      <c r="S69" s="19"/>
      <c r="T69" s="19"/>
      <c r="U69" s="19"/>
      <c r="V69" s="19"/>
      <c r="W69" s="19"/>
      <c r="X69" s="19"/>
      <c r="Y69" s="19"/>
      <c r="Z69" s="19"/>
      <c r="AA69" s="19"/>
      <c r="AB69" s="19"/>
      <c r="AC69" s="19"/>
    </row>
    <row r="70" spans="2:29" x14ac:dyDescent="0.2">
      <c r="Q70" s="19"/>
      <c r="R70" s="19"/>
      <c r="S70" s="19"/>
      <c r="T70" s="19"/>
      <c r="U70" s="19"/>
      <c r="V70" s="19"/>
      <c r="W70" s="19"/>
      <c r="X70" s="19"/>
      <c r="Y70" s="19"/>
      <c r="Z70" s="19"/>
      <c r="AA70" s="19"/>
      <c r="AB70" s="19"/>
      <c r="AC70" s="19"/>
    </row>
    <row r="71" spans="2:29" x14ac:dyDescent="0.2">
      <c r="Q71" s="132"/>
      <c r="R71" s="132"/>
      <c r="S71" s="132"/>
      <c r="T71" s="132"/>
      <c r="U71" s="132"/>
      <c r="V71" s="19"/>
      <c r="W71" s="19"/>
      <c r="X71" s="19"/>
      <c r="Y71" s="19"/>
      <c r="Z71" s="19"/>
      <c r="AA71" s="19"/>
      <c r="AB71" s="19"/>
      <c r="AC71" s="19"/>
    </row>
    <row r="72" spans="2:29" x14ac:dyDescent="0.2">
      <c r="Q72" s="132"/>
      <c r="R72" s="132"/>
      <c r="S72" s="132"/>
      <c r="T72" s="132"/>
      <c r="U72" s="132"/>
      <c r="V72" s="19"/>
      <c r="W72" s="19"/>
      <c r="X72" s="19"/>
      <c r="Y72" s="19"/>
      <c r="Z72" s="19"/>
      <c r="AA72" s="19"/>
      <c r="AB72" s="19"/>
      <c r="AC72" s="19"/>
    </row>
    <row r="73" spans="2:29" x14ac:dyDescent="0.2">
      <c r="Q73" s="19"/>
      <c r="R73" s="19"/>
      <c r="S73" s="19"/>
      <c r="T73" s="19"/>
      <c r="U73" s="19"/>
      <c r="V73" s="132"/>
      <c r="W73" s="19"/>
      <c r="X73" s="19"/>
      <c r="Y73" s="19"/>
      <c r="Z73" s="19"/>
      <c r="AA73" s="19"/>
      <c r="AB73" s="19"/>
      <c r="AC73" s="19"/>
    </row>
    <row r="74" spans="2:29" x14ac:dyDescent="0.2">
      <c r="Q74" s="19"/>
      <c r="R74" s="19"/>
      <c r="S74" s="19"/>
      <c r="T74" s="19"/>
      <c r="U74" s="19"/>
      <c r="V74" s="132"/>
      <c r="W74" s="19"/>
      <c r="X74" s="19"/>
      <c r="Y74" s="19"/>
      <c r="Z74" s="19"/>
      <c r="AA74" s="19"/>
      <c r="AB74" s="19"/>
      <c r="AC74" s="19"/>
    </row>
    <row r="75" spans="2:29" x14ac:dyDescent="0.2">
      <c r="Q75" s="19"/>
      <c r="R75" s="19"/>
      <c r="S75" s="19"/>
      <c r="T75" s="19"/>
      <c r="U75" s="19"/>
      <c r="V75" s="19"/>
      <c r="W75" s="19"/>
      <c r="X75" s="19"/>
      <c r="Y75" s="19"/>
      <c r="Z75" s="19"/>
      <c r="AA75" s="19"/>
      <c r="AB75" s="19"/>
      <c r="AC75" s="19"/>
    </row>
    <row r="76" spans="2:29" ht="18" x14ac:dyDescent="0.25">
      <c r="B76" s="1" t="s">
        <v>171</v>
      </c>
      <c r="K76" s="30" t="s">
        <v>170</v>
      </c>
      <c r="Q76" s="19"/>
      <c r="R76" s="19"/>
      <c r="S76" s="19"/>
      <c r="T76" s="19"/>
      <c r="U76" s="19"/>
      <c r="V76" s="19"/>
      <c r="W76" s="19"/>
      <c r="X76" s="19"/>
      <c r="Y76" s="19"/>
      <c r="Z76" s="19"/>
      <c r="AA76" s="19"/>
      <c r="AB76" s="19"/>
      <c r="AC76" s="19"/>
    </row>
    <row r="77" spans="2:29" ht="16.5" thickBot="1" x14ac:dyDescent="0.3">
      <c r="B77" s="9" t="s">
        <v>120</v>
      </c>
      <c r="F77" s="39" t="s">
        <v>3</v>
      </c>
      <c r="K77" s="30" t="s">
        <v>163</v>
      </c>
      <c r="Q77" s="19"/>
      <c r="R77" s="19"/>
      <c r="S77" s="19"/>
      <c r="T77" s="19"/>
      <c r="U77" s="19"/>
      <c r="V77" s="19"/>
      <c r="W77" s="19"/>
      <c r="X77" s="19"/>
      <c r="Y77" s="19"/>
      <c r="Z77" s="19"/>
      <c r="AA77" s="19"/>
      <c r="AB77" s="19"/>
      <c r="AC77" s="19"/>
    </row>
    <row r="78" spans="2:29" ht="15.75" x14ac:dyDescent="0.25">
      <c r="E78" s="18" t="s">
        <v>109</v>
      </c>
      <c r="F78" s="52">
        <v>7800</v>
      </c>
      <c r="G78" s="9" t="s">
        <v>13</v>
      </c>
      <c r="K78" s="30" t="s">
        <v>164</v>
      </c>
      <c r="Q78" s="19"/>
      <c r="R78" s="19"/>
      <c r="S78" s="19"/>
      <c r="T78" s="19"/>
      <c r="U78" s="19"/>
      <c r="V78" s="19"/>
      <c r="W78" s="19"/>
      <c r="X78" s="19"/>
      <c r="Y78" s="19"/>
      <c r="Z78" s="19"/>
      <c r="AA78" s="19"/>
      <c r="AB78" s="19"/>
      <c r="AC78" s="19"/>
    </row>
    <row r="79" spans="2:29" ht="15.75" x14ac:dyDescent="0.25">
      <c r="E79" s="18" t="s">
        <v>110</v>
      </c>
      <c r="F79" s="54">
        <v>3000</v>
      </c>
      <c r="G79" s="9" t="s">
        <v>118</v>
      </c>
      <c r="K79" s="30" t="s">
        <v>167</v>
      </c>
      <c r="Q79" s="19"/>
      <c r="R79" s="19"/>
      <c r="S79" s="19"/>
      <c r="T79" s="19"/>
      <c r="U79" s="19"/>
      <c r="V79" s="19"/>
      <c r="W79" s="19"/>
      <c r="X79" s="19"/>
      <c r="Y79" s="19"/>
      <c r="Z79" s="19"/>
      <c r="AA79" s="19"/>
      <c r="AB79" s="19"/>
      <c r="AC79" s="19"/>
    </row>
    <row r="80" spans="2:29" ht="16.5" thickBot="1" x14ac:dyDescent="0.3">
      <c r="E80" s="18" t="s">
        <v>122</v>
      </c>
      <c r="F80" s="93">
        <v>250</v>
      </c>
      <c r="G80" s="9" t="s">
        <v>26</v>
      </c>
      <c r="K80" s="30" t="s">
        <v>168</v>
      </c>
      <c r="Q80" s="19"/>
      <c r="R80" s="19"/>
      <c r="S80" s="19"/>
      <c r="T80" s="19"/>
      <c r="U80" s="19"/>
      <c r="V80" s="19"/>
      <c r="W80" s="19"/>
      <c r="X80" s="19"/>
      <c r="Y80" s="19"/>
      <c r="Z80" s="19"/>
      <c r="AA80" s="19"/>
      <c r="AB80" s="19"/>
      <c r="AC80" s="19"/>
    </row>
    <row r="81" spans="1:29" ht="15.75" x14ac:dyDescent="0.25">
      <c r="F81" s="39" t="s">
        <v>1</v>
      </c>
      <c r="K81" s="30" t="s">
        <v>169</v>
      </c>
      <c r="Q81" s="19"/>
      <c r="R81" s="19"/>
      <c r="S81" s="19"/>
      <c r="T81" s="19"/>
      <c r="U81" s="19"/>
      <c r="V81" s="19"/>
      <c r="W81" s="19"/>
      <c r="X81" s="19"/>
      <c r="Y81" s="19"/>
      <c r="Z81" s="19"/>
      <c r="AA81" s="19"/>
      <c r="AB81" s="19"/>
      <c r="AC81" s="19"/>
    </row>
    <row r="82" spans="1:29" ht="15.75" x14ac:dyDescent="0.25">
      <c r="E82" s="20" t="s">
        <v>111</v>
      </c>
      <c r="F82" s="43" t="s">
        <v>119</v>
      </c>
      <c r="K82" s="30" t="s">
        <v>165</v>
      </c>
      <c r="Q82" s="19"/>
      <c r="R82" s="19"/>
      <c r="S82" s="19"/>
      <c r="T82" s="19"/>
      <c r="U82" s="19"/>
      <c r="V82" s="19"/>
      <c r="W82" s="19"/>
      <c r="X82" s="19"/>
      <c r="Y82" s="19"/>
      <c r="Z82" s="19"/>
      <c r="AA82" s="19"/>
      <c r="AB82" s="19"/>
      <c r="AC82" s="19"/>
    </row>
    <row r="83" spans="1:29" ht="15.75" x14ac:dyDescent="0.25">
      <c r="E83" s="20" t="s">
        <v>2</v>
      </c>
      <c r="F83" s="446">
        <f>F78/F79</f>
        <v>2.6</v>
      </c>
      <c r="G83" s="17" t="s">
        <v>83</v>
      </c>
      <c r="K83" s="30" t="s">
        <v>166</v>
      </c>
      <c r="Q83" s="19"/>
      <c r="R83" s="19"/>
      <c r="S83" s="19"/>
      <c r="T83" s="19"/>
      <c r="U83" s="19"/>
      <c r="V83" s="19"/>
      <c r="W83" s="19"/>
      <c r="X83" s="19"/>
      <c r="Y83" s="19"/>
      <c r="Z83" s="19"/>
      <c r="AA83" s="19"/>
      <c r="AB83" s="19"/>
      <c r="AC83" s="19"/>
    </row>
    <row r="84" spans="1:29" x14ac:dyDescent="0.2">
      <c r="E84" s="20" t="s">
        <v>2</v>
      </c>
      <c r="F84" s="202">
        <f>F83*144</f>
        <v>374.40000000000003</v>
      </c>
      <c r="G84" s="17" t="s">
        <v>112</v>
      </c>
      <c r="Q84" s="19"/>
      <c r="R84" s="19"/>
      <c r="S84" s="19"/>
      <c r="T84" s="19"/>
      <c r="U84" s="19"/>
      <c r="V84" s="19"/>
      <c r="W84" s="19"/>
      <c r="X84" s="19"/>
      <c r="Y84" s="19"/>
      <c r="Z84" s="19"/>
      <c r="AA84" s="19"/>
      <c r="AB84" s="19"/>
      <c r="AC84" s="19"/>
    </row>
    <row r="85" spans="1:29" ht="15.75" thickBot="1" x14ac:dyDescent="0.25">
      <c r="E85" s="20" t="s">
        <v>114</v>
      </c>
      <c r="F85" s="43" t="s">
        <v>909</v>
      </c>
      <c r="Q85" s="19"/>
      <c r="R85" s="19"/>
      <c r="S85" s="19"/>
      <c r="T85" s="19"/>
      <c r="U85" s="19"/>
      <c r="V85" s="19"/>
      <c r="W85" s="19"/>
      <c r="X85" s="19"/>
      <c r="Y85" s="19"/>
      <c r="Z85" s="19"/>
      <c r="AA85" s="19"/>
      <c r="AB85" s="19"/>
      <c r="AC85" s="19"/>
    </row>
    <row r="86" spans="1:29" s="69" customFormat="1" ht="18.75" customHeight="1" thickBot="1" x14ac:dyDescent="0.25">
      <c r="A86" s="17"/>
      <c r="B86" s="17"/>
      <c r="C86" s="17"/>
      <c r="D86" s="17"/>
      <c r="E86" s="20" t="s">
        <v>2</v>
      </c>
      <c r="F86" s="447">
        <f>(4*F84/3.1416)^0.5</f>
        <v>21.833455310999629</v>
      </c>
      <c r="G86" s="17" t="s">
        <v>113</v>
      </c>
      <c r="H86" s="17"/>
      <c r="I86" s="17"/>
      <c r="J86" s="17"/>
      <c r="K86" s="17"/>
      <c r="L86" s="17"/>
      <c r="M86" s="17"/>
      <c r="N86" s="17"/>
      <c r="O86" s="17"/>
      <c r="P86" s="17"/>
      <c r="Q86" s="19"/>
      <c r="R86" s="19"/>
      <c r="S86" s="19"/>
      <c r="T86" s="19"/>
      <c r="U86" s="19"/>
      <c r="V86" s="19"/>
      <c r="W86" s="19"/>
      <c r="X86" s="132"/>
      <c r="Y86" s="132"/>
      <c r="Z86" s="132"/>
      <c r="AA86" s="132"/>
      <c r="AB86" s="132"/>
      <c r="AC86" s="132"/>
    </row>
    <row r="87" spans="1:29" s="69" customFormat="1" ht="16.5" thickBot="1" x14ac:dyDescent="0.3">
      <c r="A87" s="17"/>
      <c r="B87" s="17"/>
      <c r="C87" s="17"/>
      <c r="D87" s="17"/>
      <c r="E87" s="20"/>
      <c r="F87" s="39" t="s">
        <v>3</v>
      </c>
      <c r="G87" s="17"/>
      <c r="H87" s="17"/>
      <c r="I87" s="17"/>
      <c r="J87" s="17"/>
      <c r="K87" s="17"/>
      <c r="L87" s="17"/>
      <c r="M87" s="17"/>
      <c r="N87" s="17"/>
      <c r="O87" s="17"/>
      <c r="P87" s="17"/>
      <c r="Q87" s="19"/>
      <c r="R87" s="19"/>
      <c r="S87" s="19"/>
      <c r="T87" s="19"/>
      <c r="U87" s="19"/>
      <c r="V87" s="19"/>
      <c r="W87" s="19"/>
      <c r="X87" s="132"/>
      <c r="Y87" s="132"/>
      <c r="Z87" s="132"/>
      <c r="AA87" s="132"/>
      <c r="AB87" s="132"/>
      <c r="AC87" s="132"/>
    </row>
    <row r="88" spans="1:29" ht="16.5" thickBot="1" x14ac:dyDescent="0.3">
      <c r="D88" s="9"/>
      <c r="E88" s="18" t="s">
        <v>115</v>
      </c>
      <c r="F88" s="67">
        <v>22</v>
      </c>
      <c r="G88" s="9" t="s">
        <v>88</v>
      </c>
      <c r="H88" s="9" t="s">
        <v>126</v>
      </c>
      <c r="I88" s="9" t="s">
        <v>126</v>
      </c>
      <c r="J88" s="9" t="s">
        <v>126</v>
      </c>
      <c r="K88" s="16" t="s">
        <v>172</v>
      </c>
      <c r="Q88" s="19"/>
      <c r="R88" s="19"/>
      <c r="S88" s="19"/>
      <c r="T88" s="19"/>
      <c r="U88" s="19"/>
      <c r="V88" s="19"/>
      <c r="W88" s="19"/>
      <c r="X88" s="19"/>
      <c r="Y88" s="19"/>
      <c r="Z88" s="19"/>
      <c r="AA88" s="19"/>
      <c r="AB88" s="19"/>
      <c r="AC88" s="19"/>
    </row>
    <row r="89" spans="1:29" ht="15.75" x14ac:dyDescent="0.25">
      <c r="F89" s="39" t="s">
        <v>1</v>
      </c>
      <c r="K89" s="30" t="s">
        <v>162</v>
      </c>
      <c r="Q89" s="19"/>
      <c r="R89" s="19"/>
      <c r="S89" s="19"/>
      <c r="T89" s="19"/>
      <c r="U89" s="19"/>
      <c r="V89" s="19"/>
      <c r="W89" s="19"/>
      <c r="X89" s="19"/>
      <c r="Y89" s="19"/>
      <c r="Z89" s="19"/>
      <c r="AA89" s="19"/>
      <c r="AB89" s="19"/>
      <c r="AC89" s="19"/>
    </row>
    <row r="90" spans="1:29" ht="20.25" x14ac:dyDescent="0.35">
      <c r="E90" s="18" t="s">
        <v>910</v>
      </c>
      <c r="F90" s="200" t="s">
        <v>911</v>
      </c>
      <c r="G90" s="9"/>
      <c r="K90" s="30" t="s">
        <v>161</v>
      </c>
      <c r="Q90" s="19"/>
      <c r="R90" s="19"/>
      <c r="S90" s="19"/>
      <c r="T90" s="19"/>
      <c r="U90" s="19"/>
      <c r="V90" s="19"/>
      <c r="W90" s="19"/>
      <c r="X90" s="19"/>
      <c r="Y90" s="19"/>
      <c r="Z90" s="19"/>
      <c r="AA90" s="19"/>
      <c r="AB90" s="19"/>
      <c r="AC90" s="19"/>
    </row>
    <row r="91" spans="1:29" ht="15.75" x14ac:dyDescent="0.25">
      <c r="E91" s="18" t="s">
        <v>2</v>
      </c>
      <c r="F91" s="220">
        <f>(0.109136*F78^1.9) / F88^5.02</f>
        <v>0.49429466100966324</v>
      </c>
      <c r="G91" s="9" t="s">
        <v>117</v>
      </c>
      <c r="K91" s="30" t="s">
        <v>160</v>
      </c>
      <c r="Q91" s="19"/>
      <c r="R91" s="19"/>
      <c r="S91" s="19"/>
      <c r="T91" s="19"/>
      <c r="U91" s="19"/>
      <c r="V91" s="19"/>
      <c r="W91" s="19"/>
      <c r="X91" s="19"/>
      <c r="Y91" s="19"/>
      <c r="Z91" s="19"/>
      <c r="AA91" s="19"/>
      <c r="AB91" s="19"/>
      <c r="AC91" s="19"/>
    </row>
    <row r="92" spans="1:29" ht="15.75" x14ac:dyDescent="0.25">
      <c r="E92" s="18" t="s">
        <v>912</v>
      </c>
      <c r="F92" s="16" t="s">
        <v>123</v>
      </c>
      <c r="G92" s="9"/>
      <c r="Q92" s="19"/>
      <c r="R92" s="19"/>
      <c r="S92" s="19"/>
      <c r="T92" s="19"/>
      <c r="U92" s="19"/>
      <c r="V92" s="19"/>
      <c r="W92" s="19"/>
      <c r="X92" s="19"/>
      <c r="Y92" s="19"/>
      <c r="Z92" s="19"/>
      <c r="AA92" s="19"/>
      <c r="AB92" s="19"/>
      <c r="AC92" s="19"/>
    </row>
    <row r="93" spans="1:29" ht="15.75" x14ac:dyDescent="0.25">
      <c r="E93" s="18"/>
      <c r="F93" s="33">
        <f>F91*F80/100</f>
        <v>1.235736652524158</v>
      </c>
      <c r="G93" s="9" t="s">
        <v>116</v>
      </c>
      <c r="K93" s="69"/>
      <c r="L93" s="16" t="s">
        <v>172</v>
      </c>
      <c r="P93" s="69"/>
      <c r="Q93" s="19"/>
      <c r="R93" s="19"/>
      <c r="S93" s="19"/>
      <c r="T93" s="19"/>
      <c r="U93" s="19"/>
      <c r="V93" s="19"/>
      <c r="W93" s="19"/>
      <c r="X93" s="19"/>
      <c r="Y93" s="19"/>
      <c r="Z93" s="19"/>
      <c r="AA93" s="19"/>
      <c r="AB93" s="19"/>
      <c r="AC93" s="19"/>
    </row>
    <row r="94" spans="1:29" ht="15.75" x14ac:dyDescent="0.25">
      <c r="K94" s="69"/>
      <c r="L94" s="30" t="s">
        <v>162</v>
      </c>
      <c r="P94" s="69"/>
      <c r="Q94" s="19"/>
      <c r="R94" s="19"/>
      <c r="S94" s="19"/>
      <c r="T94" s="19"/>
      <c r="U94" s="19"/>
      <c r="V94" s="19"/>
      <c r="W94" s="19"/>
      <c r="X94" s="19"/>
      <c r="Y94" s="19"/>
      <c r="Z94" s="19"/>
      <c r="AA94" s="19"/>
      <c r="AB94" s="19"/>
      <c r="AC94" s="19"/>
    </row>
    <row r="95" spans="1:29" ht="15.75" x14ac:dyDescent="0.25">
      <c r="L95" s="30" t="s">
        <v>161</v>
      </c>
      <c r="Q95" s="19"/>
      <c r="R95" s="19"/>
      <c r="S95" s="19"/>
      <c r="T95" s="19"/>
      <c r="U95" s="19"/>
      <c r="V95" s="19"/>
      <c r="W95" s="19"/>
      <c r="X95" s="19"/>
      <c r="Y95" s="19"/>
      <c r="Z95" s="19"/>
      <c r="AA95" s="19"/>
      <c r="AB95" s="19"/>
      <c r="AC95" s="19"/>
    </row>
    <row r="96" spans="1:29" ht="18.75" thickBot="1" x14ac:dyDescent="0.3">
      <c r="B96" s="1" t="s">
        <v>121</v>
      </c>
      <c r="D96" s="17" t="s">
        <v>52</v>
      </c>
      <c r="F96" s="39" t="s">
        <v>3</v>
      </c>
      <c r="L96" s="30" t="s">
        <v>160</v>
      </c>
      <c r="Q96" s="19"/>
      <c r="R96" s="19"/>
      <c r="S96" s="19"/>
      <c r="T96" s="19"/>
      <c r="U96" s="19"/>
      <c r="V96" s="19"/>
      <c r="W96" s="19"/>
      <c r="X96" s="19"/>
      <c r="Y96" s="19"/>
      <c r="Z96" s="19"/>
      <c r="AA96" s="19"/>
      <c r="AB96" s="19"/>
      <c r="AC96" s="19"/>
    </row>
    <row r="97" spans="4:29" ht="15.75" x14ac:dyDescent="0.25">
      <c r="E97" s="18" t="s">
        <v>109</v>
      </c>
      <c r="F97" s="52">
        <v>7813</v>
      </c>
      <c r="G97" s="9" t="s">
        <v>13</v>
      </c>
      <c r="Q97" s="19"/>
      <c r="R97" s="19"/>
      <c r="S97" s="19"/>
      <c r="T97" s="19"/>
      <c r="U97" s="19"/>
      <c r="V97" s="19"/>
      <c r="W97" s="19"/>
      <c r="X97" s="19"/>
      <c r="Y97" s="19"/>
      <c r="Z97" s="19"/>
      <c r="AA97" s="19"/>
      <c r="AB97" s="19"/>
      <c r="AC97" s="19"/>
    </row>
    <row r="98" spans="4:29" ht="15.75" x14ac:dyDescent="0.25">
      <c r="E98" s="18" t="s">
        <v>110</v>
      </c>
      <c r="F98" s="54">
        <v>3000</v>
      </c>
      <c r="G98" s="9" t="s">
        <v>118</v>
      </c>
      <c r="L98" s="30" t="s">
        <v>709</v>
      </c>
      <c r="Q98" s="19"/>
      <c r="R98" s="19"/>
      <c r="S98" s="19"/>
      <c r="T98" s="19"/>
      <c r="U98" s="19"/>
      <c r="V98" s="19"/>
      <c r="W98" s="19"/>
      <c r="X98" s="19"/>
      <c r="Y98" s="19"/>
      <c r="Z98" s="19"/>
      <c r="AA98" s="19"/>
      <c r="AB98" s="19"/>
      <c r="AC98" s="19"/>
    </row>
    <row r="99" spans="4:29" ht="16.5" thickBot="1" x14ac:dyDescent="0.3">
      <c r="E99" s="18" t="s">
        <v>122</v>
      </c>
      <c r="F99" s="93">
        <v>250</v>
      </c>
      <c r="G99" s="9" t="s">
        <v>26</v>
      </c>
      <c r="L99" s="30" t="s">
        <v>124</v>
      </c>
      <c r="Q99" s="19"/>
      <c r="R99" s="19"/>
      <c r="S99" s="19"/>
      <c r="T99" s="19"/>
      <c r="U99" s="19"/>
      <c r="V99" s="19"/>
      <c r="W99" s="19"/>
      <c r="X99" s="19"/>
      <c r="Y99" s="19"/>
      <c r="Z99" s="19"/>
      <c r="AA99" s="19"/>
      <c r="AB99" s="19"/>
      <c r="AC99" s="19"/>
    </row>
    <row r="100" spans="4:29" ht="15.75" x14ac:dyDescent="0.25">
      <c r="F100" s="174" t="s">
        <v>1</v>
      </c>
      <c r="L100" s="30" t="s">
        <v>125</v>
      </c>
      <c r="Q100" s="19"/>
      <c r="R100" s="19"/>
      <c r="S100" s="19"/>
      <c r="T100" s="19"/>
      <c r="U100" s="19"/>
      <c r="V100" s="19"/>
      <c r="W100" s="19"/>
      <c r="X100" s="19"/>
      <c r="Y100" s="19"/>
      <c r="Z100" s="19"/>
      <c r="AA100" s="19"/>
      <c r="AB100" s="19"/>
      <c r="AC100" s="19"/>
    </row>
    <row r="101" spans="4:29" ht="15.75" x14ac:dyDescent="0.25">
      <c r="E101" s="18" t="s">
        <v>111</v>
      </c>
      <c r="F101" s="16" t="s">
        <v>119</v>
      </c>
      <c r="G101" s="9"/>
      <c r="Q101" s="19"/>
      <c r="R101" s="19"/>
      <c r="S101" s="19"/>
      <c r="T101" s="19"/>
      <c r="U101" s="19"/>
      <c r="V101" s="19"/>
      <c r="W101" s="19"/>
      <c r="X101" s="19"/>
      <c r="Y101" s="19"/>
      <c r="Z101" s="19"/>
      <c r="AA101" s="19"/>
      <c r="AB101" s="19"/>
      <c r="AC101" s="19"/>
    </row>
    <row r="102" spans="4:29" ht="15.75" x14ac:dyDescent="0.25">
      <c r="E102" s="18" t="s">
        <v>2</v>
      </c>
      <c r="F102" s="74">
        <f>F97/F98</f>
        <v>2.6043333333333334</v>
      </c>
      <c r="G102" s="9" t="s">
        <v>83</v>
      </c>
      <c r="Q102" s="19"/>
      <c r="R102" s="19"/>
      <c r="S102" s="19"/>
      <c r="T102" s="19"/>
      <c r="U102" s="19"/>
      <c r="V102" s="19"/>
      <c r="W102" s="19"/>
      <c r="X102" s="19"/>
      <c r="Y102" s="19"/>
      <c r="Z102" s="19"/>
      <c r="AA102" s="19"/>
      <c r="AB102" s="19"/>
      <c r="AC102" s="19"/>
    </row>
    <row r="103" spans="4:29" ht="15.75" x14ac:dyDescent="0.25">
      <c r="E103" s="18" t="s">
        <v>2</v>
      </c>
      <c r="F103" s="33">
        <f>F102*144</f>
        <v>375.024</v>
      </c>
      <c r="G103" s="9" t="s">
        <v>112</v>
      </c>
      <c r="Q103" s="19"/>
      <c r="R103" s="19"/>
      <c r="S103" s="19"/>
      <c r="T103" s="19"/>
      <c r="U103" s="19"/>
      <c r="V103" s="19"/>
      <c r="W103" s="19"/>
      <c r="X103" s="19"/>
      <c r="Y103" s="19"/>
      <c r="Z103" s="19"/>
      <c r="AA103" s="19"/>
      <c r="AB103" s="19"/>
      <c r="AC103" s="19"/>
    </row>
    <row r="104" spans="4:29" ht="15.75" x14ac:dyDescent="0.25">
      <c r="E104" s="18" t="s">
        <v>114</v>
      </c>
      <c r="F104" s="16" t="s">
        <v>909</v>
      </c>
      <c r="G104" s="9"/>
      <c r="Q104" s="19"/>
      <c r="R104" s="19"/>
      <c r="S104" s="19"/>
      <c r="T104" s="19"/>
      <c r="U104" s="19"/>
      <c r="V104" s="19"/>
      <c r="W104" s="19"/>
      <c r="X104" s="19"/>
      <c r="Y104" s="19"/>
      <c r="Z104" s="19"/>
      <c r="AA104" s="19"/>
      <c r="AB104" s="19"/>
      <c r="AC104" s="19"/>
    </row>
    <row r="105" spans="4:29" ht="15.75" x14ac:dyDescent="0.25">
      <c r="E105" s="18" t="s">
        <v>2</v>
      </c>
      <c r="F105" s="33">
        <f>(4*F103/3.1416)^0.5</f>
        <v>21.851642282342233</v>
      </c>
      <c r="G105" s="9" t="s">
        <v>113</v>
      </c>
      <c r="Q105" s="19"/>
      <c r="R105" s="19"/>
      <c r="S105" s="19"/>
      <c r="T105" s="19"/>
      <c r="U105" s="19"/>
      <c r="V105" s="19"/>
      <c r="W105" s="19"/>
      <c r="X105" s="19"/>
      <c r="Y105" s="19"/>
      <c r="Z105" s="19"/>
      <c r="AA105" s="19"/>
      <c r="AB105" s="19"/>
      <c r="AC105" s="19"/>
    </row>
    <row r="106" spans="4:29" ht="16.5" thickBot="1" x14ac:dyDescent="0.3">
      <c r="F106" s="39" t="s">
        <v>3</v>
      </c>
      <c r="K106" s="69"/>
      <c r="L106" s="69"/>
      <c r="M106" s="69"/>
      <c r="N106" s="69"/>
      <c r="O106" s="69"/>
      <c r="P106" s="69"/>
      <c r="Q106" s="19"/>
      <c r="R106" s="19"/>
      <c r="S106" s="19"/>
      <c r="T106" s="19"/>
      <c r="U106" s="19"/>
      <c r="V106" s="19"/>
      <c r="W106" s="19"/>
      <c r="X106" s="19"/>
      <c r="Y106" s="19"/>
      <c r="Z106" s="19"/>
      <c r="AA106" s="19"/>
      <c r="AB106" s="19"/>
      <c r="AC106" s="19"/>
    </row>
    <row r="107" spans="4:29" ht="16.5" thickBot="1" x14ac:dyDescent="0.3">
      <c r="D107" s="9"/>
      <c r="E107" s="18" t="s">
        <v>115</v>
      </c>
      <c r="F107" s="67">
        <v>22</v>
      </c>
      <c r="G107" s="9" t="s">
        <v>88</v>
      </c>
      <c r="H107" s="9"/>
      <c r="I107" s="9"/>
      <c r="J107" s="9"/>
      <c r="K107" s="69"/>
      <c r="L107" s="69"/>
      <c r="M107" s="69"/>
      <c r="N107" s="69"/>
      <c r="O107" s="69"/>
      <c r="P107" s="69"/>
      <c r="Q107" s="19"/>
      <c r="R107" s="19"/>
      <c r="S107" s="19"/>
      <c r="T107" s="19"/>
      <c r="U107" s="19"/>
      <c r="V107" s="19"/>
      <c r="W107" s="19"/>
      <c r="X107" s="19"/>
      <c r="Y107" s="19"/>
      <c r="Z107" s="19"/>
      <c r="AA107" s="19"/>
      <c r="AB107" s="19"/>
      <c r="AC107" s="19"/>
    </row>
    <row r="108" spans="4:29" ht="15.75" x14ac:dyDescent="0.25">
      <c r="F108" s="39" t="s">
        <v>1</v>
      </c>
      <c r="Q108" s="19"/>
      <c r="R108" s="19"/>
      <c r="S108" s="19"/>
      <c r="T108" s="19"/>
      <c r="U108" s="19"/>
      <c r="V108" s="19"/>
      <c r="W108" s="19"/>
      <c r="X108" s="19"/>
      <c r="Y108" s="19"/>
      <c r="Z108" s="19"/>
      <c r="AA108" s="19"/>
      <c r="AB108" s="19"/>
      <c r="AC108" s="19"/>
    </row>
    <row r="109" spans="4:29" x14ac:dyDescent="0.2">
      <c r="E109" s="17"/>
      <c r="F109" s="17"/>
      <c r="U109" s="19"/>
      <c r="V109" s="19"/>
      <c r="W109" s="19"/>
      <c r="X109" s="19"/>
      <c r="Y109" s="19"/>
      <c r="Z109" s="19"/>
      <c r="AA109" s="19"/>
      <c r="AB109" s="19"/>
      <c r="AC109" s="19"/>
    </row>
    <row r="110" spans="4:29" ht="18.75" x14ac:dyDescent="0.25">
      <c r="E110" s="18" t="s">
        <v>910</v>
      </c>
      <c r="F110" s="200" t="s">
        <v>913</v>
      </c>
      <c r="G110" s="9"/>
      <c r="Q110" s="19"/>
      <c r="R110" s="19"/>
      <c r="S110" s="19"/>
      <c r="T110" s="19"/>
      <c r="U110" s="19"/>
      <c r="V110" s="19"/>
      <c r="W110" s="19"/>
      <c r="X110" s="19"/>
      <c r="Y110" s="19"/>
      <c r="Z110" s="19"/>
      <c r="AA110" s="19"/>
      <c r="AB110" s="19"/>
      <c r="AC110" s="19"/>
    </row>
    <row r="111" spans="4:29" ht="15.75" x14ac:dyDescent="0.25">
      <c r="E111" s="18" t="s">
        <v>2</v>
      </c>
      <c r="F111" s="220">
        <f>(0.109136*F97^1.9) / F107^5.02</f>
        <v>0.49586110132082412</v>
      </c>
      <c r="G111" s="9" t="s">
        <v>117</v>
      </c>
      <c r="Q111" s="19"/>
      <c r="R111" s="19"/>
      <c r="S111" s="19"/>
      <c r="T111" s="19"/>
      <c r="U111" s="19"/>
      <c r="V111" s="19"/>
      <c r="W111" s="19"/>
      <c r="X111" s="19"/>
      <c r="Y111" s="19"/>
      <c r="Z111" s="19"/>
      <c r="AA111" s="19"/>
      <c r="AB111" s="19"/>
      <c r="AC111" s="19"/>
    </row>
    <row r="112" spans="4:29" ht="15.75" x14ac:dyDescent="0.25">
      <c r="E112" s="18" t="s">
        <v>912</v>
      </c>
      <c r="F112" s="16" t="s">
        <v>123</v>
      </c>
      <c r="G112" s="9"/>
      <c r="Q112" s="19"/>
      <c r="R112" s="19"/>
      <c r="S112" s="19"/>
      <c r="T112" s="19"/>
      <c r="U112" s="19"/>
      <c r="V112" s="19"/>
      <c r="W112" s="19"/>
      <c r="X112" s="19"/>
      <c r="Y112" s="19"/>
      <c r="Z112" s="19"/>
      <c r="AA112" s="19"/>
      <c r="AB112" s="19"/>
      <c r="AC112" s="19"/>
    </row>
    <row r="113" spans="5:29" ht="15.75" x14ac:dyDescent="0.25">
      <c r="E113" s="18"/>
      <c r="F113" s="33">
        <f>F111*F99/100</f>
        <v>1.2396527533020603</v>
      </c>
      <c r="G113" s="9" t="s">
        <v>116</v>
      </c>
      <c r="Q113" s="19"/>
      <c r="R113" s="19"/>
      <c r="S113" s="19"/>
      <c r="T113" s="19"/>
      <c r="U113" s="19"/>
      <c r="V113" s="19"/>
      <c r="W113" s="19"/>
      <c r="X113" s="19"/>
      <c r="Y113" s="19"/>
      <c r="Z113" s="19"/>
      <c r="AA113" s="19"/>
      <c r="AB113" s="19"/>
      <c r="AC113" s="19"/>
    </row>
    <row r="114" spans="5:29" x14ac:dyDescent="0.2">
      <c r="Q114" s="19"/>
      <c r="R114" s="19"/>
      <c r="S114" s="19"/>
      <c r="T114" s="19"/>
      <c r="U114" s="19"/>
      <c r="V114" s="19"/>
      <c r="W114" s="19"/>
      <c r="X114" s="19"/>
      <c r="Y114" s="19"/>
      <c r="Z114" s="19"/>
      <c r="AA114" s="19"/>
      <c r="AB114" s="19"/>
      <c r="AC114" s="19"/>
    </row>
    <row r="115" spans="5:29" x14ac:dyDescent="0.2">
      <c r="Q115" s="19"/>
      <c r="R115" s="19"/>
      <c r="S115" s="19"/>
      <c r="T115" s="19"/>
      <c r="U115" s="19"/>
      <c r="V115" s="19"/>
      <c r="W115" s="19"/>
      <c r="X115" s="19"/>
      <c r="Y115" s="19"/>
      <c r="Z115" s="19"/>
      <c r="AA115" s="19"/>
      <c r="AB115" s="19"/>
      <c r="AC115" s="19"/>
    </row>
    <row r="116" spans="5:29" x14ac:dyDescent="0.2">
      <c r="Q116" s="19"/>
      <c r="R116" s="19"/>
      <c r="S116" s="19"/>
      <c r="T116" s="19"/>
      <c r="U116" s="19"/>
      <c r="V116" s="19"/>
      <c r="W116" s="19"/>
      <c r="X116" s="19"/>
      <c r="Y116" s="19"/>
      <c r="Z116" s="19"/>
      <c r="AA116" s="19"/>
      <c r="AB116" s="19"/>
      <c r="AC116" s="19"/>
    </row>
    <row r="117" spans="5:29" x14ac:dyDescent="0.2">
      <c r="Q117" s="19"/>
      <c r="R117" s="19"/>
      <c r="S117" s="19"/>
      <c r="T117" s="19"/>
      <c r="U117" s="19"/>
      <c r="V117" s="19"/>
      <c r="W117" s="19"/>
      <c r="X117" s="19"/>
      <c r="Y117" s="19"/>
      <c r="Z117" s="19"/>
      <c r="AA117" s="19"/>
      <c r="AB117" s="19"/>
      <c r="AC117" s="19"/>
    </row>
    <row r="118" spans="5:29" x14ac:dyDescent="0.2">
      <c r="Q118" s="19"/>
      <c r="R118" s="19"/>
      <c r="S118" s="19"/>
      <c r="T118" s="19"/>
      <c r="U118" s="19"/>
      <c r="V118" s="19"/>
      <c r="W118" s="19"/>
      <c r="X118" s="19"/>
      <c r="Y118" s="19"/>
      <c r="Z118" s="19"/>
      <c r="AA118" s="19"/>
      <c r="AB118" s="19"/>
      <c r="AC118" s="19"/>
    </row>
    <row r="119" spans="5:29" x14ac:dyDescent="0.2">
      <c r="Q119" s="19"/>
      <c r="R119" s="19"/>
      <c r="S119" s="19"/>
      <c r="T119" s="19"/>
      <c r="U119" s="19"/>
      <c r="V119" s="19"/>
      <c r="W119" s="19"/>
      <c r="X119" s="19"/>
      <c r="Y119" s="19"/>
      <c r="Z119" s="19"/>
      <c r="AA119" s="19"/>
      <c r="AB119" s="19"/>
      <c r="AC119" s="19"/>
    </row>
    <row r="120" spans="5:29" x14ac:dyDescent="0.2">
      <c r="Q120" s="19"/>
      <c r="R120" s="19"/>
      <c r="S120" s="19"/>
      <c r="T120" s="19"/>
      <c r="U120" s="19"/>
      <c r="V120" s="19"/>
      <c r="W120" s="19"/>
      <c r="X120" s="19"/>
      <c r="Y120" s="19"/>
      <c r="Z120" s="19"/>
      <c r="AA120" s="19"/>
      <c r="AB120" s="19"/>
      <c r="AC120" s="19"/>
    </row>
    <row r="121" spans="5:29" x14ac:dyDescent="0.2">
      <c r="Q121" s="19"/>
      <c r="R121" s="19"/>
      <c r="S121" s="19"/>
      <c r="T121" s="19"/>
      <c r="U121" s="19"/>
      <c r="V121" s="19"/>
      <c r="W121" s="19"/>
      <c r="X121" s="19"/>
      <c r="Y121" s="19"/>
      <c r="Z121" s="19"/>
      <c r="AA121" s="19"/>
      <c r="AB121" s="19"/>
      <c r="AC121" s="19"/>
    </row>
    <row r="122" spans="5:29" x14ac:dyDescent="0.2">
      <c r="Q122" s="19"/>
      <c r="R122" s="19"/>
      <c r="S122" s="19"/>
      <c r="T122" s="19"/>
      <c r="U122" s="19"/>
      <c r="V122" s="19"/>
      <c r="W122" s="19"/>
      <c r="X122" s="19"/>
      <c r="Y122" s="19"/>
      <c r="Z122" s="19"/>
      <c r="AA122" s="19"/>
      <c r="AB122" s="19"/>
      <c r="AC122" s="19"/>
    </row>
    <row r="123" spans="5:29" x14ac:dyDescent="0.2">
      <c r="Q123" s="19"/>
      <c r="R123" s="19"/>
      <c r="S123" s="19"/>
      <c r="T123" s="19"/>
      <c r="U123" s="19"/>
      <c r="V123" s="19"/>
      <c r="W123" s="19"/>
      <c r="X123" s="19"/>
      <c r="Y123" s="19"/>
      <c r="Z123" s="19"/>
      <c r="AA123" s="19"/>
      <c r="AB123" s="19"/>
      <c r="AC123" s="19"/>
    </row>
    <row r="124" spans="5:29" x14ac:dyDescent="0.2">
      <c r="Q124" s="19"/>
      <c r="R124" s="19"/>
      <c r="S124" s="19"/>
      <c r="T124" s="19"/>
      <c r="U124" s="19"/>
      <c r="V124" s="19"/>
      <c r="W124" s="19"/>
      <c r="X124" s="19"/>
      <c r="Y124" s="19"/>
      <c r="Z124" s="19"/>
      <c r="AA124" s="19"/>
      <c r="AB124" s="19"/>
      <c r="AC124" s="19"/>
    </row>
    <row r="125" spans="5:29" x14ac:dyDescent="0.2">
      <c r="Q125" s="19"/>
      <c r="R125" s="19"/>
      <c r="S125" s="19"/>
      <c r="T125" s="19"/>
      <c r="U125" s="19"/>
      <c r="V125" s="19"/>
      <c r="W125" s="19"/>
      <c r="X125" s="19"/>
      <c r="Y125" s="19"/>
      <c r="Z125" s="19"/>
      <c r="AA125" s="19"/>
      <c r="AB125" s="19"/>
      <c r="AC125" s="19"/>
    </row>
    <row r="126" spans="5:29" x14ac:dyDescent="0.2">
      <c r="Q126" s="19"/>
      <c r="R126" s="19"/>
      <c r="S126" s="19"/>
      <c r="T126" s="19"/>
      <c r="U126" s="19"/>
      <c r="V126" s="19"/>
      <c r="W126" s="19"/>
      <c r="X126" s="19"/>
      <c r="Y126" s="19"/>
      <c r="Z126" s="19"/>
      <c r="AA126" s="19"/>
      <c r="AB126" s="19"/>
      <c r="AC126" s="19"/>
    </row>
    <row r="127" spans="5:29" x14ac:dyDescent="0.2">
      <c r="Q127" s="19"/>
      <c r="R127" s="19"/>
      <c r="S127" s="19"/>
      <c r="T127" s="19"/>
      <c r="U127" s="19"/>
      <c r="V127" s="19"/>
      <c r="W127" s="19"/>
      <c r="X127" s="19"/>
      <c r="Y127" s="19"/>
      <c r="Z127" s="19"/>
      <c r="AA127" s="19"/>
      <c r="AB127" s="19"/>
      <c r="AC127" s="19"/>
    </row>
    <row r="128" spans="5:29" x14ac:dyDescent="0.2">
      <c r="Q128" s="19"/>
      <c r="R128" s="19"/>
      <c r="S128" s="19"/>
      <c r="T128" s="19"/>
      <c r="U128" s="19"/>
      <c r="V128" s="19"/>
      <c r="W128" s="19"/>
      <c r="X128" s="19"/>
      <c r="Y128" s="19"/>
      <c r="Z128" s="19"/>
      <c r="AA128" s="19"/>
      <c r="AB128" s="19"/>
      <c r="AC128" s="19"/>
    </row>
    <row r="129" spans="1:29" x14ac:dyDescent="0.2">
      <c r="Q129" s="19"/>
      <c r="R129" s="19"/>
      <c r="S129" s="19"/>
      <c r="T129" s="19"/>
      <c r="U129" s="19"/>
      <c r="V129" s="19"/>
      <c r="W129" s="19"/>
      <c r="X129" s="19"/>
      <c r="Y129" s="19"/>
      <c r="Z129" s="19"/>
      <c r="AA129" s="19"/>
      <c r="AB129" s="19"/>
      <c r="AC129" s="19"/>
    </row>
    <row r="130" spans="1:29" x14ac:dyDescent="0.2">
      <c r="A130" s="69"/>
      <c r="Q130" s="19"/>
      <c r="R130" s="19"/>
      <c r="S130" s="19"/>
      <c r="T130" s="19"/>
      <c r="U130" s="19"/>
      <c r="V130" s="19"/>
      <c r="W130" s="19"/>
      <c r="X130" s="19"/>
      <c r="Y130" s="19"/>
      <c r="Z130" s="19"/>
      <c r="AA130" s="19"/>
      <c r="AB130" s="19"/>
      <c r="AC130" s="19"/>
    </row>
    <row r="131" spans="1:29" ht="16.5" thickBot="1" x14ac:dyDescent="0.3">
      <c r="A131" s="69"/>
      <c r="B131" s="39" t="s">
        <v>3</v>
      </c>
      <c r="C131" s="39" t="s">
        <v>3</v>
      </c>
      <c r="D131" s="39" t="s">
        <v>3</v>
      </c>
      <c r="E131" s="39" t="s">
        <v>757</v>
      </c>
      <c r="F131" s="39" t="s">
        <v>757</v>
      </c>
      <c r="G131" s="39" t="s">
        <v>757</v>
      </c>
      <c r="H131" s="39" t="s">
        <v>757</v>
      </c>
      <c r="I131" s="39" t="s">
        <v>3</v>
      </c>
      <c r="J131" s="39" t="s">
        <v>1</v>
      </c>
      <c r="K131" s="39" t="s">
        <v>1</v>
      </c>
      <c r="L131" s="39" t="s">
        <v>3</v>
      </c>
      <c r="M131" s="39" t="s">
        <v>1</v>
      </c>
      <c r="N131" s="39" t="s">
        <v>757</v>
      </c>
      <c r="O131" s="39" t="s">
        <v>1</v>
      </c>
      <c r="Q131" s="19"/>
      <c r="R131" s="19"/>
      <c r="S131" s="19"/>
      <c r="T131" s="19"/>
      <c r="U131" s="19"/>
      <c r="V131" s="19"/>
      <c r="W131" s="19"/>
      <c r="X131" s="19"/>
      <c r="Y131" s="19"/>
      <c r="Z131" s="19"/>
      <c r="AA131" s="19"/>
      <c r="AB131" s="19"/>
      <c r="AC131" s="19"/>
    </row>
    <row r="132" spans="1:29" ht="15.75" x14ac:dyDescent="0.25">
      <c r="B132" s="221"/>
      <c r="C132" s="222" t="s">
        <v>51</v>
      </c>
      <c r="D132" s="116"/>
      <c r="E132" s="448" t="s">
        <v>808</v>
      </c>
      <c r="F132" s="385"/>
      <c r="G132" s="117"/>
      <c r="H132" s="117"/>
      <c r="I132" s="118"/>
      <c r="J132" s="222" t="s">
        <v>809</v>
      </c>
      <c r="K132" s="223" t="s">
        <v>59</v>
      </c>
      <c r="L132" s="222" t="s">
        <v>800</v>
      </c>
      <c r="M132" s="222" t="s">
        <v>129</v>
      </c>
      <c r="N132" s="222" t="s">
        <v>127</v>
      </c>
      <c r="O132" s="222" t="s">
        <v>127</v>
      </c>
      <c r="P132" s="177"/>
      <c r="Q132" s="19"/>
      <c r="R132" s="19"/>
      <c r="S132" s="19"/>
      <c r="T132" s="19"/>
      <c r="U132" s="19"/>
      <c r="V132" s="19"/>
      <c r="W132" s="19"/>
      <c r="X132" s="19"/>
      <c r="Y132" s="19"/>
      <c r="Z132" s="19"/>
      <c r="AA132" s="19"/>
      <c r="AB132" s="19"/>
      <c r="AC132" s="19"/>
    </row>
    <row r="133" spans="1:29" ht="16.5" thickBot="1" x14ac:dyDescent="0.3">
      <c r="B133" s="314" t="s">
        <v>129</v>
      </c>
      <c r="C133" s="225" t="s">
        <v>13</v>
      </c>
      <c r="D133" s="249"/>
      <c r="E133" s="264"/>
      <c r="F133" s="391"/>
      <c r="G133" s="250"/>
      <c r="H133" s="250"/>
      <c r="I133" s="315"/>
      <c r="J133" s="225" t="s">
        <v>13</v>
      </c>
      <c r="K133" s="449" t="s">
        <v>26</v>
      </c>
      <c r="L133" s="225" t="s">
        <v>197</v>
      </c>
      <c r="M133" s="234" t="s">
        <v>804</v>
      </c>
      <c r="N133" s="234" t="s">
        <v>128</v>
      </c>
      <c r="O133" s="225" t="s">
        <v>116</v>
      </c>
      <c r="P133" s="177"/>
      <c r="Q133" s="19"/>
      <c r="R133" s="19"/>
      <c r="S133" s="19"/>
      <c r="T133" s="19"/>
      <c r="U133" s="19"/>
      <c r="V133" s="19"/>
      <c r="W133" s="19"/>
      <c r="X133" s="19"/>
      <c r="Y133" s="19"/>
      <c r="Z133" s="19"/>
      <c r="AA133" s="19"/>
      <c r="AB133" s="19"/>
      <c r="AC133" s="19"/>
    </row>
    <row r="134" spans="1:29" ht="15.75" x14ac:dyDescent="0.25">
      <c r="B134" s="450" t="s">
        <v>383</v>
      </c>
      <c r="C134" s="186">
        <v>2100</v>
      </c>
      <c r="D134" s="304"/>
      <c r="E134" s="451"/>
      <c r="F134" s="451"/>
      <c r="G134" s="100"/>
      <c r="H134" s="100"/>
      <c r="I134" s="100"/>
      <c r="J134" s="222">
        <f>C134-D134-E134-F134-G134-H134-I134</f>
        <v>2100</v>
      </c>
      <c r="K134" s="222">
        <v>16</v>
      </c>
      <c r="L134" s="452">
        <v>900</v>
      </c>
      <c r="M134" s="453">
        <v>22</v>
      </c>
      <c r="N134" s="454">
        <f>(0.109136*J134^1.9) / M134^5.02</f>
        <v>4.0852894684514675E-2</v>
      </c>
      <c r="O134" s="454">
        <f>N134*K134/100</f>
        <v>6.5364631495223478E-3</v>
      </c>
      <c r="P134" s="177"/>
      <c r="Q134" s="19"/>
      <c r="R134" s="19"/>
      <c r="S134" s="19"/>
      <c r="T134" s="19"/>
      <c r="U134" s="19"/>
      <c r="V134" s="19"/>
      <c r="W134" s="19"/>
      <c r="X134" s="19"/>
      <c r="Y134" s="19"/>
      <c r="Z134" s="19"/>
      <c r="AA134" s="19"/>
      <c r="AB134" s="19"/>
      <c r="AC134" s="19"/>
    </row>
    <row r="135" spans="1:29" ht="15.75" x14ac:dyDescent="0.25">
      <c r="B135" s="455" t="s">
        <v>811</v>
      </c>
      <c r="C135" s="186">
        <v>2100</v>
      </c>
      <c r="D135" s="19"/>
      <c r="E135" s="48"/>
      <c r="F135" s="45"/>
      <c r="G135" s="19"/>
      <c r="H135" s="19"/>
      <c r="I135" s="19"/>
      <c r="J135" s="234">
        <v>200</v>
      </c>
      <c r="K135" s="234">
        <v>15</v>
      </c>
      <c r="L135" s="456">
        <v>890</v>
      </c>
      <c r="M135" s="233">
        <v>9</v>
      </c>
      <c r="N135" s="457">
        <f t="shared" ref="N135:N140" si="0">(0.109136*J135^1.9) / M135^5.02</f>
        <v>4.1651210387951894E-2</v>
      </c>
      <c r="O135" s="457">
        <f t="shared" ref="O135:O140" si="1">N135*K135/100</f>
        <v>6.2476815581927834E-3</v>
      </c>
      <c r="P135" s="228"/>
      <c r="Q135" s="19"/>
      <c r="R135" s="19"/>
      <c r="S135" s="19"/>
      <c r="T135" s="19"/>
      <c r="U135" s="19"/>
      <c r="V135" s="19"/>
      <c r="W135" s="19"/>
      <c r="X135" s="19"/>
      <c r="Y135" s="19"/>
      <c r="Z135" s="19"/>
      <c r="AA135" s="19"/>
      <c r="AB135" s="19"/>
      <c r="AC135" s="19"/>
    </row>
    <row r="136" spans="1:29" ht="15.75" x14ac:dyDescent="0.25">
      <c r="B136" s="455" t="s">
        <v>386</v>
      </c>
      <c r="C136" s="186">
        <v>2100</v>
      </c>
      <c r="D136" s="308">
        <v>200</v>
      </c>
      <c r="E136" s="167"/>
      <c r="F136" s="167"/>
      <c r="G136" s="106"/>
      <c r="H136" s="106"/>
      <c r="I136" s="106"/>
      <c r="J136" s="234">
        <f t="shared" ref="J136:J140" si="2">C136-D136-E136-F136-G136-H136-I136</f>
        <v>1900</v>
      </c>
      <c r="K136" s="455">
        <v>6</v>
      </c>
      <c r="L136" s="456">
        <v>880</v>
      </c>
      <c r="M136" s="233">
        <v>18</v>
      </c>
      <c r="N136" s="457">
        <f t="shared" si="0"/>
        <v>9.2497905411984077E-2</v>
      </c>
      <c r="O136" s="457">
        <f t="shared" si="1"/>
        <v>5.549874324719044E-3</v>
      </c>
      <c r="P136" s="242"/>
      <c r="Q136" s="19"/>
      <c r="R136" s="19"/>
      <c r="S136" s="19"/>
      <c r="T136" s="19"/>
      <c r="U136" s="19"/>
      <c r="V136" s="19"/>
      <c r="W136" s="19"/>
      <c r="X136" s="19"/>
      <c r="Y136" s="19"/>
      <c r="Z136" s="19"/>
      <c r="AA136" s="19"/>
      <c r="AB136" s="19"/>
      <c r="AC136" s="19"/>
    </row>
    <row r="137" spans="1:29" ht="15.75" x14ac:dyDescent="0.25">
      <c r="B137" s="455" t="s">
        <v>798</v>
      </c>
      <c r="C137" s="186">
        <v>2100</v>
      </c>
      <c r="D137" s="308">
        <v>200</v>
      </c>
      <c r="E137" s="167">
        <v>400</v>
      </c>
      <c r="F137" s="167">
        <v>360</v>
      </c>
      <c r="G137" s="458"/>
      <c r="H137" s="106"/>
      <c r="I137" s="106"/>
      <c r="J137" s="234">
        <f t="shared" si="2"/>
        <v>1140</v>
      </c>
      <c r="K137" s="455">
        <v>45</v>
      </c>
      <c r="L137" s="456">
        <v>780</v>
      </c>
      <c r="M137" s="233">
        <v>22</v>
      </c>
      <c r="N137" s="457">
        <f t="shared" si="0"/>
        <v>1.2797507478122083E-2</v>
      </c>
      <c r="O137" s="457">
        <f t="shared" si="1"/>
        <v>5.7588783651549378E-3</v>
      </c>
      <c r="P137" s="242"/>
      <c r="Q137" s="19"/>
      <c r="R137" s="19"/>
      <c r="S137" s="19"/>
      <c r="T137" s="19"/>
      <c r="U137" s="19"/>
      <c r="V137" s="19"/>
      <c r="W137" s="19"/>
      <c r="X137" s="19"/>
      <c r="Y137" s="19"/>
      <c r="Z137" s="19"/>
      <c r="AA137" s="19"/>
      <c r="AB137" s="19"/>
      <c r="AC137" s="19"/>
    </row>
    <row r="138" spans="1:29" ht="15.75" x14ac:dyDescent="0.25">
      <c r="B138" s="455" t="s">
        <v>797</v>
      </c>
      <c r="C138" s="186">
        <v>2100</v>
      </c>
      <c r="D138" s="308">
        <v>200</v>
      </c>
      <c r="E138" s="167">
        <v>400</v>
      </c>
      <c r="F138" s="167">
        <v>360</v>
      </c>
      <c r="G138" s="458">
        <v>250</v>
      </c>
      <c r="H138" s="106"/>
      <c r="I138" s="106"/>
      <c r="J138" s="234">
        <f t="shared" si="2"/>
        <v>890</v>
      </c>
      <c r="K138" s="455">
        <v>20</v>
      </c>
      <c r="L138" s="456">
        <v>700</v>
      </c>
      <c r="M138" s="233">
        <v>16</v>
      </c>
      <c r="N138" s="457">
        <f t="shared" si="0"/>
        <v>3.9548200920704629E-2</v>
      </c>
      <c r="O138" s="457">
        <f t="shared" si="1"/>
        <v>7.9096401841409255E-3</v>
      </c>
      <c r="P138" s="242"/>
      <c r="Q138" s="19"/>
      <c r="R138" s="19"/>
      <c r="S138" s="19"/>
      <c r="T138" s="19"/>
      <c r="U138" s="19"/>
      <c r="V138" s="19"/>
      <c r="W138" s="19"/>
      <c r="X138" s="19"/>
      <c r="Y138" s="19"/>
      <c r="Z138" s="19"/>
      <c r="AA138" s="19"/>
      <c r="AB138" s="19"/>
      <c r="AC138" s="19"/>
    </row>
    <row r="139" spans="1:29" ht="16.5" thickBot="1" x14ac:dyDescent="0.3">
      <c r="A139" s="177"/>
      <c r="B139" s="455" t="s">
        <v>799</v>
      </c>
      <c r="C139" s="186">
        <v>2100</v>
      </c>
      <c r="D139" s="308">
        <v>200</v>
      </c>
      <c r="E139" s="167">
        <v>400</v>
      </c>
      <c r="F139" s="167">
        <v>360</v>
      </c>
      <c r="G139" s="458">
        <v>250</v>
      </c>
      <c r="H139" s="458">
        <v>200</v>
      </c>
      <c r="I139" s="106"/>
      <c r="J139" s="234">
        <f t="shared" si="2"/>
        <v>690</v>
      </c>
      <c r="K139" s="455">
        <v>2</v>
      </c>
      <c r="L139" s="456">
        <v>680</v>
      </c>
      <c r="M139" s="233">
        <v>10</v>
      </c>
      <c r="N139" s="457">
        <f t="shared" si="0"/>
        <v>0.25809601826553213</v>
      </c>
      <c r="O139" s="459">
        <f t="shared" si="1"/>
        <v>5.1619203653106424E-3</v>
      </c>
      <c r="P139" s="242"/>
      <c r="Q139" s="19"/>
      <c r="R139" s="19"/>
      <c r="S139" s="19"/>
      <c r="T139" s="19"/>
      <c r="U139" s="19"/>
      <c r="V139" s="19"/>
      <c r="W139" s="19"/>
      <c r="X139" s="19"/>
      <c r="Y139" s="19"/>
      <c r="Z139" s="19"/>
      <c r="AA139" s="19"/>
      <c r="AB139" s="19"/>
      <c r="AC139" s="19"/>
    </row>
    <row r="140" spans="1:29" ht="16.5" thickBot="1" x14ac:dyDescent="0.3">
      <c r="A140" s="177"/>
      <c r="B140" s="460" t="s">
        <v>202</v>
      </c>
      <c r="C140" s="186">
        <v>2100</v>
      </c>
      <c r="D140" s="308">
        <v>200</v>
      </c>
      <c r="E140" s="167">
        <v>400</v>
      </c>
      <c r="F140" s="167">
        <v>360</v>
      </c>
      <c r="G140" s="458">
        <v>250</v>
      </c>
      <c r="H140" s="458">
        <v>200</v>
      </c>
      <c r="I140" s="458">
        <v>604</v>
      </c>
      <c r="J140" s="225">
        <f t="shared" si="2"/>
        <v>86</v>
      </c>
      <c r="K140" s="455">
        <v>52</v>
      </c>
      <c r="L140" s="456">
        <v>450</v>
      </c>
      <c r="M140" s="461">
        <v>10</v>
      </c>
      <c r="N140" s="457">
        <f t="shared" si="0"/>
        <v>4.9375907359710588E-3</v>
      </c>
      <c r="O140" s="457">
        <f t="shared" si="1"/>
        <v>2.5675471827049504E-3</v>
      </c>
      <c r="P140" s="242"/>
      <c r="Q140" s="19"/>
      <c r="R140" s="19"/>
      <c r="S140" s="19"/>
      <c r="T140" s="19"/>
      <c r="U140" s="19"/>
      <c r="V140" s="19"/>
      <c r="W140" s="19"/>
      <c r="X140" s="19"/>
      <c r="Y140" s="19"/>
      <c r="Z140" s="19"/>
      <c r="AA140" s="19"/>
      <c r="AB140" s="19"/>
      <c r="AC140" s="19"/>
    </row>
    <row r="141" spans="1:29" ht="16.5" thickBot="1" x14ac:dyDescent="0.3">
      <c r="B141" s="395" t="s">
        <v>801</v>
      </c>
      <c r="C141" s="389"/>
      <c r="D141" s="389"/>
      <c r="E141" s="462"/>
      <c r="F141" s="463"/>
      <c r="G141" s="389"/>
      <c r="H141" s="389"/>
      <c r="I141" s="389"/>
      <c r="J141" s="389"/>
      <c r="K141" s="389"/>
      <c r="L141" s="389"/>
      <c r="M141" s="250"/>
      <c r="N141" s="389"/>
      <c r="O141" s="464">
        <v>0.04</v>
      </c>
      <c r="P141" s="39" t="s">
        <v>3</v>
      </c>
      <c r="Q141" s="19"/>
      <c r="R141" s="19"/>
      <c r="S141" s="19"/>
      <c r="T141" s="19"/>
      <c r="U141" s="19"/>
      <c r="V141" s="19"/>
      <c r="W141" s="19"/>
      <c r="X141" s="19"/>
      <c r="Y141" s="19"/>
      <c r="Z141" s="19"/>
      <c r="AA141" s="19"/>
      <c r="AB141" s="19"/>
      <c r="AC141" s="19"/>
    </row>
    <row r="142" spans="1:29" ht="16.5" thickBot="1" x14ac:dyDescent="0.3">
      <c r="C142" s="177"/>
      <c r="D142" s="177"/>
      <c r="E142" s="175"/>
      <c r="F142" s="178"/>
      <c r="G142" s="177"/>
      <c r="H142" s="177"/>
      <c r="I142" s="177"/>
      <c r="J142" s="76" t="s">
        <v>51</v>
      </c>
      <c r="K142" s="225">
        <f>SUM(K134:K140)</f>
        <v>156</v>
      </c>
      <c r="L142" s="12" t="s">
        <v>26</v>
      </c>
      <c r="N142" s="76" t="s">
        <v>51</v>
      </c>
      <c r="O142" s="465">
        <f>SUM(O134:O141)</f>
        <v>7.9732005129745626E-2</v>
      </c>
      <c r="P142" s="77" t="s">
        <v>116</v>
      </c>
      <c r="Q142" s="19"/>
      <c r="R142" s="19"/>
      <c r="S142" s="19"/>
      <c r="T142" s="19"/>
      <c r="U142" s="19"/>
      <c r="V142" s="19"/>
      <c r="W142" s="19"/>
      <c r="X142" s="19"/>
      <c r="Y142" s="19"/>
      <c r="Z142" s="19"/>
      <c r="AA142" s="19"/>
      <c r="AB142" s="19"/>
      <c r="AC142" s="19"/>
    </row>
    <row r="143" spans="1:29" x14ac:dyDescent="0.2">
      <c r="K143" s="69"/>
      <c r="L143" s="69"/>
      <c r="Q143" s="19"/>
      <c r="R143" s="19"/>
      <c r="S143" s="19"/>
      <c r="T143" s="19"/>
      <c r="U143" s="19"/>
      <c r="V143" s="19"/>
      <c r="W143" s="19"/>
      <c r="X143" s="19"/>
      <c r="Y143" s="19"/>
      <c r="Z143" s="19"/>
      <c r="AA143" s="19"/>
      <c r="AB143" s="19"/>
      <c r="AC143" s="19"/>
    </row>
    <row r="144" spans="1:29" ht="22.5" x14ac:dyDescent="0.35">
      <c r="D144" s="475"/>
      <c r="E144" s="473"/>
      <c r="F144" s="474"/>
      <c r="G144" s="476" t="s">
        <v>910</v>
      </c>
      <c r="H144" s="477" t="s">
        <v>920</v>
      </c>
      <c r="I144" s="475"/>
      <c r="J144" s="475"/>
      <c r="K144" s="69"/>
      <c r="L144" s="69"/>
      <c r="M144" s="69"/>
      <c r="Q144" s="19"/>
      <c r="R144" s="19"/>
      <c r="S144" s="19"/>
      <c r="T144" s="19"/>
      <c r="U144" s="19"/>
      <c r="V144" s="19"/>
      <c r="W144" s="19"/>
      <c r="X144" s="19"/>
      <c r="Y144" s="19"/>
      <c r="Z144" s="19"/>
      <c r="AA144" s="19"/>
      <c r="AB144" s="19"/>
      <c r="AC144" s="19"/>
    </row>
    <row r="145" spans="2:29" ht="16.5" thickBot="1" x14ac:dyDescent="0.3">
      <c r="F145" s="39" t="s">
        <v>3</v>
      </c>
      <c r="Q145" s="19"/>
      <c r="R145" s="19"/>
      <c r="S145" s="19"/>
      <c r="T145" s="19"/>
      <c r="U145" s="19"/>
      <c r="V145" s="19"/>
      <c r="W145" s="19"/>
      <c r="X145" s="19"/>
      <c r="Y145" s="19"/>
      <c r="Z145" s="19"/>
      <c r="AA145" s="19"/>
      <c r="AB145" s="19"/>
      <c r="AC145" s="19"/>
    </row>
    <row r="146" spans="2:29" ht="15.75" x14ac:dyDescent="0.25">
      <c r="D146" s="9"/>
      <c r="E146" s="76" t="s">
        <v>802</v>
      </c>
      <c r="F146" s="52">
        <v>2137</v>
      </c>
      <c r="G146" s="9" t="s">
        <v>13</v>
      </c>
      <c r="H146" s="9"/>
      <c r="Q146" s="19"/>
      <c r="R146" s="19"/>
      <c r="S146" s="19"/>
      <c r="T146" s="19"/>
      <c r="U146" s="19"/>
      <c r="V146" s="19"/>
      <c r="W146" s="19"/>
      <c r="X146" s="19"/>
      <c r="Y146" s="19"/>
      <c r="Z146" s="19"/>
      <c r="AA146" s="19"/>
      <c r="AB146" s="19"/>
      <c r="AC146" s="19"/>
    </row>
    <row r="147" spans="2:29" ht="16.5" thickBot="1" x14ac:dyDescent="0.3">
      <c r="D147" s="9"/>
      <c r="E147" s="18" t="s">
        <v>135</v>
      </c>
      <c r="F147" s="93">
        <v>900</v>
      </c>
      <c r="G147" s="9" t="s">
        <v>197</v>
      </c>
      <c r="H147" s="9"/>
      <c r="Q147" s="19"/>
      <c r="R147" s="19"/>
      <c r="S147" s="19"/>
      <c r="T147" s="19"/>
      <c r="U147" s="19"/>
      <c r="V147" s="19"/>
      <c r="W147" s="19"/>
      <c r="X147" s="19"/>
      <c r="Y147" s="19"/>
      <c r="Z147" s="19"/>
      <c r="AA147" s="19"/>
      <c r="AB147" s="19"/>
      <c r="AC147" s="19"/>
    </row>
    <row r="148" spans="2:29" ht="15.75" x14ac:dyDescent="0.25">
      <c r="D148" s="9"/>
      <c r="E148" s="18"/>
      <c r="F148" s="39" t="s">
        <v>1</v>
      </c>
      <c r="G148" s="9"/>
      <c r="H148" s="9"/>
      <c r="Q148" s="19"/>
      <c r="R148" s="19"/>
      <c r="S148" s="19"/>
      <c r="T148" s="19"/>
      <c r="U148" s="19"/>
      <c r="V148" s="19"/>
      <c r="W148" s="19"/>
      <c r="X148" s="19"/>
      <c r="Y148" s="19"/>
      <c r="Z148" s="19"/>
      <c r="AA148" s="19"/>
      <c r="AB148" s="19"/>
      <c r="AC148" s="19"/>
    </row>
    <row r="149" spans="2:29" ht="15.75" x14ac:dyDescent="0.25">
      <c r="D149" s="9"/>
      <c r="E149" s="18" t="s">
        <v>806</v>
      </c>
      <c r="F149" s="16" t="s">
        <v>805</v>
      </c>
      <c r="G149" s="9"/>
      <c r="H149" s="9"/>
      <c r="Q149" s="19"/>
      <c r="R149" s="19"/>
      <c r="S149" s="19"/>
      <c r="T149" s="19"/>
      <c r="U149" s="19"/>
      <c r="V149" s="19"/>
      <c r="W149" s="19"/>
      <c r="X149" s="19"/>
      <c r="Y149" s="19"/>
      <c r="Z149" s="19"/>
      <c r="AA149" s="19"/>
      <c r="AB149" s="19"/>
      <c r="AC149" s="19"/>
    </row>
    <row r="150" spans="2:29" ht="18.75" thickBot="1" x14ac:dyDescent="0.3">
      <c r="D150" s="9"/>
      <c r="E150" s="18"/>
      <c r="F150" s="74">
        <f>12*F146 / (F147*60)</f>
        <v>0.47488888888888892</v>
      </c>
      <c r="G150" s="9" t="s">
        <v>807</v>
      </c>
      <c r="H150" s="9"/>
      <c r="K150" s="418" t="s">
        <v>708</v>
      </c>
      <c r="Q150" s="19"/>
      <c r="R150" s="19"/>
      <c r="S150" s="19"/>
      <c r="T150" s="19"/>
      <c r="U150" s="19"/>
      <c r="V150" s="19"/>
      <c r="W150" s="19"/>
      <c r="X150" s="19"/>
      <c r="Y150" s="19"/>
      <c r="Z150" s="19"/>
      <c r="AA150" s="19"/>
      <c r="AB150" s="19"/>
      <c r="AC150" s="19"/>
    </row>
    <row r="151" spans="2:29" ht="15.75" x14ac:dyDescent="0.25">
      <c r="D151" s="9"/>
      <c r="E151" s="18" t="s">
        <v>803</v>
      </c>
      <c r="F151" s="16" t="s">
        <v>914</v>
      </c>
      <c r="G151" s="9"/>
      <c r="H151" s="9"/>
      <c r="N151" s="222" t="s">
        <v>127</v>
      </c>
      <c r="O151" s="222" t="s">
        <v>89</v>
      </c>
      <c r="P151" s="466" t="s">
        <v>158</v>
      </c>
      <c r="Q151" s="19"/>
      <c r="R151" s="19"/>
      <c r="S151" s="19"/>
      <c r="T151" s="19"/>
      <c r="U151" s="19"/>
      <c r="V151" s="19"/>
      <c r="W151" s="19"/>
      <c r="X151" s="19"/>
      <c r="Y151" s="19"/>
      <c r="Z151" s="19"/>
      <c r="AA151" s="19"/>
      <c r="AB151" s="19"/>
      <c r="AC151" s="19"/>
    </row>
    <row r="152" spans="2:29" ht="16.5" thickBot="1" x14ac:dyDescent="0.3">
      <c r="D152" s="9"/>
      <c r="E152" s="18"/>
      <c r="F152" s="33">
        <f>12*(4*F150/3.1416)^0.5</f>
        <v>9.3310776131136439</v>
      </c>
      <c r="G152" s="9"/>
      <c r="H152" s="9"/>
      <c r="N152" s="225" t="s">
        <v>116</v>
      </c>
      <c r="O152" s="225" t="s">
        <v>810</v>
      </c>
      <c r="P152" s="467" t="s">
        <v>116</v>
      </c>
      <c r="Q152" s="19"/>
      <c r="R152" s="19"/>
      <c r="S152" s="19"/>
      <c r="T152" s="19"/>
      <c r="U152" s="19"/>
      <c r="V152" s="19"/>
      <c r="W152" s="19"/>
      <c r="X152" s="19"/>
      <c r="Y152" s="19"/>
      <c r="Z152" s="19"/>
      <c r="AA152" s="19"/>
      <c r="AB152" s="19"/>
      <c r="AC152" s="19"/>
    </row>
    <row r="153" spans="2:29" x14ac:dyDescent="0.2">
      <c r="M153" s="20" t="s">
        <v>146</v>
      </c>
      <c r="N153" s="468">
        <v>0.92</v>
      </c>
      <c r="O153" s="179">
        <v>2</v>
      </c>
      <c r="P153" s="469">
        <f t="shared" ref="P153:P158" si="3">O153*N153</f>
        <v>1.84</v>
      </c>
      <c r="Q153" s="19"/>
      <c r="R153" s="19"/>
      <c r="S153" s="19"/>
      <c r="T153" s="19"/>
      <c r="U153" s="19"/>
      <c r="V153" s="19"/>
      <c r="W153" s="19"/>
      <c r="X153" s="19"/>
      <c r="Y153" s="19"/>
      <c r="Z153" s="19"/>
      <c r="AA153" s="19"/>
      <c r="AB153" s="19"/>
      <c r="AC153" s="19"/>
    </row>
    <row r="154" spans="2:29" ht="18" x14ac:dyDescent="0.25">
      <c r="B154" s="1" t="s">
        <v>159</v>
      </c>
      <c r="C154" s="9"/>
      <c r="D154" s="9"/>
      <c r="M154" s="20" t="s">
        <v>147</v>
      </c>
      <c r="N154" s="470">
        <v>0.13800000000000001</v>
      </c>
      <c r="O154" s="187">
        <v>1</v>
      </c>
      <c r="P154" s="277">
        <f t="shared" si="3"/>
        <v>0.13800000000000001</v>
      </c>
      <c r="Q154" s="19"/>
      <c r="R154" s="19"/>
      <c r="S154" s="19"/>
      <c r="T154" s="19"/>
      <c r="U154" s="19"/>
      <c r="V154" s="19"/>
      <c r="W154" s="19"/>
      <c r="X154" s="19"/>
      <c r="Y154" s="19"/>
      <c r="Z154" s="19"/>
      <c r="AA154" s="19"/>
      <c r="AB154" s="19"/>
      <c r="AC154" s="19"/>
    </row>
    <row r="155" spans="2:29" ht="18.75" x14ac:dyDescent="0.35">
      <c r="B155" s="30" t="s">
        <v>915</v>
      </c>
      <c r="C155" s="16"/>
      <c r="D155" s="9"/>
      <c r="E155" s="69"/>
      <c r="J155" s="69"/>
      <c r="M155" s="20" t="s">
        <v>148</v>
      </c>
      <c r="N155" s="470">
        <v>0.13800000000000001</v>
      </c>
      <c r="O155" s="187">
        <v>2</v>
      </c>
      <c r="P155" s="277">
        <f t="shared" si="3"/>
        <v>0.27600000000000002</v>
      </c>
      <c r="Q155" s="19"/>
      <c r="R155" s="19"/>
      <c r="S155" s="19"/>
      <c r="T155" s="19"/>
      <c r="U155" s="19"/>
      <c r="V155" s="19"/>
      <c r="W155" s="19"/>
      <c r="X155" s="19"/>
      <c r="Y155" s="19"/>
      <c r="Z155" s="19"/>
      <c r="AA155" s="19"/>
      <c r="AB155" s="19"/>
      <c r="AC155" s="19"/>
    </row>
    <row r="156" spans="2:29" ht="15.75" x14ac:dyDescent="0.25">
      <c r="B156" s="16" t="s">
        <v>139</v>
      </c>
      <c r="C156" s="69"/>
      <c r="D156" s="69"/>
      <c r="G156" s="69"/>
      <c r="H156" s="69"/>
      <c r="I156" s="69"/>
      <c r="J156" s="69"/>
      <c r="M156" s="20" t="s">
        <v>149</v>
      </c>
      <c r="N156" s="470">
        <v>0.13800000000000001</v>
      </c>
      <c r="O156" s="187">
        <v>1</v>
      </c>
      <c r="P156" s="277">
        <f t="shared" si="3"/>
        <v>0.13800000000000001</v>
      </c>
      <c r="Q156" s="19"/>
      <c r="R156" s="19"/>
      <c r="S156" s="19"/>
      <c r="T156" s="19"/>
      <c r="U156" s="19"/>
      <c r="V156" s="19"/>
      <c r="W156" s="19"/>
      <c r="X156" s="19"/>
      <c r="Y156" s="19"/>
      <c r="Z156" s="19"/>
      <c r="AA156" s="19"/>
      <c r="AB156" s="19"/>
      <c r="AC156" s="19"/>
    </row>
    <row r="157" spans="2:29" x14ac:dyDescent="0.2">
      <c r="M157" s="20" t="s">
        <v>150</v>
      </c>
      <c r="N157" s="470">
        <v>0.13800000000000001</v>
      </c>
      <c r="O157" s="187">
        <v>2</v>
      </c>
      <c r="P157" s="277">
        <f t="shared" si="3"/>
        <v>0.27600000000000002</v>
      </c>
      <c r="Q157" s="19"/>
      <c r="R157" s="19"/>
      <c r="S157" s="19"/>
      <c r="T157" s="19"/>
      <c r="U157" s="19"/>
      <c r="V157" s="19"/>
      <c r="W157" s="19"/>
      <c r="X157" s="19"/>
      <c r="Y157" s="19"/>
      <c r="Z157" s="19"/>
      <c r="AA157" s="19"/>
      <c r="AB157" s="19"/>
      <c r="AC157" s="19"/>
    </row>
    <row r="158" spans="2:29" ht="18" x14ac:dyDescent="0.25">
      <c r="B158" s="418" t="s">
        <v>143</v>
      </c>
      <c r="C158" s="69"/>
      <c r="G158" s="43"/>
      <c r="M158" s="20" t="s">
        <v>151</v>
      </c>
      <c r="N158" s="470">
        <v>0.13800000000000001</v>
      </c>
      <c r="O158" s="187">
        <v>1</v>
      </c>
      <c r="P158" s="277">
        <f t="shared" si="3"/>
        <v>0.13800000000000001</v>
      </c>
      <c r="Q158" s="19"/>
      <c r="R158" s="19"/>
      <c r="S158" s="19"/>
      <c r="T158" s="19"/>
      <c r="U158" s="19"/>
      <c r="V158" s="19"/>
      <c r="W158" s="19"/>
      <c r="X158" s="19"/>
      <c r="Y158" s="19"/>
      <c r="Z158" s="19"/>
      <c r="AA158" s="19"/>
      <c r="AB158" s="19"/>
      <c r="AC158" s="19"/>
    </row>
    <row r="159" spans="2:29" ht="19.5" thickBot="1" x14ac:dyDescent="0.3">
      <c r="B159" s="69"/>
      <c r="C159" s="69"/>
      <c r="D159" s="69"/>
      <c r="E159" s="69"/>
      <c r="F159" s="39" t="s">
        <v>3</v>
      </c>
      <c r="G159" s="43"/>
      <c r="M159" s="199" t="s">
        <v>916</v>
      </c>
      <c r="N159" s="470">
        <v>0.13800000000000001</v>
      </c>
      <c r="O159" s="187">
        <v>0</v>
      </c>
      <c r="P159" s="277">
        <f t="shared" ref="P159:P166" si="4">O159*N159</f>
        <v>0</v>
      </c>
      <c r="Q159" s="19"/>
      <c r="R159" s="19"/>
      <c r="S159" s="19"/>
      <c r="T159" s="19"/>
      <c r="U159" s="19"/>
      <c r="V159" s="19"/>
      <c r="W159" s="19"/>
      <c r="X159" s="19"/>
      <c r="Y159" s="19"/>
      <c r="Z159" s="19"/>
      <c r="AA159" s="19"/>
      <c r="AB159" s="19"/>
      <c r="AC159" s="19"/>
    </row>
    <row r="160" spans="2:29" ht="18.75" x14ac:dyDescent="0.25">
      <c r="B160" s="69"/>
      <c r="C160" s="15"/>
      <c r="D160" s="15"/>
      <c r="E160" s="18" t="s">
        <v>135</v>
      </c>
      <c r="F160" s="52">
        <v>600</v>
      </c>
      <c r="G160" s="16" t="s">
        <v>118</v>
      </c>
      <c r="H160" s="9"/>
      <c r="M160" s="199" t="s">
        <v>917</v>
      </c>
      <c r="N160" s="470">
        <v>0</v>
      </c>
      <c r="O160" s="187">
        <v>0</v>
      </c>
      <c r="P160" s="277">
        <f t="shared" si="4"/>
        <v>0</v>
      </c>
      <c r="Q160" s="19"/>
      <c r="R160" s="19"/>
      <c r="S160" s="19"/>
      <c r="T160" s="19"/>
      <c r="U160" s="19"/>
      <c r="V160" s="19"/>
      <c r="W160" s="19"/>
      <c r="X160" s="19"/>
      <c r="Y160" s="19"/>
      <c r="Z160" s="19"/>
      <c r="AA160" s="19"/>
      <c r="AB160" s="19"/>
      <c r="AC160" s="19"/>
    </row>
    <row r="161" spans="2:29" ht="16.5" thickBot="1" x14ac:dyDescent="0.3">
      <c r="C161" s="9"/>
      <c r="D161" s="15"/>
      <c r="E161" s="18" t="s">
        <v>136</v>
      </c>
      <c r="F161" s="93">
        <v>7.4999999999999997E-2</v>
      </c>
      <c r="G161" s="16" t="s">
        <v>137</v>
      </c>
      <c r="H161" s="9"/>
      <c r="M161" s="199" t="s">
        <v>152</v>
      </c>
      <c r="N161" s="470">
        <v>3</v>
      </c>
      <c r="O161" s="187">
        <v>0</v>
      </c>
      <c r="P161" s="277">
        <f t="shared" si="4"/>
        <v>0</v>
      </c>
      <c r="Q161" s="19"/>
      <c r="R161" s="19"/>
      <c r="S161" s="19"/>
      <c r="T161" s="19"/>
      <c r="U161" s="19"/>
      <c r="V161" s="19"/>
      <c r="W161" s="19"/>
      <c r="X161" s="19"/>
      <c r="Y161" s="19"/>
      <c r="Z161" s="19"/>
      <c r="AA161" s="19"/>
      <c r="AB161" s="19"/>
      <c r="AC161" s="19"/>
    </row>
    <row r="162" spans="2:29" ht="15.75" x14ac:dyDescent="0.25">
      <c r="C162" s="9"/>
      <c r="D162" s="9"/>
      <c r="E162" s="18"/>
      <c r="F162" s="39" t="s">
        <v>1</v>
      </c>
      <c r="G162" s="9"/>
      <c r="H162" s="9"/>
      <c r="M162" s="199" t="s">
        <v>153</v>
      </c>
      <c r="N162" s="470">
        <v>4</v>
      </c>
      <c r="O162" s="187">
        <v>5</v>
      </c>
      <c r="P162" s="277">
        <f t="shared" si="4"/>
        <v>20</v>
      </c>
      <c r="Q162" s="19"/>
      <c r="R162" s="19"/>
      <c r="S162" s="19"/>
      <c r="T162" s="19"/>
      <c r="U162" s="19"/>
      <c r="V162" s="19"/>
      <c r="W162" s="19"/>
      <c r="X162" s="19"/>
      <c r="Y162" s="19"/>
      <c r="Z162" s="19"/>
      <c r="AA162" s="19"/>
      <c r="AB162" s="19"/>
      <c r="AC162" s="19"/>
    </row>
    <row r="163" spans="2:29" ht="15.75" x14ac:dyDescent="0.25">
      <c r="C163" s="9"/>
      <c r="D163" s="9"/>
      <c r="E163" s="18" t="s">
        <v>134</v>
      </c>
      <c r="F163" s="12">
        <v>4</v>
      </c>
      <c r="H163" s="9"/>
      <c r="M163" s="199" t="s">
        <v>154</v>
      </c>
      <c r="N163" s="470">
        <v>6</v>
      </c>
      <c r="O163" s="187">
        <v>0</v>
      </c>
      <c r="P163" s="277">
        <f t="shared" si="4"/>
        <v>0</v>
      </c>
      <c r="Q163" s="19"/>
      <c r="R163" s="19"/>
      <c r="S163" s="19"/>
      <c r="T163" s="19"/>
      <c r="U163" s="19"/>
      <c r="V163" s="19"/>
      <c r="W163" s="19"/>
      <c r="X163" s="19"/>
      <c r="Y163" s="19"/>
      <c r="Z163" s="19"/>
      <c r="AA163" s="19"/>
      <c r="AB163" s="19"/>
      <c r="AC163" s="19"/>
    </row>
    <row r="164" spans="2:29" ht="15.75" x14ac:dyDescent="0.25">
      <c r="C164" s="9"/>
      <c r="D164" s="9"/>
      <c r="E164" s="18" t="s">
        <v>918</v>
      </c>
      <c r="F164" s="16" t="s">
        <v>133</v>
      </c>
      <c r="G164" s="16"/>
      <c r="H164" s="9"/>
      <c r="M164" s="199" t="s">
        <v>155</v>
      </c>
      <c r="N164" s="470">
        <v>10</v>
      </c>
      <c r="O164" s="187">
        <v>0</v>
      </c>
      <c r="P164" s="277">
        <f t="shared" si="4"/>
        <v>0</v>
      </c>
      <c r="Q164" s="19"/>
      <c r="R164" s="19"/>
      <c r="S164" s="19"/>
      <c r="T164" s="19"/>
      <c r="U164" s="19"/>
      <c r="V164" s="19"/>
      <c r="W164" s="19"/>
      <c r="X164" s="19"/>
      <c r="Y164" s="19"/>
      <c r="Z164" s="19"/>
      <c r="AA164" s="19"/>
      <c r="AB164" s="19"/>
      <c r="AC164" s="19"/>
    </row>
    <row r="165" spans="2:29" ht="15.75" x14ac:dyDescent="0.25">
      <c r="C165" s="9"/>
      <c r="D165" s="9"/>
      <c r="E165" s="18" t="s">
        <v>2</v>
      </c>
      <c r="F165" s="95">
        <f>F163*(F161*(F160/1097)^2)</f>
        <v>8.9745049272524968E-2</v>
      </c>
      <c r="G165" s="16" t="s">
        <v>116</v>
      </c>
      <c r="H165" s="9"/>
      <c r="M165" s="199" t="s">
        <v>156</v>
      </c>
      <c r="N165" s="470">
        <v>20</v>
      </c>
      <c r="O165" s="187">
        <v>0</v>
      </c>
      <c r="P165" s="277">
        <f t="shared" si="4"/>
        <v>0</v>
      </c>
      <c r="Q165" s="19"/>
      <c r="R165" s="19"/>
      <c r="S165" s="19"/>
      <c r="T165" s="19"/>
      <c r="U165" s="19"/>
      <c r="V165" s="19"/>
      <c r="W165" s="19"/>
      <c r="X165" s="19"/>
      <c r="Y165" s="19"/>
      <c r="Z165" s="19"/>
      <c r="AA165" s="19"/>
      <c r="AB165" s="19"/>
      <c r="AC165" s="19"/>
    </row>
    <row r="166" spans="2:29" ht="16.5" thickBot="1" x14ac:dyDescent="0.3">
      <c r="C166" s="9"/>
      <c r="D166" s="9"/>
      <c r="H166" s="9"/>
      <c r="M166" s="199" t="s">
        <v>157</v>
      </c>
      <c r="N166" s="471">
        <v>50</v>
      </c>
      <c r="O166" s="193">
        <v>0</v>
      </c>
      <c r="P166" s="472">
        <f t="shared" si="4"/>
        <v>0</v>
      </c>
      <c r="Q166" s="19"/>
      <c r="R166" s="19"/>
      <c r="S166" s="19"/>
      <c r="T166" s="19"/>
      <c r="U166" s="19"/>
      <c r="V166" s="19"/>
      <c r="W166" s="19"/>
      <c r="X166" s="19"/>
      <c r="Y166" s="19"/>
      <c r="Z166" s="19"/>
      <c r="AA166" s="19"/>
      <c r="AB166" s="19"/>
      <c r="AC166" s="19"/>
    </row>
    <row r="167" spans="2:29" ht="16.5" thickBot="1" x14ac:dyDescent="0.3">
      <c r="C167" s="9"/>
      <c r="D167" s="9"/>
      <c r="E167" s="18"/>
      <c r="F167" s="16"/>
      <c r="G167" s="9"/>
      <c r="H167" s="9"/>
      <c r="O167" s="18" t="s">
        <v>144</v>
      </c>
      <c r="P167" s="259">
        <f>SUM(P153:P158)</f>
        <v>2.806</v>
      </c>
      <c r="Q167" s="19"/>
      <c r="R167" s="19"/>
      <c r="S167" s="19"/>
      <c r="T167" s="19"/>
      <c r="U167" s="19"/>
      <c r="V167" s="19"/>
      <c r="W167" s="19"/>
      <c r="X167" s="19"/>
      <c r="Y167" s="19"/>
      <c r="Z167" s="19"/>
      <c r="AA167" s="19"/>
      <c r="AB167" s="19"/>
      <c r="AC167" s="19"/>
    </row>
    <row r="168" spans="2:29" ht="21" x14ac:dyDescent="0.25">
      <c r="B168" s="418" t="s">
        <v>921</v>
      </c>
      <c r="C168" s="15"/>
      <c r="D168" s="9"/>
      <c r="E168" s="18"/>
      <c r="F168" s="16"/>
      <c r="G168" s="9"/>
      <c r="H168" s="9"/>
      <c r="P168" s="15" t="s">
        <v>116</v>
      </c>
      <c r="Q168" s="19"/>
      <c r="R168" s="19"/>
      <c r="S168" s="19"/>
      <c r="T168" s="19"/>
      <c r="U168" s="19"/>
      <c r="V168" s="19"/>
      <c r="W168" s="19"/>
      <c r="X168" s="19"/>
      <c r="Y168" s="19"/>
      <c r="Z168" s="19"/>
      <c r="AA168" s="19"/>
      <c r="AB168" s="19"/>
      <c r="AC168" s="19"/>
    </row>
    <row r="169" spans="2:29" ht="16.5" thickBot="1" x14ac:dyDescent="0.3">
      <c r="B169" s="69"/>
      <c r="C169" s="15"/>
      <c r="D169" s="15"/>
      <c r="E169" s="15"/>
      <c r="F169" s="39" t="s">
        <v>3</v>
      </c>
      <c r="G169" s="15"/>
      <c r="H169" s="9"/>
      <c r="Q169" s="19"/>
      <c r="R169" s="19"/>
      <c r="S169" s="19"/>
      <c r="T169" s="19"/>
      <c r="U169" s="19"/>
      <c r="V169" s="19"/>
      <c r="W169" s="19"/>
      <c r="X169" s="19"/>
      <c r="Y169" s="19"/>
      <c r="Z169" s="19"/>
      <c r="AA169" s="19"/>
      <c r="AB169" s="19"/>
      <c r="AC169" s="19"/>
    </row>
    <row r="170" spans="2:29" ht="15.75" x14ac:dyDescent="0.25">
      <c r="B170" s="69"/>
      <c r="C170" s="15"/>
      <c r="D170" s="15"/>
      <c r="E170" s="18" t="s">
        <v>130</v>
      </c>
      <c r="F170" s="52">
        <v>600</v>
      </c>
      <c r="G170" s="16" t="s">
        <v>118</v>
      </c>
      <c r="H170" s="9"/>
      <c r="Q170" s="19"/>
      <c r="R170" s="19"/>
      <c r="S170" s="19"/>
      <c r="T170" s="19"/>
      <c r="U170" s="19"/>
      <c r="V170" s="19"/>
      <c r="W170" s="19"/>
      <c r="X170" s="19"/>
      <c r="Y170" s="19"/>
      <c r="Z170" s="19"/>
      <c r="AA170" s="19"/>
      <c r="AB170" s="19"/>
      <c r="AC170" s="19"/>
    </row>
    <row r="171" spans="2:29" ht="16.5" thickBot="1" x14ac:dyDescent="0.3">
      <c r="C171" s="9"/>
      <c r="D171" s="15"/>
      <c r="E171" s="18" t="s">
        <v>11</v>
      </c>
      <c r="F171" s="93">
        <v>400</v>
      </c>
      <c r="G171" s="16" t="s">
        <v>118</v>
      </c>
      <c r="H171" s="9"/>
      <c r="Q171" s="19"/>
      <c r="R171" s="19"/>
      <c r="S171" s="19"/>
      <c r="T171" s="19"/>
      <c r="U171" s="19"/>
      <c r="V171" s="19"/>
      <c r="W171" s="19"/>
      <c r="X171" s="19"/>
      <c r="Y171" s="19"/>
      <c r="Z171" s="19"/>
      <c r="AA171" s="19"/>
      <c r="AB171" s="19"/>
      <c r="AC171" s="19"/>
    </row>
    <row r="172" spans="2:29" ht="15.75" x14ac:dyDescent="0.25">
      <c r="C172" s="9"/>
      <c r="D172" s="9"/>
      <c r="E172" s="18"/>
      <c r="F172" s="39" t="s">
        <v>1</v>
      </c>
      <c r="G172" s="16"/>
      <c r="H172" s="9"/>
      <c r="Q172" s="19"/>
      <c r="R172" s="19"/>
      <c r="S172" s="19"/>
      <c r="T172" s="19"/>
      <c r="U172" s="19"/>
      <c r="V172" s="19"/>
      <c r="W172" s="19"/>
      <c r="X172" s="19"/>
      <c r="Y172" s="19"/>
      <c r="Z172" s="19"/>
      <c r="AA172" s="19"/>
      <c r="AB172" s="19"/>
      <c r="AC172" s="19"/>
    </row>
    <row r="173" spans="2:29" ht="15.75" x14ac:dyDescent="0.25">
      <c r="C173" s="9"/>
      <c r="D173" s="9"/>
      <c r="E173" s="18" t="s">
        <v>132</v>
      </c>
      <c r="F173" s="16" t="s">
        <v>131</v>
      </c>
      <c r="G173" s="16"/>
      <c r="H173" s="9"/>
      <c r="Q173" s="19"/>
      <c r="R173" s="19"/>
      <c r="S173" s="19"/>
      <c r="T173" s="19"/>
      <c r="U173" s="19"/>
      <c r="V173" s="19"/>
      <c r="W173" s="19"/>
      <c r="X173" s="19"/>
      <c r="Y173" s="19"/>
      <c r="Z173" s="19"/>
      <c r="AA173" s="19"/>
      <c r="AB173" s="19"/>
      <c r="AC173" s="19"/>
    </row>
    <row r="174" spans="2:29" ht="15.75" x14ac:dyDescent="0.25">
      <c r="C174" s="9"/>
      <c r="D174" s="9"/>
      <c r="E174" s="18" t="s">
        <v>2</v>
      </c>
      <c r="F174" s="74">
        <f>(1 - F171/F170)^2</f>
        <v>0.11111111111111113</v>
      </c>
      <c r="G174" s="16" t="s">
        <v>116</v>
      </c>
      <c r="H174" s="9"/>
      <c r="Q174" s="19"/>
      <c r="R174" s="19"/>
      <c r="S174" s="19"/>
      <c r="T174" s="19"/>
      <c r="U174" s="19"/>
      <c r="V174" s="19"/>
      <c r="W174" s="19"/>
      <c r="X174" s="19"/>
      <c r="Y174" s="19"/>
      <c r="Z174" s="19"/>
      <c r="AA174" s="19"/>
      <c r="AB174" s="19"/>
      <c r="AC174" s="19"/>
    </row>
    <row r="175" spans="2:29" ht="15.75" x14ac:dyDescent="0.25">
      <c r="C175" s="9"/>
      <c r="D175" s="9"/>
      <c r="E175" s="18" t="s">
        <v>919</v>
      </c>
      <c r="F175" s="16" t="s">
        <v>141</v>
      </c>
      <c r="G175" s="16"/>
      <c r="H175" s="9"/>
      <c r="Q175" s="19"/>
      <c r="R175" s="19"/>
      <c r="S175" s="19"/>
      <c r="T175" s="19"/>
      <c r="U175" s="19"/>
      <c r="V175" s="19"/>
      <c r="W175" s="19"/>
      <c r="X175" s="19"/>
      <c r="Y175" s="19"/>
      <c r="Z175" s="19"/>
      <c r="AA175" s="19"/>
      <c r="AB175" s="19"/>
      <c r="AC175" s="19"/>
    </row>
    <row r="176" spans="2:29" ht="15.75" x14ac:dyDescent="0.25">
      <c r="C176" s="9"/>
      <c r="D176" s="9"/>
      <c r="E176" s="18" t="s">
        <v>2</v>
      </c>
      <c r="F176" s="74">
        <f>F174*(F171/60)^2/(2*32.2)</f>
        <v>7.6681236101525968E-2</v>
      </c>
      <c r="G176" s="16" t="s">
        <v>140</v>
      </c>
      <c r="H176" s="9"/>
      <c r="Q176" s="19"/>
      <c r="R176" s="19"/>
      <c r="S176" s="19"/>
      <c r="T176" s="19"/>
      <c r="U176" s="19"/>
      <c r="V176" s="19"/>
      <c r="W176" s="19"/>
      <c r="X176" s="19"/>
      <c r="Y176" s="19"/>
      <c r="Z176" s="19"/>
      <c r="AA176" s="19"/>
      <c r="AB176" s="19"/>
      <c r="AC176" s="19"/>
    </row>
    <row r="177" spans="2:29" ht="15.75" x14ac:dyDescent="0.25">
      <c r="C177" s="9"/>
      <c r="D177" s="9"/>
      <c r="E177" s="18" t="s">
        <v>2</v>
      </c>
      <c r="F177" s="95">
        <f>F176*12</f>
        <v>0.92017483321831162</v>
      </c>
      <c r="G177" s="16" t="s">
        <v>116</v>
      </c>
      <c r="H177" s="9"/>
      <c r="Q177" s="19"/>
      <c r="R177" s="19"/>
      <c r="S177" s="19"/>
      <c r="T177" s="19"/>
      <c r="U177" s="19"/>
      <c r="V177" s="19"/>
      <c r="W177" s="19"/>
      <c r="X177" s="19"/>
      <c r="Y177" s="19"/>
      <c r="Z177" s="19"/>
      <c r="AA177" s="19"/>
      <c r="AB177" s="19"/>
      <c r="AC177" s="19"/>
    </row>
    <row r="178" spans="2:29" ht="15.75" x14ac:dyDescent="0.25">
      <c r="C178" s="9"/>
      <c r="D178" s="9"/>
      <c r="E178" s="18"/>
      <c r="F178" s="16"/>
      <c r="G178" s="9"/>
      <c r="H178" s="9"/>
      <c r="Q178" s="19"/>
      <c r="R178" s="19"/>
      <c r="S178" s="19"/>
      <c r="T178" s="19"/>
      <c r="U178" s="19"/>
      <c r="V178" s="19"/>
      <c r="W178" s="19"/>
      <c r="X178" s="19"/>
      <c r="Y178" s="19"/>
      <c r="Z178" s="19"/>
      <c r="AA178" s="19"/>
      <c r="AB178" s="19"/>
      <c r="AC178" s="19"/>
    </row>
    <row r="179" spans="2:29" ht="21" x14ac:dyDescent="0.25">
      <c r="B179" s="418" t="s">
        <v>922</v>
      </c>
      <c r="C179" s="15"/>
      <c r="D179" s="9"/>
      <c r="E179" s="18"/>
      <c r="F179" s="16"/>
      <c r="G179" s="9"/>
      <c r="H179" s="9"/>
      <c r="Q179" s="19"/>
      <c r="R179" s="19"/>
      <c r="S179" s="19"/>
      <c r="T179" s="19"/>
      <c r="U179" s="19"/>
      <c r="V179" s="19"/>
      <c r="W179" s="19"/>
      <c r="X179" s="19"/>
      <c r="Y179" s="19"/>
      <c r="Z179" s="19"/>
      <c r="AA179" s="19"/>
      <c r="AB179" s="19"/>
      <c r="AC179" s="19"/>
    </row>
    <row r="180" spans="2:29" ht="16.5" thickBot="1" x14ac:dyDescent="0.3">
      <c r="B180" s="69"/>
      <c r="C180" s="15"/>
      <c r="D180" s="15"/>
      <c r="E180" s="15"/>
      <c r="F180" s="39" t="s">
        <v>3</v>
      </c>
      <c r="G180" s="15"/>
      <c r="H180" s="9"/>
      <c r="Q180" s="19"/>
      <c r="R180" s="19"/>
      <c r="S180" s="19"/>
      <c r="T180" s="19"/>
      <c r="U180" s="19"/>
      <c r="V180" s="19"/>
      <c r="W180" s="19"/>
      <c r="X180" s="19"/>
      <c r="Y180" s="19"/>
      <c r="Z180" s="19"/>
      <c r="AA180" s="19"/>
      <c r="AB180" s="19"/>
      <c r="AC180" s="19"/>
    </row>
    <row r="181" spans="2:29" ht="15.75" x14ac:dyDescent="0.25">
      <c r="B181" s="69"/>
      <c r="C181" s="15"/>
      <c r="D181" s="15"/>
      <c r="E181" s="18" t="s">
        <v>130</v>
      </c>
      <c r="F181" s="52">
        <v>600</v>
      </c>
      <c r="G181" s="16" t="s">
        <v>118</v>
      </c>
      <c r="H181" s="9"/>
      <c r="Q181" s="19"/>
      <c r="R181" s="19"/>
      <c r="S181" s="19"/>
      <c r="T181" s="19"/>
      <c r="U181" s="19"/>
      <c r="V181" s="19"/>
      <c r="W181" s="19"/>
      <c r="X181" s="19"/>
      <c r="Y181" s="19"/>
      <c r="Z181" s="19"/>
      <c r="AA181" s="19"/>
      <c r="AB181" s="19"/>
      <c r="AC181" s="19"/>
    </row>
    <row r="182" spans="2:29" ht="16.5" thickBot="1" x14ac:dyDescent="0.3">
      <c r="C182" s="9"/>
      <c r="D182" s="15"/>
      <c r="E182" s="18" t="s">
        <v>11</v>
      </c>
      <c r="F182" s="93">
        <v>400</v>
      </c>
      <c r="G182" s="16" t="s">
        <v>118</v>
      </c>
      <c r="H182" s="9"/>
      <c r="J182" s="20"/>
      <c r="Q182" s="19"/>
      <c r="R182" s="19"/>
      <c r="S182" s="19"/>
      <c r="T182" s="19"/>
      <c r="U182" s="19"/>
      <c r="V182" s="19"/>
      <c r="W182" s="19"/>
      <c r="X182" s="19"/>
      <c r="Y182" s="19"/>
      <c r="Z182" s="19"/>
      <c r="AA182" s="19"/>
      <c r="AB182" s="19"/>
      <c r="AC182" s="19"/>
    </row>
    <row r="183" spans="2:29" ht="15.75" x14ac:dyDescent="0.25">
      <c r="C183" s="9"/>
      <c r="D183" s="9"/>
      <c r="E183" s="18"/>
      <c r="F183" s="39" t="s">
        <v>1</v>
      </c>
      <c r="G183" s="16"/>
      <c r="H183" s="9"/>
      <c r="J183" s="20"/>
      <c r="Q183" s="19"/>
      <c r="R183" s="19"/>
      <c r="S183" s="19"/>
      <c r="T183" s="19"/>
      <c r="U183" s="19"/>
      <c r="V183" s="19"/>
      <c r="W183" s="19"/>
      <c r="X183" s="19"/>
      <c r="Y183" s="19"/>
      <c r="Z183" s="19"/>
      <c r="AA183" s="19"/>
      <c r="AB183" s="19"/>
      <c r="AC183" s="19"/>
    </row>
    <row r="184" spans="2:29" ht="15.75" x14ac:dyDescent="0.25">
      <c r="C184" s="9"/>
      <c r="D184" s="9"/>
      <c r="E184" s="18" t="s">
        <v>132</v>
      </c>
      <c r="F184" s="16" t="s">
        <v>138</v>
      </c>
      <c r="G184" s="16"/>
      <c r="H184" s="9"/>
      <c r="J184" s="20"/>
      <c r="Q184" s="19"/>
      <c r="R184" s="19"/>
      <c r="S184" s="19"/>
      <c r="T184" s="19"/>
      <c r="U184" s="19"/>
      <c r="V184" s="19"/>
      <c r="W184" s="19"/>
      <c r="X184" s="19"/>
      <c r="Y184" s="19"/>
      <c r="Z184" s="19"/>
      <c r="AA184" s="19"/>
      <c r="AB184" s="19"/>
      <c r="AC184" s="19"/>
    </row>
    <row r="185" spans="2:29" ht="15.75" x14ac:dyDescent="0.25">
      <c r="C185" s="9"/>
      <c r="D185" s="9"/>
      <c r="E185" s="18" t="s">
        <v>2</v>
      </c>
      <c r="F185" s="74">
        <f>0.15*(1 - F182/F181)^2</f>
        <v>1.666666666666667E-2</v>
      </c>
      <c r="G185" s="16" t="s">
        <v>116</v>
      </c>
      <c r="H185" s="9"/>
      <c r="J185" s="20"/>
      <c r="Q185" s="19"/>
      <c r="R185" s="19"/>
      <c r="S185" s="19"/>
      <c r="T185" s="19"/>
      <c r="U185" s="19"/>
      <c r="V185" s="19"/>
      <c r="W185" s="19"/>
      <c r="X185" s="19"/>
      <c r="Y185" s="19"/>
      <c r="Z185" s="19"/>
      <c r="AA185" s="19"/>
      <c r="AB185" s="19"/>
      <c r="AC185" s="19"/>
    </row>
    <row r="186" spans="2:29" ht="15.75" x14ac:dyDescent="0.25">
      <c r="C186" s="9"/>
      <c r="D186" s="9"/>
      <c r="E186" s="18" t="s">
        <v>919</v>
      </c>
      <c r="F186" s="16" t="s">
        <v>141</v>
      </c>
      <c r="G186" s="16"/>
      <c r="H186" s="9"/>
      <c r="J186" s="20"/>
      <c r="Q186" s="19"/>
      <c r="R186" s="19"/>
      <c r="S186" s="19"/>
      <c r="T186" s="19"/>
      <c r="U186" s="19"/>
      <c r="V186" s="19"/>
      <c r="W186" s="19"/>
      <c r="X186" s="19"/>
      <c r="Y186" s="19"/>
      <c r="Z186" s="19"/>
      <c r="AA186" s="19"/>
      <c r="AB186" s="19"/>
      <c r="AC186" s="19"/>
    </row>
    <row r="187" spans="2:29" ht="15.75" x14ac:dyDescent="0.25">
      <c r="C187" s="9"/>
      <c r="D187" s="9"/>
      <c r="E187" s="18" t="s">
        <v>2</v>
      </c>
      <c r="F187" s="74">
        <f>F185*(F182/60)^2/(2*32.2)</f>
        <v>1.1502185415228895E-2</v>
      </c>
      <c r="G187" s="16" t="s">
        <v>140</v>
      </c>
      <c r="H187" s="9"/>
      <c r="Q187" s="19"/>
      <c r="R187" s="19"/>
      <c r="S187" s="19"/>
      <c r="T187" s="19"/>
      <c r="U187" s="19"/>
      <c r="V187" s="19"/>
      <c r="W187" s="19"/>
      <c r="X187" s="19"/>
      <c r="Y187" s="19"/>
      <c r="Z187" s="19"/>
      <c r="AA187" s="19"/>
      <c r="AB187" s="19"/>
      <c r="AC187" s="19"/>
    </row>
    <row r="188" spans="2:29" ht="15.75" x14ac:dyDescent="0.25">
      <c r="C188" s="9"/>
      <c r="D188" s="9"/>
      <c r="E188" s="18" t="s">
        <v>2</v>
      </c>
      <c r="F188" s="95">
        <f>F187*12</f>
        <v>0.13802622498274675</v>
      </c>
      <c r="G188" s="16" t="s">
        <v>116</v>
      </c>
      <c r="H188" s="9"/>
      <c r="Q188" s="19"/>
      <c r="R188" s="19"/>
      <c r="S188" s="19"/>
      <c r="T188" s="19"/>
      <c r="U188" s="19"/>
      <c r="V188" s="19"/>
      <c r="W188" s="19"/>
      <c r="X188" s="19"/>
      <c r="Y188" s="19"/>
      <c r="Z188" s="19"/>
      <c r="AA188" s="19"/>
      <c r="AB188" s="19"/>
      <c r="AC188" s="19"/>
    </row>
    <row r="189" spans="2:29" ht="15.75" x14ac:dyDescent="0.25">
      <c r="C189" s="9"/>
      <c r="D189" s="9"/>
      <c r="E189" s="18"/>
      <c r="F189" s="16"/>
      <c r="G189" s="9"/>
      <c r="H189" s="9"/>
      <c r="Q189" s="19"/>
      <c r="R189" s="19"/>
      <c r="S189" s="19"/>
      <c r="T189" s="19"/>
      <c r="U189" s="19"/>
      <c r="V189" s="19"/>
      <c r="W189" s="19"/>
      <c r="X189" s="19"/>
      <c r="Y189" s="19"/>
      <c r="Z189" s="19"/>
      <c r="AA189" s="19"/>
      <c r="AB189" s="19"/>
      <c r="AC189" s="19"/>
    </row>
    <row r="190" spans="2:29" ht="18" x14ac:dyDescent="0.25">
      <c r="B190" s="418" t="s">
        <v>142</v>
      </c>
      <c r="C190" s="9"/>
      <c r="D190" s="9"/>
      <c r="E190" s="18"/>
      <c r="F190" s="16"/>
      <c r="G190" s="9"/>
      <c r="H190" s="9"/>
      <c r="Q190" s="19"/>
      <c r="R190" s="19"/>
      <c r="S190" s="19"/>
      <c r="T190" s="19"/>
      <c r="U190" s="19"/>
      <c r="V190" s="19"/>
      <c r="W190" s="19"/>
      <c r="X190" s="19"/>
      <c r="Y190" s="19"/>
      <c r="Z190" s="19"/>
      <c r="AA190" s="19"/>
      <c r="AB190" s="19"/>
      <c r="AC190" s="19"/>
    </row>
    <row r="191" spans="2:29" ht="16.5" thickBot="1" x14ac:dyDescent="0.3">
      <c r="C191" s="9"/>
      <c r="D191" s="9"/>
      <c r="E191" s="15"/>
      <c r="F191" s="39" t="s">
        <v>3</v>
      </c>
      <c r="G191" s="16"/>
      <c r="H191" s="9"/>
      <c r="Q191" s="19"/>
      <c r="R191" s="19"/>
      <c r="S191" s="19"/>
      <c r="T191" s="19"/>
      <c r="U191" s="19"/>
      <c r="V191" s="19"/>
      <c r="W191" s="19"/>
      <c r="X191" s="19"/>
      <c r="Y191" s="19"/>
      <c r="Z191" s="19"/>
      <c r="AA191" s="19"/>
      <c r="AB191" s="19"/>
      <c r="AC191" s="19"/>
    </row>
    <row r="192" spans="2:29" ht="15.75" x14ac:dyDescent="0.25">
      <c r="C192" s="9"/>
      <c r="D192" s="9"/>
      <c r="E192" s="18" t="s">
        <v>135</v>
      </c>
      <c r="F192" s="52">
        <v>600</v>
      </c>
      <c r="G192" s="16" t="s">
        <v>118</v>
      </c>
      <c r="H192" s="9"/>
      <c r="Q192" s="19"/>
      <c r="R192" s="19"/>
      <c r="S192" s="19"/>
      <c r="T192" s="19"/>
      <c r="U192" s="19"/>
      <c r="V192" s="19"/>
      <c r="W192" s="19"/>
      <c r="X192" s="19"/>
      <c r="Y192" s="19"/>
      <c r="Z192" s="19"/>
      <c r="AA192" s="19"/>
      <c r="AB192" s="19"/>
      <c r="AC192" s="19"/>
    </row>
    <row r="193" spans="3:29" ht="16.5" thickBot="1" x14ac:dyDescent="0.3">
      <c r="C193" s="9"/>
      <c r="D193" s="9"/>
      <c r="E193" s="18" t="s">
        <v>136</v>
      </c>
      <c r="F193" s="93">
        <v>7.4999999999999997E-2</v>
      </c>
      <c r="G193" s="16" t="s">
        <v>137</v>
      </c>
      <c r="H193" s="9"/>
      <c r="Q193" s="19"/>
      <c r="R193" s="19"/>
      <c r="S193" s="19"/>
      <c r="T193" s="19"/>
      <c r="U193" s="19"/>
      <c r="V193" s="19"/>
      <c r="W193" s="19"/>
      <c r="X193" s="19"/>
      <c r="Y193" s="19"/>
      <c r="Z193" s="19"/>
      <c r="AA193" s="19"/>
      <c r="AB193" s="19"/>
      <c r="AC193" s="19"/>
    </row>
    <row r="194" spans="3:29" ht="15.75" x14ac:dyDescent="0.25">
      <c r="C194" s="9"/>
      <c r="D194" s="9"/>
      <c r="E194" s="18"/>
      <c r="F194" s="39" t="s">
        <v>1</v>
      </c>
      <c r="G194" s="9"/>
      <c r="H194" s="9"/>
      <c r="Q194" s="19"/>
      <c r="R194" s="19"/>
      <c r="S194" s="19"/>
      <c r="T194" s="19"/>
      <c r="U194" s="19"/>
      <c r="V194" s="19"/>
      <c r="W194" s="19"/>
      <c r="X194" s="19"/>
      <c r="Y194" s="19"/>
      <c r="Z194" s="19"/>
      <c r="AA194" s="19"/>
      <c r="AB194" s="19"/>
      <c r="AC194" s="19"/>
    </row>
    <row r="195" spans="3:29" ht="15.75" x14ac:dyDescent="0.25">
      <c r="C195" s="9"/>
      <c r="D195" s="9"/>
      <c r="E195" s="18" t="s">
        <v>134</v>
      </c>
      <c r="F195" s="75">
        <v>1</v>
      </c>
      <c r="G195" s="16" t="s">
        <v>49</v>
      </c>
      <c r="H195" s="9"/>
      <c r="Q195" s="19"/>
      <c r="R195" s="19"/>
      <c r="S195" s="19"/>
      <c r="T195" s="19"/>
      <c r="U195" s="19"/>
      <c r="V195" s="19"/>
      <c r="W195" s="19"/>
      <c r="X195" s="19"/>
      <c r="Y195" s="19"/>
      <c r="Z195" s="19"/>
      <c r="AA195" s="19"/>
      <c r="AB195" s="19"/>
      <c r="AC195" s="19"/>
    </row>
    <row r="196" spans="3:29" ht="15.75" x14ac:dyDescent="0.25">
      <c r="C196" s="9"/>
      <c r="D196" s="9"/>
      <c r="E196" s="18" t="s">
        <v>918</v>
      </c>
      <c r="F196" s="16" t="s">
        <v>133</v>
      </c>
      <c r="G196" s="16"/>
      <c r="H196" s="9"/>
      <c r="Q196" s="19"/>
      <c r="R196" s="19"/>
      <c r="S196" s="19"/>
      <c r="T196" s="19"/>
      <c r="U196" s="19"/>
      <c r="V196" s="19"/>
      <c r="W196" s="19"/>
      <c r="X196" s="19"/>
      <c r="Y196" s="19"/>
      <c r="Z196" s="19"/>
      <c r="AA196" s="19"/>
      <c r="AB196" s="19"/>
      <c r="AC196" s="19"/>
    </row>
    <row r="197" spans="3:29" ht="15.75" x14ac:dyDescent="0.25">
      <c r="C197" s="9"/>
      <c r="D197" s="9"/>
      <c r="E197" s="18" t="s">
        <v>2</v>
      </c>
      <c r="F197" s="95">
        <f>F195*(F193*(F192/1097)^2)</f>
        <v>2.2436262318131242E-2</v>
      </c>
      <c r="G197" s="16" t="s">
        <v>116</v>
      </c>
      <c r="H197" s="9"/>
      <c r="Q197" s="19"/>
      <c r="R197" s="19"/>
      <c r="S197" s="19"/>
      <c r="T197" s="19"/>
      <c r="U197" s="19"/>
      <c r="V197" s="19"/>
      <c r="W197" s="19"/>
      <c r="X197" s="19"/>
      <c r="Y197" s="19"/>
      <c r="Z197" s="19"/>
      <c r="AA197" s="19"/>
      <c r="AB197" s="19"/>
      <c r="AC197" s="19"/>
    </row>
    <row r="198" spans="3:29" x14ac:dyDescent="0.2">
      <c r="Q198" s="19"/>
      <c r="R198" s="19"/>
      <c r="S198" s="19"/>
      <c r="T198" s="19"/>
      <c r="U198" s="19"/>
      <c r="V198" s="19"/>
      <c r="W198" s="19"/>
      <c r="X198" s="19"/>
      <c r="Y198" s="19"/>
      <c r="Z198" s="19"/>
      <c r="AA198" s="19"/>
      <c r="AB198" s="19"/>
      <c r="AC198" s="19"/>
    </row>
    <row r="199" spans="3:29" x14ac:dyDescent="0.2">
      <c r="Q199" s="19"/>
      <c r="R199" s="19"/>
      <c r="S199" s="19"/>
      <c r="T199" s="19"/>
      <c r="U199" s="19"/>
      <c r="V199" s="19"/>
      <c r="W199" s="19"/>
      <c r="X199" s="19"/>
      <c r="Y199" s="19"/>
      <c r="Z199" s="19"/>
      <c r="AA199" s="19"/>
      <c r="AB199" s="19"/>
      <c r="AC199" s="19"/>
    </row>
    <row r="200" spans="3:29" x14ac:dyDescent="0.2">
      <c r="F200" s="43" t="s">
        <v>821</v>
      </c>
      <c r="Q200" s="19"/>
      <c r="R200" s="19"/>
      <c r="S200" s="19"/>
      <c r="T200" s="19"/>
      <c r="U200" s="19"/>
      <c r="V200" s="19"/>
      <c r="W200" s="19"/>
      <c r="X200" s="19"/>
      <c r="Y200" s="19"/>
      <c r="Z200" s="19"/>
      <c r="AA200" s="19"/>
      <c r="AB200" s="19"/>
      <c r="AC200" s="19"/>
    </row>
    <row r="201" spans="3:29" x14ac:dyDescent="0.2">
      <c r="Q201" s="19"/>
      <c r="R201" s="19"/>
      <c r="S201" s="19"/>
      <c r="T201" s="19"/>
      <c r="U201" s="19"/>
      <c r="V201" s="19"/>
      <c r="W201" s="19"/>
      <c r="X201" s="19"/>
      <c r="Y201" s="19"/>
      <c r="Z201" s="19"/>
      <c r="AA201" s="19"/>
      <c r="AB201" s="19"/>
      <c r="AC201" s="19"/>
    </row>
    <row r="202" spans="3:29" x14ac:dyDescent="0.2">
      <c r="Q202" s="19"/>
      <c r="R202" s="19"/>
      <c r="S202" s="19"/>
      <c r="T202" s="19"/>
      <c r="U202" s="19"/>
      <c r="V202" s="19"/>
      <c r="W202" s="19"/>
      <c r="X202" s="19"/>
      <c r="Y202" s="19"/>
      <c r="Z202" s="19"/>
      <c r="AA202" s="19"/>
      <c r="AB202" s="19"/>
      <c r="AC202" s="19"/>
    </row>
    <row r="203" spans="3:29" x14ac:dyDescent="0.2">
      <c r="Q203" s="19"/>
      <c r="R203" s="19"/>
      <c r="S203" s="19"/>
      <c r="T203" s="19"/>
      <c r="U203" s="19"/>
      <c r="V203" s="19"/>
      <c r="W203" s="19"/>
      <c r="X203" s="19"/>
      <c r="Y203" s="19"/>
      <c r="Z203" s="19"/>
      <c r="AA203" s="19"/>
      <c r="AB203" s="19"/>
      <c r="AC203" s="19"/>
    </row>
    <row r="204" spans="3:29" x14ac:dyDescent="0.2">
      <c r="Q204" s="19"/>
      <c r="R204" s="19"/>
      <c r="S204" s="19"/>
      <c r="T204" s="19"/>
      <c r="U204" s="19"/>
      <c r="V204" s="19"/>
      <c r="W204" s="19"/>
      <c r="X204" s="19"/>
      <c r="Y204" s="19"/>
      <c r="Z204" s="19"/>
      <c r="AA204" s="19"/>
      <c r="AB204" s="19"/>
      <c r="AC204" s="19"/>
    </row>
    <row r="205" spans="3:29" x14ac:dyDescent="0.2">
      <c r="Q205" s="19"/>
      <c r="R205" s="19"/>
      <c r="S205" s="19"/>
      <c r="T205" s="19"/>
      <c r="U205" s="19"/>
      <c r="V205" s="19"/>
      <c r="W205" s="19"/>
      <c r="X205" s="19"/>
      <c r="Y205" s="19"/>
      <c r="Z205" s="19"/>
      <c r="AA205" s="19"/>
      <c r="AB205" s="19"/>
      <c r="AC205" s="19"/>
    </row>
    <row r="206" spans="3:29" x14ac:dyDescent="0.2">
      <c r="Q206" s="19"/>
      <c r="R206" s="19"/>
      <c r="S206" s="19"/>
      <c r="T206" s="19"/>
      <c r="U206" s="19"/>
      <c r="V206" s="19"/>
      <c r="W206" s="19"/>
      <c r="X206" s="19"/>
      <c r="Y206" s="19"/>
      <c r="Z206" s="19"/>
      <c r="AA206" s="19"/>
      <c r="AB206" s="19"/>
      <c r="AC206" s="19"/>
    </row>
    <row r="207" spans="3:29" x14ac:dyDescent="0.2">
      <c r="Q207" s="19"/>
      <c r="R207" s="19"/>
      <c r="S207" s="19"/>
      <c r="T207" s="19"/>
      <c r="U207" s="19"/>
      <c r="V207" s="19"/>
      <c r="W207" s="19"/>
      <c r="X207" s="19"/>
      <c r="Y207" s="19"/>
      <c r="Z207" s="19"/>
      <c r="AA207" s="19"/>
      <c r="AB207" s="19"/>
      <c r="AC207" s="19"/>
    </row>
    <row r="208" spans="3:29" x14ac:dyDescent="0.2">
      <c r="Q208" s="19"/>
      <c r="R208" s="19"/>
      <c r="S208" s="19"/>
      <c r="T208" s="19"/>
      <c r="U208" s="19"/>
      <c r="V208" s="19"/>
      <c r="W208" s="19"/>
      <c r="X208" s="19"/>
      <c r="Y208" s="19"/>
      <c r="Z208" s="19"/>
      <c r="AA208" s="19"/>
      <c r="AB208" s="19"/>
      <c r="AC208" s="19"/>
    </row>
    <row r="209" spans="5:29" x14ac:dyDescent="0.2">
      <c r="Q209" s="19"/>
      <c r="R209" s="19"/>
      <c r="S209" s="19"/>
      <c r="T209" s="19"/>
      <c r="U209" s="19"/>
      <c r="V209" s="19"/>
      <c r="W209" s="19"/>
      <c r="X209" s="19"/>
      <c r="Y209" s="19"/>
      <c r="Z209" s="19"/>
      <c r="AA209" s="19"/>
      <c r="AB209" s="19"/>
      <c r="AC209" s="19"/>
    </row>
    <row r="210" spans="5:29" x14ac:dyDescent="0.2">
      <c r="Q210" s="19"/>
      <c r="R210" s="19"/>
      <c r="S210" s="19"/>
      <c r="T210" s="19"/>
      <c r="U210" s="19"/>
      <c r="V210" s="19"/>
      <c r="W210" s="19"/>
      <c r="X210" s="19"/>
      <c r="Y210" s="19"/>
      <c r="Z210" s="19"/>
      <c r="AA210" s="19"/>
      <c r="AB210" s="19"/>
      <c r="AC210" s="19"/>
    </row>
    <row r="211" spans="5:29" x14ac:dyDescent="0.2">
      <c r="Q211" s="19"/>
      <c r="R211" s="19"/>
      <c r="S211" s="19"/>
      <c r="T211" s="19"/>
      <c r="U211" s="19"/>
      <c r="V211" s="19"/>
      <c r="W211" s="19"/>
      <c r="X211" s="19"/>
      <c r="Y211" s="19"/>
      <c r="Z211" s="19"/>
      <c r="AA211" s="19"/>
      <c r="AB211" s="19"/>
      <c r="AC211" s="19"/>
    </row>
    <row r="212" spans="5:29" x14ac:dyDescent="0.2">
      <c r="Q212" s="19"/>
      <c r="R212" s="19"/>
      <c r="S212" s="19"/>
      <c r="T212" s="19"/>
      <c r="U212" s="19"/>
      <c r="V212" s="19"/>
      <c r="W212" s="19"/>
      <c r="X212" s="19"/>
      <c r="Y212" s="19"/>
      <c r="Z212" s="19"/>
      <c r="AA212" s="19"/>
      <c r="AB212" s="19"/>
      <c r="AC212" s="19"/>
    </row>
    <row r="213" spans="5:29" x14ac:dyDescent="0.2">
      <c r="Q213" s="19"/>
      <c r="R213" s="19"/>
      <c r="S213" s="19"/>
      <c r="T213" s="19"/>
      <c r="U213" s="19"/>
      <c r="V213" s="19"/>
      <c r="W213" s="19"/>
      <c r="X213" s="19"/>
      <c r="Y213" s="19"/>
      <c r="Z213" s="19"/>
      <c r="AA213" s="19"/>
      <c r="AB213" s="19"/>
      <c r="AC213" s="19"/>
    </row>
    <row r="214" spans="5:29" x14ac:dyDescent="0.2">
      <c r="Q214" s="19"/>
      <c r="R214" s="19"/>
      <c r="S214" s="19"/>
      <c r="T214" s="19"/>
      <c r="U214" s="19"/>
      <c r="V214" s="19"/>
      <c r="W214" s="19"/>
      <c r="X214" s="19"/>
      <c r="Y214" s="19"/>
      <c r="Z214" s="19"/>
      <c r="AA214" s="19"/>
      <c r="AB214" s="19"/>
      <c r="AC214" s="19"/>
    </row>
    <row r="215" spans="5:29" x14ac:dyDescent="0.2">
      <c r="Q215" s="19"/>
      <c r="R215" s="19"/>
      <c r="S215" s="19"/>
      <c r="T215" s="19"/>
      <c r="U215" s="19"/>
      <c r="V215" s="19"/>
      <c r="W215" s="19"/>
      <c r="X215" s="19"/>
      <c r="Y215" s="19"/>
      <c r="Z215" s="19"/>
      <c r="AA215" s="19"/>
      <c r="AB215" s="19"/>
      <c r="AC215" s="19"/>
    </row>
    <row r="216" spans="5:29" x14ac:dyDescent="0.2">
      <c r="Q216" s="19"/>
      <c r="R216" s="19"/>
      <c r="S216" s="19"/>
      <c r="T216" s="19"/>
      <c r="U216" s="19"/>
      <c r="V216" s="19"/>
      <c r="W216" s="19"/>
      <c r="X216" s="19"/>
      <c r="Y216" s="19"/>
      <c r="Z216" s="19"/>
      <c r="AA216" s="19"/>
      <c r="AB216" s="19"/>
      <c r="AC216" s="19"/>
    </row>
    <row r="217" spans="5:29" x14ac:dyDescent="0.2">
      <c r="Q217" s="19"/>
      <c r="R217" s="19"/>
      <c r="S217" s="19"/>
      <c r="T217" s="19"/>
      <c r="U217" s="19"/>
      <c r="V217" s="19"/>
      <c r="W217" s="19"/>
      <c r="X217" s="19"/>
      <c r="Y217" s="19"/>
      <c r="Z217" s="19"/>
      <c r="AA217" s="19"/>
      <c r="AB217" s="19"/>
      <c r="AC217" s="19"/>
    </row>
    <row r="218" spans="5:29" x14ac:dyDescent="0.2">
      <c r="Q218" s="19"/>
      <c r="R218" s="19"/>
      <c r="S218" s="19"/>
      <c r="T218" s="19"/>
      <c r="U218" s="19"/>
      <c r="V218" s="19"/>
      <c r="W218" s="19"/>
      <c r="X218" s="19"/>
      <c r="Y218" s="19"/>
      <c r="Z218" s="19"/>
      <c r="AA218" s="19"/>
      <c r="AB218" s="19"/>
      <c r="AC218" s="19"/>
    </row>
    <row r="219" spans="5:29" x14ac:dyDescent="0.2">
      <c r="E219" s="17"/>
      <c r="F219" s="17"/>
      <c r="V219" s="19"/>
      <c r="W219" s="19"/>
      <c r="X219" s="19"/>
      <c r="Y219" s="19"/>
      <c r="Z219" s="19"/>
      <c r="AA219" s="19"/>
      <c r="AB219" s="19"/>
      <c r="AC219" s="19"/>
    </row>
    <row r="220" spans="5:29" x14ac:dyDescent="0.2">
      <c r="E220" s="17"/>
      <c r="F220" s="17"/>
      <c r="V220" s="19"/>
      <c r="W220" s="19"/>
      <c r="X220" s="19"/>
      <c r="Y220" s="19"/>
      <c r="Z220" s="19"/>
      <c r="AA220" s="19"/>
      <c r="AB220" s="19"/>
      <c r="AC220" s="19"/>
    </row>
    <row r="221" spans="5:29" x14ac:dyDescent="0.2">
      <c r="E221" s="17"/>
      <c r="F221" s="17"/>
      <c r="V221" s="19"/>
      <c r="W221" s="19"/>
      <c r="X221" s="19"/>
      <c r="Y221" s="19"/>
      <c r="Z221" s="19"/>
      <c r="AA221" s="19"/>
      <c r="AB221" s="19"/>
      <c r="AC221" s="19"/>
    </row>
    <row r="222" spans="5:29" x14ac:dyDescent="0.2">
      <c r="E222" s="17"/>
      <c r="F222" s="17"/>
      <c r="V222" s="19"/>
      <c r="W222" s="19"/>
      <c r="X222" s="19"/>
      <c r="Y222" s="19"/>
      <c r="Z222" s="19"/>
      <c r="AA222" s="19"/>
      <c r="AB222" s="19"/>
      <c r="AC222" s="19"/>
    </row>
    <row r="223" spans="5:29" x14ac:dyDescent="0.2">
      <c r="Q223" s="19"/>
      <c r="R223" s="19"/>
      <c r="S223" s="19"/>
      <c r="T223" s="19"/>
      <c r="U223" s="19"/>
      <c r="V223" s="19"/>
      <c r="W223" s="19"/>
      <c r="X223" s="19"/>
      <c r="Y223" s="19"/>
      <c r="Z223" s="19"/>
      <c r="AA223" s="19"/>
      <c r="AB223" s="19"/>
      <c r="AC223" s="19"/>
    </row>
    <row r="224" spans="5:29" x14ac:dyDescent="0.2">
      <c r="Q224" s="19"/>
      <c r="R224" s="19"/>
      <c r="S224" s="19"/>
      <c r="T224" s="19"/>
      <c r="U224" s="19"/>
      <c r="V224" s="19"/>
      <c r="W224" s="19"/>
      <c r="X224" s="19"/>
      <c r="Y224" s="19"/>
      <c r="Z224" s="19"/>
      <c r="AA224" s="19"/>
      <c r="AB224" s="19"/>
      <c r="AC224" s="19"/>
    </row>
    <row r="225" spans="5:29" x14ac:dyDescent="0.2">
      <c r="Q225" s="19"/>
      <c r="R225" s="19"/>
      <c r="S225" s="19"/>
      <c r="T225" s="19"/>
      <c r="U225" s="19"/>
      <c r="V225" s="19"/>
      <c r="X225" s="19"/>
      <c r="Y225" s="19"/>
      <c r="Z225" s="19"/>
      <c r="AA225" s="19"/>
      <c r="AB225" s="19"/>
      <c r="AC225" s="19"/>
    </row>
    <row r="226" spans="5:29" x14ac:dyDescent="0.2">
      <c r="Q226" s="19"/>
      <c r="R226" s="19"/>
      <c r="S226" s="19"/>
      <c r="T226" s="19"/>
      <c r="U226" s="19"/>
      <c r="V226" s="19"/>
      <c r="X226" s="19"/>
      <c r="Y226" s="19"/>
      <c r="Z226" s="19"/>
      <c r="AA226" s="19"/>
      <c r="AB226" s="19"/>
      <c r="AC226" s="19"/>
    </row>
    <row r="227" spans="5:29" x14ac:dyDescent="0.2">
      <c r="E227" s="17"/>
      <c r="F227" s="17"/>
      <c r="X227" s="19"/>
      <c r="Y227" s="19"/>
      <c r="Z227" s="19"/>
      <c r="AA227" s="19"/>
      <c r="AB227" s="19"/>
      <c r="AC227" s="19"/>
    </row>
    <row r="228" spans="5:29" x14ac:dyDescent="0.2">
      <c r="E228" s="17"/>
      <c r="F228" s="17"/>
      <c r="X228" s="19"/>
      <c r="Y228" s="19"/>
      <c r="Z228" s="19"/>
      <c r="AA228" s="19"/>
      <c r="AB228" s="19"/>
      <c r="AC228" s="19"/>
    </row>
    <row r="229" spans="5:29" x14ac:dyDescent="0.2">
      <c r="E229" s="17"/>
      <c r="F229" s="17"/>
      <c r="X229" s="19"/>
      <c r="Y229" s="19"/>
      <c r="Z229" s="19"/>
      <c r="AA229" s="19"/>
      <c r="AB229" s="19"/>
      <c r="AC229" s="19"/>
    </row>
    <row r="230" spans="5:29" x14ac:dyDescent="0.2">
      <c r="E230" s="17"/>
      <c r="F230" s="17"/>
      <c r="X230" s="19"/>
      <c r="Y230" s="19"/>
      <c r="Z230" s="19"/>
      <c r="AA230" s="19"/>
      <c r="AB230" s="19"/>
      <c r="AC230" s="19"/>
    </row>
    <row r="231" spans="5:29" x14ac:dyDescent="0.2">
      <c r="E231" s="17"/>
      <c r="F231" s="17"/>
      <c r="X231" s="19"/>
      <c r="Y231" s="19"/>
      <c r="Z231" s="19"/>
      <c r="AA231" s="19"/>
      <c r="AB231" s="19"/>
      <c r="AC231" s="19"/>
    </row>
    <row r="232" spans="5:29" x14ac:dyDescent="0.2">
      <c r="E232" s="17"/>
      <c r="F232" s="17"/>
      <c r="X232" s="19"/>
      <c r="Y232" s="19"/>
      <c r="Z232" s="19"/>
      <c r="AA232" s="19"/>
      <c r="AB232" s="19"/>
      <c r="AC232" s="19"/>
    </row>
    <row r="233" spans="5:29" x14ac:dyDescent="0.2">
      <c r="E233" s="17"/>
      <c r="F233" s="17"/>
      <c r="X233" s="19"/>
      <c r="Y233" s="19"/>
      <c r="Z233" s="19"/>
      <c r="AA233" s="19"/>
      <c r="AB233" s="19"/>
      <c r="AC233" s="19"/>
    </row>
    <row r="234" spans="5:29" x14ac:dyDescent="0.2">
      <c r="E234" s="17"/>
      <c r="F234" s="17"/>
      <c r="X234" s="19"/>
      <c r="Y234" s="19"/>
      <c r="Z234" s="19"/>
      <c r="AA234" s="19"/>
      <c r="AB234" s="19"/>
      <c r="AC234" s="19"/>
    </row>
    <row r="235" spans="5:29" x14ac:dyDescent="0.2">
      <c r="E235" s="17"/>
      <c r="F235" s="17"/>
      <c r="X235" s="19"/>
      <c r="Y235" s="19"/>
      <c r="Z235" s="19"/>
      <c r="AA235" s="19"/>
      <c r="AB235" s="19"/>
      <c r="AC235" s="19"/>
    </row>
    <row r="236" spans="5:29" x14ac:dyDescent="0.2">
      <c r="E236" s="17"/>
      <c r="F236" s="17"/>
      <c r="X236" s="19"/>
      <c r="Y236" s="19"/>
      <c r="Z236" s="19"/>
      <c r="AA236" s="19"/>
      <c r="AB236" s="19"/>
      <c r="AC236" s="19"/>
    </row>
    <row r="237" spans="5:29" x14ac:dyDescent="0.2">
      <c r="E237" s="17"/>
      <c r="F237" s="17"/>
      <c r="X237" s="19"/>
      <c r="Y237" s="19"/>
      <c r="Z237" s="19"/>
      <c r="AA237" s="19"/>
      <c r="AB237" s="19"/>
      <c r="AC237" s="19"/>
    </row>
    <row r="238" spans="5:29" x14ac:dyDescent="0.2">
      <c r="E238" s="17"/>
      <c r="F238" s="17"/>
      <c r="X238" s="19"/>
      <c r="Y238" s="19"/>
      <c r="Z238" s="19"/>
      <c r="AA238" s="19"/>
      <c r="AB238" s="19"/>
      <c r="AC238" s="19"/>
    </row>
    <row r="239" spans="5:29" x14ac:dyDescent="0.2">
      <c r="E239" s="17"/>
      <c r="F239" s="17"/>
      <c r="X239" s="19"/>
      <c r="Y239" s="19"/>
      <c r="Z239" s="19"/>
      <c r="AA239" s="19"/>
      <c r="AB239" s="19"/>
      <c r="AC239" s="19"/>
    </row>
    <row r="240" spans="5:29" x14ac:dyDescent="0.2">
      <c r="E240" s="17"/>
      <c r="F240" s="17"/>
      <c r="X240" s="19"/>
      <c r="Y240" s="19"/>
      <c r="Z240" s="19"/>
      <c r="AA240" s="19"/>
      <c r="AB240" s="19"/>
      <c r="AC240" s="19"/>
    </row>
    <row r="241" spans="5:29" x14ac:dyDescent="0.2">
      <c r="E241" s="17"/>
      <c r="F241" s="17"/>
      <c r="X241" s="19"/>
      <c r="Y241" s="19"/>
      <c r="Z241" s="19"/>
      <c r="AA241" s="19"/>
      <c r="AB241" s="19"/>
      <c r="AC241" s="19"/>
    </row>
    <row r="242" spans="5:29" x14ac:dyDescent="0.2">
      <c r="E242" s="17"/>
      <c r="F242" s="17"/>
      <c r="X242" s="19"/>
      <c r="Y242" s="19"/>
      <c r="Z242" s="19"/>
      <c r="AA242" s="19"/>
      <c r="AB242" s="19"/>
      <c r="AC242" s="19"/>
    </row>
    <row r="243" spans="5:29" x14ac:dyDescent="0.2">
      <c r="E243" s="17"/>
      <c r="F243" s="17"/>
      <c r="X243" s="19"/>
      <c r="Y243" s="19"/>
      <c r="Z243" s="19"/>
      <c r="AA243" s="19"/>
      <c r="AB243" s="19"/>
      <c r="AC243" s="19"/>
    </row>
    <row r="246" spans="5:29" x14ac:dyDescent="0.2">
      <c r="Q246" s="19"/>
      <c r="R246" s="19"/>
      <c r="S246" s="19"/>
      <c r="T246" s="19"/>
      <c r="U246" s="19"/>
      <c r="V246" s="19"/>
    </row>
    <row r="247" spans="5:29" x14ac:dyDescent="0.2">
      <c r="Q247" s="19"/>
      <c r="R247" s="19"/>
      <c r="S247" s="19"/>
      <c r="T247" s="19"/>
      <c r="U247" s="19"/>
      <c r="V247" s="19"/>
    </row>
    <row r="248" spans="5:29" x14ac:dyDescent="0.2">
      <c r="Q248" s="19"/>
      <c r="R248" s="19"/>
      <c r="S248" s="19"/>
      <c r="T248" s="19"/>
      <c r="U248" s="19"/>
      <c r="V248" s="19"/>
    </row>
    <row r="249" spans="5:29" x14ac:dyDescent="0.2">
      <c r="Q249" s="19"/>
      <c r="R249" s="19"/>
      <c r="S249" s="19"/>
      <c r="T249" s="19"/>
      <c r="U249" s="19"/>
      <c r="V249" s="19"/>
    </row>
  </sheetData>
  <sheetProtection sheet="1" objects="1" scenarios="1" selectLockedCells="1"/>
  <pageMargins left="0.7" right="0.7" top="0.75" bottom="0.75" header="0.3" footer="0.3"/>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91"/>
  <sheetViews>
    <sheetView workbookViewId="0">
      <selection activeCell="O1" sqref="O1"/>
    </sheetView>
  </sheetViews>
  <sheetFormatPr defaultRowHeight="15" x14ac:dyDescent="0.2"/>
  <cols>
    <col min="1" max="1" width="5" style="17" customWidth="1"/>
    <col min="2" max="2" width="9.140625" style="17" customWidth="1"/>
    <col min="3" max="3" width="13.140625" style="17" customWidth="1"/>
    <col min="4" max="4" width="10.42578125" style="20" customWidth="1"/>
    <col min="5" max="5" width="12.7109375" style="43" customWidth="1"/>
    <col min="6" max="6" width="7.5703125" style="17" customWidth="1"/>
    <col min="7" max="7" width="8" style="17" customWidth="1"/>
    <col min="8" max="8" width="9.7109375" style="17" customWidth="1"/>
    <col min="9" max="9" width="9.85546875" style="17" customWidth="1"/>
    <col min="10" max="10" width="16.85546875" style="17" customWidth="1"/>
    <col min="11" max="16384" width="9.140625" style="17"/>
  </cols>
  <sheetData>
    <row r="1" spans="1:20" ht="20.25" x14ac:dyDescent="0.3">
      <c r="A1" s="9"/>
      <c r="B1" s="14" t="s">
        <v>830</v>
      </c>
      <c r="C1" s="16"/>
      <c r="D1" s="18"/>
      <c r="E1" s="16"/>
      <c r="F1" s="16"/>
      <c r="K1" s="19"/>
      <c r="L1" s="19"/>
      <c r="M1" s="19"/>
      <c r="N1" s="19"/>
      <c r="O1" s="19"/>
      <c r="P1" s="19"/>
      <c r="Q1" s="19"/>
      <c r="R1" s="19"/>
      <c r="S1" s="19"/>
    </row>
    <row r="2" spans="1:20" ht="15.75" x14ac:dyDescent="0.25">
      <c r="A2" s="9"/>
      <c r="F2" s="20"/>
      <c r="K2" s="19"/>
      <c r="L2" s="19"/>
      <c r="M2" s="19"/>
      <c r="N2" s="19"/>
      <c r="O2" s="19"/>
      <c r="P2" s="19"/>
      <c r="Q2" s="19"/>
      <c r="R2" s="19"/>
      <c r="S2" s="19"/>
    </row>
    <row r="3" spans="1:20" x14ac:dyDescent="0.2">
      <c r="L3" s="19"/>
      <c r="M3" s="19"/>
      <c r="N3" s="19"/>
      <c r="O3" s="19"/>
      <c r="P3" s="19"/>
      <c r="Q3" s="19"/>
      <c r="R3" s="19"/>
      <c r="S3" s="19"/>
    </row>
    <row r="4" spans="1:20" ht="18" x14ac:dyDescent="0.25">
      <c r="B4" s="11" t="s">
        <v>504</v>
      </c>
      <c r="K4" s="19"/>
      <c r="L4" s="19"/>
      <c r="M4" s="19"/>
      <c r="N4" s="19"/>
      <c r="O4" s="19"/>
      <c r="P4" s="19"/>
      <c r="Q4" s="19"/>
      <c r="R4" s="19"/>
      <c r="S4" s="19"/>
      <c r="T4" s="19"/>
    </row>
    <row r="5" spans="1:20" ht="15.75" x14ac:dyDescent="0.25">
      <c r="B5" s="9" t="s">
        <v>505</v>
      </c>
      <c r="K5" s="19"/>
      <c r="L5" s="19"/>
      <c r="M5" s="19"/>
      <c r="N5" s="19"/>
      <c r="O5" s="19"/>
      <c r="P5" s="19"/>
      <c r="Q5" s="19"/>
      <c r="R5" s="19"/>
      <c r="S5" s="19"/>
      <c r="T5" s="19"/>
    </row>
    <row r="6" spans="1:20" x14ac:dyDescent="0.2">
      <c r="K6" s="19"/>
      <c r="L6" s="19"/>
      <c r="M6" s="19"/>
      <c r="N6" s="19"/>
      <c r="O6" s="19"/>
      <c r="P6" s="19"/>
      <c r="Q6" s="19"/>
      <c r="R6" s="19"/>
      <c r="S6" s="19"/>
      <c r="T6" s="19"/>
    </row>
    <row r="7" spans="1:20" ht="18.75" thickBot="1" x14ac:dyDescent="0.3">
      <c r="B7" s="1" t="s">
        <v>508</v>
      </c>
      <c r="K7" s="19"/>
      <c r="L7" s="19"/>
      <c r="M7" s="19"/>
      <c r="N7" s="19"/>
      <c r="O7" s="19"/>
      <c r="P7" s="19"/>
      <c r="Q7" s="19"/>
      <c r="R7" s="19"/>
      <c r="S7" s="19"/>
      <c r="T7" s="19"/>
    </row>
    <row r="8" spans="1:20" ht="16.5" thickBot="1" x14ac:dyDescent="0.3">
      <c r="D8" s="17"/>
      <c r="E8" s="481" t="s">
        <v>3</v>
      </c>
      <c r="K8" s="19"/>
      <c r="L8" s="19"/>
      <c r="M8" s="19"/>
      <c r="N8" s="19"/>
      <c r="O8" s="19"/>
      <c r="P8" s="19"/>
      <c r="Q8" s="19"/>
      <c r="R8" s="19"/>
      <c r="S8" s="19"/>
      <c r="T8" s="19"/>
    </row>
    <row r="9" spans="1:20" ht="15.75" x14ac:dyDescent="0.25">
      <c r="C9" s="9"/>
      <c r="D9" s="18" t="s">
        <v>62</v>
      </c>
      <c r="E9" s="482">
        <v>0.2</v>
      </c>
      <c r="F9" s="9" t="s">
        <v>63</v>
      </c>
      <c r="G9" s="9"/>
      <c r="K9" s="19"/>
      <c r="L9" s="19"/>
      <c r="M9" s="19"/>
      <c r="N9" s="19"/>
      <c r="O9" s="19"/>
      <c r="P9" s="19"/>
      <c r="Q9" s="19"/>
      <c r="R9" s="19"/>
      <c r="S9" s="19"/>
      <c r="T9" s="19"/>
    </row>
    <row r="10" spans="1:20" ht="15.75" x14ac:dyDescent="0.25">
      <c r="B10" s="9"/>
      <c r="C10" s="9"/>
      <c r="D10" s="18" t="s">
        <v>507</v>
      </c>
      <c r="E10" s="483">
        <v>68</v>
      </c>
      <c r="F10" s="9" t="s">
        <v>12</v>
      </c>
      <c r="G10" s="9"/>
      <c r="H10" s="9"/>
      <c r="I10" s="15"/>
      <c r="K10" s="19"/>
      <c r="L10" s="19"/>
      <c r="M10" s="19"/>
      <c r="N10" s="19"/>
      <c r="O10" s="19"/>
      <c r="P10" s="19"/>
      <c r="Q10" s="19"/>
      <c r="R10" s="19"/>
      <c r="S10" s="19"/>
      <c r="T10" s="19"/>
    </row>
    <row r="11" spans="1:20" ht="15.75" x14ac:dyDescent="0.25">
      <c r="B11" s="9"/>
      <c r="C11" s="9"/>
      <c r="D11" s="18" t="s">
        <v>506</v>
      </c>
      <c r="E11" s="483">
        <v>30</v>
      </c>
      <c r="F11" s="9" t="s">
        <v>12</v>
      </c>
      <c r="H11" s="9"/>
      <c r="I11" s="9"/>
      <c r="K11" s="19"/>
      <c r="L11" s="19"/>
      <c r="M11" s="19"/>
      <c r="N11" s="19"/>
      <c r="O11" s="19"/>
      <c r="P11" s="19"/>
      <c r="Q11" s="19"/>
      <c r="R11" s="19"/>
      <c r="S11" s="19"/>
      <c r="T11" s="19"/>
    </row>
    <row r="12" spans="1:20" ht="16.5" thickBot="1" x14ac:dyDescent="0.3">
      <c r="B12" s="9"/>
      <c r="C12" s="9"/>
      <c r="D12" s="18" t="s">
        <v>75</v>
      </c>
      <c r="E12" s="484">
        <v>2974</v>
      </c>
      <c r="F12" s="9" t="s">
        <v>500</v>
      </c>
      <c r="G12" s="9"/>
      <c r="H12" s="9"/>
      <c r="I12" s="9"/>
      <c r="K12" s="19"/>
      <c r="L12" s="19"/>
      <c r="M12" s="19"/>
      <c r="N12" s="19"/>
      <c r="O12" s="19"/>
      <c r="P12" s="19"/>
      <c r="Q12" s="19"/>
      <c r="R12" s="19"/>
      <c r="S12" s="19"/>
      <c r="T12" s="19"/>
    </row>
    <row r="13" spans="1:20" ht="16.5" thickBot="1" x14ac:dyDescent="0.3">
      <c r="D13" s="481" t="s">
        <v>3</v>
      </c>
      <c r="E13" s="39" t="s">
        <v>757</v>
      </c>
      <c r="F13" s="39" t="s">
        <v>757</v>
      </c>
      <c r="G13" s="39" t="s">
        <v>757</v>
      </c>
      <c r="H13" s="481" t="s">
        <v>3</v>
      </c>
      <c r="K13" s="19"/>
      <c r="L13" s="19"/>
      <c r="M13" s="19"/>
      <c r="N13" s="19"/>
      <c r="O13" s="485"/>
      <c r="P13" s="19"/>
      <c r="Q13" s="19"/>
      <c r="R13" s="19"/>
      <c r="S13" s="19"/>
      <c r="T13" s="19"/>
    </row>
    <row r="14" spans="1:20" ht="16.5" thickBot="1" x14ac:dyDescent="0.3">
      <c r="D14" s="395" t="s">
        <v>59</v>
      </c>
      <c r="E14" s="80" t="s">
        <v>60</v>
      </c>
      <c r="F14" s="403" t="s">
        <v>61</v>
      </c>
      <c r="G14" s="80" t="s">
        <v>28</v>
      </c>
      <c r="H14" s="80" t="s">
        <v>57</v>
      </c>
      <c r="I14" s="486" t="s">
        <v>67</v>
      </c>
      <c r="J14" s="390"/>
      <c r="K14" s="19"/>
      <c r="L14" s="19"/>
      <c r="M14" s="19"/>
      <c r="N14" s="19"/>
      <c r="O14" s="45"/>
      <c r="P14" s="19"/>
      <c r="Q14" s="19"/>
      <c r="R14" s="19"/>
      <c r="S14" s="19"/>
      <c r="T14" s="19"/>
    </row>
    <row r="15" spans="1:20" ht="16.5" thickBot="1" x14ac:dyDescent="0.3">
      <c r="B15" s="487"/>
      <c r="C15" s="488" t="s">
        <v>501</v>
      </c>
      <c r="D15" s="489" t="s">
        <v>26</v>
      </c>
      <c r="E15" s="490" t="s">
        <v>26</v>
      </c>
      <c r="F15" s="489" t="s">
        <v>26</v>
      </c>
      <c r="G15" s="490" t="s">
        <v>26</v>
      </c>
      <c r="H15" s="490"/>
      <c r="I15" s="491" t="s">
        <v>65</v>
      </c>
      <c r="J15" s="390"/>
      <c r="K15" s="19"/>
      <c r="L15" s="19"/>
      <c r="M15" s="19"/>
      <c r="N15" s="48"/>
      <c r="O15" s="45"/>
      <c r="P15" s="19"/>
      <c r="Q15" s="19"/>
      <c r="R15" s="19"/>
      <c r="S15" s="19"/>
      <c r="T15" s="19"/>
    </row>
    <row r="16" spans="1:20" ht="15.75" thickBot="1" x14ac:dyDescent="0.25">
      <c r="B16" s="116"/>
      <c r="C16" s="317" t="s">
        <v>20</v>
      </c>
      <c r="D16" s="492">
        <v>40</v>
      </c>
      <c r="E16" s="492">
        <v>30</v>
      </c>
      <c r="F16" s="493"/>
      <c r="G16" s="494">
        <f>D16*E16</f>
        <v>1200</v>
      </c>
      <c r="H16" s="493">
        <v>0.05</v>
      </c>
      <c r="I16" s="270">
        <f>G16*H16</f>
        <v>60</v>
      </c>
      <c r="J16" s="118"/>
      <c r="K16" s="19"/>
      <c r="L16" s="19"/>
      <c r="M16" s="19"/>
      <c r="N16" s="48"/>
      <c r="O16" s="45"/>
      <c r="P16" s="19"/>
      <c r="Q16" s="19"/>
      <c r="R16" s="19"/>
      <c r="S16" s="19"/>
      <c r="T16" s="19"/>
    </row>
    <row r="17" spans="2:20" ht="15.75" thickBot="1" x14ac:dyDescent="0.25">
      <c r="B17" s="236"/>
      <c r="C17" s="175" t="s">
        <v>64</v>
      </c>
      <c r="D17" s="495">
        <f>2*(D16+E16)</f>
        <v>140</v>
      </c>
      <c r="E17" s="496"/>
      <c r="F17" s="492">
        <v>8</v>
      </c>
      <c r="G17" s="496">
        <f>D17*F17*(1-E9)</f>
        <v>896</v>
      </c>
      <c r="H17" s="495">
        <v>0.08</v>
      </c>
      <c r="I17" s="283">
        <f>G17*H17</f>
        <v>71.680000000000007</v>
      </c>
      <c r="J17" s="237"/>
      <c r="K17" s="19"/>
      <c r="L17" s="19"/>
      <c r="M17" s="19"/>
      <c r="N17" s="48"/>
      <c r="O17" s="497"/>
      <c r="P17" s="19"/>
      <c r="Q17" s="19"/>
      <c r="R17" s="19"/>
      <c r="S17" s="19"/>
      <c r="T17" s="19"/>
    </row>
    <row r="18" spans="2:20" x14ac:dyDescent="0.2">
      <c r="B18" s="236"/>
      <c r="C18" s="175" t="s">
        <v>68</v>
      </c>
      <c r="D18" s="495"/>
      <c r="E18" s="496"/>
      <c r="F18" s="495"/>
      <c r="G18" s="496">
        <f>D17*F17*E9</f>
        <v>224</v>
      </c>
      <c r="H18" s="498">
        <v>1.1000000000000001</v>
      </c>
      <c r="I18" s="283">
        <f>G18*H18</f>
        <v>246.40000000000003</v>
      </c>
      <c r="J18" s="237"/>
      <c r="K18" s="19"/>
      <c r="L18" s="19"/>
      <c r="M18" s="19"/>
      <c r="N18" s="48"/>
      <c r="O18" s="45"/>
      <c r="P18" s="19"/>
      <c r="Q18" s="19"/>
      <c r="R18" s="19"/>
      <c r="S18" s="19"/>
      <c r="T18" s="19"/>
    </row>
    <row r="19" spans="2:20" ht="15.75" thickBot="1" x14ac:dyDescent="0.25">
      <c r="B19" s="249"/>
      <c r="C19" s="499" t="s">
        <v>58</v>
      </c>
      <c r="D19" s="500"/>
      <c r="E19" s="501"/>
      <c r="F19" s="502"/>
      <c r="G19" s="503">
        <f>2*(D16+E16)</f>
        <v>140</v>
      </c>
      <c r="H19" s="504">
        <v>0.4</v>
      </c>
      <c r="I19" s="290">
        <f>G19*H19</f>
        <v>56</v>
      </c>
      <c r="J19" s="315"/>
      <c r="K19" s="19"/>
      <c r="L19" s="19"/>
      <c r="M19" s="19"/>
      <c r="N19" s="48"/>
      <c r="O19" s="45"/>
      <c r="P19" s="19"/>
      <c r="Q19" s="19"/>
      <c r="R19" s="19"/>
      <c r="S19" s="19"/>
      <c r="T19" s="19"/>
    </row>
    <row r="20" spans="2:20" ht="16.5" thickBot="1" x14ac:dyDescent="0.3">
      <c r="D20" s="487"/>
      <c r="E20" s="488" t="s">
        <v>72</v>
      </c>
      <c r="F20" s="492">
        <v>1.08</v>
      </c>
      <c r="G20" s="505" t="s">
        <v>65</v>
      </c>
      <c r="H20" s="390"/>
      <c r="I20" s="506">
        <f>SUM(I16:I19)</f>
        <v>434.08000000000004</v>
      </c>
      <c r="J20" s="390"/>
      <c r="K20" s="19"/>
      <c r="L20" s="19"/>
      <c r="M20" s="19"/>
      <c r="N20" s="48"/>
      <c r="O20" s="485"/>
      <c r="P20" s="19"/>
      <c r="Q20" s="19"/>
      <c r="R20" s="19"/>
      <c r="S20" s="19"/>
      <c r="T20" s="19"/>
    </row>
    <row r="21" spans="2:20" ht="15.75" thickBot="1" x14ac:dyDescent="0.25">
      <c r="D21" s="116"/>
      <c r="E21" s="117"/>
      <c r="F21" s="386" t="s">
        <v>71</v>
      </c>
      <c r="G21" s="287" t="s">
        <v>69</v>
      </c>
      <c r="H21" s="179" t="s">
        <v>70</v>
      </c>
      <c r="I21" s="179" t="s">
        <v>66</v>
      </c>
      <c r="K21" s="19"/>
      <c r="L21" s="19"/>
      <c r="M21" s="19"/>
      <c r="N21" s="48"/>
      <c r="O21" s="45"/>
      <c r="P21" s="19"/>
      <c r="Q21" s="19"/>
      <c r="R21" s="19"/>
      <c r="S21" s="19"/>
      <c r="T21" s="19"/>
    </row>
    <row r="22" spans="2:20" ht="15.75" thickBot="1" x14ac:dyDescent="0.25">
      <c r="D22" s="487"/>
      <c r="E22" s="507">
        <v>1</v>
      </c>
      <c r="F22" s="508"/>
      <c r="G22" s="194">
        <f>E22*D16*E16*F17</f>
        <v>9600</v>
      </c>
      <c r="H22" s="490">
        <v>60</v>
      </c>
      <c r="I22" s="509">
        <f>F20*E22*G22/H22</f>
        <v>172.8</v>
      </c>
      <c r="K22" s="19"/>
      <c r="L22" s="19"/>
      <c r="M22" s="19"/>
      <c r="N22" s="48"/>
      <c r="O22" s="45"/>
      <c r="P22" s="19"/>
      <c r="Q22" s="19"/>
      <c r="R22" s="19"/>
      <c r="S22" s="19"/>
      <c r="T22" s="19"/>
    </row>
    <row r="23" spans="2:20" ht="16.5" thickBot="1" x14ac:dyDescent="0.3">
      <c r="H23" s="80" t="s">
        <v>74</v>
      </c>
      <c r="I23" s="400">
        <f>I22+I20</f>
        <v>606.88000000000011</v>
      </c>
      <c r="J23" s="66" t="s">
        <v>65</v>
      </c>
      <c r="K23" s="19"/>
      <c r="L23" s="19"/>
      <c r="M23" s="19"/>
      <c r="N23" s="48"/>
      <c r="O23" s="45"/>
      <c r="P23" s="19"/>
      <c r="Q23" s="19"/>
      <c r="R23" s="19"/>
      <c r="S23" s="19"/>
      <c r="T23" s="19"/>
    </row>
    <row r="24" spans="2:20" x14ac:dyDescent="0.2">
      <c r="K24" s="19"/>
      <c r="L24" s="19"/>
      <c r="M24" s="19"/>
      <c r="N24" s="48"/>
      <c r="O24" s="45"/>
      <c r="P24" s="19"/>
      <c r="Q24" s="19"/>
      <c r="R24" s="19"/>
      <c r="S24" s="19"/>
      <c r="T24" s="19"/>
    </row>
    <row r="25" spans="2:20" x14ac:dyDescent="0.2">
      <c r="K25" s="19"/>
      <c r="L25" s="19"/>
      <c r="M25" s="19"/>
      <c r="N25" s="48"/>
      <c r="O25" s="45"/>
      <c r="P25" s="19"/>
      <c r="Q25" s="19"/>
      <c r="R25" s="19"/>
      <c r="S25" s="19"/>
      <c r="T25" s="19"/>
    </row>
    <row r="26" spans="2:20" ht="15.75" x14ac:dyDescent="0.25">
      <c r="D26" s="18" t="s">
        <v>73</v>
      </c>
      <c r="E26" s="16" t="s">
        <v>76</v>
      </c>
      <c r="F26" s="43"/>
      <c r="K26" s="19"/>
      <c r="L26" s="19"/>
      <c r="M26" s="19"/>
      <c r="N26" s="48"/>
      <c r="O26" s="45"/>
      <c r="P26" s="19"/>
      <c r="Q26" s="19"/>
      <c r="R26" s="19"/>
      <c r="S26" s="19"/>
      <c r="T26" s="19"/>
    </row>
    <row r="27" spans="2:20" ht="15.75" x14ac:dyDescent="0.25">
      <c r="D27" s="18" t="s">
        <v>2</v>
      </c>
      <c r="E27" s="42">
        <f>I23*(E10-E11)</f>
        <v>23061.440000000002</v>
      </c>
      <c r="F27" s="16" t="s">
        <v>0</v>
      </c>
      <c r="G27" s="510"/>
      <c r="K27" s="19"/>
      <c r="L27" s="19"/>
      <c r="M27" s="19"/>
      <c r="N27" s="48"/>
      <c r="O27" s="45"/>
      <c r="P27" s="19"/>
      <c r="Q27" s="19"/>
      <c r="R27" s="19"/>
      <c r="S27" s="19"/>
      <c r="T27" s="19"/>
    </row>
    <row r="28" spans="2:20" ht="15.75" x14ac:dyDescent="0.25">
      <c r="D28" s="18" t="s">
        <v>509</v>
      </c>
      <c r="E28" s="16" t="s">
        <v>77</v>
      </c>
      <c r="F28" s="43"/>
      <c r="K28" s="19"/>
      <c r="L28" s="19"/>
      <c r="M28" s="19"/>
      <c r="N28" s="48"/>
      <c r="O28" s="45"/>
      <c r="P28" s="19"/>
      <c r="Q28" s="19"/>
      <c r="R28" s="19"/>
      <c r="S28" s="19"/>
      <c r="T28" s="19"/>
    </row>
    <row r="29" spans="2:20" ht="15.75" x14ac:dyDescent="0.25">
      <c r="D29" s="18" t="s">
        <v>2</v>
      </c>
      <c r="E29" s="42">
        <f>I23*24*E12</f>
        <v>43316666.88000001</v>
      </c>
      <c r="F29" s="16" t="s">
        <v>78</v>
      </c>
      <c r="K29" s="19"/>
      <c r="L29" s="19"/>
      <c r="M29" s="19"/>
      <c r="N29" s="48"/>
      <c r="O29" s="45"/>
      <c r="P29" s="19"/>
      <c r="Q29" s="19"/>
      <c r="R29" s="19"/>
      <c r="S29" s="19"/>
      <c r="T29" s="19"/>
    </row>
    <row r="30" spans="2:20" ht="15.75" x14ac:dyDescent="0.25">
      <c r="D30" s="18" t="s">
        <v>502</v>
      </c>
      <c r="E30" s="16" t="s">
        <v>503</v>
      </c>
      <c r="K30" s="19"/>
      <c r="L30" s="19"/>
      <c r="M30" s="19"/>
      <c r="N30" s="48"/>
      <c r="O30" s="19"/>
      <c r="P30" s="19"/>
      <c r="Q30" s="19"/>
      <c r="R30" s="19"/>
      <c r="S30" s="19"/>
      <c r="T30" s="19"/>
    </row>
    <row r="31" spans="2:20" ht="15.75" x14ac:dyDescent="0.25">
      <c r="C31" s="20"/>
      <c r="D31" s="18" t="s">
        <v>2</v>
      </c>
      <c r="E31" s="42">
        <f>E29/100067</f>
        <v>432.87664145022848</v>
      </c>
      <c r="F31" s="16" t="s">
        <v>79</v>
      </c>
      <c r="K31" s="19"/>
      <c r="L31" s="19"/>
      <c r="M31" s="19"/>
      <c r="N31" s="48"/>
      <c r="O31" s="19"/>
      <c r="P31" s="19"/>
      <c r="Q31" s="19"/>
      <c r="R31" s="19"/>
      <c r="S31" s="19"/>
      <c r="T31" s="19"/>
    </row>
    <row r="32" spans="2:20" x14ac:dyDescent="0.2">
      <c r="K32" s="19"/>
      <c r="L32" s="19"/>
      <c r="M32" s="19"/>
      <c r="N32" s="19"/>
      <c r="O32" s="19"/>
      <c r="P32" s="19"/>
      <c r="Q32" s="19"/>
      <c r="R32" s="19"/>
      <c r="S32" s="19"/>
      <c r="T32" s="19"/>
    </row>
    <row r="33" spans="2:20" ht="15.75" x14ac:dyDescent="0.25">
      <c r="B33" s="13" t="s">
        <v>499</v>
      </c>
      <c r="K33" s="19"/>
      <c r="L33" s="19"/>
      <c r="M33" s="19"/>
      <c r="N33" s="19"/>
      <c r="O33" s="19"/>
      <c r="P33" s="19"/>
      <c r="Q33" s="19"/>
      <c r="R33" s="19"/>
      <c r="S33" s="19"/>
      <c r="T33" s="19"/>
    </row>
    <row r="34" spans="2:20" x14ac:dyDescent="0.2">
      <c r="B34" s="165" t="s">
        <v>498</v>
      </c>
      <c r="K34" s="19"/>
      <c r="L34" s="19"/>
      <c r="M34" s="19"/>
      <c r="N34" s="19"/>
      <c r="O34" s="19"/>
      <c r="P34" s="19"/>
      <c r="Q34" s="19"/>
      <c r="R34" s="19"/>
      <c r="S34" s="19"/>
      <c r="T34" s="19"/>
    </row>
    <row r="35" spans="2:20" x14ac:dyDescent="0.2">
      <c r="K35" s="19"/>
      <c r="L35" s="19"/>
      <c r="M35" s="19"/>
      <c r="N35" s="19"/>
      <c r="O35" s="19"/>
      <c r="P35" s="19"/>
      <c r="Q35" s="19"/>
      <c r="R35" s="19"/>
      <c r="S35" s="19"/>
      <c r="T35" s="19"/>
    </row>
    <row r="36" spans="2:20" x14ac:dyDescent="0.2">
      <c r="K36" s="19"/>
      <c r="L36" s="19"/>
      <c r="M36" s="19"/>
      <c r="N36" s="19"/>
      <c r="O36" s="19"/>
      <c r="P36" s="19"/>
      <c r="Q36" s="19"/>
      <c r="R36" s="19"/>
      <c r="S36" s="19"/>
      <c r="T36" s="19"/>
    </row>
    <row r="37" spans="2:20" x14ac:dyDescent="0.2">
      <c r="K37" s="19"/>
      <c r="L37" s="19"/>
      <c r="M37" s="19"/>
      <c r="N37" s="19"/>
      <c r="O37" s="19"/>
      <c r="P37" s="19"/>
      <c r="Q37" s="19"/>
      <c r="R37" s="19"/>
      <c r="S37" s="19"/>
      <c r="T37" s="19"/>
    </row>
    <row r="38" spans="2:20" x14ac:dyDescent="0.2">
      <c r="K38" s="19"/>
      <c r="L38" s="19"/>
      <c r="M38" s="19"/>
      <c r="N38" s="19"/>
      <c r="O38" s="19"/>
      <c r="P38" s="19"/>
      <c r="Q38" s="19"/>
      <c r="R38" s="19"/>
      <c r="S38" s="19"/>
      <c r="T38" s="19"/>
    </row>
    <row r="39" spans="2:20" x14ac:dyDescent="0.2">
      <c r="K39" s="19"/>
      <c r="L39" s="19"/>
      <c r="M39" s="19"/>
      <c r="N39" s="19"/>
      <c r="O39" s="19"/>
      <c r="P39" s="19"/>
      <c r="Q39" s="19"/>
      <c r="R39" s="19"/>
      <c r="S39" s="19"/>
      <c r="T39" s="19"/>
    </row>
    <row r="40" spans="2:20" x14ac:dyDescent="0.2">
      <c r="K40" s="19"/>
      <c r="L40" s="19"/>
      <c r="M40" s="19"/>
      <c r="N40" s="19"/>
      <c r="O40" s="19"/>
      <c r="P40" s="19"/>
      <c r="Q40" s="19"/>
      <c r="R40" s="19"/>
      <c r="S40" s="19"/>
      <c r="T40" s="19"/>
    </row>
    <row r="41" spans="2:20" x14ac:dyDescent="0.2">
      <c r="K41" s="19"/>
      <c r="L41" s="19"/>
      <c r="M41" s="19"/>
      <c r="N41" s="19"/>
      <c r="O41" s="19"/>
      <c r="P41" s="19"/>
      <c r="Q41" s="19"/>
      <c r="R41" s="19"/>
      <c r="S41" s="19"/>
      <c r="T41" s="19"/>
    </row>
    <row r="42" spans="2:20" x14ac:dyDescent="0.2">
      <c r="K42" s="19"/>
      <c r="L42" s="19"/>
      <c r="M42" s="19"/>
      <c r="N42" s="19"/>
      <c r="O42" s="19"/>
      <c r="P42" s="19"/>
      <c r="Q42" s="19"/>
      <c r="R42" s="19"/>
      <c r="S42" s="19"/>
      <c r="T42" s="19"/>
    </row>
    <row r="43" spans="2:20" x14ac:dyDescent="0.2">
      <c r="K43" s="19"/>
      <c r="L43" s="19"/>
      <c r="M43" s="19"/>
      <c r="N43" s="19"/>
      <c r="O43" s="19"/>
      <c r="P43" s="19"/>
      <c r="Q43" s="19"/>
      <c r="R43" s="19"/>
      <c r="S43" s="19"/>
      <c r="T43" s="19"/>
    </row>
    <row r="44" spans="2:20" x14ac:dyDescent="0.2">
      <c r="K44" s="19"/>
      <c r="L44" s="19"/>
      <c r="M44" s="19"/>
      <c r="N44" s="19"/>
      <c r="O44" s="19"/>
      <c r="P44" s="19"/>
      <c r="Q44" s="19"/>
      <c r="R44" s="19"/>
      <c r="S44" s="19"/>
      <c r="T44" s="19"/>
    </row>
    <row r="45" spans="2:20" x14ac:dyDescent="0.2">
      <c r="K45" s="19"/>
      <c r="L45" s="19"/>
      <c r="M45" s="19"/>
      <c r="N45" s="19"/>
      <c r="O45" s="19"/>
      <c r="P45" s="19"/>
      <c r="Q45" s="19"/>
      <c r="R45" s="19"/>
      <c r="S45" s="19"/>
      <c r="T45" s="19"/>
    </row>
    <row r="46" spans="2:20" x14ac:dyDescent="0.2">
      <c r="K46" s="19"/>
      <c r="L46" s="19"/>
      <c r="M46" s="19"/>
      <c r="N46" s="19"/>
      <c r="O46" s="19"/>
      <c r="P46" s="19"/>
      <c r="Q46" s="19"/>
      <c r="R46" s="19"/>
      <c r="S46" s="19"/>
      <c r="T46" s="19"/>
    </row>
    <row r="47" spans="2:20" x14ac:dyDescent="0.2">
      <c r="K47" s="19"/>
      <c r="L47" s="19"/>
      <c r="M47" s="19"/>
      <c r="N47" s="19"/>
      <c r="O47" s="19"/>
      <c r="P47" s="19"/>
      <c r="Q47" s="19"/>
      <c r="R47" s="19"/>
      <c r="S47" s="19"/>
      <c r="T47" s="19"/>
    </row>
    <row r="48" spans="2:20" x14ac:dyDescent="0.2">
      <c r="K48" s="19"/>
      <c r="L48" s="19"/>
      <c r="M48" s="19"/>
      <c r="N48" s="19"/>
      <c r="O48" s="19"/>
      <c r="P48" s="19"/>
      <c r="Q48" s="19"/>
      <c r="R48" s="19"/>
      <c r="S48" s="19"/>
      <c r="T48" s="19"/>
    </row>
    <row r="49" spans="11:20" x14ac:dyDescent="0.2">
      <c r="K49" s="19"/>
      <c r="L49" s="19"/>
      <c r="M49" s="19"/>
      <c r="N49" s="19"/>
      <c r="O49" s="19"/>
      <c r="P49" s="19"/>
      <c r="Q49" s="19"/>
      <c r="R49" s="19"/>
      <c r="S49" s="19"/>
      <c r="T49" s="19"/>
    </row>
    <row r="50" spans="11:20" x14ac:dyDescent="0.2">
      <c r="K50" s="19"/>
      <c r="L50" s="19"/>
      <c r="M50" s="19"/>
      <c r="N50" s="19"/>
      <c r="O50" s="19"/>
      <c r="P50" s="19"/>
      <c r="Q50" s="19"/>
      <c r="R50" s="19"/>
      <c r="S50" s="19"/>
      <c r="T50" s="19"/>
    </row>
    <row r="51" spans="11:20" x14ac:dyDescent="0.2">
      <c r="K51" s="19"/>
      <c r="L51" s="19"/>
      <c r="M51" s="19"/>
      <c r="N51" s="19"/>
      <c r="O51" s="19"/>
      <c r="P51" s="19"/>
      <c r="Q51" s="19"/>
      <c r="R51" s="19"/>
      <c r="S51" s="19"/>
      <c r="T51" s="19"/>
    </row>
    <row r="52" spans="11:20" x14ac:dyDescent="0.2">
      <c r="K52" s="19"/>
      <c r="L52" s="19"/>
      <c r="M52" s="19"/>
      <c r="N52" s="19"/>
      <c r="O52" s="19"/>
      <c r="P52" s="19"/>
      <c r="Q52" s="19"/>
      <c r="R52" s="19"/>
      <c r="S52" s="19"/>
      <c r="T52" s="19"/>
    </row>
    <row r="53" spans="11:20" x14ac:dyDescent="0.2">
      <c r="K53" s="19"/>
      <c r="L53" s="19"/>
      <c r="M53" s="19"/>
      <c r="N53" s="19"/>
      <c r="O53" s="19"/>
      <c r="P53" s="19"/>
      <c r="Q53" s="19"/>
      <c r="R53" s="19"/>
      <c r="S53" s="19"/>
      <c r="T53" s="19"/>
    </row>
    <row r="54" spans="11:20" x14ac:dyDescent="0.2">
      <c r="K54" s="19"/>
      <c r="L54" s="19"/>
      <c r="M54" s="19"/>
      <c r="N54" s="19"/>
      <c r="O54" s="19"/>
      <c r="P54" s="19"/>
      <c r="Q54" s="19"/>
      <c r="R54" s="19"/>
      <c r="S54" s="19"/>
      <c r="T54" s="19"/>
    </row>
    <row r="55" spans="11:20" x14ac:dyDescent="0.2">
      <c r="K55" s="19"/>
      <c r="L55" s="19"/>
      <c r="M55" s="19"/>
      <c r="N55" s="19"/>
      <c r="O55" s="19"/>
      <c r="P55" s="19"/>
      <c r="Q55" s="19"/>
      <c r="R55" s="19"/>
      <c r="S55" s="19"/>
      <c r="T55" s="19"/>
    </row>
    <row r="56" spans="11:20" x14ac:dyDescent="0.2">
      <c r="K56" s="19"/>
      <c r="L56" s="19"/>
      <c r="M56" s="19"/>
      <c r="N56" s="19"/>
      <c r="O56" s="19"/>
      <c r="P56" s="19"/>
      <c r="Q56" s="19"/>
      <c r="R56" s="19"/>
      <c r="S56" s="19"/>
      <c r="T56" s="19"/>
    </row>
    <row r="57" spans="11:20" x14ac:dyDescent="0.2">
      <c r="K57" s="19"/>
      <c r="L57" s="19"/>
      <c r="M57" s="19"/>
      <c r="N57" s="19"/>
      <c r="O57" s="19"/>
      <c r="P57" s="19"/>
      <c r="Q57" s="19"/>
      <c r="R57" s="19"/>
      <c r="S57" s="19"/>
      <c r="T57" s="19"/>
    </row>
    <row r="58" spans="11:20" x14ac:dyDescent="0.2">
      <c r="K58" s="19"/>
      <c r="L58" s="19"/>
      <c r="M58" s="19"/>
      <c r="N58" s="19"/>
      <c r="O58" s="19"/>
      <c r="P58" s="19"/>
      <c r="Q58" s="19"/>
      <c r="R58" s="19"/>
      <c r="S58" s="19"/>
      <c r="T58" s="19"/>
    </row>
    <row r="59" spans="11:20" x14ac:dyDescent="0.2">
      <c r="K59" s="19"/>
      <c r="L59" s="19"/>
      <c r="M59" s="19"/>
      <c r="N59" s="19"/>
      <c r="O59" s="19"/>
      <c r="P59" s="19"/>
      <c r="Q59" s="19"/>
      <c r="R59" s="19"/>
      <c r="S59" s="19"/>
      <c r="T59" s="19"/>
    </row>
    <row r="60" spans="11:20" x14ac:dyDescent="0.2">
      <c r="K60" s="19"/>
      <c r="L60" s="19"/>
      <c r="M60" s="19"/>
      <c r="N60" s="19"/>
      <c r="O60" s="19"/>
      <c r="P60" s="19"/>
      <c r="Q60" s="19"/>
      <c r="R60" s="19"/>
      <c r="S60" s="19"/>
      <c r="T60" s="19"/>
    </row>
    <row r="61" spans="11:20" x14ac:dyDescent="0.2">
      <c r="K61" s="19"/>
      <c r="L61" s="19"/>
      <c r="M61" s="19"/>
      <c r="N61" s="19"/>
      <c r="O61" s="19"/>
      <c r="P61" s="19"/>
      <c r="Q61" s="19"/>
      <c r="R61" s="19"/>
      <c r="S61" s="19"/>
      <c r="T61" s="19"/>
    </row>
    <row r="62" spans="11:20" x14ac:dyDescent="0.2">
      <c r="K62" s="19"/>
      <c r="L62" s="19"/>
      <c r="M62" s="19"/>
      <c r="N62" s="19"/>
      <c r="O62" s="19"/>
      <c r="P62" s="19"/>
      <c r="Q62" s="19"/>
      <c r="R62" s="19"/>
      <c r="S62" s="19"/>
      <c r="T62" s="19"/>
    </row>
    <row r="63" spans="11:20" x14ac:dyDescent="0.2">
      <c r="K63" s="19"/>
      <c r="L63" s="19"/>
      <c r="M63" s="19"/>
      <c r="N63" s="19"/>
      <c r="O63" s="19"/>
      <c r="P63" s="19"/>
      <c r="Q63" s="19"/>
      <c r="R63" s="19"/>
      <c r="S63" s="19"/>
      <c r="T63" s="19"/>
    </row>
    <row r="64" spans="11:20" x14ac:dyDescent="0.2">
      <c r="K64" s="19"/>
      <c r="L64" s="19"/>
      <c r="M64" s="19"/>
      <c r="N64" s="19"/>
      <c r="O64" s="19"/>
      <c r="P64" s="19"/>
      <c r="Q64" s="19"/>
      <c r="R64" s="19"/>
      <c r="S64" s="19"/>
      <c r="T64" s="19"/>
    </row>
    <row r="65" spans="5:20" x14ac:dyDescent="0.2">
      <c r="E65" s="17"/>
      <c r="K65" s="19"/>
      <c r="L65" s="19"/>
      <c r="M65" s="19"/>
      <c r="N65" s="19"/>
      <c r="O65" s="19"/>
      <c r="P65" s="19"/>
      <c r="Q65" s="19"/>
      <c r="R65" s="19"/>
      <c r="S65" s="19"/>
      <c r="T65" s="19"/>
    </row>
    <row r="66" spans="5:20" x14ac:dyDescent="0.2">
      <c r="K66" s="19"/>
      <c r="L66" s="19"/>
      <c r="M66" s="19"/>
      <c r="N66" s="19"/>
      <c r="O66" s="19"/>
      <c r="P66" s="19"/>
      <c r="Q66" s="19"/>
      <c r="R66" s="19"/>
      <c r="S66" s="19"/>
      <c r="T66" s="19"/>
    </row>
    <row r="67" spans="5:20" x14ac:dyDescent="0.2">
      <c r="E67" s="17"/>
      <c r="K67" s="19"/>
      <c r="L67" s="19"/>
      <c r="M67" s="19"/>
      <c r="N67" s="19"/>
      <c r="O67" s="19"/>
      <c r="P67" s="19"/>
      <c r="Q67" s="19"/>
      <c r="R67" s="19"/>
      <c r="S67" s="19"/>
      <c r="T67" s="19"/>
    </row>
    <row r="68" spans="5:20" x14ac:dyDescent="0.2">
      <c r="K68" s="19"/>
      <c r="L68" s="19"/>
      <c r="M68" s="19"/>
      <c r="N68" s="19"/>
      <c r="O68" s="19"/>
      <c r="P68" s="19"/>
      <c r="Q68" s="19"/>
      <c r="R68" s="19"/>
      <c r="S68" s="19"/>
      <c r="T68" s="19"/>
    </row>
    <row r="69" spans="5:20" x14ac:dyDescent="0.2">
      <c r="E69" s="43" t="s">
        <v>821</v>
      </c>
      <c r="K69" s="19"/>
      <c r="L69" s="19"/>
      <c r="M69" s="19"/>
      <c r="N69" s="19"/>
      <c r="O69" s="19"/>
      <c r="P69" s="19"/>
      <c r="Q69" s="19"/>
      <c r="R69" s="19"/>
      <c r="S69" s="19"/>
      <c r="T69" s="19"/>
    </row>
    <row r="70" spans="5:20" x14ac:dyDescent="0.2">
      <c r="K70" s="19"/>
      <c r="L70" s="19"/>
      <c r="M70" s="19"/>
      <c r="N70" s="19"/>
      <c r="O70" s="19"/>
      <c r="P70" s="19"/>
      <c r="Q70" s="19"/>
      <c r="R70" s="19"/>
      <c r="S70" s="19"/>
      <c r="T70" s="19"/>
    </row>
    <row r="71" spans="5:20" x14ac:dyDescent="0.2">
      <c r="K71" s="19"/>
      <c r="L71" s="19"/>
      <c r="M71" s="19"/>
      <c r="N71" s="19"/>
      <c r="O71" s="19"/>
      <c r="P71" s="19"/>
      <c r="Q71" s="19"/>
      <c r="R71" s="19"/>
      <c r="S71" s="19"/>
      <c r="T71" s="19"/>
    </row>
    <row r="72" spans="5:20" x14ac:dyDescent="0.2">
      <c r="K72" s="19"/>
      <c r="L72" s="19"/>
      <c r="M72" s="19"/>
      <c r="N72" s="19"/>
      <c r="O72" s="19"/>
      <c r="P72" s="19"/>
      <c r="Q72" s="19"/>
      <c r="R72" s="19"/>
      <c r="S72" s="19"/>
      <c r="T72" s="19"/>
    </row>
    <row r="73" spans="5:20" x14ac:dyDescent="0.2">
      <c r="K73" s="19"/>
      <c r="L73" s="19"/>
      <c r="M73" s="19"/>
      <c r="N73" s="19"/>
      <c r="O73" s="19"/>
      <c r="P73" s="19"/>
      <c r="Q73" s="19"/>
      <c r="R73" s="19"/>
      <c r="S73" s="19"/>
      <c r="T73" s="19"/>
    </row>
    <row r="74" spans="5:20" x14ac:dyDescent="0.2">
      <c r="K74" s="19"/>
      <c r="L74" s="19"/>
      <c r="M74" s="19"/>
      <c r="N74" s="19"/>
      <c r="O74" s="19"/>
      <c r="P74" s="19"/>
      <c r="Q74" s="19"/>
      <c r="R74" s="19"/>
      <c r="S74" s="19"/>
      <c r="T74" s="19"/>
    </row>
    <row r="75" spans="5:20" x14ac:dyDescent="0.2">
      <c r="K75" s="19"/>
      <c r="L75" s="19"/>
      <c r="M75" s="19"/>
      <c r="N75" s="19"/>
      <c r="O75" s="19"/>
      <c r="P75" s="19"/>
      <c r="Q75" s="19"/>
      <c r="R75" s="19"/>
      <c r="S75" s="19"/>
      <c r="T75" s="19"/>
    </row>
    <row r="76" spans="5:20" x14ac:dyDescent="0.2">
      <c r="K76" s="19"/>
      <c r="L76" s="19"/>
      <c r="M76" s="19"/>
      <c r="N76" s="19"/>
      <c r="O76" s="19"/>
      <c r="P76" s="19"/>
      <c r="Q76" s="19"/>
      <c r="R76" s="19"/>
      <c r="S76" s="19"/>
      <c r="T76" s="19"/>
    </row>
    <row r="77" spans="5:20" x14ac:dyDescent="0.2">
      <c r="K77" s="19"/>
      <c r="L77" s="19"/>
      <c r="M77" s="19"/>
      <c r="N77" s="19"/>
      <c r="O77" s="19"/>
      <c r="P77" s="19"/>
      <c r="Q77" s="19"/>
      <c r="R77" s="19"/>
      <c r="S77" s="19"/>
      <c r="T77" s="19"/>
    </row>
    <row r="78" spans="5:20" x14ac:dyDescent="0.2">
      <c r="K78" s="19"/>
      <c r="L78" s="19"/>
      <c r="M78" s="19"/>
      <c r="N78" s="19"/>
      <c r="O78" s="19"/>
      <c r="P78" s="19"/>
      <c r="Q78" s="19"/>
      <c r="R78" s="19"/>
      <c r="S78" s="19"/>
      <c r="T78" s="19"/>
    </row>
    <row r="79" spans="5:20" x14ac:dyDescent="0.2">
      <c r="K79" s="19"/>
      <c r="L79" s="19"/>
      <c r="M79" s="19"/>
      <c r="N79" s="19"/>
      <c r="O79" s="19"/>
      <c r="P79" s="19"/>
      <c r="Q79" s="19"/>
      <c r="R79" s="19"/>
      <c r="S79" s="19"/>
      <c r="T79" s="19"/>
    </row>
    <row r="80" spans="5:20" x14ac:dyDescent="0.2">
      <c r="K80" s="19"/>
      <c r="L80" s="19"/>
      <c r="M80" s="19"/>
      <c r="N80" s="19"/>
      <c r="O80" s="19"/>
      <c r="P80" s="19"/>
      <c r="Q80" s="19"/>
      <c r="R80" s="19"/>
      <c r="S80" s="19"/>
      <c r="T80" s="19"/>
    </row>
    <row r="81" spans="11:20" x14ac:dyDescent="0.2">
      <c r="K81" s="19"/>
      <c r="L81" s="19"/>
      <c r="M81" s="19"/>
      <c r="N81" s="19"/>
      <c r="O81" s="19"/>
      <c r="P81" s="19"/>
      <c r="Q81" s="19"/>
      <c r="R81" s="19"/>
      <c r="S81" s="19"/>
      <c r="T81" s="19"/>
    </row>
    <row r="82" spans="11:20" x14ac:dyDescent="0.2">
      <c r="K82" s="19"/>
      <c r="L82" s="19"/>
      <c r="M82" s="19"/>
      <c r="N82" s="19"/>
      <c r="O82" s="19"/>
      <c r="P82" s="19"/>
      <c r="Q82" s="19"/>
      <c r="R82" s="19"/>
      <c r="S82" s="19"/>
      <c r="T82" s="19"/>
    </row>
    <row r="83" spans="11:20" x14ac:dyDescent="0.2">
      <c r="K83" s="19"/>
      <c r="L83" s="19"/>
      <c r="M83" s="19"/>
      <c r="N83" s="19"/>
      <c r="O83" s="19"/>
      <c r="P83" s="19"/>
      <c r="Q83" s="19"/>
      <c r="R83" s="19"/>
      <c r="S83" s="19"/>
      <c r="T83" s="19"/>
    </row>
    <row r="84" spans="11:20" x14ac:dyDescent="0.2">
      <c r="K84" s="19"/>
      <c r="L84" s="19"/>
      <c r="M84" s="19"/>
      <c r="N84" s="19"/>
      <c r="O84" s="19"/>
      <c r="P84" s="19"/>
      <c r="Q84" s="19"/>
      <c r="R84" s="19"/>
      <c r="S84" s="19"/>
      <c r="T84" s="19"/>
    </row>
    <row r="85" spans="11:20" x14ac:dyDescent="0.2">
      <c r="K85" s="19"/>
      <c r="L85" s="19"/>
      <c r="M85" s="19"/>
      <c r="N85" s="19"/>
      <c r="O85" s="19"/>
      <c r="P85" s="19"/>
      <c r="Q85" s="19"/>
      <c r="R85" s="19"/>
      <c r="S85" s="19"/>
      <c r="T85" s="19"/>
    </row>
    <row r="86" spans="11:20" x14ac:dyDescent="0.2">
      <c r="K86" s="19"/>
      <c r="L86" s="19"/>
      <c r="M86" s="19"/>
      <c r="N86" s="19"/>
      <c r="O86" s="19"/>
      <c r="P86" s="19"/>
      <c r="Q86" s="19"/>
      <c r="R86" s="19"/>
      <c r="S86" s="19"/>
      <c r="T86" s="19"/>
    </row>
    <row r="87" spans="11:20" x14ac:dyDescent="0.2">
      <c r="K87" s="19"/>
      <c r="L87" s="19"/>
      <c r="M87" s="19"/>
      <c r="N87" s="19"/>
      <c r="O87" s="19"/>
      <c r="P87" s="19"/>
      <c r="Q87" s="19"/>
      <c r="R87" s="19"/>
      <c r="S87" s="19"/>
      <c r="T87" s="19"/>
    </row>
    <row r="88" spans="11:20" x14ac:dyDescent="0.2">
      <c r="K88" s="19"/>
      <c r="L88" s="19"/>
      <c r="M88" s="19"/>
      <c r="N88" s="19"/>
      <c r="O88" s="19"/>
      <c r="P88" s="19"/>
      <c r="Q88" s="19"/>
      <c r="R88" s="19"/>
      <c r="S88" s="19"/>
      <c r="T88" s="19"/>
    </row>
    <row r="89" spans="11:20" x14ac:dyDescent="0.2">
      <c r="K89" s="19"/>
      <c r="L89" s="19"/>
      <c r="M89" s="19"/>
      <c r="N89" s="19"/>
      <c r="O89" s="19"/>
      <c r="P89" s="19"/>
      <c r="Q89" s="19"/>
      <c r="R89" s="19"/>
      <c r="S89" s="19"/>
      <c r="T89" s="19"/>
    </row>
    <row r="90" spans="11:20" x14ac:dyDescent="0.2">
      <c r="K90" s="19"/>
      <c r="L90" s="19"/>
      <c r="M90" s="19"/>
      <c r="N90" s="19"/>
      <c r="O90" s="19"/>
      <c r="P90" s="19"/>
      <c r="Q90" s="19"/>
      <c r="R90" s="19"/>
      <c r="S90" s="19"/>
      <c r="T90" s="19"/>
    </row>
    <row r="91" spans="11:20" x14ac:dyDescent="0.2">
      <c r="K91" s="19"/>
      <c r="L91" s="19"/>
      <c r="M91" s="19"/>
      <c r="N91" s="19"/>
      <c r="O91" s="19"/>
      <c r="P91" s="19"/>
      <c r="Q91" s="19"/>
      <c r="R91" s="19"/>
      <c r="S91" s="19"/>
      <c r="T91" s="19"/>
    </row>
  </sheetData>
  <sheetProtection sheet="1" objects="1" scenarios="1" selectLockedCells="1"/>
  <hyperlinks>
    <hyperlink ref="B34" r:id="rId1" xr:uid="{00000000-0004-0000-0600-000000000000}"/>
  </hyperlinks>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18"/>
  <sheetViews>
    <sheetView zoomScaleNormal="100" workbookViewId="0">
      <selection activeCell="I1" sqref="I1"/>
    </sheetView>
  </sheetViews>
  <sheetFormatPr defaultRowHeight="15" x14ac:dyDescent="0.2"/>
  <cols>
    <col min="1" max="1" width="5.7109375" style="17" customWidth="1"/>
    <col min="2" max="2" width="15.5703125" style="17" customWidth="1"/>
    <col min="3" max="3" width="19.140625" style="17" customWidth="1"/>
    <col min="4" max="4" width="13.140625" style="17" bestFit="1" customWidth="1"/>
    <col min="5" max="5" width="16.42578125" style="17" customWidth="1"/>
    <col min="6" max="6" width="14.42578125" style="17" customWidth="1"/>
    <col min="7" max="7" width="15.140625" style="17" customWidth="1"/>
    <col min="8" max="8" width="15" style="17" customWidth="1"/>
    <col min="9" max="9" width="11" style="17" customWidth="1"/>
    <col min="10" max="16384" width="9.140625" style="17"/>
  </cols>
  <sheetData>
    <row r="1" spans="1:17" ht="20.25" x14ac:dyDescent="0.3">
      <c r="A1" s="9"/>
      <c r="B1" s="555" t="s">
        <v>174</v>
      </c>
      <c r="C1" s="16"/>
      <c r="D1" s="18"/>
      <c r="E1" s="16"/>
      <c r="F1" s="16"/>
      <c r="H1" s="19"/>
      <c r="I1" s="19"/>
      <c r="J1" s="19"/>
      <c r="K1" s="19"/>
      <c r="L1" s="19"/>
      <c r="M1" s="19"/>
      <c r="N1" s="19"/>
      <c r="O1" s="19"/>
      <c r="P1" s="19"/>
      <c r="Q1" s="19"/>
    </row>
    <row r="2" spans="1:17" ht="15.75" x14ac:dyDescent="0.25">
      <c r="A2" s="9"/>
      <c r="D2" s="20"/>
      <c r="E2" s="43"/>
      <c r="F2" s="20"/>
      <c r="H2" s="19"/>
      <c r="I2" s="19"/>
      <c r="J2" s="19"/>
      <c r="K2" s="19"/>
      <c r="L2" s="19"/>
      <c r="M2" s="19"/>
      <c r="N2" s="19"/>
      <c r="O2" s="19"/>
      <c r="P2" s="19"/>
      <c r="Q2" s="19"/>
    </row>
    <row r="3" spans="1:17" x14ac:dyDescent="0.2">
      <c r="H3" s="19"/>
      <c r="I3" s="19"/>
      <c r="J3" s="19"/>
      <c r="K3" s="19"/>
      <c r="L3" s="19"/>
      <c r="M3" s="19"/>
      <c r="N3" s="19"/>
      <c r="O3" s="19"/>
      <c r="P3" s="19"/>
      <c r="Q3" s="19"/>
    </row>
    <row r="4" spans="1:17" x14ac:dyDescent="0.2">
      <c r="H4" s="19"/>
      <c r="I4" s="19"/>
      <c r="J4" s="19"/>
      <c r="K4" s="19"/>
      <c r="L4" s="19"/>
      <c r="M4" s="19"/>
      <c r="N4" s="19"/>
      <c r="O4" s="19"/>
      <c r="P4" s="19"/>
      <c r="Q4" s="19"/>
    </row>
    <row r="5" spans="1:17" x14ac:dyDescent="0.2">
      <c r="C5" s="127" t="s">
        <v>530</v>
      </c>
      <c r="H5" s="19"/>
      <c r="I5" s="19"/>
      <c r="J5" s="19"/>
      <c r="K5" s="19"/>
      <c r="L5" s="19"/>
      <c r="M5" s="19"/>
      <c r="N5" s="19"/>
      <c r="O5" s="19"/>
      <c r="P5" s="19"/>
      <c r="Q5" s="19"/>
    </row>
    <row r="6" spans="1:17" x14ac:dyDescent="0.2">
      <c r="H6" s="19"/>
      <c r="I6" s="19"/>
      <c r="J6" s="19"/>
      <c r="K6" s="19"/>
      <c r="L6" s="19"/>
      <c r="M6" s="19"/>
      <c r="N6" s="19"/>
      <c r="O6" s="19"/>
      <c r="P6" s="19"/>
      <c r="Q6" s="19"/>
    </row>
    <row r="7" spans="1:17" ht="18" x14ac:dyDescent="0.25">
      <c r="B7" s="556" t="s">
        <v>175</v>
      </c>
      <c r="H7" s="19"/>
      <c r="I7" s="19"/>
      <c r="J7" s="19"/>
      <c r="K7" s="19"/>
      <c r="L7" s="19"/>
      <c r="M7" s="19"/>
      <c r="N7" s="19"/>
      <c r="O7" s="19"/>
      <c r="P7" s="19"/>
      <c r="Q7" s="19"/>
    </row>
    <row r="8" spans="1:17" x14ac:dyDescent="0.2">
      <c r="B8" s="17" t="s">
        <v>176</v>
      </c>
      <c r="H8" s="19"/>
      <c r="I8" s="19"/>
      <c r="J8" s="19"/>
      <c r="K8" s="19"/>
      <c r="L8" s="19"/>
      <c r="M8" s="19"/>
      <c r="N8" s="19"/>
      <c r="O8" s="19"/>
      <c r="P8" s="19"/>
      <c r="Q8" s="19"/>
    </row>
    <row r="9" spans="1:17" x14ac:dyDescent="0.2">
      <c r="C9" s="20"/>
      <c r="F9" s="69"/>
      <c r="H9" s="19"/>
      <c r="I9" s="19"/>
      <c r="J9" s="19"/>
      <c r="K9" s="19"/>
      <c r="L9" s="19"/>
      <c r="M9" s="19"/>
      <c r="N9" s="19"/>
      <c r="O9" s="19"/>
      <c r="P9" s="19"/>
      <c r="Q9" s="19"/>
    </row>
    <row r="10" spans="1:17" ht="16.5" thickBot="1" x14ac:dyDescent="0.3">
      <c r="B10" s="31"/>
      <c r="C10" s="26" t="s">
        <v>177</v>
      </c>
      <c r="D10" s="25"/>
      <c r="E10" s="25"/>
      <c r="F10" s="26" t="s">
        <v>177</v>
      </c>
      <c r="G10" s="25"/>
      <c r="H10" s="19"/>
      <c r="I10" s="19"/>
      <c r="J10" s="19"/>
      <c r="K10" s="19"/>
      <c r="L10" s="19"/>
      <c r="M10" s="19"/>
      <c r="N10" s="19"/>
      <c r="O10" s="19"/>
      <c r="P10" s="19"/>
      <c r="Q10" s="19"/>
    </row>
    <row r="11" spans="1:17" ht="16.5" thickBot="1" x14ac:dyDescent="0.3">
      <c r="B11" s="31" t="s">
        <v>178</v>
      </c>
      <c r="C11" s="511">
        <v>950</v>
      </c>
      <c r="D11" s="512" t="s">
        <v>12</v>
      </c>
      <c r="E11" s="31" t="s">
        <v>178</v>
      </c>
      <c r="F11" s="511">
        <v>600</v>
      </c>
      <c r="G11" s="512" t="s">
        <v>179</v>
      </c>
      <c r="H11" s="19"/>
      <c r="I11" s="19"/>
      <c r="J11" s="19"/>
      <c r="K11" s="19"/>
      <c r="L11" s="19"/>
      <c r="M11" s="19"/>
      <c r="N11" s="19"/>
      <c r="O11" s="19"/>
      <c r="P11" s="19"/>
      <c r="Q11" s="19"/>
    </row>
    <row r="12" spans="1:17" ht="15.75" x14ac:dyDescent="0.25">
      <c r="B12" s="31" t="s">
        <v>178</v>
      </c>
      <c r="C12" s="512" t="s">
        <v>180</v>
      </c>
      <c r="D12" s="512"/>
      <c r="E12" s="31" t="s">
        <v>178</v>
      </c>
      <c r="F12" s="3" t="s">
        <v>531</v>
      </c>
      <c r="G12" s="25"/>
      <c r="H12" s="19"/>
      <c r="I12" s="19"/>
      <c r="J12" s="19"/>
      <c r="K12" s="19"/>
      <c r="L12" s="19"/>
      <c r="M12" s="19"/>
      <c r="N12" s="19"/>
      <c r="O12" s="19"/>
      <c r="P12" s="19"/>
      <c r="Q12" s="19"/>
    </row>
    <row r="13" spans="1:17" ht="15.75" x14ac:dyDescent="0.25">
      <c r="B13" s="31" t="s">
        <v>178</v>
      </c>
      <c r="C13" s="513">
        <f>5*(C11 - 32)/9</f>
        <v>510</v>
      </c>
      <c r="D13" s="512" t="s">
        <v>179</v>
      </c>
      <c r="E13" s="31" t="s">
        <v>178</v>
      </c>
      <c r="F13" s="512">
        <f>(9*F11/5) + 32</f>
        <v>1112</v>
      </c>
      <c r="G13" s="512" t="s">
        <v>12</v>
      </c>
      <c r="H13" s="19"/>
      <c r="I13" s="19"/>
      <c r="J13" s="19"/>
      <c r="K13" s="19"/>
      <c r="L13" s="19"/>
      <c r="M13" s="19"/>
      <c r="N13" s="19"/>
      <c r="O13" s="19"/>
      <c r="P13" s="19"/>
      <c r="Q13" s="19"/>
    </row>
    <row r="14" spans="1:17" ht="15.75" x14ac:dyDescent="0.25">
      <c r="B14" s="31"/>
      <c r="C14" s="25"/>
      <c r="D14" s="25"/>
      <c r="E14" s="25"/>
      <c r="F14" s="25"/>
      <c r="G14" s="25"/>
      <c r="H14" s="19"/>
      <c r="I14" s="19"/>
      <c r="J14" s="19"/>
      <c r="K14" s="19"/>
      <c r="L14" s="19"/>
      <c r="M14" s="19"/>
      <c r="N14" s="19"/>
      <c r="O14" s="19"/>
      <c r="P14" s="19"/>
      <c r="Q14" s="19"/>
    </row>
    <row r="15" spans="1:17" ht="16.5" thickBot="1" x14ac:dyDescent="0.3">
      <c r="C15" s="26" t="s">
        <v>177</v>
      </c>
      <c r="D15" s="514"/>
      <c r="E15" s="31"/>
      <c r="F15" s="26" t="s">
        <v>177</v>
      </c>
      <c r="G15" s="514"/>
      <c r="H15" s="19"/>
      <c r="I15" s="19"/>
      <c r="J15" s="19"/>
      <c r="K15" s="19"/>
      <c r="L15" s="19"/>
      <c r="M15" s="19"/>
      <c r="N15" s="19"/>
      <c r="O15" s="19"/>
      <c r="P15" s="19"/>
      <c r="Q15" s="19"/>
    </row>
    <row r="16" spans="1:17" ht="16.5" thickBot="1" x14ac:dyDescent="0.3">
      <c r="B16" s="31" t="s">
        <v>178</v>
      </c>
      <c r="C16" s="511">
        <v>590</v>
      </c>
      <c r="D16" s="512" t="s">
        <v>179</v>
      </c>
      <c r="E16" s="31" t="s">
        <v>178</v>
      </c>
      <c r="F16" s="515">
        <v>1110</v>
      </c>
      <c r="G16" s="512" t="s">
        <v>12</v>
      </c>
      <c r="H16" s="19"/>
      <c r="I16" s="19"/>
      <c r="J16" s="19"/>
      <c r="K16" s="19"/>
      <c r="L16" s="19"/>
      <c r="M16" s="19"/>
      <c r="N16" s="19"/>
      <c r="O16" s="19"/>
      <c r="P16" s="19"/>
      <c r="Q16" s="19"/>
    </row>
    <row r="17" spans="2:17" ht="15.75" x14ac:dyDescent="0.25">
      <c r="B17" s="31" t="s">
        <v>178</v>
      </c>
      <c r="C17" s="512" t="s">
        <v>182</v>
      </c>
      <c r="D17" s="512"/>
      <c r="E17" s="31" t="s">
        <v>178</v>
      </c>
      <c r="F17" s="3" t="s">
        <v>183</v>
      </c>
      <c r="G17" s="512"/>
      <c r="H17" s="19"/>
      <c r="I17" s="19"/>
      <c r="J17" s="19"/>
      <c r="K17" s="19"/>
      <c r="L17" s="19"/>
      <c r="M17" s="19"/>
      <c r="N17" s="19"/>
      <c r="O17" s="19"/>
      <c r="P17" s="19"/>
      <c r="Q17" s="19"/>
    </row>
    <row r="18" spans="2:17" ht="15.75" x14ac:dyDescent="0.25">
      <c r="B18" s="31" t="s">
        <v>178</v>
      </c>
      <c r="C18" s="512">
        <f>C16 + 273</f>
        <v>863</v>
      </c>
      <c r="D18" s="512" t="s">
        <v>184</v>
      </c>
      <c r="E18" s="31" t="s">
        <v>178</v>
      </c>
      <c r="F18" s="512">
        <f>F16+460</f>
        <v>1570</v>
      </c>
      <c r="G18" s="512" t="s">
        <v>185</v>
      </c>
      <c r="H18" s="19"/>
      <c r="I18" s="19"/>
      <c r="J18" s="19"/>
      <c r="K18" s="19"/>
      <c r="L18" s="19"/>
      <c r="M18" s="19"/>
      <c r="N18" s="19"/>
      <c r="O18" s="19"/>
      <c r="P18" s="19"/>
      <c r="Q18" s="19"/>
    </row>
    <row r="19" spans="2:17" x14ac:dyDescent="0.2">
      <c r="G19" s="19"/>
      <c r="H19" s="19"/>
      <c r="I19" s="19"/>
      <c r="J19" s="19"/>
      <c r="K19" s="19"/>
      <c r="L19" s="19"/>
      <c r="M19" s="19"/>
      <c r="N19" s="19"/>
      <c r="O19" s="19"/>
      <c r="P19" s="19"/>
      <c r="Q19" s="19"/>
    </row>
    <row r="20" spans="2:17" ht="18" x14ac:dyDescent="0.25">
      <c r="B20" s="133" t="s">
        <v>186</v>
      </c>
      <c r="C20" s="135"/>
      <c r="D20" s="135"/>
      <c r="E20" s="135"/>
      <c r="F20" s="69"/>
      <c r="G20" s="19"/>
      <c r="H20" s="19"/>
      <c r="I20" s="19"/>
      <c r="J20" s="19"/>
      <c r="K20" s="19"/>
      <c r="L20" s="19"/>
      <c r="M20" s="19"/>
      <c r="N20" s="19"/>
      <c r="O20" s="19"/>
      <c r="P20" s="19"/>
      <c r="Q20" s="19"/>
    </row>
    <row r="21" spans="2:17" ht="15.75" x14ac:dyDescent="0.25">
      <c r="B21" s="135"/>
      <c r="C21" s="135"/>
      <c r="D21" s="135"/>
      <c r="E21" s="135"/>
      <c r="F21" s="69"/>
      <c r="G21" s="19"/>
      <c r="H21" s="19"/>
      <c r="I21" s="19"/>
      <c r="J21" s="19"/>
      <c r="K21" s="19"/>
      <c r="L21" s="19"/>
      <c r="M21" s="19"/>
      <c r="N21" s="19"/>
      <c r="O21" s="19"/>
      <c r="P21" s="19"/>
      <c r="Q21" s="19"/>
    </row>
    <row r="22" spans="2:17" ht="16.5" thickBot="1" x14ac:dyDescent="0.3">
      <c r="C22" s="26" t="s">
        <v>177</v>
      </c>
      <c r="D22" s="43"/>
      <c r="F22" s="26" t="s">
        <v>177</v>
      </c>
      <c r="G22" s="43"/>
      <c r="H22" s="19"/>
      <c r="I22" s="19"/>
      <c r="J22" s="19"/>
      <c r="K22" s="19"/>
      <c r="L22" s="19"/>
      <c r="M22" s="19"/>
      <c r="N22" s="19"/>
      <c r="O22" s="19"/>
      <c r="P22" s="19"/>
      <c r="Q22" s="19"/>
    </row>
    <row r="23" spans="2:17" ht="16.5" thickBot="1" x14ac:dyDescent="0.3">
      <c r="B23" s="31" t="s">
        <v>178</v>
      </c>
      <c r="C23" s="515">
        <v>650</v>
      </c>
      <c r="D23" s="512" t="s">
        <v>184</v>
      </c>
      <c r="E23" s="31" t="s">
        <v>178</v>
      </c>
      <c r="F23" s="515">
        <v>1170</v>
      </c>
      <c r="G23" s="512" t="s">
        <v>185</v>
      </c>
      <c r="H23" s="19"/>
      <c r="I23" s="19"/>
      <c r="J23" s="19"/>
      <c r="K23" s="19"/>
      <c r="L23" s="19"/>
      <c r="M23" s="19"/>
      <c r="N23" s="19"/>
      <c r="O23" s="19"/>
      <c r="P23" s="19"/>
      <c r="Q23" s="19"/>
    </row>
    <row r="24" spans="2:17" ht="15.75" x14ac:dyDescent="0.25">
      <c r="B24" s="31" t="s">
        <v>178</v>
      </c>
      <c r="C24" s="142">
        <f>C23*1.8</f>
        <v>1170</v>
      </c>
      <c r="D24" s="142" t="s">
        <v>185</v>
      </c>
      <c r="E24" s="31" t="s">
        <v>178</v>
      </c>
      <c r="F24" s="516">
        <f>F23/1.8</f>
        <v>650</v>
      </c>
      <c r="G24" s="142" t="s">
        <v>184</v>
      </c>
      <c r="H24" s="19"/>
      <c r="I24" s="19"/>
      <c r="J24" s="19"/>
      <c r="K24" s="19"/>
      <c r="L24" s="19"/>
      <c r="M24" s="19"/>
      <c r="N24" s="19"/>
      <c r="O24" s="19"/>
      <c r="P24" s="19"/>
      <c r="Q24" s="19"/>
    </row>
    <row r="25" spans="2:17" ht="15.75" thickBot="1" x14ac:dyDescent="0.25">
      <c r="H25" s="19"/>
      <c r="I25" s="19"/>
      <c r="J25" s="19"/>
      <c r="K25" s="19"/>
      <c r="L25" s="19"/>
      <c r="M25" s="19"/>
      <c r="N25" s="19"/>
      <c r="O25" s="19"/>
      <c r="P25" s="19"/>
      <c r="Q25" s="19"/>
    </row>
    <row r="26" spans="2:17" ht="16.5" thickBot="1" x14ac:dyDescent="0.3">
      <c r="B26" s="5" t="s">
        <v>187</v>
      </c>
      <c r="C26" s="6" t="s">
        <v>174</v>
      </c>
      <c r="D26" s="7" t="s">
        <v>188</v>
      </c>
      <c r="E26" s="6" t="s">
        <v>189</v>
      </c>
      <c r="F26" s="8" t="s">
        <v>174</v>
      </c>
      <c r="G26" s="19"/>
      <c r="H26" s="19"/>
      <c r="I26" s="19"/>
      <c r="J26" s="19"/>
      <c r="K26" s="19"/>
      <c r="L26" s="19"/>
      <c r="M26" s="19"/>
      <c r="N26" s="19"/>
      <c r="O26" s="19"/>
      <c r="P26" s="19"/>
      <c r="Q26" s="19"/>
    </row>
    <row r="27" spans="2:17" ht="15.75" x14ac:dyDescent="0.25">
      <c r="B27" s="517">
        <v>10</v>
      </c>
      <c r="C27" s="518" t="s">
        <v>190</v>
      </c>
      <c r="D27" s="519">
        <v>0.30480000000000002</v>
      </c>
      <c r="E27" s="520">
        <f>B27/D27</f>
        <v>32.808398950131235</v>
      </c>
      <c r="F27" s="521" t="s">
        <v>26</v>
      </c>
      <c r="G27" s="19"/>
      <c r="H27" s="19"/>
      <c r="I27" s="19"/>
      <c r="J27" s="19"/>
      <c r="K27" s="19"/>
      <c r="L27" s="19"/>
      <c r="M27" s="19"/>
      <c r="N27" s="19"/>
      <c r="O27" s="19"/>
      <c r="P27" s="19"/>
      <c r="Q27" s="19"/>
    </row>
    <row r="28" spans="2:17" ht="16.5" thickBot="1" x14ac:dyDescent="0.3">
      <c r="B28" s="522">
        <v>10</v>
      </c>
      <c r="C28" s="523" t="s">
        <v>191</v>
      </c>
      <c r="D28" s="524">
        <v>0.4536</v>
      </c>
      <c r="E28" s="525">
        <f>B28/D28</f>
        <v>22.045855379188712</v>
      </c>
      <c r="F28" s="526" t="s">
        <v>192</v>
      </c>
      <c r="G28" s="19"/>
      <c r="H28" s="20"/>
      <c r="I28" s="39" t="s">
        <v>3</v>
      </c>
      <c r="J28" s="43"/>
      <c r="L28" s="19"/>
      <c r="M28" s="19"/>
      <c r="N28" s="19"/>
      <c r="O28" s="19"/>
      <c r="P28" s="19"/>
      <c r="Q28" s="19"/>
    </row>
    <row r="29" spans="2:17" ht="16.5" thickBot="1" x14ac:dyDescent="0.3">
      <c r="B29" s="522">
        <v>10</v>
      </c>
      <c r="C29" s="523" t="s">
        <v>193</v>
      </c>
      <c r="D29" s="527" t="s">
        <v>194</v>
      </c>
      <c r="E29" s="528">
        <f>B29</f>
        <v>10</v>
      </c>
      <c r="F29" s="526" t="s">
        <v>195</v>
      </c>
      <c r="G29" s="19"/>
      <c r="H29" s="18" t="s">
        <v>272</v>
      </c>
      <c r="I29" s="550">
        <v>101.3</v>
      </c>
      <c r="J29" s="43" t="s">
        <v>201</v>
      </c>
      <c r="L29" s="19"/>
      <c r="M29" s="19"/>
      <c r="N29" s="19"/>
      <c r="O29" s="19"/>
      <c r="P29" s="19"/>
      <c r="Q29" s="19"/>
    </row>
    <row r="30" spans="2:17" ht="18.75" x14ac:dyDescent="0.25">
      <c r="B30" s="522">
        <v>10</v>
      </c>
      <c r="C30" s="523" t="s">
        <v>933</v>
      </c>
      <c r="D30" s="529">
        <v>9.2899999999999996E-2</v>
      </c>
      <c r="E30" s="525">
        <f>B30/D30</f>
        <v>107.64262648008612</v>
      </c>
      <c r="F30" s="526" t="s">
        <v>934</v>
      </c>
      <c r="G30" s="19"/>
      <c r="H30" s="20"/>
      <c r="I30" s="39" t="s">
        <v>1</v>
      </c>
      <c r="J30" s="43"/>
      <c r="L30" s="19"/>
      <c r="M30" s="19"/>
      <c r="N30" s="19"/>
      <c r="O30" s="19"/>
      <c r="P30" s="19"/>
      <c r="Q30" s="19"/>
    </row>
    <row r="31" spans="2:17" ht="18.75" x14ac:dyDescent="0.25">
      <c r="B31" s="522">
        <v>10</v>
      </c>
      <c r="C31" s="523" t="s">
        <v>935</v>
      </c>
      <c r="D31" s="524">
        <v>2.8320000000000001E-2</v>
      </c>
      <c r="E31" s="525">
        <f>B31/D31</f>
        <v>353.10734463276833</v>
      </c>
      <c r="F31" s="526" t="s">
        <v>936</v>
      </c>
      <c r="G31" s="19"/>
      <c r="H31" s="18" t="s">
        <v>219</v>
      </c>
      <c r="I31" s="9" t="s">
        <v>218</v>
      </c>
      <c r="J31" s="43"/>
      <c r="L31" s="19"/>
      <c r="M31" s="19"/>
      <c r="N31" s="19"/>
      <c r="O31" s="19"/>
      <c r="P31" s="19"/>
      <c r="Q31" s="19"/>
    </row>
    <row r="32" spans="2:17" ht="15.75" x14ac:dyDescent="0.25">
      <c r="B32" s="522">
        <v>10</v>
      </c>
      <c r="C32" s="523" t="s">
        <v>196</v>
      </c>
      <c r="D32" s="524">
        <v>0.30480000000000002</v>
      </c>
      <c r="E32" s="525">
        <f>B32/D32</f>
        <v>32.808398950131235</v>
      </c>
      <c r="F32" s="526" t="s">
        <v>197</v>
      </c>
      <c r="G32" s="19"/>
      <c r="H32" s="20" t="s">
        <v>2</v>
      </c>
      <c r="I32" s="16">
        <f>14.696*(I29/101.3)</f>
        <v>14.696</v>
      </c>
      <c r="J32" s="43"/>
      <c r="L32" s="19"/>
      <c r="M32" s="19"/>
      <c r="N32" s="19"/>
      <c r="O32" s="19"/>
      <c r="P32" s="19"/>
      <c r="Q32" s="19"/>
    </row>
    <row r="33" spans="2:17" ht="18.75" x14ac:dyDescent="0.25">
      <c r="B33" s="522">
        <v>10</v>
      </c>
      <c r="C33" s="523" t="s">
        <v>937</v>
      </c>
      <c r="D33" s="524">
        <v>0.30480000000000002</v>
      </c>
      <c r="E33" s="525">
        <f>B33/D33</f>
        <v>32.808398950131235</v>
      </c>
      <c r="F33" s="526" t="s">
        <v>938</v>
      </c>
      <c r="G33" s="19"/>
      <c r="H33" s="20"/>
      <c r="I33" s="43"/>
      <c r="J33" s="43"/>
      <c r="L33" s="19"/>
      <c r="M33" s="19"/>
      <c r="N33" s="19"/>
      <c r="O33" s="19"/>
      <c r="P33" s="19"/>
      <c r="Q33" s="19"/>
    </row>
    <row r="34" spans="2:17" ht="19.5" thickBot="1" x14ac:dyDescent="0.3">
      <c r="B34" s="522">
        <v>10</v>
      </c>
      <c r="C34" s="523" t="s">
        <v>198</v>
      </c>
      <c r="D34" s="527" t="s">
        <v>194</v>
      </c>
      <c r="E34" s="528">
        <f>B34</f>
        <v>10</v>
      </c>
      <c r="F34" s="526" t="s">
        <v>939</v>
      </c>
      <c r="G34" s="19"/>
      <c r="H34" s="20"/>
      <c r="I34" s="39" t="s">
        <v>3</v>
      </c>
      <c r="L34" s="19"/>
      <c r="M34" s="19"/>
      <c r="N34" s="19"/>
      <c r="O34" s="19"/>
      <c r="P34" s="19"/>
      <c r="Q34" s="19"/>
    </row>
    <row r="35" spans="2:17" ht="16.5" thickBot="1" x14ac:dyDescent="0.3">
      <c r="B35" s="522">
        <v>10</v>
      </c>
      <c r="C35" s="523" t="s">
        <v>199</v>
      </c>
      <c r="D35" s="524">
        <v>4.4480000000000004</v>
      </c>
      <c r="E35" s="525">
        <f t="shared" ref="E35:E46" si="0">B35/D35</f>
        <v>2.2482014388489207</v>
      </c>
      <c r="F35" s="526" t="s">
        <v>200</v>
      </c>
      <c r="G35" s="19"/>
      <c r="H35" s="18" t="s">
        <v>219</v>
      </c>
      <c r="I35" s="550">
        <v>14.696</v>
      </c>
      <c r="L35" s="19"/>
      <c r="M35" s="19"/>
      <c r="N35" s="19"/>
      <c r="O35" s="19"/>
      <c r="P35" s="19"/>
      <c r="Q35" s="19"/>
    </row>
    <row r="36" spans="2:17" ht="18.75" x14ac:dyDescent="0.25">
      <c r="B36" s="522">
        <v>10</v>
      </c>
      <c r="C36" s="523" t="s">
        <v>940</v>
      </c>
      <c r="D36" s="524">
        <v>16.02</v>
      </c>
      <c r="E36" s="530">
        <f t="shared" si="0"/>
        <v>0.62421972534332082</v>
      </c>
      <c r="F36" s="526" t="s">
        <v>941</v>
      </c>
      <c r="G36" s="19"/>
      <c r="H36" s="20"/>
      <c r="I36" s="39" t="s">
        <v>1</v>
      </c>
      <c r="L36" s="19"/>
      <c r="M36" s="19"/>
      <c r="N36" s="19"/>
      <c r="O36" s="19"/>
      <c r="P36" s="19"/>
      <c r="Q36" s="19"/>
    </row>
    <row r="37" spans="2:17" ht="18.75" x14ac:dyDescent="0.25">
      <c r="B37" s="522">
        <v>10</v>
      </c>
      <c r="C37" s="523" t="s">
        <v>942</v>
      </c>
      <c r="D37" s="524">
        <v>157.1</v>
      </c>
      <c r="E37" s="525">
        <f t="shared" si="0"/>
        <v>6.3653723742838952E-2</v>
      </c>
      <c r="F37" s="526" t="s">
        <v>943</v>
      </c>
      <c r="G37" s="19"/>
      <c r="H37" s="18" t="s">
        <v>272</v>
      </c>
      <c r="I37" s="16" t="s">
        <v>273</v>
      </c>
      <c r="L37" s="19"/>
      <c r="M37" s="19"/>
      <c r="N37" s="19"/>
      <c r="O37" s="19"/>
      <c r="P37" s="19"/>
      <c r="Q37" s="19"/>
    </row>
    <row r="38" spans="2:17" ht="18.75" x14ac:dyDescent="0.25">
      <c r="B38" s="522">
        <v>10</v>
      </c>
      <c r="C38" s="523" t="s">
        <v>201</v>
      </c>
      <c r="D38" s="524">
        <v>4.7879999999999999E-2</v>
      </c>
      <c r="E38" s="528">
        <f t="shared" si="0"/>
        <v>208.85547201336675</v>
      </c>
      <c r="F38" s="526" t="s">
        <v>944</v>
      </c>
      <c r="G38" s="19"/>
      <c r="H38" s="9"/>
      <c r="I38" s="16">
        <f>101.3*I35/14.696</f>
        <v>101.3</v>
      </c>
      <c r="L38" s="19"/>
      <c r="M38" s="19"/>
      <c r="N38" s="19"/>
      <c r="O38" s="19"/>
      <c r="P38" s="19"/>
      <c r="Q38" s="19"/>
    </row>
    <row r="39" spans="2:17" ht="15.75" x14ac:dyDescent="0.25">
      <c r="B39" s="522">
        <v>10</v>
      </c>
      <c r="C39" s="523" t="s">
        <v>202</v>
      </c>
      <c r="D39" s="524">
        <v>1.3560000000000001</v>
      </c>
      <c r="E39" s="531">
        <f t="shared" si="0"/>
        <v>7.3746312684365778</v>
      </c>
      <c r="F39" s="526" t="s">
        <v>203</v>
      </c>
      <c r="G39" s="19"/>
      <c r="I39" s="20"/>
      <c r="J39" s="43"/>
      <c r="L39" s="19"/>
      <c r="M39" s="19"/>
      <c r="N39" s="19"/>
      <c r="O39" s="19"/>
      <c r="P39" s="19"/>
      <c r="Q39" s="19"/>
    </row>
    <row r="40" spans="2:17" ht="16.5" thickBot="1" x14ac:dyDescent="0.3">
      <c r="B40" s="522">
        <v>10</v>
      </c>
      <c r="C40" s="523" t="s">
        <v>202</v>
      </c>
      <c r="D40" s="524">
        <v>1055</v>
      </c>
      <c r="E40" s="525">
        <f t="shared" si="0"/>
        <v>9.4786729857819912E-3</v>
      </c>
      <c r="F40" s="526" t="s">
        <v>204</v>
      </c>
      <c r="G40" s="19"/>
      <c r="H40" s="20"/>
      <c r="I40" s="39" t="s">
        <v>3</v>
      </c>
      <c r="J40" s="43"/>
      <c r="L40" s="19"/>
      <c r="M40" s="19"/>
      <c r="N40" s="19"/>
      <c r="O40" s="19"/>
      <c r="P40" s="19"/>
      <c r="Q40" s="19"/>
    </row>
    <row r="41" spans="2:17" ht="16.5" thickBot="1" x14ac:dyDescent="0.3">
      <c r="B41" s="522">
        <v>10</v>
      </c>
      <c r="C41" s="523" t="s">
        <v>94</v>
      </c>
      <c r="D41" s="524">
        <v>1.3560000000000001</v>
      </c>
      <c r="E41" s="525">
        <f t="shared" si="0"/>
        <v>7.3746312684365778</v>
      </c>
      <c r="F41" s="526" t="s">
        <v>205</v>
      </c>
      <c r="G41" s="19"/>
      <c r="H41" s="18" t="s">
        <v>80</v>
      </c>
      <c r="I41" s="554">
        <v>1000</v>
      </c>
      <c r="J41" s="43"/>
      <c r="L41" s="19"/>
      <c r="M41" s="19"/>
      <c r="N41" s="19"/>
      <c r="O41" s="19"/>
      <c r="P41" s="19"/>
      <c r="Q41" s="19"/>
    </row>
    <row r="42" spans="2:17" ht="15.75" x14ac:dyDescent="0.25">
      <c r="B42" s="522">
        <v>10</v>
      </c>
      <c r="C42" s="523" t="s">
        <v>206</v>
      </c>
      <c r="D42" s="524">
        <v>1055</v>
      </c>
      <c r="E42" s="525">
        <f t="shared" si="0"/>
        <v>9.4786729857819912E-3</v>
      </c>
      <c r="F42" s="526" t="s">
        <v>207</v>
      </c>
      <c r="G42" s="19"/>
      <c r="H42" s="18" t="s">
        <v>81</v>
      </c>
      <c r="I42" s="42">
        <f>3.4121*I41</f>
        <v>3412.1</v>
      </c>
      <c r="J42" s="43"/>
      <c r="L42" s="19"/>
      <c r="M42" s="19"/>
      <c r="N42" s="19"/>
      <c r="O42" s="19"/>
      <c r="P42" s="19"/>
      <c r="Q42" s="19"/>
    </row>
    <row r="43" spans="2:17" ht="15.75" x14ac:dyDescent="0.25">
      <c r="B43" s="522">
        <v>10</v>
      </c>
      <c r="C43" s="523" t="s">
        <v>208</v>
      </c>
      <c r="D43" s="524">
        <v>0.4536</v>
      </c>
      <c r="E43" s="528">
        <f t="shared" si="0"/>
        <v>22.045855379188712</v>
      </c>
      <c r="F43" s="526" t="s">
        <v>209</v>
      </c>
      <c r="G43" s="19"/>
      <c r="L43" s="19"/>
      <c r="M43" s="19"/>
      <c r="N43" s="19"/>
      <c r="O43" s="19"/>
      <c r="P43" s="19"/>
      <c r="Q43" s="19"/>
    </row>
    <row r="44" spans="2:17" ht="18.75" x14ac:dyDescent="0.25">
      <c r="B44" s="522">
        <v>10</v>
      </c>
      <c r="C44" s="523" t="s">
        <v>945</v>
      </c>
      <c r="D44" s="524">
        <v>2.8320000000000001E-2</v>
      </c>
      <c r="E44" s="528">
        <f t="shared" si="0"/>
        <v>353.10734463276833</v>
      </c>
      <c r="F44" s="526" t="s">
        <v>946</v>
      </c>
      <c r="G44" s="19"/>
      <c r="H44" s="19"/>
      <c r="I44" s="19"/>
      <c r="J44" s="19"/>
      <c r="K44" s="19"/>
      <c r="L44" s="19"/>
      <c r="M44" s="19"/>
      <c r="N44" s="19"/>
      <c r="O44" s="19"/>
      <c r="P44" s="19"/>
      <c r="Q44" s="19"/>
    </row>
    <row r="45" spans="2:17" ht="15.75" x14ac:dyDescent="0.25">
      <c r="B45" s="522">
        <v>10</v>
      </c>
      <c r="C45" s="523" t="s">
        <v>210</v>
      </c>
      <c r="D45" s="524">
        <v>4.1870000000000003</v>
      </c>
      <c r="E45" s="525">
        <f t="shared" si="0"/>
        <v>2.3883448770002387</v>
      </c>
      <c r="F45" s="526" t="s">
        <v>211</v>
      </c>
      <c r="G45" s="19"/>
      <c r="H45" s="19"/>
      <c r="I45" s="19"/>
      <c r="J45" s="19"/>
      <c r="K45" s="19"/>
      <c r="L45" s="19"/>
      <c r="M45" s="19"/>
      <c r="N45" s="19"/>
      <c r="O45" s="19"/>
      <c r="P45" s="19"/>
      <c r="Q45" s="19"/>
    </row>
    <row r="46" spans="2:17" ht="15.75" x14ac:dyDescent="0.25">
      <c r="B46" s="522">
        <v>10</v>
      </c>
      <c r="C46" s="523" t="s">
        <v>212</v>
      </c>
      <c r="D46" s="524">
        <v>2.3260000000000001</v>
      </c>
      <c r="E46" s="525">
        <f t="shared" si="0"/>
        <v>4.2992261392949267</v>
      </c>
      <c r="F46" s="526" t="s">
        <v>213</v>
      </c>
      <c r="G46" s="19"/>
      <c r="H46" s="19"/>
      <c r="I46" s="19"/>
      <c r="J46" s="19"/>
      <c r="K46" s="19"/>
      <c r="L46" s="19"/>
      <c r="M46" s="19"/>
      <c r="N46" s="19"/>
      <c r="O46" s="19"/>
      <c r="P46" s="19"/>
      <c r="Q46" s="19"/>
    </row>
    <row r="47" spans="2:17" ht="18.75" x14ac:dyDescent="0.25">
      <c r="B47" s="522">
        <v>10</v>
      </c>
      <c r="C47" s="523" t="s">
        <v>947</v>
      </c>
      <c r="D47" s="524">
        <v>6.2420000000000003E-2</v>
      </c>
      <c r="E47" s="528">
        <f>B47/D47</f>
        <v>160.20506247997437</v>
      </c>
      <c r="F47" s="526" t="s">
        <v>948</v>
      </c>
      <c r="G47" s="19"/>
      <c r="H47" s="19"/>
      <c r="I47" s="19"/>
      <c r="J47" s="19"/>
      <c r="K47" s="19"/>
      <c r="L47" s="19"/>
      <c r="M47" s="19"/>
      <c r="N47" s="19"/>
      <c r="O47" s="19"/>
      <c r="P47" s="19"/>
      <c r="Q47" s="19"/>
    </row>
    <row r="48" spans="2:17" ht="15.75" x14ac:dyDescent="0.25">
      <c r="B48" s="522">
        <v>10</v>
      </c>
      <c r="C48" s="532" t="s">
        <v>207</v>
      </c>
      <c r="D48" s="533">
        <v>1.4148000000000001</v>
      </c>
      <c r="E48" s="528">
        <f>B48/D48</f>
        <v>7.0681368391292052</v>
      </c>
      <c r="F48" s="534" t="s">
        <v>214</v>
      </c>
      <c r="G48" s="19"/>
      <c r="H48" s="19"/>
      <c r="I48" s="19"/>
      <c r="J48" s="19"/>
      <c r="K48" s="19"/>
      <c r="L48" s="19"/>
      <c r="M48" s="19"/>
      <c r="N48" s="19"/>
      <c r="O48" s="19"/>
      <c r="P48" s="19"/>
      <c r="Q48" s="19"/>
    </row>
    <row r="49" spans="2:17" ht="15.75" x14ac:dyDescent="0.25">
      <c r="B49" s="522">
        <v>10</v>
      </c>
      <c r="C49" s="532" t="s">
        <v>205</v>
      </c>
      <c r="D49" s="533">
        <v>550</v>
      </c>
      <c r="E49" s="528">
        <f>B49/D49</f>
        <v>1.8181818181818181E-2</v>
      </c>
      <c r="F49" s="534" t="s">
        <v>214</v>
      </c>
      <c r="G49" s="19"/>
      <c r="H49" s="19"/>
      <c r="I49" s="19"/>
      <c r="J49" s="19"/>
      <c r="K49" s="19"/>
      <c r="L49" s="19"/>
      <c r="M49" s="19"/>
      <c r="N49" s="19"/>
      <c r="O49" s="19"/>
      <c r="P49" s="19"/>
      <c r="Q49" s="19"/>
    </row>
    <row r="50" spans="2:17" ht="16.5" thickBot="1" x14ac:dyDescent="0.3">
      <c r="B50" s="535">
        <v>10000</v>
      </c>
      <c r="C50" s="536" t="s">
        <v>94</v>
      </c>
      <c r="D50" s="537">
        <v>1.341E-3</v>
      </c>
      <c r="E50" s="538">
        <f>B50*D50</f>
        <v>13.41</v>
      </c>
      <c r="F50" s="539" t="s">
        <v>214</v>
      </c>
      <c r="G50" s="19"/>
      <c r="H50" s="19"/>
      <c r="I50" s="19"/>
      <c r="J50" s="19"/>
      <c r="K50" s="19"/>
      <c r="L50" s="19"/>
      <c r="M50" s="19"/>
      <c r="N50" s="19"/>
      <c r="O50" s="19"/>
      <c r="P50" s="19"/>
      <c r="Q50" s="19"/>
    </row>
    <row r="51" spans="2:17" x14ac:dyDescent="0.2">
      <c r="G51" s="19"/>
      <c r="H51" s="19"/>
      <c r="I51" s="19"/>
      <c r="J51" s="19"/>
      <c r="K51" s="19"/>
      <c r="L51" s="19"/>
      <c r="M51" s="19"/>
      <c r="N51" s="19"/>
      <c r="O51" s="19"/>
      <c r="P51" s="19"/>
      <c r="Q51" s="19"/>
    </row>
    <row r="52" spans="2:17" x14ac:dyDescent="0.2">
      <c r="G52" s="19"/>
      <c r="H52" s="19"/>
      <c r="I52" s="19"/>
      <c r="J52" s="19"/>
      <c r="K52" s="19"/>
      <c r="L52" s="19"/>
      <c r="M52" s="19"/>
      <c r="N52" s="19"/>
      <c r="O52" s="19"/>
      <c r="P52" s="19"/>
      <c r="Q52" s="19"/>
    </row>
    <row r="53" spans="2:17" ht="18.75" x14ac:dyDescent="0.25">
      <c r="B53" s="133" t="s">
        <v>215</v>
      </c>
      <c r="C53" s="135"/>
      <c r="D53" s="135"/>
      <c r="E53" s="135" t="s">
        <v>949</v>
      </c>
      <c r="F53" s="533" t="s">
        <v>950</v>
      </c>
      <c r="G53" s="19"/>
      <c r="H53" s="19"/>
      <c r="I53" s="19"/>
      <c r="J53" s="19"/>
      <c r="K53" s="19"/>
      <c r="L53" s="19"/>
      <c r="M53" s="19"/>
      <c r="N53" s="19"/>
      <c r="O53" s="19"/>
      <c r="P53" s="19"/>
      <c r="Q53" s="19"/>
    </row>
    <row r="54" spans="2:17" ht="16.5" thickBot="1" x14ac:dyDescent="0.3">
      <c r="B54" s="135"/>
      <c r="C54" s="135"/>
      <c r="D54" s="135"/>
      <c r="E54" s="135"/>
      <c r="F54" s="69"/>
      <c r="G54" s="19"/>
      <c r="H54" s="19"/>
      <c r="I54" s="19"/>
      <c r="J54" s="19"/>
      <c r="K54" s="19"/>
      <c r="L54" s="19"/>
      <c r="M54" s="19"/>
      <c r="N54" s="19"/>
      <c r="O54" s="19"/>
      <c r="P54" s="19"/>
      <c r="Q54" s="19"/>
    </row>
    <row r="55" spans="2:17" ht="16.5" thickBot="1" x14ac:dyDescent="0.3">
      <c r="B55" s="5" t="s">
        <v>187</v>
      </c>
      <c r="C55" s="6" t="s">
        <v>174</v>
      </c>
      <c r="D55" s="7" t="s">
        <v>216</v>
      </c>
      <c r="E55" s="6" t="s">
        <v>189</v>
      </c>
      <c r="F55" s="8" t="s">
        <v>174</v>
      </c>
      <c r="G55" s="19"/>
      <c r="H55" s="19"/>
      <c r="I55" s="19"/>
      <c r="J55" s="19"/>
      <c r="K55" s="19"/>
      <c r="L55" s="19"/>
      <c r="M55" s="19"/>
      <c r="N55" s="19"/>
      <c r="O55" s="19"/>
      <c r="P55" s="19"/>
      <c r="Q55" s="19"/>
    </row>
    <row r="56" spans="2:17" ht="15.75" x14ac:dyDescent="0.25">
      <c r="B56" s="540">
        <v>10</v>
      </c>
      <c r="C56" s="518" t="s">
        <v>26</v>
      </c>
      <c r="D56" s="519">
        <v>0.30480000000000002</v>
      </c>
      <c r="E56" s="520">
        <f>D56*B56</f>
        <v>3.048</v>
      </c>
      <c r="F56" s="521" t="s">
        <v>190</v>
      </c>
      <c r="G56" s="19"/>
      <c r="H56" s="19"/>
      <c r="I56" s="19"/>
      <c r="J56" s="19"/>
      <c r="K56" s="19"/>
      <c r="L56" s="19"/>
      <c r="M56" s="19"/>
      <c r="N56" s="19"/>
      <c r="O56" s="19"/>
      <c r="P56" s="19"/>
      <c r="Q56" s="19"/>
    </row>
    <row r="57" spans="2:17" ht="15.75" x14ac:dyDescent="0.25">
      <c r="B57" s="541">
        <v>10</v>
      </c>
      <c r="C57" s="523" t="s">
        <v>192</v>
      </c>
      <c r="D57" s="524">
        <v>0.4536</v>
      </c>
      <c r="E57" s="528">
        <f>D57*B57</f>
        <v>4.5359999999999996</v>
      </c>
      <c r="F57" s="526" t="s">
        <v>191</v>
      </c>
      <c r="G57" s="19"/>
      <c r="H57" s="19"/>
      <c r="I57" s="19"/>
      <c r="J57" s="19"/>
      <c r="K57" s="19"/>
      <c r="L57" s="19"/>
      <c r="M57" s="19"/>
      <c r="N57" s="19"/>
      <c r="O57" s="19"/>
      <c r="P57" s="19"/>
      <c r="Q57" s="19"/>
    </row>
    <row r="58" spans="2:17" ht="15.75" x14ac:dyDescent="0.25">
      <c r="B58" s="541">
        <v>10</v>
      </c>
      <c r="C58" s="523" t="s">
        <v>195</v>
      </c>
      <c r="D58" s="527" t="s">
        <v>194</v>
      </c>
      <c r="E58" s="528">
        <f>B58</f>
        <v>10</v>
      </c>
      <c r="F58" s="526" t="s">
        <v>193</v>
      </c>
      <c r="G58" s="19"/>
      <c r="H58" s="19"/>
      <c r="I58" s="19"/>
      <c r="J58" s="19"/>
      <c r="K58" s="19"/>
      <c r="L58" s="19"/>
      <c r="M58" s="19"/>
      <c r="N58" s="19"/>
      <c r="O58" s="19"/>
      <c r="P58" s="19"/>
      <c r="Q58" s="19"/>
    </row>
    <row r="59" spans="2:17" ht="18.75" x14ac:dyDescent="0.25">
      <c r="B59" s="541">
        <v>10</v>
      </c>
      <c r="C59" s="523" t="s">
        <v>934</v>
      </c>
      <c r="D59" s="529">
        <v>9.2899999999999996E-2</v>
      </c>
      <c r="E59" s="525">
        <f>D59*B59</f>
        <v>0.92899999999999994</v>
      </c>
      <c r="F59" s="526" t="s">
        <v>933</v>
      </c>
      <c r="G59" s="19"/>
      <c r="H59" s="19"/>
      <c r="I59" s="19"/>
      <c r="J59" s="19"/>
      <c r="K59" s="19"/>
      <c r="L59" s="19"/>
      <c r="M59" s="19"/>
      <c r="N59" s="19"/>
      <c r="O59" s="19"/>
      <c r="P59" s="19"/>
      <c r="Q59" s="19"/>
    </row>
    <row r="60" spans="2:17" ht="18.75" x14ac:dyDescent="0.25">
      <c r="B60" s="541">
        <v>10</v>
      </c>
      <c r="C60" s="523" t="s">
        <v>936</v>
      </c>
      <c r="D60" s="524">
        <v>2.8320000000000001E-2</v>
      </c>
      <c r="E60" s="525">
        <f>D60*B60</f>
        <v>0.28320000000000001</v>
      </c>
      <c r="F60" s="526" t="s">
        <v>935</v>
      </c>
      <c r="G60" s="19"/>
      <c r="H60" s="19"/>
      <c r="I60" s="19"/>
      <c r="J60" s="19"/>
      <c r="K60" s="19"/>
      <c r="L60" s="19"/>
      <c r="M60" s="19"/>
      <c r="N60" s="19"/>
      <c r="O60" s="19"/>
      <c r="P60" s="19"/>
      <c r="Q60" s="19"/>
    </row>
    <row r="61" spans="2:17" ht="15.75" x14ac:dyDescent="0.25">
      <c r="B61" s="541">
        <v>10</v>
      </c>
      <c r="C61" s="523" t="s">
        <v>197</v>
      </c>
      <c r="D61" s="524">
        <v>0.30480000000000002</v>
      </c>
      <c r="E61" s="525">
        <f>D61*B61</f>
        <v>3.048</v>
      </c>
      <c r="F61" s="526" t="s">
        <v>196</v>
      </c>
      <c r="G61" s="19"/>
      <c r="H61" s="19"/>
      <c r="I61" s="19"/>
      <c r="J61" s="19"/>
      <c r="K61" s="19"/>
      <c r="L61" s="19"/>
      <c r="M61" s="19"/>
      <c r="N61" s="19"/>
      <c r="O61" s="19"/>
      <c r="P61" s="19"/>
      <c r="Q61" s="19"/>
    </row>
    <row r="62" spans="2:17" ht="18.75" x14ac:dyDescent="0.25">
      <c r="B62" s="541">
        <v>10</v>
      </c>
      <c r="C62" s="523" t="s">
        <v>938</v>
      </c>
      <c r="D62" s="524">
        <v>0.30480000000000002</v>
      </c>
      <c r="E62" s="525">
        <f>D62*B62</f>
        <v>3.048</v>
      </c>
      <c r="F62" s="526" t="s">
        <v>937</v>
      </c>
      <c r="G62" s="19"/>
      <c r="H62" s="19"/>
      <c r="I62" s="19"/>
      <c r="J62" s="19"/>
      <c r="K62" s="19"/>
      <c r="L62" s="19"/>
      <c r="M62" s="19"/>
      <c r="N62" s="19"/>
      <c r="O62" s="19"/>
      <c r="P62" s="19"/>
      <c r="Q62" s="19"/>
    </row>
    <row r="63" spans="2:17" ht="18.75" x14ac:dyDescent="0.25">
      <c r="B63" s="541">
        <v>10</v>
      </c>
      <c r="C63" s="523" t="s">
        <v>939</v>
      </c>
      <c r="D63" s="527" t="s">
        <v>194</v>
      </c>
      <c r="E63" s="528">
        <f>B63</f>
        <v>10</v>
      </c>
      <c r="F63" s="526" t="s">
        <v>198</v>
      </c>
      <c r="G63" s="19"/>
      <c r="H63" s="19"/>
      <c r="I63" s="19"/>
      <c r="J63" s="19"/>
      <c r="K63" s="19"/>
      <c r="L63" s="19"/>
      <c r="M63" s="19"/>
      <c r="N63" s="19"/>
      <c r="O63" s="19"/>
      <c r="P63" s="19"/>
      <c r="Q63" s="19"/>
    </row>
    <row r="64" spans="2:17" ht="15.75" x14ac:dyDescent="0.25">
      <c r="B64" s="541">
        <v>10</v>
      </c>
      <c r="C64" s="523" t="s">
        <v>200</v>
      </c>
      <c r="D64" s="524">
        <v>4.4480000000000004</v>
      </c>
      <c r="E64" s="525">
        <f t="shared" ref="E64:E80" si="1">D64*B64</f>
        <v>44.480000000000004</v>
      </c>
      <c r="F64" s="526" t="s">
        <v>199</v>
      </c>
      <c r="G64" s="19"/>
      <c r="H64" s="19"/>
      <c r="I64" s="19"/>
      <c r="J64" s="19"/>
      <c r="K64" s="19"/>
      <c r="L64" s="19"/>
      <c r="M64" s="19"/>
      <c r="N64" s="19"/>
      <c r="O64" s="19"/>
      <c r="P64" s="19"/>
      <c r="Q64" s="19"/>
    </row>
    <row r="65" spans="2:17" ht="18.75" x14ac:dyDescent="0.25">
      <c r="B65" s="186">
        <v>10</v>
      </c>
      <c r="C65" s="523" t="s">
        <v>941</v>
      </c>
      <c r="D65" s="524">
        <v>16.02</v>
      </c>
      <c r="E65" s="525">
        <f t="shared" si="1"/>
        <v>160.19999999999999</v>
      </c>
      <c r="F65" s="526" t="s">
        <v>940</v>
      </c>
      <c r="G65" s="19"/>
      <c r="H65" s="19"/>
      <c r="I65" s="19"/>
      <c r="J65" s="19"/>
      <c r="K65" s="19"/>
      <c r="L65" s="19"/>
      <c r="M65" s="19"/>
      <c r="N65" s="19"/>
      <c r="O65" s="19"/>
      <c r="P65" s="19"/>
      <c r="Q65" s="19"/>
    </row>
    <row r="66" spans="2:17" ht="18.75" x14ac:dyDescent="0.25">
      <c r="B66" s="541">
        <v>10</v>
      </c>
      <c r="C66" s="523" t="s">
        <v>943</v>
      </c>
      <c r="D66" s="524">
        <v>157.1</v>
      </c>
      <c r="E66" s="542">
        <f t="shared" si="1"/>
        <v>1571</v>
      </c>
      <c r="F66" s="526" t="s">
        <v>942</v>
      </c>
      <c r="G66" s="19"/>
      <c r="H66" s="19"/>
      <c r="I66" s="19"/>
      <c r="J66" s="19"/>
      <c r="K66" s="19"/>
      <c r="L66" s="19"/>
      <c r="M66" s="19"/>
      <c r="N66" s="19"/>
      <c r="O66" s="19"/>
      <c r="P66" s="19"/>
      <c r="Q66" s="19"/>
    </row>
    <row r="67" spans="2:17" ht="18.75" x14ac:dyDescent="0.25">
      <c r="B67" s="541">
        <v>10</v>
      </c>
      <c r="C67" s="523" t="s">
        <v>944</v>
      </c>
      <c r="D67" s="524">
        <v>4.7879999999999999E-2</v>
      </c>
      <c r="E67" s="525">
        <f t="shared" si="1"/>
        <v>0.4788</v>
      </c>
      <c r="F67" s="526" t="s">
        <v>201</v>
      </c>
      <c r="G67" s="19"/>
      <c r="H67" s="19"/>
      <c r="I67" s="19"/>
      <c r="J67" s="19"/>
      <c r="K67" s="19"/>
      <c r="L67" s="19"/>
      <c r="M67" s="19"/>
      <c r="N67" s="19"/>
      <c r="O67" s="19"/>
      <c r="P67" s="19"/>
      <c r="Q67" s="19"/>
    </row>
    <row r="68" spans="2:17" ht="15.75" x14ac:dyDescent="0.25">
      <c r="B68" s="541">
        <v>10</v>
      </c>
      <c r="C68" s="523" t="s">
        <v>203</v>
      </c>
      <c r="D68" s="524">
        <v>1.3560000000000001</v>
      </c>
      <c r="E68" s="525">
        <f t="shared" si="1"/>
        <v>13.56</v>
      </c>
      <c r="F68" s="526" t="s">
        <v>202</v>
      </c>
      <c r="G68" s="19"/>
      <c r="H68" s="19"/>
      <c r="I68" s="19"/>
      <c r="J68" s="19"/>
      <c r="K68" s="19"/>
      <c r="L68" s="19"/>
      <c r="M68" s="19"/>
      <c r="N68" s="19"/>
      <c r="O68" s="19"/>
      <c r="P68" s="19"/>
      <c r="Q68" s="19"/>
    </row>
    <row r="69" spans="2:17" ht="15.75" x14ac:dyDescent="0.25">
      <c r="B69" s="541">
        <v>10</v>
      </c>
      <c r="C69" s="523" t="s">
        <v>204</v>
      </c>
      <c r="D69" s="524">
        <v>1055</v>
      </c>
      <c r="E69" s="542">
        <f t="shared" si="1"/>
        <v>10550</v>
      </c>
      <c r="F69" s="526" t="s">
        <v>202</v>
      </c>
      <c r="G69" s="19"/>
      <c r="H69" s="19"/>
      <c r="I69" s="19"/>
      <c r="J69" s="19"/>
      <c r="K69" s="19"/>
      <c r="L69" s="19"/>
      <c r="M69" s="19"/>
      <c r="N69" s="19"/>
      <c r="O69" s="19"/>
      <c r="P69" s="19"/>
      <c r="Q69" s="19"/>
    </row>
    <row r="70" spans="2:17" ht="15.75" x14ac:dyDescent="0.25">
      <c r="B70" s="541">
        <v>10</v>
      </c>
      <c r="C70" s="523" t="s">
        <v>205</v>
      </c>
      <c r="D70" s="524">
        <v>1.3560000000000001</v>
      </c>
      <c r="E70" s="525">
        <f t="shared" si="1"/>
        <v>13.56</v>
      </c>
      <c r="F70" s="526" t="s">
        <v>173</v>
      </c>
      <c r="G70" s="19"/>
      <c r="H70" s="19"/>
      <c r="I70" s="19"/>
      <c r="J70" s="19"/>
      <c r="K70" s="19"/>
      <c r="L70" s="19"/>
      <c r="M70" s="19"/>
      <c r="N70" s="19"/>
      <c r="O70" s="19"/>
      <c r="P70" s="19"/>
      <c r="Q70" s="19"/>
    </row>
    <row r="71" spans="2:17" ht="15.75" x14ac:dyDescent="0.25">
      <c r="B71" s="541">
        <v>10</v>
      </c>
      <c r="C71" s="523" t="s">
        <v>207</v>
      </c>
      <c r="D71" s="524">
        <v>1055</v>
      </c>
      <c r="E71" s="542">
        <f t="shared" si="1"/>
        <v>10550</v>
      </c>
      <c r="F71" s="526" t="s">
        <v>217</v>
      </c>
      <c r="G71" s="19"/>
      <c r="H71" s="19"/>
      <c r="I71" s="19"/>
      <c r="J71" s="19"/>
      <c r="K71" s="19"/>
      <c r="L71" s="19"/>
      <c r="M71" s="19"/>
      <c r="N71" s="19"/>
      <c r="O71" s="19"/>
      <c r="P71" s="19"/>
      <c r="Q71" s="19"/>
    </row>
    <row r="72" spans="2:17" ht="15.75" x14ac:dyDescent="0.25">
      <c r="B72" s="541">
        <v>10</v>
      </c>
      <c r="C72" s="523" t="s">
        <v>209</v>
      </c>
      <c r="D72" s="524">
        <v>0.4536</v>
      </c>
      <c r="E72" s="525">
        <f t="shared" si="1"/>
        <v>4.5359999999999996</v>
      </c>
      <c r="F72" s="526" t="s">
        <v>208</v>
      </c>
      <c r="G72" s="19"/>
      <c r="H72" s="19"/>
      <c r="I72" s="19"/>
      <c r="J72" s="19"/>
      <c r="K72" s="19"/>
      <c r="L72" s="19"/>
      <c r="M72" s="19"/>
      <c r="N72" s="19"/>
      <c r="O72" s="19"/>
      <c r="P72" s="19"/>
      <c r="Q72" s="19"/>
    </row>
    <row r="73" spans="2:17" ht="18.75" x14ac:dyDescent="0.25">
      <c r="B73" s="541">
        <v>10</v>
      </c>
      <c r="C73" s="523" t="s">
        <v>946</v>
      </c>
      <c r="D73" s="524">
        <v>2.8320000000000001E-2</v>
      </c>
      <c r="E73" s="525">
        <f t="shared" si="1"/>
        <v>0.28320000000000001</v>
      </c>
      <c r="F73" s="526" t="s">
        <v>945</v>
      </c>
      <c r="G73" s="19"/>
      <c r="H73" s="19"/>
      <c r="I73" s="19"/>
      <c r="J73" s="19"/>
      <c r="K73" s="19"/>
      <c r="L73" s="19"/>
      <c r="M73" s="19"/>
      <c r="N73" s="19"/>
      <c r="O73" s="19"/>
      <c r="P73" s="19"/>
      <c r="Q73" s="19"/>
    </row>
    <row r="74" spans="2:17" ht="15.75" x14ac:dyDescent="0.25">
      <c r="B74" s="541">
        <v>10</v>
      </c>
      <c r="C74" s="523" t="s">
        <v>211</v>
      </c>
      <c r="D74" s="524">
        <v>4.1870000000000003</v>
      </c>
      <c r="E74" s="531">
        <f t="shared" si="1"/>
        <v>41.870000000000005</v>
      </c>
      <c r="F74" s="526" t="s">
        <v>210</v>
      </c>
      <c r="G74" s="19"/>
      <c r="H74" s="19"/>
      <c r="I74" s="19"/>
      <c r="J74" s="19"/>
      <c r="K74" s="19"/>
      <c r="L74" s="19"/>
      <c r="M74" s="19"/>
      <c r="N74" s="19"/>
      <c r="O74" s="19"/>
      <c r="P74" s="19"/>
      <c r="Q74" s="19"/>
    </row>
    <row r="75" spans="2:17" ht="15.75" x14ac:dyDescent="0.25">
      <c r="B75" s="541">
        <v>10</v>
      </c>
      <c r="C75" s="523" t="s">
        <v>213</v>
      </c>
      <c r="D75" s="524">
        <v>2.3260000000000001</v>
      </c>
      <c r="E75" s="531">
        <f t="shared" si="1"/>
        <v>23.26</v>
      </c>
      <c r="F75" s="526" t="s">
        <v>212</v>
      </c>
      <c r="G75" s="19"/>
      <c r="H75" s="19"/>
      <c r="I75" s="19"/>
      <c r="J75" s="19"/>
      <c r="K75" s="19"/>
      <c r="L75" s="19"/>
      <c r="M75" s="19"/>
      <c r="N75" s="19"/>
      <c r="O75" s="19"/>
      <c r="P75" s="19"/>
      <c r="Q75" s="19"/>
    </row>
    <row r="76" spans="2:17" ht="15.75" x14ac:dyDescent="0.25">
      <c r="B76" s="541">
        <v>10</v>
      </c>
      <c r="C76" s="523" t="s">
        <v>211</v>
      </c>
      <c r="D76" s="524">
        <v>4.1870000000000003</v>
      </c>
      <c r="E76" s="531">
        <f t="shared" si="1"/>
        <v>41.870000000000005</v>
      </c>
      <c r="F76" s="526" t="s">
        <v>210</v>
      </c>
      <c r="G76" s="19"/>
      <c r="H76" s="19"/>
      <c r="I76" s="19"/>
      <c r="J76" s="19"/>
      <c r="K76" s="19"/>
      <c r="L76" s="19"/>
      <c r="M76" s="19"/>
      <c r="N76" s="19"/>
      <c r="O76" s="19"/>
      <c r="P76" s="19"/>
      <c r="Q76" s="19"/>
    </row>
    <row r="77" spans="2:17" ht="18.75" x14ac:dyDescent="0.25">
      <c r="B77" s="541">
        <v>10</v>
      </c>
      <c r="C77" s="523" t="s">
        <v>948</v>
      </c>
      <c r="D77" s="524">
        <v>6.2420000000000003E-2</v>
      </c>
      <c r="E77" s="525">
        <f t="shared" si="1"/>
        <v>0.62420000000000009</v>
      </c>
      <c r="F77" s="526" t="s">
        <v>947</v>
      </c>
      <c r="G77" s="19"/>
      <c r="H77" s="19"/>
      <c r="I77" s="19"/>
      <c r="J77" s="19"/>
      <c r="K77" s="19"/>
      <c r="L77" s="19"/>
      <c r="M77" s="19"/>
      <c r="N77" s="19"/>
      <c r="O77" s="19"/>
      <c r="P77" s="19"/>
      <c r="Q77" s="19"/>
    </row>
    <row r="78" spans="2:17" ht="15.75" x14ac:dyDescent="0.25">
      <c r="B78" s="541">
        <v>10</v>
      </c>
      <c r="C78" s="532" t="s">
        <v>214</v>
      </c>
      <c r="D78" s="533">
        <v>1.4148000000000001</v>
      </c>
      <c r="E78" s="525">
        <f t="shared" si="1"/>
        <v>14.148</v>
      </c>
      <c r="F78" s="534" t="s">
        <v>207</v>
      </c>
      <c r="G78" s="19"/>
      <c r="H78" s="19"/>
      <c r="I78" s="19"/>
      <c r="J78" s="19"/>
      <c r="K78" s="19"/>
      <c r="L78" s="19"/>
      <c r="M78" s="19"/>
      <c r="N78" s="19"/>
      <c r="O78" s="19"/>
      <c r="P78" s="19"/>
      <c r="Q78" s="19"/>
    </row>
    <row r="79" spans="2:17" ht="15.75" x14ac:dyDescent="0.25">
      <c r="B79" s="541">
        <v>10</v>
      </c>
      <c r="C79" s="532" t="s">
        <v>214</v>
      </c>
      <c r="D79" s="533">
        <v>550</v>
      </c>
      <c r="E79" s="542">
        <f t="shared" si="1"/>
        <v>5500</v>
      </c>
      <c r="F79" s="534" t="s">
        <v>205</v>
      </c>
      <c r="G79" s="19"/>
      <c r="H79" s="19"/>
      <c r="I79" s="19"/>
      <c r="J79" s="19"/>
      <c r="K79" s="19"/>
      <c r="L79" s="19"/>
      <c r="M79" s="19"/>
      <c r="N79" s="19"/>
      <c r="O79" s="19"/>
      <c r="P79" s="19"/>
      <c r="Q79" s="19"/>
    </row>
    <row r="80" spans="2:17" ht="16.5" thickBot="1" x14ac:dyDescent="0.3">
      <c r="B80" s="543">
        <v>10</v>
      </c>
      <c r="C80" s="536" t="s">
        <v>214</v>
      </c>
      <c r="D80" s="537">
        <v>746</v>
      </c>
      <c r="E80" s="544">
        <f t="shared" si="1"/>
        <v>7460</v>
      </c>
      <c r="F80" s="539" t="s">
        <v>94</v>
      </c>
      <c r="G80" s="19"/>
      <c r="H80" s="19"/>
      <c r="I80" s="19"/>
      <c r="J80" s="19"/>
      <c r="K80" s="19"/>
      <c r="L80" s="19"/>
      <c r="M80" s="19"/>
      <c r="N80" s="19"/>
      <c r="O80" s="19"/>
      <c r="P80" s="19"/>
      <c r="Q80" s="19"/>
    </row>
    <row r="81" spans="5:17" x14ac:dyDescent="0.2">
      <c r="G81" s="19"/>
      <c r="H81" s="19"/>
      <c r="I81" s="19"/>
      <c r="J81" s="19"/>
      <c r="K81" s="19"/>
      <c r="L81" s="19"/>
      <c r="M81" s="19"/>
      <c r="N81" s="19"/>
      <c r="O81" s="19"/>
      <c r="P81" s="19"/>
      <c r="Q81" s="19"/>
    </row>
    <row r="82" spans="5:17" ht="18.75" x14ac:dyDescent="0.25">
      <c r="E82" s="135" t="s">
        <v>949</v>
      </c>
      <c r="F82" s="533" t="s">
        <v>950</v>
      </c>
      <c r="G82" s="19"/>
      <c r="H82" s="19"/>
      <c r="I82" s="19"/>
      <c r="J82" s="19"/>
      <c r="K82" s="19"/>
      <c r="L82" s="19"/>
      <c r="M82" s="19"/>
      <c r="N82" s="19"/>
      <c r="O82" s="19"/>
      <c r="P82" s="19"/>
      <c r="Q82" s="19"/>
    </row>
    <row r="83" spans="5:17" x14ac:dyDescent="0.2">
      <c r="H83" s="19"/>
      <c r="I83" s="19"/>
      <c r="J83" s="19"/>
      <c r="K83" s="19"/>
      <c r="L83" s="19"/>
      <c r="M83" s="19"/>
      <c r="N83" s="19"/>
      <c r="O83" s="19"/>
      <c r="P83" s="19"/>
      <c r="Q83" s="19"/>
    </row>
    <row r="84" spans="5:17" ht="15.75" x14ac:dyDescent="0.25">
      <c r="E84" s="18" t="s">
        <v>525</v>
      </c>
      <c r="F84" s="16">
        <v>1005</v>
      </c>
      <c r="G84" s="16" t="s">
        <v>527</v>
      </c>
      <c r="H84" s="19"/>
      <c r="I84" s="19"/>
      <c r="J84" s="19"/>
      <c r="K84" s="19"/>
      <c r="L84" s="19"/>
      <c r="M84" s="19"/>
      <c r="N84" s="19"/>
      <c r="O84" s="19"/>
      <c r="P84" s="19"/>
      <c r="Q84" s="19"/>
    </row>
    <row r="85" spans="5:17" ht="15.75" x14ac:dyDescent="0.25">
      <c r="E85" s="18" t="s">
        <v>2</v>
      </c>
      <c r="F85" s="9" t="s">
        <v>533</v>
      </c>
      <c r="G85" s="9"/>
      <c r="H85" s="19"/>
      <c r="I85" s="19"/>
      <c r="J85" s="19"/>
      <c r="K85" s="19"/>
      <c r="L85" s="19"/>
      <c r="M85" s="19"/>
      <c r="N85" s="19"/>
      <c r="O85" s="19"/>
      <c r="P85" s="19"/>
      <c r="Q85" s="19"/>
    </row>
    <row r="86" spans="5:17" ht="15.75" x14ac:dyDescent="0.25">
      <c r="E86" s="18" t="s">
        <v>2</v>
      </c>
      <c r="F86" s="75">
        <f>F84/4.187</f>
        <v>240.02866013852397</v>
      </c>
      <c r="G86" s="9" t="s">
        <v>532</v>
      </c>
      <c r="H86" s="19"/>
      <c r="I86" s="19"/>
      <c r="J86" s="19"/>
      <c r="K86" s="19"/>
      <c r="L86" s="19"/>
      <c r="M86" s="19"/>
      <c r="N86" s="19"/>
      <c r="O86" s="19"/>
      <c r="P86" s="19"/>
      <c r="Q86" s="19"/>
    </row>
    <row r="87" spans="5:17" ht="15.75" x14ac:dyDescent="0.25">
      <c r="E87" s="9"/>
      <c r="F87" s="9"/>
      <c r="G87" s="9"/>
      <c r="H87" s="19"/>
      <c r="I87" s="19"/>
      <c r="J87" s="19"/>
      <c r="K87" s="19"/>
      <c r="L87" s="19"/>
      <c r="M87" s="19"/>
      <c r="N87" s="19"/>
      <c r="O87" s="19"/>
      <c r="P87" s="19"/>
      <c r="Q87" s="19"/>
    </row>
    <row r="88" spans="5:17" ht="15.75" x14ac:dyDescent="0.25">
      <c r="E88" s="18" t="s">
        <v>528</v>
      </c>
      <c r="F88" s="16">
        <v>540</v>
      </c>
      <c r="G88" s="9" t="s">
        <v>529</v>
      </c>
      <c r="H88" s="19"/>
      <c r="I88" s="19"/>
      <c r="J88" s="19"/>
      <c r="K88" s="19"/>
      <c r="L88" s="19"/>
      <c r="M88" s="19"/>
      <c r="N88" s="19"/>
      <c r="O88" s="19"/>
      <c r="P88" s="19"/>
      <c r="Q88" s="19"/>
    </row>
    <row r="89" spans="5:17" x14ac:dyDescent="0.2">
      <c r="H89" s="19"/>
      <c r="I89" s="19"/>
      <c r="J89" s="19"/>
      <c r="K89" s="19"/>
      <c r="L89" s="19"/>
      <c r="M89" s="19"/>
      <c r="N89" s="19"/>
      <c r="O89" s="19"/>
      <c r="P89" s="19"/>
      <c r="Q89" s="19"/>
    </row>
    <row r="90" spans="5:17" x14ac:dyDescent="0.2">
      <c r="H90" s="19"/>
      <c r="I90" s="19"/>
      <c r="J90" s="19"/>
      <c r="K90" s="19"/>
      <c r="L90" s="19"/>
      <c r="M90" s="19"/>
      <c r="N90" s="19"/>
      <c r="O90" s="19"/>
      <c r="P90" s="19"/>
      <c r="Q90" s="19"/>
    </row>
    <row r="91" spans="5:17" x14ac:dyDescent="0.2">
      <c r="H91" s="19"/>
      <c r="I91" s="19"/>
      <c r="J91" s="19"/>
      <c r="K91" s="19"/>
      <c r="L91" s="19"/>
      <c r="M91" s="19"/>
      <c r="N91" s="19"/>
      <c r="O91" s="19"/>
      <c r="P91" s="19"/>
      <c r="Q91" s="19"/>
    </row>
    <row r="92" spans="5:17" ht="15.75" x14ac:dyDescent="0.25">
      <c r="H92" s="13"/>
      <c r="I92" s="48"/>
      <c r="J92" s="19"/>
      <c r="K92" s="48"/>
      <c r="L92" s="45"/>
      <c r="M92" s="19"/>
      <c r="N92" s="19"/>
      <c r="O92" s="19"/>
      <c r="P92" s="19"/>
      <c r="Q92" s="19"/>
    </row>
    <row r="93" spans="5:17" x14ac:dyDescent="0.2">
      <c r="H93" s="19"/>
      <c r="I93" s="48"/>
      <c r="J93" s="19"/>
      <c r="K93" s="48"/>
      <c r="L93" s="45"/>
      <c r="M93" s="19"/>
      <c r="N93" s="19"/>
      <c r="O93" s="19"/>
      <c r="P93" s="19"/>
      <c r="Q93" s="19"/>
    </row>
    <row r="94" spans="5:17" x14ac:dyDescent="0.2">
      <c r="H94" s="19"/>
      <c r="I94" s="19"/>
      <c r="J94" s="19"/>
      <c r="K94" s="19"/>
      <c r="L94" s="19"/>
      <c r="M94" s="19"/>
      <c r="N94" s="19"/>
      <c r="O94" s="19"/>
      <c r="P94" s="19"/>
      <c r="Q94" s="19"/>
    </row>
    <row r="95" spans="5:17" x14ac:dyDescent="0.2">
      <c r="H95" s="19"/>
      <c r="I95" s="19"/>
      <c r="J95" s="19"/>
      <c r="K95" s="19"/>
      <c r="L95" s="19"/>
      <c r="M95" s="19"/>
      <c r="N95" s="19"/>
      <c r="O95" s="19"/>
      <c r="P95" s="19"/>
      <c r="Q95" s="19"/>
    </row>
    <row r="96" spans="5:17" x14ac:dyDescent="0.2">
      <c r="H96" s="19"/>
      <c r="I96" s="19"/>
      <c r="J96" s="19"/>
      <c r="K96" s="19"/>
      <c r="L96" s="19"/>
      <c r="M96" s="19"/>
      <c r="N96" s="19"/>
      <c r="O96" s="19"/>
      <c r="P96" s="19"/>
      <c r="Q96" s="19"/>
    </row>
    <row r="97" spans="3:17" x14ac:dyDescent="0.2">
      <c r="H97" s="19"/>
      <c r="I97" s="19"/>
      <c r="J97" s="19"/>
      <c r="K97" s="19"/>
      <c r="L97" s="19"/>
      <c r="M97" s="19"/>
      <c r="N97" s="19"/>
      <c r="O97" s="19"/>
      <c r="P97" s="19"/>
      <c r="Q97" s="19"/>
    </row>
    <row r="98" spans="3:17" x14ac:dyDescent="0.2">
      <c r="H98" s="19"/>
      <c r="I98" s="19"/>
      <c r="J98" s="19"/>
      <c r="K98" s="19"/>
      <c r="L98" s="19"/>
      <c r="M98" s="19"/>
      <c r="N98" s="19"/>
      <c r="O98" s="19"/>
      <c r="P98" s="19"/>
      <c r="Q98" s="19"/>
    </row>
    <row r="99" spans="3:17" ht="15.75" x14ac:dyDescent="0.25">
      <c r="C99" s="175"/>
      <c r="D99" s="215"/>
      <c r="E99" s="178"/>
      <c r="F99" s="177"/>
      <c r="H99" s="19"/>
      <c r="I99" s="19"/>
      <c r="J99" s="19"/>
      <c r="K99" s="19"/>
      <c r="L99" s="19"/>
      <c r="M99" s="19"/>
      <c r="N99" s="19"/>
      <c r="O99" s="19"/>
      <c r="P99" s="19"/>
      <c r="Q99" s="19"/>
    </row>
    <row r="100" spans="3:17" ht="15.75" x14ac:dyDescent="0.25">
      <c r="C100" s="76"/>
      <c r="D100" s="111"/>
      <c r="E100" s="178"/>
      <c r="F100" s="177"/>
      <c r="H100" s="545"/>
      <c r="I100" s="546"/>
      <c r="J100" s="545"/>
      <c r="K100" s="111"/>
      <c r="L100" s="19"/>
      <c r="M100" s="19"/>
      <c r="N100" s="19"/>
      <c r="O100" s="19"/>
      <c r="P100" s="19"/>
      <c r="Q100" s="19"/>
    </row>
    <row r="101" spans="3:17" ht="15.75" x14ac:dyDescent="0.25">
      <c r="C101" s="175"/>
      <c r="D101" s="215"/>
      <c r="E101" s="178"/>
      <c r="F101" s="177"/>
      <c r="H101" s="78"/>
      <c r="I101" s="547"/>
      <c r="J101" s="548"/>
      <c r="K101" s="111"/>
      <c r="L101" s="19"/>
      <c r="M101" s="19"/>
      <c r="N101" s="19"/>
      <c r="O101" s="19"/>
      <c r="P101" s="19"/>
      <c r="Q101" s="19"/>
    </row>
    <row r="102" spans="3:17" ht="15.75" x14ac:dyDescent="0.25">
      <c r="C102" s="76"/>
      <c r="D102" s="77"/>
      <c r="E102" s="178"/>
      <c r="F102" s="177"/>
      <c r="H102" s="106"/>
      <c r="I102" s="546"/>
      <c r="J102" s="106"/>
      <c r="K102" s="111"/>
      <c r="L102" s="19"/>
      <c r="M102" s="19"/>
      <c r="N102" s="19"/>
      <c r="O102" s="19"/>
      <c r="P102" s="19"/>
      <c r="Q102" s="19"/>
    </row>
    <row r="103" spans="3:17" ht="15.75" x14ac:dyDescent="0.25">
      <c r="C103" s="175"/>
      <c r="D103" s="12"/>
      <c r="E103" s="178"/>
      <c r="F103" s="177"/>
      <c r="H103" s="78"/>
      <c r="I103" s="548"/>
      <c r="J103" s="548"/>
      <c r="K103" s="111"/>
      <c r="L103" s="19"/>
      <c r="M103" s="19"/>
      <c r="N103" s="19"/>
      <c r="O103" s="19"/>
      <c r="P103" s="19"/>
      <c r="Q103" s="19"/>
    </row>
    <row r="104" spans="3:17" ht="15.75" x14ac:dyDescent="0.25">
      <c r="C104" s="175"/>
      <c r="D104" s="178"/>
      <c r="E104" s="178"/>
      <c r="F104" s="177"/>
      <c r="H104" s="549"/>
      <c r="I104" s="548"/>
      <c r="J104" s="548"/>
      <c r="K104" s="111"/>
      <c r="L104" s="19"/>
      <c r="M104" s="19"/>
      <c r="N104" s="19"/>
      <c r="O104" s="19"/>
      <c r="P104" s="19"/>
      <c r="Q104" s="19"/>
    </row>
    <row r="105" spans="3:17" ht="15.75" x14ac:dyDescent="0.25">
      <c r="C105" s="175"/>
      <c r="D105" s="215"/>
      <c r="E105" s="177"/>
      <c r="F105" s="177"/>
      <c r="H105" s="383"/>
      <c r="I105" s="111"/>
      <c r="J105" s="111"/>
      <c r="K105" s="111"/>
      <c r="L105" s="19"/>
      <c r="M105" s="19"/>
      <c r="N105" s="19"/>
      <c r="O105" s="19"/>
      <c r="P105" s="19"/>
      <c r="Q105" s="19"/>
    </row>
    <row r="106" spans="3:17" ht="15.75" x14ac:dyDescent="0.25">
      <c r="C106" s="76"/>
      <c r="D106" s="111" t="s">
        <v>821</v>
      </c>
      <c r="E106" s="177"/>
      <c r="F106" s="177"/>
      <c r="H106" s="383"/>
      <c r="I106" s="443"/>
      <c r="J106" s="383"/>
      <c r="K106" s="111"/>
      <c r="L106" s="19"/>
      <c r="M106" s="19"/>
      <c r="N106" s="19"/>
      <c r="O106" s="19"/>
      <c r="P106" s="19"/>
      <c r="Q106" s="19"/>
    </row>
    <row r="107" spans="3:17" ht="15.75" x14ac:dyDescent="0.25">
      <c r="C107" s="175"/>
      <c r="D107" s="215"/>
      <c r="E107" s="177"/>
      <c r="F107" s="177"/>
      <c r="H107" s="78"/>
      <c r="I107" s="551"/>
      <c r="J107" s="46"/>
      <c r="K107" s="111"/>
      <c r="L107" s="19"/>
      <c r="M107" s="19"/>
      <c r="N107" s="19"/>
      <c r="O107" s="19"/>
      <c r="P107" s="19"/>
      <c r="Q107" s="19"/>
    </row>
    <row r="108" spans="3:17" ht="15.75" x14ac:dyDescent="0.25">
      <c r="C108" s="76"/>
      <c r="D108" s="12"/>
      <c r="E108" s="177"/>
      <c r="F108" s="177"/>
      <c r="H108" s="383"/>
      <c r="I108" s="443"/>
      <c r="J108" s="111"/>
      <c r="K108" s="111"/>
      <c r="L108" s="19"/>
      <c r="M108" s="19"/>
      <c r="N108" s="19"/>
      <c r="O108" s="19"/>
      <c r="P108" s="19"/>
      <c r="Q108" s="19"/>
    </row>
    <row r="109" spans="3:17" ht="15.75" x14ac:dyDescent="0.25">
      <c r="C109" s="77"/>
      <c r="D109" s="12"/>
      <c r="E109" s="177"/>
      <c r="F109" s="177"/>
      <c r="H109" s="552"/>
      <c r="I109" s="46"/>
      <c r="J109" s="111"/>
      <c r="K109" s="111"/>
      <c r="L109" s="19"/>
      <c r="M109" s="19"/>
      <c r="N109" s="19"/>
      <c r="O109" s="19"/>
      <c r="P109" s="19"/>
      <c r="Q109" s="19"/>
    </row>
    <row r="110" spans="3:17" ht="15.75" x14ac:dyDescent="0.25">
      <c r="C110" s="177"/>
      <c r="D110" s="175"/>
      <c r="E110" s="178"/>
      <c r="F110" s="177"/>
      <c r="H110" s="78"/>
      <c r="I110" s="553"/>
      <c r="J110" s="46"/>
      <c r="K110" s="111"/>
      <c r="L110" s="19"/>
      <c r="M110" s="19"/>
      <c r="N110" s="19"/>
      <c r="O110" s="19"/>
      <c r="P110" s="19"/>
      <c r="Q110" s="19"/>
    </row>
    <row r="111" spans="3:17" ht="15.75" x14ac:dyDescent="0.25">
      <c r="C111" s="175"/>
      <c r="D111" s="215"/>
      <c r="E111" s="178"/>
      <c r="F111" s="177"/>
      <c r="H111" s="383"/>
      <c r="I111" s="443"/>
      <c r="J111" s="111"/>
      <c r="K111" s="111"/>
      <c r="L111" s="19"/>
      <c r="M111" s="19"/>
      <c r="N111" s="19"/>
      <c r="O111" s="19"/>
      <c r="P111" s="19"/>
      <c r="Q111" s="19"/>
    </row>
    <row r="112" spans="3:17" ht="15.75" x14ac:dyDescent="0.25">
      <c r="C112" s="76"/>
      <c r="D112" s="47"/>
      <c r="E112" s="178"/>
      <c r="F112" s="177"/>
      <c r="H112" s="78"/>
      <c r="I112" s="551"/>
      <c r="J112" s="111"/>
      <c r="K112" s="111"/>
      <c r="L112" s="19"/>
      <c r="M112" s="19"/>
      <c r="N112" s="19"/>
      <c r="O112" s="19"/>
      <c r="P112" s="19"/>
      <c r="Q112" s="19"/>
    </row>
    <row r="113" spans="2:17" ht="15.75" x14ac:dyDescent="0.25">
      <c r="C113" s="76"/>
      <c r="D113" s="41"/>
      <c r="E113" s="178"/>
      <c r="F113" s="177"/>
      <c r="H113" s="78"/>
      <c r="I113" s="46"/>
      <c r="J113" s="111"/>
      <c r="K113" s="111"/>
      <c r="L113" s="19"/>
      <c r="M113" s="19"/>
      <c r="N113" s="19"/>
      <c r="O113" s="19"/>
      <c r="P113" s="19"/>
      <c r="Q113" s="19"/>
    </row>
    <row r="114" spans="2:17" ht="15.75" x14ac:dyDescent="0.25">
      <c r="C114" s="177"/>
      <c r="D114" s="177"/>
      <c r="E114" s="177"/>
      <c r="F114" s="177"/>
      <c r="H114" s="383"/>
      <c r="I114" s="443"/>
      <c r="J114" s="111"/>
      <c r="K114" s="111"/>
      <c r="L114" s="19"/>
      <c r="M114" s="19"/>
      <c r="N114" s="19"/>
      <c r="O114" s="19"/>
      <c r="P114" s="19"/>
      <c r="Q114" s="19"/>
    </row>
    <row r="115" spans="2:17" ht="15.75" x14ac:dyDescent="0.25">
      <c r="B115" s="9"/>
      <c r="H115" s="78"/>
      <c r="I115" s="46"/>
      <c r="J115" s="111"/>
      <c r="K115" s="111"/>
      <c r="L115" s="19"/>
      <c r="M115" s="19"/>
      <c r="N115" s="19"/>
      <c r="O115" s="19"/>
      <c r="P115" s="19"/>
      <c r="Q115" s="19"/>
    </row>
    <row r="116" spans="2:17" ht="15.75" x14ac:dyDescent="0.25">
      <c r="H116" s="78"/>
      <c r="I116" s="551"/>
      <c r="J116" s="46"/>
      <c r="K116" s="111"/>
      <c r="L116" s="19"/>
      <c r="M116" s="19"/>
      <c r="N116" s="19"/>
      <c r="O116" s="19"/>
      <c r="P116" s="19"/>
      <c r="Q116" s="19"/>
    </row>
    <row r="117" spans="2:17" ht="15.75" x14ac:dyDescent="0.25">
      <c r="H117" s="78"/>
      <c r="I117" s="46"/>
      <c r="J117" s="111"/>
      <c r="K117" s="111"/>
      <c r="L117" s="19"/>
      <c r="M117" s="19"/>
      <c r="N117" s="19"/>
      <c r="O117" s="19"/>
      <c r="P117" s="19"/>
      <c r="Q117" s="19"/>
    </row>
    <row r="118" spans="2:17" ht="15.75" x14ac:dyDescent="0.25">
      <c r="H118" s="78"/>
      <c r="I118" s="553"/>
      <c r="J118" s="46"/>
      <c r="K118" s="111"/>
      <c r="L118" s="19"/>
      <c r="M118" s="19"/>
      <c r="N118" s="19"/>
      <c r="O118" s="19"/>
      <c r="P118" s="19"/>
      <c r="Q118" s="19"/>
    </row>
  </sheetData>
  <sheetProtection sheet="1" objects="1" scenarios="1" selectLockedCells="1"/>
  <hyperlinks>
    <hyperlink ref="C5" r:id="rId1" xr:uid="{00000000-0004-0000-0700-000000000000}"/>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708EA-B570-421F-9E61-3CF200565041}">
  <dimension ref="A1:AA64"/>
  <sheetViews>
    <sheetView topLeftCell="A21" workbookViewId="0">
      <selection activeCell="G50" sqref="G50"/>
    </sheetView>
  </sheetViews>
  <sheetFormatPr defaultRowHeight="15" x14ac:dyDescent="0.25"/>
  <cols>
    <col min="1" max="1" width="6.7109375" customWidth="1"/>
    <col min="2" max="2" width="28.5703125" customWidth="1"/>
    <col min="3" max="3" width="24.28515625" customWidth="1"/>
    <col min="4" max="4" width="11" customWidth="1"/>
    <col min="5" max="5" width="10.5703125" customWidth="1"/>
    <col min="7" max="7" width="12.140625" customWidth="1"/>
    <col min="11" max="11" width="8.7109375" customWidth="1"/>
  </cols>
  <sheetData>
    <row r="1" spans="1:27" ht="20.25" x14ac:dyDescent="0.3">
      <c r="A1" s="131"/>
      <c r="B1" s="158" t="s">
        <v>831</v>
      </c>
      <c r="C1" s="131"/>
      <c r="D1" s="4"/>
      <c r="E1" s="131"/>
      <c r="F1" s="4"/>
      <c r="G1" s="134"/>
      <c r="H1" s="135" t="s">
        <v>52</v>
      </c>
      <c r="I1" s="130"/>
      <c r="J1" s="130"/>
      <c r="K1" s="130"/>
      <c r="L1" s="130"/>
      <c r="M1" s="130"/>
      <c r="N1" s="130"/>
      <c r="O1" s="130"/>
      <c r="P1" s="130"/>
      <c r="Q1" s="130"/>
      <c r="R1" s="130"/>
      <c r="S1" s="130"/>
      <c r="T1" s="130"/>
      <c r="U1" s="130"/>
      <c r="V1" s="130"/>
      <c r="W1" s="130"/>
      <c r="X1" s="130"/>
      <c r="Y1" s="130"/>
      <c r="Z1" s="130"/>
      <c r="AA1" s="130"/>
    </row>
    <row r="2" spans="1:27" ht="15.75" x14ac:dyDescent="0.25">
      <c r="A2" s="131"/>
      <c r="B2" s="136"/>
      <c r="C2" s="131"/>
      <c r="D2" s="136"/>
      <c r="E2" s="131"/>
      <c r="F2" s="131"/>
      <c r="G2" s="131"/>
      <c r="N2" s="130"/>
      <c r="O2" s="130"/>
      <c r="P2" s="130"/>
      <c r="Q2" s="130"/>
      <c r="R2" s="130"/>
      <c r="S2" s="130"/>
      <c r="T2" s="130"/>
      <c r="U2" s="130"/>
      <c r="V2" s="130"/>
      <c r="W2" s="130"/>
      <c r="X2" s="130"/>
      <c r="Y2" s="130"/>
      <c r="Z2" s="130"/>
      <c r="AA2" s="130"/>
    </row>
    <row r="3" spans="1:27" ht="15.75" x14ac:dyDescent="0.25">
      <c r="A3" s="131"/>
      <c r="B3" s="131"/>
      <c r="C3" s="131"/>
      <c r="D3" s="131"/>
      <c r="E3" s="2" t="s">
        <v>833</v>
      </c>
      <c r="K3" s="130"/>
      <c r="L3" s="130"/>
      <c r="M3" s="130"/>
      <c r="N3" s="130"/>
      <c r="O3" s="130"/>
      <c r="P3" s="130"/>
      <c r="Q3" s="130"/>
      <c r="R3" s="130"/>
      <c r="S3" s="130"/>
      <c r="T3" s="130"/>
      <c r="U3" s="130"/>
      <c r="V3" s="130"/>
      <c r="W3" s="130"/>
      <c r="X3" s="130"/>
      <c r="Y3" s="130"/>
      <c r="Z3" s="130"/>
      <c r="AA3" s="130"/>
    </row>
    <row r="4" spans="1:27" ht="18" x14ac:dyDescent="0.25">
      <c r="A4" s="131"/>
      <c r="B4" s="133" t="s">
        <v>834</v>
      </c>
      <c r="C4" s="17"/>
      <c r="D4" s="4"/>
      <c r="E4" s="9" t="s">
        <v>880</v>
      </c>
      <c r="F4" s="130"/>
      <c r="G4" s="130"/>
      <c r="K4" s="130"/>
      <c r="L4" s="130"/>
      <c r="M4" s="130"/>
      <c r="N4" s="19"/>
      <c r="O4" s="19"/>
      <c r="P4" s="19"/>
      <c r="Q4" s="19"/>
      <c r="R4" s="19"/>
      <c r="S4" s="19"/>
      <c r="T4" s="130"/>
      <c r="U4" s="130"/>
      <c r="V4" s="130"/>
      <c r="W4" s="130"/>
      <c r="X4" s="130"/>
      <c r="Y4" s="130"/>
      <c r="Z4" s="130"/>
      <c r="AA4" s="130"/>
    </row>
    <row r="5" spans="1:27" ht="15.75" x14ac:dyDescent="0.25">
      <c r="A5" s="131"/>
      <c r="B5" s="137" t="s">
        <v>4</v>
      </c>
      <c r="C5" s="17" t="s">
        <v>835</v>
      </c>
      <c r="D5" s="137"/>
      <c r="E5" s="17"/>
      <c r="F5" s="17"/>
      <c r="G5" s="17"/>
      <c r="K5" s="19"/>
      <c r="L5" s="19"/>
      <c r="M5" s="19"/>
      <c r="N5" s="19"/>
      <c r="O5" s="19"/>
      <c r="P5" s="19"/>
      <c r="Q5" s="19"/>
      <c r="R5" s="19"/>
      <c r="S5" s="19"/>
      <c r="T5" s="130"/>
      <c r="U5" s="130"/>
      <c r="V5" s="130"/>
      <c r="W5" s="130"/>
      <c r="X5" s="130"/>
      <c r="Y5" s="130"/>
      <c r="Z5" s="130"/>
      <c r="AA5" s="130"/>
    </row>
    <row r="6" spans="1:27" ht="15.75" x14ac:dyDescent="0.25">
      <c r="A6" s="131"/>
      <c r="B6" s="137" t="s">
        <v>5</v>
      </c>
      <c r="C6" s="17" t="s">
        <v>836</v>
      </c>
      <c r="D6" s="137"/>
      <c r="E6" s="17"/>
      <c r="F6" s="17"/>
      <c r="G6" s="17"/>
      <c r="K6" s="19"/>
      <c r="L6" s="19"/>
      <c r="M6" s="19"/>
      <c r="N6" s="19"/>
      <c r="O6" s="19"/>
      <c r="P6" s="19"/>
      <c r="Q6" s="19"/>
      <c r="R6" s="19"/>
      <c r="S6" s="19"/>
      <c r="T6" s="130"/>
      <c r="U6" s="130"/>
      <c r="V6" s="130"/>
      <c r="W6" s="130"/>
      <c r="X6" s="130"/>
      <c r="Y6" s="130"/>
      <c r="Z6" s="130"/>
      <c r="AA6" s="130"/>
    </row>
    <row r="7" spans="1:27" ht="15.75" x14ac:dyDescent="0.25">
      <c r="A7" s="131"/>
      <c r="B7" s="137" t="s">
        <v>6</v>
      </c>
      <c r="C7" s="17" t="s">
        <v>837</v>
      </c>
      <c r="D7" s="137"/>
      <c r="E7" s="17"/>
      <c r="F7" s="17"/>
      <c r="G7" s="17"/>
      <c r="K7" s="19"/>
      <c r="L7" s="19"/>
      <c r="M7" s="19"/>
      <c r="N7" s="19"/>
      <c r="O7" s="19"/>
      <c r="P7" s="19"/>
      <c r="Q7" s="19"/>
      <c r="R7" s="19"/>
      <c r="S7" s="19"/>
      <c r="T7" s="130"/>
      <c r="U7" s="130"/>
      <c r="V7" s="130"/>
      <c r="W7" s="130"/>
      <c r="X7" s="130"/>
      <c r="Y7" s="130"/>
      <c r="Z7" s="130"/>
      <c r="AA7" s="130"/>
    </row>
    <row r="8" spans="1:27" ht="15.75" x14ac:dyDescent="0.25">
      <c r="A8" s="131"/>
      <c r="B8" s="137" t="s">
        <v>7</v>
      </c>
      <c r="C8" s="17" t="s">
        <v>838</v>
      </c>
      <c r="D8" s="137"/>
      <c r="E8" s="17"/>
      <c r="F8" s="17"/>
      <c r="G8" s="17"/>
      <c r="K8" s="19"/>
      <c r="L8" s="19"/>
      <c r="M8" s="19"/>
      <c r="N8" s="19"/>
      <c r="O8" s="19"/>
      <c r="P8" s="19"/>
      <c r="Q8" s="19"/>
      <c r="R8" s="19"/>
      <c r="S8" s="19"/>
      <c r="T8" s="130"/>
      <c r="U8" s="130"/>
      <c r="V8" s="130"/>
      <c r="W8" s="130"/>
      <c r="X8" s="130"/>
      <c r="Y8" s="130"/>
      <c r="Z8" s="130"/>
      <c r="AA8" s="130"/>
    </row>
    <row r="9" spans="1:27" ht="15.75" x14ac:dyDescent="0.25">
      <c r="A9" s="131"/>
      <c r="D9" s="4"/>
      <c r="E9" s="17"/>
      <c r="F9" s="17"/>
      <c r="G9" s="17"/>
      <c r="K9" s="19"/>
      <c r="L9" s="19"/>
      <c r="M9" s="19"/>
      <c r="N9" s="19"/>
      <c r="O9" s="19"/>
      <c r="P9" s="19"/>
      <c r="Q9" s="19"/>
      <c r="R9" s="19"/>
      <c r="S9" s="19"/>
      <c r="T9" s="130"/>
      <c r="U9" s="130"/>
      <c r="V9" s="130"/>
      <c r="W9" s="130"/>
      <c r="X9" s="130"/>
      <c r="Y9" s="130"/>
      <c r="Z9" s="130"/>
      <c r="AA9" s="130"/>
    </row>
    <row r="10" spans="1:27" ht="18" x14ac:dyDescent="0.25">
      <c r="A10" s="131"/>
      <c r="B10" s="133" t="s">
        <v>839</v>
      </c>
      <c r="C10" s="17"/>
      <c r="D10" s="137"/>
      <c r="E10" s="17"/>
      <c r="F10" s="17"/>
      <c r="G10" s="131"/>
      <c r="H10" s="131"/>
      <c r="J10" s="19"/>
      <c r="K10" s="19"/>
      <c r="M10" s="131"/>
      <c r="N10" s="19"/>
      <c r="O10" s="19"/>
      <c r="P10" s="19"/>
      <c r="Q10" s="19"/>
      <c r="R10" s="19"/>
      <c r="S10" s="19"/>
      <c r="T10" s="130"/>
      <c r="U10" s="130"/>
      <c r="V10" s="130"/>
      <c r="W10" s="130"/>
      <c r="X10" s="130"/>
      <c r="Y10" s="130"/>
      <c r="Z10" s="130"/>
      <c r="AA10" s="130"/>
    </row>
    <row r="11" spans="1:27" ht="15.75" x14ac:dyDescent="0.25">
      <c r="A11" s="131"/>
      <c r="B11" s="137" t="s">
        <v>8</v>
      </c>
      <c r="C11" s="17" t="s">
        <v>835</v>
      </c>
      <c r="D11" s="137"/>
      <c r="E11" s="17"/>
      <c r="F11" s="13" t="s">
        <v>840</v>
      </c>
      <c r="G11" s="138"/>
      <c r="H11" s="45"/>
      <c r="I11" s="19"/>
      <c r="J11" s="13" t="s">
        <v>841</v>
      </c>
      <c r="K11" s="19"/>
      <c r="L11" s="19"/>
      <c r="M11" s="19"/>
      <c r="N11" s="19"/>
      <c r="O11" s="19"/>
      <c r="P11" s="19"/>
      <c r="Q11" s="19"/>
      <c r="R11" s="19"/>
      <c r="S11" s="19"/>
      <c r="T11" s="130"/>
      <c r="U11" s="130"/>
      <c r="V11" s="130"/>
      <c r="W11" s="130"/>
      <c r="X11" s="130"/>
      <c r="Y11" s="130"/>
      <c r="Z11" s="130"/>
      <c r="AA11" s="130"/>
    </row>
    <row r="12" spans="1:27" ht="15.75" x14ac:dyDescent="0.25">
      <c r="A12" s="131"/>
      <c r="B12" s="137" t="s">
        <v>9</v>
      </c>
      <c r="C12" s="17" t="s">
        <v>836</v>
      </c>
      <c r="D12" s="137"/>
      <c r="E12" s="17"/>
      <c r="F12" s="17"/>
      <c r="G12" s="139"/>
      <c r="H12" s="140"/>
      <c r="I12" s="19"/>
      <c r="J12" s="19"/>
      <c r="K12" s="19"/>
      <c r="L12" s="19"/>
      <c r="M12" s="19"/>
      <c r="N12" s="19"/>
      <c r="O12" s="19"/>
      <c r="P12" s="19"/>
      <c r="Q12" s="19"/>
      <c r="R12" s="19"/>
      <c r="S12" s="19"/>
      <c r="T12" s="138"/>
      <c r="U12" s="130"/>
      <c r="V12" s="130"/>
      <c r="W12" s="130"/>
      <c r="X12" s="130"/>
      <c r="Y12" s="130"/>
      <c r="Z12" s="130"/>
      <c r="AA12" s="130"/>
    </row>
    <row r="13" spans="1:27" ht="15.75" x14ac:dyDescent="0.25">
      <c r="A13" s="131"/>
      <c r="B13" s="137" t="s">
        <v>10</v>
      </c>
      <c r="C13" s="17" t="s">
        <v>842</v>
      </c>
      <c r="D13" s="9"/>
      <c r="E13" s="17"/>
      <c r="F13" s="17"/>
      <c r="G13" s="138"/>
      <c r="H13" s="45"/>
      <c r="I13" s="19"/>
      <c r="J13" s="19"/>
      <c r="K13" s="19"/>
      <c r="L13" s="19"/>
      <c r="M13" s="19"/>
      <c r="N13" s="19"/>
      <c r="O13" s="19"/>
      <c r="P13" s="19"/>
      <c r="Q13" s="19"/>
      <c r="R13" s="19"/>
      <c r="S13" s="19"/>
      <c r="T13" s="138"/>
      <c r="U13" s="130"/>
      <c r="V13" s="130"/>
      <c r="W13" s="130"/>
      <c r="X13" s="130"/>
      <c r="Y13" s="130"/>
      <c r="Z13" s="130"/>
      <c r="AA13" s="130"/>
    </row>
    <row r="14" spans="1:27" ht="15.75" x14ac:dyDescent="0.25">
      <c r="A14" s="131"/>
      <c r="B14" s="17"/>
      <c r="C14" s="17"/>
      <c r="D14" s="17"/>
      <c r="E14" s="17"/>
      <c r="F14" s="17"/>
      <c r="G14" s="139"/>
      <c r="H14" s="141"/>
      <c r="I14" s="19"/>
      <c r="J14" s="19"/>
      <c r="K14" s="19"/>
      <c r="L14" s="19"/>
      <c r="M14" s="19"/>
      <c r="N14" s="19"/>
      <c r="O14" s="19"/>
      <c r="P14" s="19"/>
      <c r="Q14" s="19"/>
      <c r="R14" s="19"/>
      <c r="S14" s="19"/>
      <c r="T14" s="138"/>
      <c r="U14" s="142"/>
      <c r="V14" s="130"/>
      <c r="W14" s="130"/>
      <c r="X14" s="130"/>
      <c r="Y14" s="130"/>
      <c r="Z14" s="130"/>
      <c r="AA14" s="130"/>
    </row>
    <row r="15" spans="1:27" ht="15.75" x14ac:dyDescent="0.25">
      <c r="A15" s="131"/>
      <c r="B15" s="17"/>
      <c r="C15" s="19"/>
      <c r="D15" s="17"/>
      <c r="E15" s="19"/>
      <c r="F15" s="17"/>
      <c r="G15" s="17"/>
      <c r="H15" s="17"/>
      <c r="I15" s="17"/>
      <c r="J15" s="17"/>
      <c r="K15" s="17"/>
      <c r="L15" s="19"/>
      <c r="M15" s="19"/>
      <c r="N15" s="19"/>
      <c r="O15" s="19"/>
      <c r="P15" s="19"/>
      <c r="Q15" s="19"/>
      <c r="R15" s="19"/>
      <c r="S15" s="19"/>
      <c r="T15" s="138"/>
      <c r="U15" s="143"/>
      <c r="V15" s="130"/>
      <c r="W15" s="130"/>
      <c r="X15" s="130"/>
      <c r="Y15" s="130"/>
      <c r="Z15" s="130"/>
      <c r="AA15" s="130"/>
    </row>
    <row r="16" spans="1:27" ht="15.75" x14ac:dyDescent="0.25">
      <c r="A16" s="131"/>
      <c r="B16" s="17"/>
      <c r="D16" s="20" t="s">
        <v>843</v>
      </c>
      <c r="E16" s="19"/>
      <c r="F16" s="17"/>
      <c r="H16" s="19"/>
      <c r="I16" s="19"/>
      <c r="J16" s="19"/>
      <c r="K16" s="19"/>
      <c r="L16" s="19"/>
      <c r="M16" s="19"/>
      <c r="N16" s="19"/>
      <c r="O16" s="19"/>
      <c r="P16" s="19"/>
      <c r="Q16" s="19"/>
      <c r="R16" s="19"/>
      <c r="S16" s="19"/>
      <c r="T16" s="138"/>
      <c r="U16" s="143"/>
      <c r="V16" s="130"/>
      <c r="W16" s="130"/>
      <c r="X16" s="130"/>
      <c r="Y16" s="130"/>
      <c r="Z16" s="130"/>
      <c r="AA16" s="130"/>
    </row>
    <row r="17" spans="1:27" ht="15.75" x14ac:dyDescent="0.25">
      <c r="A17" s="131"/>
      <c r="B17" s="19"/>
      <c r="D17" s="48" t="s">
        <v>844</v>
      </c>
      <c r="E17" s="19"/>
      <c r="F17" s="17"/>
      <c r="H17" s="19"/>
      <c r="I17" s="19"/>
      <c r="J17" s="19"/>
      <c r="K17" s="19"/>
      <c r="L17" s="19"/>
      <c r="M17" s="19"/>
      <c r="N17" s="19"/>
      <c r="O17" s="19"/>
      <c r="P17" s="19"/>
      <c r="Q17" s="19"/>
      <c r="R17" s="19"/>
      <c r="S17" s="19"/>
      <c r="T17" s="138"/>
      <c r="U17" s="142"/>
      <c r="V17" s="130"/>
      <c r="W17" s="130"/>
      <c r="X17" s="130"/>
      <c r="Y17" s="130"/>
      <c r="Z17" s="130"/>
      <c r="AA17" s="130"/>
    </row>
    <row r="18" spans="1:27" ht="15.75" x14ac:dyDescent="0.25">
      <c r="A18" s="131"/>
      <c r="B18" s="19"/>
      <c r="D18" s="48" t="s">
        <v>845</v>
      </c>
      <c r="E18" s="19"/>
      <c r="F18" s="17"/>
      <c r="H18" s="19"/>
      <c r="I18" s="19"/>
      <c r="J18" s="19"/>
      <c r="K18" s="19"/>
      <c r="L18" s="19"/>
      <c r="M18" s="19"/>
      <c r="N18" s="19"/>
      <c r="O18" s="19"/>
      <c r="P18" s="19"/>
      <c r="Q18" s="19"/>
      <c r="R18" s="19"/>
      <c r="S18" s="19"/>
      <c r="T18" s="130"/>
      <c r="U18" s="144"/>
      <c r="V18" s="130"/>
      <c r="W18" s="130"/>
      <c r="X18" s="130"/>
      <c r="Y18" s="130"/>
      <c r="Z18" s="130"/>
      <c r="AA18" s="130"/>
    </row>
    <row r="19" spans="1:27" ht="15.75" x14ac:dyDescent="0.25">
      <c r="A19" s="131"/>
      <c r="B19" s="2"/>
      <c r="C19" s="19"/>
      <c r="D19" s="2"/>
      <c r="E19" s="19"/>
      <c r="F19" s="17"/>
      <c r="G19" s="19"/>
      <c r="H19" s="19"/>
      <c r="I19" s="19"/>
      <c r="J19" s="19"/>
      <c r="K19" s="19"/>
      <c r="L19" s="19"/>
      <c r="M19" s="19"/>
      <c r="N19" s="19"/>
      <c r="O19" s="19"/>
      <c r="P19" s="19"/>
      <c r="Q19" s="19"/>
      <c r="R19" s="19"/>
      <c r="S19" s="19"/>
      <c r="T19" s="130"/>
      <c r="U19" s="145"/>
      <c r="V19" s="130"/>
      <c r="W19" s="130"/>
      <c r="X19" s="130"/>
      <c r="Y19" s="130"/>
      <c r="Z19" s="130"/>
      <c r="AA19" s="130"/>
    </row>
    <row r="20" spans="1:27" ht="15.75" x14ac:dyDescent="0.25">
      <c r="A20" s="131"/>
      <c r="B20" s="4"/>
      <c r="C20" s="19"/>
      <c r="D20" s="4"/>
      <c r="E20" s="19"/>
      <c r="F20" s="17"/>
      <c r="G20" s="19"/>
      <c r="H20" s="19"/>
      <c r="I20" s="19"/>
      <c r="J20" s="19"/>
      <c r="K20" s="19"/>
      <c r="L20" s="19"/>
      <c r="M20" s="19"/>
      <c r="N20" s="19"/>
      <c r="O20" s="19"/>
      <c r="P20" s="19"/>
      <c r="Q20" s="19"/>
      <c r="R20" s="19"/>
      <c r="S20" s="19"/>
      <c r="T20" s="130"/>
      <c r="U20" s="130"/>
      <c r="V20" s="130"/>
      <c r="W20" s="130"/>
      <c r="X20" s="130"/>
      <c r="Y20" s="130"/>
      <c r="Z20" s="130"/>
      <c r="AA20" s="130"/>
    </row>
    <row r="21" spans="1:27" ht="15.75" x14ac:dyDescent="0.25">
      <c r="A21" s="131"/>
      <c r="B21" s="4"/>
      <c r="C21" s="19"/>
      <c r="D21" s="4"/>
      <c r="E21" s="19"/>
      <c r="F21" s="17"/>
      <c r="G21" s="19"/>
      <c r="H21" s="19"/>
      <c r="I21" s="19"/>
      <c r="J21" s="19"/>
      <c r="K21" s="19"/>
      <c r="L21" s="19"/>
      <c r="M21" s="19"/>
      <c r="N21" s="19"/>
      <c r="O21" s="19"/>
      <c r="P21" s="19"/>
      <c r="Q21" s="19"/>
      <c r="R21" s="19"/>
      <c r="S21" s="19"/>
      <c r="T21" s="130"/>
      <c r="U21" s="130"/>
      <c r="V21" s="130"/>
      <c r="W21" s="130"/>
      <c r="X21" s="130"/>
      <c r="Y21" s="130"/>
      <c r="Z21" s="130"/>
      <c r="AA21" s="130"/>
    </row>
    <row r="22" spans="1:27" ht="15.75" x14ac:dyDescent="0.25">
      <c r="A22" s="131"/>
      <c r="B22" s="17"/>
      <c r="C22" s="19"/>
      <c r="D22" s="17"/>
      <c r="E22" s="19"/>
      <c r="F22" s="17"/>
      <c r="G22" s="19"/>
      <c r="H22" s="19"/>
      <c r="I22" s="19"/>
      <c r="J22" s="19"/>
      <c r="K22" s="19"/>
      <c r="L22" s="19"/>
      <c r="M22" s="19"/>
      <c r="N22" s="19"/>
      <c r="O22" s="19"/>
      <c r="P22" s="19"/>
      <c r="Q22" s="19"/>
      <c r="R22" s="19"/>
      <c r="S22" s="19"/>
      <c r="T22" s="130"/>
      <c r="U22" s="130"/>
      <c r="V22" s="130"/>
      <c r="W22" s="130"/>
      <c r="X22" s="130"/>
      <c r="Y22" s="130"/>
      <c r="Z22" s="130"/>
      <c r="AA22" s="130"/>
    </row>
    <row r="23" spans="1:27" ht="15.75" x14ac:dyDescent="0.25">
      <c r="A23" s="131"/>
      <c r="B23" s="19"/>
      <c r="C23" s="19"/>
      <c r="D23" s="19"/>
      <c r="E23" s="19"/>
      <c r="F23" s="17"/>
      <c r="G23" s="19"/>
      <c r="H23" s="19"/>
      <c r="I23" s="19"/>
      <c r="J23" s="19"/>
      <c r="K23" s="19"/>
      <c r="L23" s="19"/>
      <c r="M23" s="19"/>
      <c r="N23" s="19"/>
      <c r="O23" s="19"/>
      <c r="P23" s="19"/>
      <c r="Q23" s="19"/>
      <c r="R23" s="19"/>
      <c r="S23" s="19"/>
      <c r="T23" s="130"/>
      <c r="U23" s="130"/>
      <c r="V23" s="130"/>
      <c r="W23" s="130"/>
      <c r="X23" s="130"/>
      <c r="Y23" s="130"/>
      <c r="Z23" s="130"/>
      <c r="AA23" s="130"/>
    </row>
    <row r="24" spans="1:27" ht="15.75" x14ac:dyDescent="0.25">
      <c r="A24" s="131"/>
      <c r="B24" s="17"/>
      <c r="C24" s="17"/>
      <c r="D24" s="17"/>
      <c r="E24" s="17"/>
      <c r="F24" s="17"/>
      <c r="G24" s="19"/>
      <c r="H24" s="19"/>
      <c r="I24" s="19"/>
      <c r="J24" s="19"/>
      <c r="K24" s="19"/>
      <c r="L24" s="19"/>
      <c r="M24" s="19"/>
      <c r="N24" s="19"/>
      <c r="O24" s="19"/>
      <c r="P24" s="19"/>
      <c r="Q24" s="19"/>
      <c r="R24" s="19"/>
      <c r="S24" s="19"/>
      <c r="T24" s="130"/>
      <c r="U24" s="130"/>
      <c r="V24" s="130"/>
      <c r="W24" s="130"/>
      <c r="X24" s="130"/>
      <c r="Y24" s="130"/>
      <c r="Z24" s="130"/>
      <c r="AA24" s="130"/>
    </row>
    <row r="25" spans="1:27" ht="15.75" x14ac:dyDescent="0.25">
      <c r="A25" s="131"/>
      <c r="B25" s="17"/>
      <c r="C25" s="17"/>
      <c r="D25" s="17"/>
      <c r="E25" s="17"/>
      <c r="F25" s="17"/>
      <c r="G25" s="19"/>
      <c r="H25" s="19"/>
      <c r="I25" s="19"/>
      <c r="J25" s="19"/>
      <c r="K25" s="19"/>
      <c r="L25" s="19"/>
      <c r="M25" s="19"/>
      <c r="N25" s="19"/>
      <c r="O25" s="19"/>
      <c r="P25" s="19"/>
      <c r="Q25" s="19"/>
      <c r="R25" s="19"/>
      <c r="S25" s="19"/>
      <c r="T25" s="130"/>
      <c r="U25" s="130"/>
      <c r="V25" s="130"/>
      <c r="W25" s="130"/>
      <c r="X25" s="130"/>
      <c r="Y25" s="130"/>
      <c r="Z25" s="130"/>
      <c r="AA25" s="130"/>
    </row>
    <row r="26" spans="1:27" ht="15.75" x14ac:dyDescent="0.25">
      <c r="A26" s="131"/>
      <c r="B26" s="17"/>
      <c r="C26" s="17"/>
      <c r="D26" s="17"/>
      <c r="E26" s="17"/>
      <c r="F26" s="17"/>
      <c r="G26" s="19"/>
      <c r="H26" s="19"/>
      <c r="I26" s="19"/>
      <c r="J26" s="19"/>
      <c r="K26" s="19"/>
      <c r="L26" s="19"/>
      <c r="M26" s="19"/>
      <c r="N26" s="19"/>
      <c r="O26" s="19"/>
      <c r="P26" s="19"/>
      <c r="Q26" s="19"/>
      <c r="R26" s="19"/>
      <c r="S26" s="19"/>
      <c r="T26" s="130"/>
      <c r="U26" s="130"/>
      <c r="V26" s="130"/>
      <c r="W26" s="130"/>
      <c r="X26" s="130"/>
      <c r="Y26" s="130"/>
      <c r="Z26" s="130"/>
      <c r="AA26" s="130"/>
    </row>
    <row r="27" spans="1:27" ht="15.75" x14ac:dyDescent="0.25">
      <c r="A27" s="131"/>
      <c r="B27" s="17"/>
      <c r="C27" s="17"/>
      <c r="D27" s="17"/>
      <c r="E27" s="17"/>
      <c r="F27" s="17"/>
      <c r="G27" s="19"/>
      <c r="H27" s="19"/>
      <c r="I27" s="19"/>
      <c r="J27" s="19"/>
      <c r="K27" s="19"/>
      <c r="L27" s="19"/>
      <c r="M27" s="19"/>
      <c r="N27" s="19"/>
      <c r="O27" s="19"/>
      <c r="P27" s="19"/>
      <c r="Q27" s="19"/>
      <c r="R27" s="19"/>
      <c r="S27" s="19"/>
      <c r="T27" s="130"/>
      <c r="U27" s="130"/>
      <c r="V27" s="130"/>
      <c r="W27" s="130"/>
      <c r="X27" s="130"/>
      <c r="Y27" s="130"/>
      <c r="Z27" s="130"/>
      <c r="AA27" s="130"/>
    </row>
    <row r="28" spans="1:27" ht="15.75" x14ac:dyDescent="0.25">
      <c r="A28" s="131"/>
      <c r="B28" s="17"/>
      <c r="C28" s="17"/>
      <c r="D28" s="17"/>
      <c r="E28" s="17"/>
      <c r="F28" s="17"/>
      <c r="G28" s="19"/>
      <c r="H28" s="19"/>
      <c r="I28" s="19"/>
      <c r="J28" s="19"/>
      <c r="K28" s="19"/>
      <c r="L28" s="19"/>
      <c r="M28" s="19"/>
      <c r="N28" s="19"/>
      <c r="O28" s="19"/>
      <c r="P28" s="19"/>
      <c r="Q28" s="19"/>
      <c r="R28" s="19"/>
      <c r="S28" s="19"/>
      <c r="T28" s="130"/>
      <c r="U28" s="130"/>
      <c r="V28" s="130"/>
      <c r="W28" s="130"/>
      <c r="X28" s="130"/>
      <c r="Y28" s="130"/>
      <c r="Z28" s="130"/>
      <c r="AA28" s="130"/>
    </row>
    <row r="29" spans="1:27" ht="15.75" x14ac:dyDescent="0.25">
      <c r="A29" s="131"/>
      <c r="B29" s="17"/>
      <c r="C29" s="17"/>
      <c r="D29" s="17"/>
      <c r="E29" s="17"/>
      <c r="F29" s="17"/>
      <c r="G29" s="19"/>
      <c r="H29" s="19"/>
      <c r="I29" s="38" t="s">
        <v>846</v>
      </c>
      <c r="J29" s="38" t="s">
        <v>878</v>
      </c>
      <c r="W29" s="130"/>
      <c r="X29" s="130"/>
      <c r="Y29" s="130"/>
      <c r="Z29" s="130"/>
      <c r="AA29" s="130"/>
    </row>
    <row r="30" spans="1:27" ht="15.75" x14ac:dyDescent="0.25">
      <c r="A30" s="131"/>
      <c r="B30" s="17"/>
      <c r="C30" s="17"/>
      <c r="D30" s="17"/>
      <c r="E30" s="17"/>
      <c r="F30" s="17"/>
      <c r="G30" s="19"/>
      <c r="H30" s="19"/>
      <c r="I30" s="132">
        <v>1</v>
      </c>
      <c r="J30" s="19" t="s">
        <v>850</v>
      </c>
      <c r="W30" s="130"/>
      <c r="X30" s="130"/>
      <c r="Y30" s="130"/>
      <c r="Z30" s="130"/>
      <c r="AA30" s="130"/>
    </row>
    <row r="31" spans="1:27" ht="18" x14ac:dyDescent="0.25">
      <c r="A31" s="131"/>
      <c r="B31" s="17"/>
      <c r="C31" s="17"/>
      <c r="D31" s="17"/>
      <c r="E31" s="157" t="s">
        <v>877</v>
      </c>
      <c r="F31" s="19"/>
      <c r="G31" s="19"/>
      <c r="I31" s="132">
        <v>2</v>
      </c>
      <c r="J31" s="19" t="s">
        <v>879</v>
      </c>
      <c r="K31" s="19"/>
      <c r="L31" s="19"/>
      <c r="M31" s="19"/>
      <c r="N31" s="19"/>
      <c r="O31" s="19"/>
      <c r="P31" s="19"/>
      <c r="Q31" s="19"/>
      <c r="R31" s="130"/>
      <c r="S31" s="130"/>
      <c r="T31" s="130"/>
      <c r="W31" s="131"/>
      <c r="X31" s="131"/>
      <c r="Y31" s="131"/>
      <c r="Z31" s="131"/>
      <c r="AA31" s="131"/>
    </row>
    <row r="32" spans="1:27" ht="15.75" x14ac:dyDescent="0.25">
      <c r="A32" s="131"/>
      <c r="B32" s="2" t="s">
        <v>847</v>
      </c>
      <c r="C32" s="131"/>
      <c r="D32" s="2"/>
      <c r="E32" s="27" t="s">
        <v>848</v>
      </c>
      <c r="F32" s="146">
        <v>10</v>
      </c>
      <c r="G32" s="19" t="s">
        <v>849</v>
      </c>
      <c r="I32" s="132">
        <v>3</v>
      </c>
      <c r="J32" s="37">
        <v>10</v>
      </c>
      <c r="K32" s="19"/>
      <c r="L32" s="19"/>
      <c r="M32" s="19"/>
      <c r="N32" s="19"/>
      <c r="O32" s="19"/>
      <c r="P32" s="19"/>
      <c r="Q32" s="19"/>
      <c r="R32" s="130"/>
      <c r="S32" s="130"/>
      <c r="T32" s="130"/>
      <c r="W32" s="131"/>
      <c r="X32" s="131"/>
      <c r="Y32" s="131"/>
      <c r="Z32" s="131"/>
      <c r="AA32" s="131"/>
    </row>
    <row r="33" spans="1:27" ht="16.5" thickBot="1" x14ac:dyDescent="0.3">
      <c r="A33" s="131"/>
      <c r="B33" s="43"/>
      <c r="C33" s="147" t="s">
        <v>3</v>
      </c>
      <c r="D33" s="43"/>
      <c r="E33" s="27" t="s">
        <v>851</v>
      </c>
      <c r="F33" s="146">
        <v>6</v>
      </c>
      <c r="G33" s="19" t="s">
        <v>852</v>
      </c>
      <c r="I33" s="132">
        <v>4</v>
      </c>
      <c r="J33" s="37">
        <v>6</v>
      </c>
      <c r="K33" s="19"/>
      <c r="L33" s="19"/>
      <c r="M33" s="19"/>
      <c r="N33" s="19"/>
      <c r="O33" s="19"/>
      <c r="P33" s="19"/>
      <c r="Q33" s="19"/>
      <c r="R33" s="131"/>
      <c r="S33" s="131"/>
      <c r="T33" s="131"/>
      <c r="W33" s="131"/>
      <c r="X33" s="131"/>
      <c r="Y33" s="131"/>
      <c r="Z33" s="131"/>
      <c r="AA33" s="131"/>
    </row>
    <row r="34" spans="1:27" ht="16.5" thickBot="1" x14ac:dyDescent="0.3">
      <c r="A34" s="131"/>
      <c r="B34" s="137" t="s">
        <v>853</v>
      </c>
      <c r="C34" s="148">
        <v>10</v>
      </c>
      <c r="D34" s="137"/>
      <c r="E34" s="18" t="s">
        <v>854</v>
      </c>
      <c r="F34" s="16" t="s">
        <v>855</v>
      </c>
      <c r="G34" s="17"/>
      <c r="I34" s="132">
        <v>5</v>
      </c>
      <c r="J34" s="13" t="s">
        <v>850</v>
      </c>
      <c r="K34" s="19"/>
      <c r="L34" s="19"/>
      <c r="M34" s="19"/>
      <c r="N34" s="19"/>
      <c r="O34" s="19"/>
      <c r="P34" s="19"/>
      <c r="Q34" s="19"/>
      <c r="R34" s="131"/>
      <c r="S34" s="131"/>
      <c r="T34" s="131"/>
      <c r="W34" s="131"/>
      <c r="X34" s="131"/>
      <c r="Y34" s="131"/>
      <c r="Z34" s="131"/>
      <c r="AA34" s="131"/>
    </row>
    <row r="35" spans="1:27" ht="16.5" thickBot="1" x14ac:dyDescent="0.3">
      <c r="A35" s="131"/>
      <c r="B35" s="137" t="s">
        <v>856</v>
      </c>
      <c r="C35" s="149">
        <v>6</v>
      </c>
      <c r="D35" s="137"/>
      <c r="E35" s="18" t="s">
        <v>2</v>
      </c>
      <c r="F35" s="150">
        <f>F33/F32</f>
        <v>0.6</v>
      </c>
      <c r="G35" s="17" t="s">
        <v>857</v>
      </c>
      <c r="I35" s="132">
        <v>6</v>
      </c>
      <c r="J35" s="13" t="s">
        <v>845</v>
      </c>
      <c r="K35" s="19"/>
      <c r="L35" s="19"/>
      <c r="M35" s="19"/>
      <c r="N35" s="19"/>
      <c r="O35" s="19"/>
      <c r="P35" s="19"/>
      <c r="Q35" s="19"/>
      <c r="R35" s="131"/>
      <c r="S35" s="131"/>
      <c r="T35" s="131"/>
      <c r="W35" s="131"/>
      <c r="X35" s="131"/>
      <c r="Y35" s="131"/>
      <c r="Z35" s="131"/>
      <c r="AA35" s="131"/>
    </row>
    <row r="36" spans="1:27" ht="15.75" x14ac:dyDescent="0.25">
      <c r="A36" s="131"/>
      <c r="B36" s="20"/>
      <c r="C36" s="147" t="s">
        <v>859</v>
      </c>
      <c r="D36" s="20"/>
      <c r="E36" s="18" t="s">
        <v>860</v>
      </c>
      <c r="F36" s="16" t="s">
        <v>861</v>
      </c>
      <c r="G36" s="17"/>
      <c r="I36" s="132">
        <v>7</v>
      </c>
      <c r="J36" s="13" t="s">
        <v>89</v>
      </c>
      <c r="K36" s="19"/>
      <c r="L36" s="19"/>
      <c r="M36" s="19"/>
      <c r="N36" s="19"/>
      <c r="O36" s="19"/>
      <c r="P36" s="19"/>
      <c r="Q36" s="19"/>
      <c r="R36" s="131"/>
      <c r="S36" s="131"/>
      <c r="T36" s="131"/>
      <c r="W36" s="131"/>
      <c r="X36" s="131"/>
      <c r="Y36" s="131"/>
      <c r="Z36" s="131"/>
      <c r="AA36" s="131"/>
    </row>
    <row r="37" spans="1:27" ht="16.5" thickBot="1" x14ac:dyDescent="0.3">
      <c r="A37" s="131"/>
      <c r="B37" s="137" t="s">
        <v>862</v>
      </c>
      <c r="C37" s="4" t="s">
        <v>863</v>
      </c>
      <c r="D37" s="137"/>
      <c r="E37" s="20" t="s">
        <v>2</v>
      </c>
      <c r="F37" s="74">
        <f>ATAN(F33/F32)</f>
        <v>0.54041950027058416</v>
      </c>
      <c r="G37" s="17" t="s">
        <v>864</v>
      </c>
      <c r="I37" s="132">
        <v>8</v>
      </c>
      <c r="J37" s="13" t="s">
        <v>858</v>
      </c>
      <c r="K37" s="19"/>
      <c r="L37" s="19"/>
      <c r="M37" s="19"/>
      <c r="N37" s="19"/>
      <c r="O37" s="19"/>
      <c r="P37" s="19"/>
      <c r="Q37" s="19"/>
      <c r="R37" s="131"/>
      <c r="S37" s="131"/>
      <c r="T37" s="131"/>
      <c r="W37" s="131"/>
      <c r="X37" s="131"/>
      <c r="Y37" s="131"/>
      <c r="Z37" s="131"/>
      <c r="AA37" s="131"/>
    </row>
    <row r="38" spans="1:27" ht="16.5" thickBot="1" x14ac:dyDescent="0.3">
      <c r="A38" s="131"/>
      <c r="B38" s="151" t="s">
        <v>2</v>
      </c>
      <c r="C38" s="152">
        <f>( C34^2 + C35^2 )^(1/2)</f>
        <v>11.661903789690601</v>
      </c>
      <c r="D38" s="151"/>
      <c r="E38" s="18" t="s">
        <v>865</v>
      </c>
      <c r="F38" s="9" t="s">
        <v>866</v>
      </c>
      <c r="G38" s="43" t="s">
        <v>867</v>
      </c>
      <c r="I38" s="132">
        <v>9</v>
      </c>
      <c r="J38" s="37">
        <v>2</v>
      </c>
      <c r="K38" s="19"/>
      <c r="L38" s="19"/>
      <c r="M38" s="19"/>
      <c r="N38" s="19"/>
      <c r="O38" s="19"/>
      <c r="P38" s="19"/>
      <c r="Q38" s="19"/>
      <c r="R38" s="131"/>
      <c r="S38" s="131"/>
      <c r="T38" s="131"/>
      <c r="W38" s="131"/>
      <c r="X38" s="131"/>
      <c r="Y38" s="131"/>
      <c r="Z38" s="131"/>
      <c r="AA38" s="131"/>
    </row>
    <row r="39" spans="1:27" ht="16.5" thickBot="1" x14ac:dyDescent="0.3">
      <c r="A39" s="131"/>
      <c r="B39" s="137" t="s">
        <v>868</v>
      </c>
      <c r="C39" s="2" t="s">
        <v>869</v>
      </c>
      <c r="D39" s="137"/>
      <c r="E39" s="18" t="s">
        <v>860</v>
      </c>
      <c r="F39" s="33" t="s">
        <v>870</v>
      </c>
      <c r="G39" s="17"/>
      <c r="I39" s="132">
        <v>10</v>
      </c>
      <c r="J39" s="13" t="s">
        <v>838</v>
      </c>
      <c r="K39" s="19"/>
      <c r="L39" s="19"/>
      <c r="M39" s="19"/>
      <c r="N39" s="19"/>
      <c r="O39" s="19"/>
      <c r="P39" s="19"/>
      <c r="Q39" s="19"/>
      <c r="R39" s="131"/>
      <c r="S39" s="131"/>
      <c r="T39" s="131"/>
      <c r="W39" s="131"/>
      <c r="X39" s="131"/>
      <c r="Y39" s="131"/>
      <c r="Z39" s="131"/>
      <c r="AA39" s="131"/>
    </row>
    <row r="40" spans="1:27" ht="16.5" thickBot="1" x14ac:dyDescent="0.3">
      <c r="A40" s="131"/>
      <c r="B40" s="137" t="s">
        <v>2</v>
      </c>
      <c r="C40" s="153">
        <f>57.3 * ATAN(C35 / C34)</f>
        <v>30.966037365504469</v>
      </c>
      <c r="D40" s="137"/>
      <c r="E40" s="20" t="s">
        <v>2</v>
      </c>
      <c r="F40" s="33">
        <f>57.3*F37</f>
        <v>30.966037365504469</v>
      </c>
      <c r="G40" s="17" t="s">
        <v>867</v>
      </c>
      <c r="I40" s="132"/>
      <c r="J40" s="146"/>
      <c r="K40" s="19"/>
      <c r="L40" s="19"/>
      <c r="M40" s="19"/>
      <c r="N40" s="19"/>
      <c r="O40" s="19"/>
      <c r="P40" s="19"/>
      <c r="Q40" s="19"/>
      <c r="R40" s="131"/>
      <c r="S40" s="131"/>
      <c r="T40" s="131"/>
      <c r="W40" s="131"/>
      <c r="X40" s="131"/>
      <c r="Y40" s="131"/>
      <c r="Z40" s="131"/>
      <c r="AA40" s="131"/>
    </row>
    <row r="41" spans="1:27" ht="15.75" x14ac:dyDescent="0.25">
      <c r="A41" s="131"/>
      <c r="B41" s="17"/>
      <c r="C41" s="17"/>
      <c r="D41" s="17"/>
      <c r="E41" s="156"/>
      <c r="F41" s="17"/>
      <c r="G41" s="19"/>
      <c r="H41" s="19"/>
      <c r="I41" s="132"/>
      <c r="J41" s="146"/>
      <c r="K41" s="19"/>
      <c r="L41" s="19"/>
      <c r="M41" s="19"/>
      <c r="N41" s="19"/>
      <c r="O41" s="19"/>
      <c r="P41" s="19"/>
      <c r="Q41" s="19"/>
      <c r="R41" s="131"/>
      <c r="S41" s="131"/>
      <c r="T41" s="131"/>
      <c r="W41" s="131"/>
      <c r="X41" s="131"/>
      <c r="Y41" s="131"/>
      <c r="Z41" s="131"/>
      <c r="AA41" s="131"/>
    </row>
    <row r="42" spans="1:27" ht="15.75" x14ac:dyDescent="0.25">
      <c r="A42" s="131"/>
      <c r="B42" s="2" t="s">
        <v>871</v>
      </c>
      <c r="C42" s="17"/>
      <c r="D42" s="2"/>
      <c r="E42" s="156"/>
      <c r="F42" s="20"/>
      <c r="G42" s="19"/>
      <c r="H42" s="19"/>
      <c r="I42" s="19"/>
      <c r="J42" s="19"/>
      <c r="K42" s="19"/>
      <c r="L42" s="19"/>
      <c r="M42" s="19"/>
      <c r="N42" s="19"/>
      <c r="O42" s="19"/>
      <c r="P42" s="19"/>
      <c r="Q42" s="19"/>
      <c r="R42" s="131"/>
      <c r="S42" s="131"/>
      <c r="T42" s="131"/>
      <c r="W42" s="131"/>
      <c r="X42" s="131"/>
      <c r="Y42" s="131"/>
      <c r="Z42" s="131"/>
      <c r="AA42" s="131"/>
    </row>
    <row r="43" spans="1:27" ht="15.75" x14ac:dyDescent="0.25">
      <c r="A43" s="131"/>
      <c r="B43" s="16" t="s">
        <v>872</v>
      </c>
      <c r="C43" s="17"/>
      <c r="D43" s="16"/>
      <c r="E43" s="17"/>
      <c r="F43" s="20"/>
      <c r="G43" s="45"/>
      <c r="H43" s="19"/>
      <c r="I43" s="19"/>
      <c r="J43" s="19"/>
      <c r="K43" s="19"/>
      <c r="L43" s="19"/>
      <c r="M43" s="19"/>
      <c r="N43" s="19"/>
      <c r="O43" s="19"/>
      <c r="P43" s="19"/>
      <c r="Q43" s="19"/>
      <c r="R43" s="131"/>
      <c r="S43" s="131"/>
      <c r="T43" s="131"/>
      <c r="W43" s="131"/>
      <c r="X43" s="131"/>
      <c r="Y43" s="131"/>
      <c r="Z43" s="131"/>
      <c r="AA43" s="131"/>
    </row>
    <row r="44" spans="1:27" ht="15.75" x14ac:dyDescent="0.25">
      <c r="A44" s="131"/>
      <c r="B44" s="16" t="s">
        <v>873</v>
      </c>
      <c r="C44" s="17"/>
      <c r="D44" s="16"/>
      <c r="E44" s="17"/>
      <c r="F44" s="20"/>
      <c r="G44" s="19"/>
      <c r="H44" s="19"/>
      <c r="I44" s="19"/>
      <c r="J44" s="19"/>
      <c r="K44" s="19"/>
      <c r="L44" s="19"/>
      <c r="M44" s="19"/>
      <c r="N44" s="19"/>
      <c r="O44" s="19"/>
      <c r="P44" s="19"/>
      <c r="Q44" s="19"/>
      <c r="R44" s="131"/>
      <c r="S44" s="131"/>
      <c r="T44" s="131"/>
      <c r="W44" s="131"/>
      <c r="X44" s="131"/>
      <c r="Y44" s="131"/>
      <c r="Z44" s="131"/>
      <c r="AA44" s="131"/>
    </row>
    <row r="45" spans="1:27" ht="15.75" x14ac:dyDescent="0.25">
      <c r="A45" s="131"/>
      <c r="B45" s="16" t="s">
        <v>874</v>
      </c>
      <c r="C45" s="17"/>
      <c r="D45" s="16"/>
      <c r="E45" s="17"/>
      <c r="F45" s="20"/>
      <c r="G45" s="19"/>
      <c r="H45" s="19"/>
      <c r="I45" s="19"/>
      <c r="J45" s="19"/>
      <c r="K45" s="19"/>
      <c r="L45" s="19"/>
      <c r="M45" s="19"/>
      <c r="N45" s="19"/>
      <c r="O45" s="19"/>
      <c r="P45" s="19"/>
      <c r="Q45" s="19"/>
      <c r="R45" s="131"/>
      <c r="S45" s="131"/>
      <c r="T45" s="131"/>
      <c r="W45" s="131"/>
      <c r="X45" s="131"/>
      <c r="Y45" s="131"/>
      <c r="Z45" s="131"/>
      <c r="AA45" s="131"/>
    </row>
    <row r="46" spans="1:27" ht="15.75" x14ac:dyDescent="0.25">
      <c r="A46" s="131"/>
      <c r="B46" s="16" t="s">
        <v>875</v>
      </c>
      <c r="C46" s="17"/>
      <c r="D46" s="16"/>
      <c r="E46" s="17"/>
      <c r="F46" s="154"/>
      <c r="G46" s="19"/>
      <c r="H46" s="19"/>
      <c r="I46" s="19"/>
      <c r="J46" s="19"/>
      <c r="K46" s="19"/>
      <c r="L46" s="19"/>
      <c r="M46" s="19"/>
      <c r="N46" s="19"/>
      <c r="O46" s="19"/>
      <c r="P46" s="19"/>
      <c r="Q46" s="19"/>
      <c r="R46" s="131"/>
      <c r="S46" s="131"/>
      <c r="T46" s="131"/>
      <c r="W46" s="131"/>
      <c r="X46" s="131"/>
      <c r="Y46" s="131"/>
      <c r="Z46" s="131"/>
      <c r="AA46" s="131"/>
    </row>
    <row r="47" spans="1:27" ht="15.75" x14ac:dyDescent="0.25">
      <c r="A47" s="131"/>
      <c r="B47" s="17"/>
      <c r="C47" s="17"/>
      <c r="D47" s="17"/>
      <c r="E47" s="17"/>
      <c r="F47" s="17"/>
      <c r="G47" s="19"/>
      <c r="H47" s="19"/>
      <c r="I47" s="19"/>
      <c r="J47" s="19"/>
      <c r="K47" s="19"/>
      <c r="L47" s="19"/>
      <c r="M47" s="19"/>
      <c r="N47" s="19"/>
      <c r="O47" s="19"/>
      <c r="P47" s="19"/>
      <c r="Q47" s="19"/>
      <c r="R47" s="131"/>
      <c r="S47" s="131"/>
      <c r="T47" s="131"/>
      <c r="W47" s="131"/>
      <c r="X47" s="131"/>
      <c r="Y47" s="131"/>
      <c r="Z47" s="131"/>
      <c r="AA47" s="131"/>
    </row>
    <row r="48" spans="1:27" ht="15.75" x14ac:dyDescent="0.25">
      <c r="A48" s="131"/>
      <c r="B48" s="17"/>
      <c r="C48" s="17"/>
      <c r="D48" s="17"/>
      <c r="E48" s="17"/>
      <c r="F48" s="20"/>
      <c r="G48" s="48"/>
      <c r="H48" s="155"/>
      <c r="I48" s="19"/>
      <c r="J48" s="19"/>
      <c r="K48" s="19"/>
      <c r="L48" s="19"/>
      <c r="M48" s="19"/>
      <c r="N48" s="19"/>
      <c r="O48" s="19"/>
      <c r="P48" s="19"/>
      <c r="Q48" s="19"/>
      <c r="R48" s="131"/>
      <c r="S48" s="131"/>
      <c r="T48" s="131"/>
      <c r="W48" s="131"/>
      <c r="X48" s="131"/>
      <c r="Y48" s="131"/>
      <c r="Z48" s="131"/>
      <c r="AA48" s="131"/>
    </row>
    <row r="49" spans="1:27" ht="15.75" x14ac:dyDescent="0.25">
      <c r="A49" s="131"/>
      <c r="B49" s="17"/>
      <c r="C49" s="17"/>
      <c r="D49" s="17"/>
      <c r="E49" s="17"/>
      <c r="F49" s="17"/>
      <c r="G49" s="19"/>
      <c r="H49" s="19"/>
      <c r="I49" s="19"/>
      <c r="J49" s="19"/>
      <c r="K49" s="19"/>
      <c r="L49" s="19"/>
      <c r="M49" s="19"/>
      <c r="N49" s="19"/>
      <c r="O49" s="19"/>
      <c r="P49" s="19"/>
      <c r="Q49" s="19"/>
      <c r="R49" s="131"/>
      <c r="S49" s="131"/>
      <c r="T49" s="131"/>
      <c r="W49" s="131"/>
      <c r="X49" s="131"/>
      <c r="Y49" s="131"/>
      <c r="Z49" s="131"/>
      <c r="AA49" s="131"/>
    </row>
    <row r="50" spans="1:27" ht="15.75" x14ac:dyDescent="0.25">
      <c r="A50" s="131"/>
      <c r="B50" s="17"/>
      <c r="C50" s="17"/>
      <c r="D50" s="17"/>
      <c r="E50" s="17"/>
      <c r="F50" s="17"/>
      <c r="G50" s="19"/>
      <c r="H50" s="19"/>
      <c r="I50" s="19"/>
      <c r="J50" s="19"/>
      <c r="K50" s="19"/>
      <c r="L50" s="19"/>
      <c r="M50" s="19"/>
      <c r="N50" s="19"/>
      <c r="O50" s="19"/>
      <c r="P50" s="19"/>
      <c r="Q50" s="19"/>
      <c r="R50" s="131"/>
      <c r="S50" s="131"/>
      <c r="T50" s="131"/>
      <c r="W50" s="131"/>
      <c r="X50" s="131"/>
      <c r="Y50" s="131"/>
      <c r="Z50" s="131"/>
      <c r="AA50" s="131"/>
    </row>
    <row r="51" spans="1:27" ht="15.75" x14ac:dyDescent="0.25">
      <c r="A51" s="131"/>
      <c r="B51" s="17"/>
      <c r="C51" s="17"/>
      <c r="D51" s="17"/>
      <c r="E51" s="17"/>
      <c r="F51" s="17"/>
      <c r="G51" s="19"/>
      <c r="H51" s="19"/>
      <c r="I51" s="19"/>
      <c r="J51" s="19"/>
      <c r="K51" s="19"/>
      <c r="L51" s="19"/>
      <c r="M51" s="19"/>
      <c r="N51" s="19"/>
      <c r="O51" s="19"/>
      <c r="P51" s="19"/>
      <c r="Q51" s="19"/>
      <c r="R51" s="131"/>
      <c r="S51" s="131"/>
      <c r="T51" s="131"/>
      <c r="W51" s="131"/>
      <c r="X51" s="131"/>
      <c r="Y51" s="131"/>
      <c r="Z51" s="131"/>
      <c r="AA51" s="131"/>
    </row>
    <row r="52" spans="1:27" ht="15.75" x14ac:dyDescent="0.25">
      <c r="A52" s="131"/>
      <c r="B52" s="17"/>
      <c r="C52" s="17"/>
      <c r="D52" s="17"/>
      <c r="E52" s="17"/>
      <c r="F52" s="17"/>
      <c r="G52" s="19"/>
      <c r="H52" s="19"/>
      <c r="I52" s="19"/>
      <c r="J52" s="19"/>
      <c r="K52" s="19"/>
      <c r="L52" s="19"/>
      <c r="M52" s="19"/>
      <c r="N52" s="19"/>
      <c r="O52" s="19"/>
      <c r="P52" s="19"/>
      <c r="Q52" s="19"/>
      <c r="R52" s="131"/>
      <c r="S52" s="131"/>
      <c r="T52" s="131"/>
      <c r="U52" s="131"/>
      <c r="V52" s="131"/>
      <c r="W52" s="131"/>
      <c r="X52" s="131"/>
      <c r="Y52" s="131"/>
      <c r="Z52" s="131"/>
      <c r="AA52" s="131"/>
    </row>
    <row r="53" spans="1:27" ht="15.75" x14ac:dyDescent="0.25">
      <c r="A53" s="131"/>
      <c r="B53" s="17"/>
      <c r="C53" s="17"/>
      <c r="D53" s="17"/>
      <c r="E53" s="17"/>
      <c r="F53" s="17"/>
      <c r="G53" s="19"/>
      <c r="H53" s="19"/>
      <c r="I53" s="19"/>
      <c r="J53" s="19"/>
      <c r="K53" s="19"/>
      <c r="L53" s="19"/>
      <c r="M53" s="19"/>
      <c r="N53" s="19"/>
      <c r="O53" s="19"/>
      <c r="P53" s="19"/>
      <c r="Q53" s="19"/>
      <c r="R53" s="131"/>
      <c r="S53" s="131"/>
      <c r="T53" s="131"/>
      <c r="U53" s="131"/>
      <c r="V53" s="131"/>
      <c r="W53" s="131"/>
      <c r="X53" s="131"/>
      <c r="Y53" s="131"/>
      <c r="Z53" s="131"/>
      <c r="AA53" s="131"/>
    </row>
    <row r="54" spans="1:27" ht="15.75" x14ac:dyDescent="0.25">
      <c r="A54" s="131"/>
      <c r="B54" s="17"/>
      <c r="C54" s="17"/>
      <c r="D54" s="17"/>
      <c r="E54" s="17"/>
      <c r="F54" s="17"/>
      <c r="G54" s="19"/>
      <c r="H54" s="19"/>
      <c r="I54" s="19"/>
      <c r="J54" s="19"/>
      <c r="K54" s="19"/>
      <c r="L54" s="19"/>
      <c r="M54" s="19"/>
      <c r="N54" s="19"/>
      <c r="O54" s="19"/>
      <c r="P54" s="19"/>
      <c r="Q54" s="19"/>
      <c r="R54" s="19"/>
      <c r="S54" s="19"/>
      <c r="T54" s="131"/>
      <c r="U54" s="131"/>
      <c r="V54" s="131"/>
      <c r="W54" s="131"/>
      <c r="X54" s="131"/>
      <c r="Y54" s="131"/>
      <c r="Z54" s="131"/>
      <c r="AA54" s="131"/>
    </row>
    <row r="55" spans="1:27" ht="15.75" x14ac:dyDescent="0.25">
      <c r="A55" s="131"/>
      <c r="B55" s="17"/>
      <c r="C55" s="17"/>
      <c r="D55" s="17"/>
      <c r="E55" s="17"/>
      <c r="F55" s="20"/>
      <c r="G55" s="19"/>
      <c r="H55" s="19"/>
      <c r="I55" s="19"/>
      <c r="J55" s="19"/>
      <c r="K55" s="19"/>
      <c r="L55" s="19"/>
      <c r="M55" s="19"/>
      <c r="N55" s="19"/>
      <c r="O55" s="19"/>
      <c r="P55" s="19"/>
      <c r="Q55" s="19"/>
      <c r="R55" s="19"/>
      <c r="S55" s="19"/>
      <c r="T55" s="131"/>
      <c r="U55" s="131"/>
      <c r="V55" s="131"/>
      <c r="W55" s="131"/>
      <c r="X55" s="131"/>
      <c r="Y55" s="131"/>
      <c r="Z55" s="131"/>
      <c r="AA55" s="131"/>
    </row>
    <row r="56" spans="1:27" ht="15.75" x14ac:dyDescent="0.25">
      <c r="A56" s="131"/>
      <c r="C56" s="17"/>
      <c r="D56" s="9"/>
      <c r="E56" s="17"/>
      <c r="F56" s="20"/>
      <c r="G56" s="19"/>
      <c r="H56" s="19"/>
      <c r="I56" s="19"/>
      <c r="J56" s="19"/>
      <c r="K56" s="19"/>
      <c r="L56" s="19"/>
      <c r="M56" s="19"/>
      <c r="N56" s="19"/>
      <c r="O56" s="19"/>
      <c r="P56" s="19"/>
      <c r="Q56" s="19"/>
      <c r="R56" s="19"/>
      <c r="S56" s="19"/>
      <c r="T56" s="131"/>
      <c r="U56" s="131"/>
      <c r="V56" s="131"/>
      <c r="W56" s="131"/>
      <c r="X56" s="131"/>
      <c r="Y56" s="131"/>
      <c r="Z56" s="131"/>
      <c r="AA56" s="131"/>
    </row>
    <row r="57" spans="1:27" ht="15.75" x14ac:dyDescent="0.25">
      <c r="A57" s="131"/>
      <c r="B57" s="9" t="s">
        <v>876</v>
      </c>
      <c r="C57" s="131"/>
      <c r="D57" s="131"/>
      <c r="E57" s="131"/>
      <c r="F57" s="131"/>
      <c r="G57" s="131"/>
      <c r="H57" s="131"/>
      <c r="I57" s="131"/>
      <c r="J57" s="131"/>
      <c r="K57" s="131"/>
      <c r="L57" s="131"/>
      <c r="M57" s="131"/>
      <c r="N57" s="131"/>
      <c r="O57" s="131"/>
      <c r="P57" s="131"/>
      <c r="Q57" s="131"/>
      <c r="R57" s="131"/>
      <c r="S57" s="131"/>
      <c r="T57" s="131"/>
      <c r="U57" s="131"/>
      <c r="V57" s="131"/>
      <c r="W57" s="131"/>
      <c r="X57" s="131"/>
      <c r="Y57" s="131"/>
      <c r="Z57" s="131"/>
      <c r="AA57" s="131"/>
    </row>
    <row r="58" spans="1:27" ht="15.75" x14ac:dyDescent="0.25">
      <c r="A58" s="131"/>
      <c r="B58" s="131"/>
      <c r="C58" s="131"/>
      <c r="D58" s="131"/>
      <c r="E58" s="131"/>
      <c r="F58" s="131"/>
      <c r="G58" s="131"/>
      <c r="H58" s="131"/>
      <c r="I58" s="131"/>
      <c r="J58" s="131"/>
      <c r="K58" s="131"/>
      <c r="L58" s="131"/>
      <c r="M58" s="131"/>
      <c r="N58" s="131"/>
      <c r="O58" s="131"/>
      <c r="P58" s="131"/>
      <c r="Q58" s="131"/>
      <c r="R58" s="131"/>
      <c r="S58" s="131"/>
      <c r="T58" s="131"/>
      <c r="U58" s="131"/>
      <c r="V58" s="131"/>
      <c r="W58" s="131"/>
      <c r="X58" s="131"/>
      <c r="Y58" s="131"/>
      <c r="Z58" s="131"/>
      <c r="AA58" s="131"/>
    </row>
    <row r="59" spans="1:27" ht="15.75" x14ac:dyDescent="0.25">
      <c r="A59" s="131"/>
      <c r="B59" s="131"/>
      <c r="C59" s="131"/>
      <c r="D59" s="131"/>
      <c r="E59" s="131"/>
      <c r="F59" s="131"/>
      <c r="G59" s="131"/>
      <c r="H59" s="131"/>
      <c r="I59" s="131"/>
      <c r="J59" s="131"/>
      <c r="K59" s="131"/>
      <c r="L59" s="131"/>
      <c r="M59" s="131"/>
      <c r="N59" s="131"/>
      <c r="O59" s="131"/>
      <c r="P59" s="131"/>
      <c r="Q59" s="131"/>
      <c r="R59" s="131"/>
      <c r="S59" s="131"/>
      <c r="T59" s="131"/>
      <c r="U59" s="131"/>
      <c r="V59" s="131"/>
      <c r="W59" s="131"/>
      <c r="X59" s="131"/>
      <c r="Y59" s="131"/>
      <c r="Z59" s="131"/>
      <c r="AA59" s="131"/>
    </row>
    <row r="60" spans="1:27" ht="15.75" x14ac:dyDescent="0.25">
      <c r="A60" s="131"/>
      <c r="B60" s="131"/>
      <c r="C60" s="131" t="s">
        <v>821</v>
      </c>
      <c r="D60" s="131"/>
      <c r="E60" s="131"/>
      <c r="F60" s="131"/>
      <c r="G60" s="131"/>
      <c r="H60" s="131"/>
      <c r="I60" s="131"/>
      <c r="J60" s="131"/>
      <c r="K60" s="131"/>
      <c r="L60" s="131"/>
      <c r="M60" s="131"/>
      <c r="N60" s="131"/>
      <c r="O60" s="131"/>
      <c r="P60" s="131"/>
      <c r="Q60" s="131"/>
      <c r="R60" s="131"/>
      <c r="S60" s="131"/>
      <c r="T60" s="131"/>
      <c r="U60" s="131"/>
      <c r="V60" s="131"/>
      <c r="W60" s="131"/>
      <c r="X60" s="131"/>
      <c r="Y60" s="131"/>
      <c r="Z60" s="131"/>
      <c r="AA60" s="131"/>
    </row>
    <row r="61" spans="1:27" ht="15.75" x14ac:dyDescent="0.25">
      <c r="A61" s="131"/>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row>
    <row r="62" spans="1:27" ht="15.75" x14ac:dyDescent="0.25">
      <c r="A62" s="131"/>
      <c r="B62" s="131"/>
      <c r="C62" s="131"/>
      <c r="D62" s="131"/>
      <c r="E62" s="131"/>
      <c r="F62" s="131"/>
      <c r="G62" s="131"/>
      <c r="H62" s="131"/>
      <c r="I62" s="131"/>
      <c r="J62" s="131"/>
      <c r="K62" s="131"/>
      <c r="L62" s="131"/>
      <c r="M62" s="131"/>
      <c r="N62" s="131"/>
      <c r="O62" s="131"/>
      <c r="P62" s="131"/>
      <c r="Q62" s="131"/>
      <c r="R62" s="131"/>
      <c r="S62" s="131"/>
      <c r="T62" s="131"/>
      <c r="U62" s="131"/>
      <c r="V62" s="131"/>
      <c r="W62" s="131"/>
      <c r="X62" s="131"/>
      <c r="Y62" s="131"/>
      <c r="Z62" s="131"/>
      <c r="AA62" s="131"/>
    </row>
    <row r="63" spans="1:27" ht="15.75" x14ac:dyDescent="0.25">
      <c r="A63" s="131"/>
      <c r="B63" s="131"/>
      <c r="C63" s="131"/>
      <c r="D63" s="131"/>
      <c r="E63" s="131"/>
      <c r="F63" s="131"/>
      <c r="G63" s="131"/>
      <c r="H63" s="131"/>
      <c r="I63" s="131"/>
      <c r="J63" s="131"/>
      <c r="K63" s="131"/>
      <c r="L63" s="131"/>
      <c r="M63" s="131"/>
      <c r="N63" s="131"/>
      <c r="O63" s="131"/>
      <c r="P63" s="131"/>
      <c r="Q63" s="131"/>
      <c r="R63" s="131"/>
      <c r="S63" s="131"/>
      <c r="T63" s="131"/>
      <c r="U63" s="131"/>
      <c r="V63" s="131"/>
      <c r="W63" s="131"/>
      <c r="X63" s="131"/>
      <c r="Y63" s="131"/>
      <c r="Z63" s="131"/>
      <c r="AA63" s="131"/>
    </row>
    <row r="64" spans="1:27" ht="15.75" x14ac:dyDescent="0.25">
      <c r="A64" s="131"/>
      <c r="B64" s="131"/>
      <c r="C64" s="131"/>
      <c r="D64" s="131"/>
      <c r="E64" s="131"/>
      <c r="F64" s="131"/>
      <c r="G64" s="131"/>
      <c r="H64" s="131"/>
      <c r="I64" s="131"/>
      <c r="J64" s="131"/>
      <c r="K64" s="131"/>
      <c r="L64" s="131"/>
      <c r="M64" s="131"/>
      <c r="N64" s="131"/>
      <c r="O64" s="131"/>
      <c r="P64" s="131"/>
      <c r="Q64" s="131"/>
      <c r="R64" s="131"/>
      <c r="S64" s="131"/>
      <c r="T64" s="131"/>
      <c r="U64" s="131"/>
      <c r="V64" s="131"/>
      <c r="W64" s="131"/>
      <c r="X64" s="131"/>
      <c r="Y64" s="131"/>
      <c r="Z64" s="131"/>
      <c r="AA64" s="131"/>
    </row>
  </sheetData>
  <sheetProtection sheet="1" objects="1" scenarios="1" selectLockedCell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INTRODUCTION</vt:lpstr>
      <vt:lpstr>COOLING_</vt:lpstr>
      <vt:lpstr>COOLING-LOAD</vt:lpstr>
      <vt:lpstr>HEATING </vt:lpstr>
      <vt:lpstr>PROBLEM SOLVER</vt:lpstr>
      <vt:lpstr>DUCTING</vt:lpstr>
      <vt:lpstr>DEGREE DAYS</vt:lpstr>
      <vt:lpstr>UNITS</vt:lpstr>
      <vt:lpstr>MATH TOOLS</vt:lpstr>
      <vt:lpstr>WINTER_DB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Robert Andrew</dc:creator>
  <cp:lastModifiedBy>John Andrew</cp:lastModifiedBy>
  <cp:lastPrinted>2012-05-23T12:28:36Z</cp:lastPrinted>
  <dcterms:created xsi:type="dcterms:W3CDTF">2012-02-10T02:23:10Z</dcterms:created>
  <dcterms:modified xsi:type="dcterms:W3CDTF">2022-12-08T00:49:55Z</dcterms:modified>
</cp:coreProperties>
</file>