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E:\AMAZON-LEXAR\ENGINEERS-PDH\"/>
    </mc:Choice>
  </mc:AlternateContent>
  <xr:revisionPtr revIDLastSave="0" documentId="8_{D64049DC-9532-40E7-9AC0-A3C4FB3998F6}" xr6:coauthVersionLast="47" xr6:coauthVersionMax="47" xr10:uidLastSave="{00000000-0000-0000-0000-000000000000}"/>
  <bookViews>
    <workbookView xWindow="-110" yWindow="-110" windowWidth="38620" windowHeight="21100" xr2:uid="{00000000-000D-0000-FFFF-FFFF00000000}"/>
  </bookViews>
  <sheets>
    <sheet name="SHAFT FORCES" sheetId="4" r:id="rId1"/>
    <sheet name="GEAR FORCES" sheetId="5" r:id="rId2"/>
    <sheet name="STRESS FACTORS" sheetId="6" r:id="rId3"/>
    <sheet name="SPUR GEARS" sheetId="1" r:id="rId4"/>
    <sheet name="WORM GEARS" sheetId="2" r:id="rId5"/>
    <sheet name="BEVEL GEARS" sheetId="3" r:id="rId6"/>
    <sheet name="Sheet1"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8" l="1"/>
  <c r="I40" i="8"/>
  <c r="I35" i="8"/>
  <c r="C34" i="8"/>
  <c r="C32" i="8"/>
  <c r="N61" i="5"/>
  <c r="C191" i="1" l="1"/>
  <c r="C214" i="1"/>
  <c r="C234" i="1" l="1"/>
  <c r="C208" i="1" l="1"/>
  <c r="C210" i="1"/>
  <c r="C216" i="1" s="1"/>
  <c r="C218" i="1" s="1"/>
  <c r="C212" i="1"/>
  <c r="D106" i="1"/>
  <c r="D112" i="1" s="1"/>
  <c r="D104" i="1"/>
  <c r="C222" i="1" l="1"/>
  <c r="C227" i="1" s="1"/>
  <c r="C220" i="1"/>
  <c r="C225" i="1" s="1"/>
  <c r="C238" i="1"/>
  <c r="C240" i="1" s="1"/>
  <c r="C232" i="1"/>
  <c r="C236" i="1" s="1"/>
  <c r="C242" i="1" s="1"/>
  <c r="D108" i="1"/>
  <c r="D110" i="1" s="1"/>
  <c r="C148" i="1"/>
  <c r="K44" i="1"/>
  <c r="K35" i="1"/>
  <c r="K34" i="1"/>
  <c r="K33" i="1"/>
  <c r="K32" i="1"/>
  <c r="K31" i="1"/>
  <c r="K38" i="1" s="1"/>
  <c r="D44" i="1"/>
  <c r="D34" i="1"/>
  <c r="D32" i="1"/>
  <c r="L136" i="5"/>
  <c r="L134" i="5"/>
  <c r="L131" i="5"/>
  <c r="N123" i="5"/>
  <c r="E123" i="5"/>
  <c r="L83" i="5"/>
  <c r="C131" i="5"/>
  <c r="C244" i="1" l="1"/>
  <c r="C229" i="1"/>
  <c r="K37" i="1"/>
  <c r="K39" i="1"/>
  <c r="K40" i="1" s="1"/>
  <c r="K42" i="1" s="1"/>
  <c r="K41" i="1"/>
  <c r="K43" i="1"/>
  <c r="K36" i="1"/>
  <c r="L85" i="5"/>
  <c r="L87" i="5" s="1"/>
  <c r="L89" i="5" s="1"/>
  <c r="L105" i="5" s="1"/>
  <c r="C50" i="5"/>
  <c r="L66" i="5"/>
  <c r="L69" i="5" s="1"/>
  <c r="L65" i="5"/>
  <c r="L68" i="5" s="1"/>
  <c r="N62" i="5"/>
  <c r="N54" i="5"/>
  <c r="N53" i="5"/>
  <c r="C66" i="6"/>
  <c r="C203" i="4"/>
  <c r="C207" i="4" s="1"/>
  <c r="C208" i="4" s="1"/>
  <c r="C161" i="4"/>
  <c r="C163" i="4" s="1"/>
  <c r="C280" i="4"/>
  <c r="C278" i="4"/>
  <c r="C276" i="4"/>
  <c r="L112" i="5" l="1"/>
  <c r="L114" i="5" s="1"/>
  <c r="C205" i="4"/>
  <c r="C282" i="4"/>
  <c r="C288" i="4"/>
  <c r="C284" i="4"/>
  <c r="C286" i="4" s="1"/>
  <c r="C348" i="4"/>
  <c r="C349" i="4" s="1"/>
  <c r="C353" i="4"/>
  <c r="C346" i="4"/>
  <c r="C344" i="4"/>
  <c r="C38" i="3"/>
  <c r="C40" i="3"/>
  <c r="C296" i="4"/>
  <c r="C298" i="4" s="1"/>
  <c r="C307" i="4" s="1"/>
  <c r="C292" i="4"/>
  <c r="C355" i="4" l="1"/>
  <c r="C357" i="4" s="1"/>
  <c r="C351" i="4"/>
  <c r="C309" i="4"/>
  <c r="D59" i="2"/>
  <c r="D60" i="2" s="1"/>
  <c r="D61" i="2" s="1"/>
  <c r="D58" i="2"/>
  <c r="D73" i="2" s="1"/>
  <c r="C359" i="4" l="1"/>
  <c r="C361" i="4"/>
  <c r="C290" i="4"/>
  <c r="C294" i="4" s="1"/>
  <c r="D65" i="2"/>
  <c r="C202" i="2"/>
  <c r="C196" i="2"/>
  <c r="C198" i="2" s="1"/>
  <c r="C200" i="2" s="1"/>
  <c r="C192" i="2"/>
  <c r="C194" i="2" s="1"/>
  <c r="G166" i="2"/>
  <c r="G165" i="2"/>
  <c r="G161" i="2"/>
  <c r="G162" i="2"/>
  <c r="G163" i="2"/>
  <c r="G164" i="2"/>
  <c r="G167" i="2"/>
  <c r="G168" i="2"/>
  <c r="G169" i="2"/>
  <c r="G170" i="2"/>
  <c r="G171" i="2"/>
  <c r="G172" i="2"/>
  <c r="G173" i="2"/>
  <c r="G174" i="2"/>
  <c r="G175" i="2"/>
  <c r="G160" i="2"/>
  <c r="C169" i="2"/>
  <c r="C204" i="2" l="1"/>
  <c r="C164" i="2"/>
  <c r="C166" i="2" s="1"/>
  <c r="C171" i="2" s="1"/>
  <c r="C172" i="2" s="1"/>
  <c r="C173" i="2" s="1"/>
  <c r="C174" i="2" s="1"/>
  <c r="C177" i="2" s="1"/>
  <c r="C77" i="4" l="1"/>
  <c r="C73" i="4"/>
  <c r="C75" i="4" s="1"/>
  <c r="C33" i="4"/>
  <c r="C35" i="4" s="1"/>
  <c r="C80" i="4" l="1"/>
  <c r="C82" i="4" s="1"/>
  <c r="L107" i="5" l="1"/>
  <c r="L117" i="5" s="1"/>
  <c r="C136" i="5"/>
  <c r="C190" i="6"/>
  <c r="C188" i="6"/>
  <c r="C186" i="6"/>
  <c r="C180" i="6"/>
  <c r="C178" i="6"/>
  <c r="C165" i="6"/>
  <c r="C149" i="6"/>
  <c r="C146" i="6"/>
  <c r="C125" i="6"/>
  <c r="C119" i="6"/>
  <c r="C118" i="6"/>
  <c r="C79" i="6"/>
  <c r="C72" i="6"/>
  <c r="C24" i="6"/>
  <c r="C30" i="6" s="1"/>
  <c r="C38" i="6" s="1"/>
  <c r="C22" i="6"/>
  <c r="C28" i="6" s="1"/>
  <c r="C20" i="6"/>
  <c r="C26" i="6" s="1"/>
  <c r="C52" i="5"/>
  <c r="C54" i="5" s="1"/>
  <c r="C112" i="5" l="1"/>
  <c r="C114" i="5" s="1"/>
  <c r="C56" i="5"/>
  <c r="C36" i="6"/>
  <c r="C40" i="6" s="1"/>
  <c r="C42" i="6" s="1"/>
  <c r="C152" i="6"/>
  <c r="C168" i="6" s="1"/>
  <c r="C169" i="6" s="1"/>
  <c r="C105" i="5" l="1"/>
  <c r="C107" i="5" l="1"/>
  <c r="C117" i="5" s="1"/>
  <c r="C134" i="5" s="1"/>
  <c r="C300" i="4"/>
  <c r="C305" i="4" s="1"/>
  <c r="C187" i="4"/>
  <c r="C189" i="4" s="1"/>
  <c r="C175" i="4"/>
  <c r="C177" i="4" s="1"/>
  <c r="D83" i="3" l="1"/>
  <c r="D65" i="3"/>
  <c r="D64" i="3"/>
  <c r="D63" i="3"/>
  <c r="D62" i="3"/>
  <c r="D72" i="3" s="1"/>
  <c r="D61" i="3"/>
  <c r="D68" i="3" s="1"/>
  <c r="C44" i="3"/>
  <c r="D75" i="3" s="1"/>
  <c r="C42" i="3"/>
  <c r="C47" i="3" s="1"/>
  <c r="F70" i="2"/>
  <c r="F69" i="2"/>
  <c r="C222" i="2"/>
  <c r="C144" i="2"/>
  <c r="C125" i="2"/>
  <c r="C114" i="2"/>
  <c r="C105" i="2"/>
  <c r="C94" i="2"/>
  <c r="C92" i="2"/>
  <c r="D75" i="2"/>
  <c r="D71" i="2"/>
  <c r="D70" i="2"/>
  <c r="D69" i="2"/>
  <c r="D64" i="2"/>
  <c r="D63" i="2"/>
  <c r="D66" i="2" s="1"/>
  <c r="C49" i="3" l="1"/>
  <c r="D73" i="3" s="1"/>
  <c r="D76" i="3" s="1"/>
  <c r="C45" i="3"/>
  <c r="D62" i="2"/>
  <c r="C96" i="2"/>
  <c r="D78" i="3"/>
  <c r="D67" i="3"/>
  <c r="D69" i="3"/>
  <c r="D71" i="3"/>
  <c r="D79" i="3"/>
  <c r="D66" i="3"/>
  <c r="D67" i="2"/>
  <c r="D68" i="2" s="1"/>
  <c r="D74" i="2"/>
  <c r="C167" i="1"/>
  <c r="C169" i="1" s="1"/>
  <c r="C150" i="1"/>
  <c r="C142" i="1"/>
  <c r="C63" i="1"/>
  <c r="C65" i="1" s="1"/>
  <c r="C59" i="1"/>
  <c r="C71" i="1" s="1"/>
  <c r="D35" i="1"/>
  <c r="D33" i="1"/>
  <c r="D43" i="1"/>
  <c r="D31" i="1"/>
  <c r="D41" i="1" s="1"/>
  <c r="D74" i="3" l="1"/>
  <c r="D77" i="3" s="1"/>
  <c r="D82" i="3"/>
  <c r="D70" i="3"/>
  <c r="D84" i="3"/>
  <c r="D80" i="3"/>
  <c r="D81" i="3" s="1"/>
  <c r="D36" i="1"/>
  <c r="D38" i="1"/>
  <c r="C61" i="1"/>
  <c r="C67" i="1" s="1"/>
  <c r="C69" i="1" s="1"/>
  <c r="E71" i="1" s="1"/>
  <c r="C144" i="1"/>
  <c r="C146" i="1" s="1"/>
  <c r="C152" i="1" s="1"/>
  <c r="C154" i="1" s="1"/>
  <c r="D37" i="1"/>
  <c r="D39" i="1"/>
  <c r="D40" i="1" s="1"/>
  <c r="D42" i="1" s="1"/>
  <c r="D114" i="1" l="1"/>
</calcChain>
</file>

<file path=xl/sharedStrings.xml><?xml version="1.0" encoding="utf-8"?>
<sst xmlns="http://schemas.openxmlformats.org/spreadsheetml/2006/main" count="1708" uniqueCount="855">
  <si>
    <t xml:space="preserve"> </t>
  </si>
  <si>
    <t xml:space="preserve"> between a point on one tooth and the corresponding</t>
  </si>
  <si>
    <t xml:space="preserve">point on the adjacent tooth. </t>
  </si>
  <si>
    <t>of pitch circle diameter.</t>
  </si>
  <si>
    <t xml:space="preserve">Input </t>
  </si>
  <si>
    <t>14.5 or 20</t>
  </si>
  <si>
    <t>deg.</t>
  </si>
  <si>
    <t>N / D</t>
  </si>
  <si>
    <t>-</t>
  </si>
  <si>
    <t>Gear hub diameter,  h =</t>
  </si>
  <si>
    <t>in</t>
  </si>
  <si>
    <t>Gear hub width,  w =</t>
  </si>
  <si>
    <t>Bore diameter,  b =</t>
  </si>
  <si>
    <t>Calculation</t>
  </si>
  <si>
    <t>N / Pd</t>
  </si>
  <si>
    <t>1 / Pd</t>
  </si>
  <si>
    <t>1.157 / Pd</t>
  </si>
  <si>
    <t>2.157 / Pd</t>
  </si>
  <si>
    <t>.157 / Pd</t>
  </si>
  <si>
    <t>D + (2*A)</t>
  </si>
  <si>
    <t>D - (2*B)</t>
  </si>
  <si>
    <t>D*Cos(Pa/57.3)</t>
  </si>
  <si>
    <t>π*D / N</t>
  </si>
  <si>
    <t>CP / 2</t>
  </si>
  <si>
    <t>D*Sin(90/57.3)/N</t>
  </si>
  <si>
    <t>2*A</t>
  </si>
  <si>
    <t>Note: Excel requires degrees to be converted to radians.  Degrees x .01745 = Radians</t>
  </si>
  <si>
    <t>π =</t>
  </si>
  <si>
    <t>Use the above spread sheet to calculate the dimensions of gears.</t>
  </si>
  <si>
    <t>Gear speed ratio,  R =</t>
  </si>
  <si>
    <t>=</t>
  </si>
  <si>
    <t>Pinion and Gear center distance,  C =</t>
  </si>
  <si>
    <t>Gear Tooth Interference</t>
  </si>
  <si>
    <t>There will be no interference if,  Rbc &lt; Ra</t>
  </si>
  <si>
    <t>Spur Gear Teeth Stress</t>
  </si>
  <si>
    <t>Spur Gear Tooth Bending Stress</t>
  </si>
  <si>
    <t>Input</t>
  </si>
  <si>
    <t>Spur Gear Tooth load,  W =</t>
  </si>
  <si>
    <t>lbf</t>
  </si>
  <si>
    <t>Tooth base thickness,  t =</t>
  </si>
  <si>
    <t>Tooth face width (into paper),  b =</t>
  </si>
  <si>
    <t xml:space="preserve">                     Pressure angle,  Pa =</t>
  </si>
  <si>
    <t>deg</t>
  </si>
  <si>
    <t>Pitch circle diameter,  D =</t>
  </si>
  <si>
    <t>Moment arm length,  h =</t>
  </si>
  <si>
    <t xml:space="preserve">(D - BC)/2 </t>
  </si>
  <si>
    <t>Base half thickness,  c =</t>
  </si>
  <si>
    <t>t / 2</t>
  </si>
  <si>
    <t>c =</t>
  </si>
  <si>
    <t xml:space="preserve">in </t>
  </si>
  <si>
    <t>Section modulus,  I =</t>
  </si>
  <si>
    <t>b*t^3 / 12</t>
  </si>
  <si>
    <t>I =</t>
  </si>
  <si>
    <t>in^3</t>
  </si>
  <si>
    <t>Moment applied to tooth, M =</t>
  </si>
  <si>
    <t>W*h</t>
  </si>
  <si>
    <t>in-lb</t>
  </si>
  <si>
    <t>Gear tooth bending stress,  Sb =</t>
  </si>
  <si>
    <t>M*c / I</t>
  </si>
  <si>
    <t>Sb =</t>
  </si>
  <si>
    <t>lbf/in^2</t>
  </si>
  <si>
    <t>The stress calculated above does not include stress concentration or dynamic loading.</t>
  </si>
  <si>
    <t>Gear Tooth Dynamic Load</t>
  </si>
  <si>
    <t>Pitch line velocity,  Vp =</t>
  </si>
  <si>
    <t>ft/min</t>
  </si>
  <si>
    <t>Tooth face width,  b =</t>
  </si>
  <si>
    <t>Gear torque,  T =</t>
  </si>
  <si>
    <t>in-lbf</t>
  </si>
  <si>
    <t>Circular pitch radius,  R = CP / 2 =</t>
  </si>
  <si>
    <t>Deformation factor (steel gears),  C =</t>
  </si>
  <si>
    <t>Static load,  F =</t>
  </si>
  <si>
    <t>2*T / R</t>
  </si>
  <si>
    <t>F =</t>
  </si>
  <si>
    <t>Dynamic load,  Pd =</t>
  </si>
  <si>
    <t>((0.05*V*(b*C + F)) / (0.05*V + (b*C + F)^.5)) + F</t>
  </si>
  <si>
    <t>Pd =</t>
  </si>
  <si>
    <t>Pressure</t>
  </si>
  <si>
    <t>Angle 14</t>
  </si>
  <si>
    <t xml:space="preserve">Angle 20 </t>
  </si>
  <si>
    <t>Rack</t>
  </si>
  <si>
    <t>Strength of Gear Teeth</t>
  </si>
  <si>
    <t>Strength of Gear Teeth- Lewis Equation - if pitch circle diameter is known</t>
  </si>
  <si>
    <t>Tooth width,  b =</t>
  </si>
  <si>
    <t>Lewis form factor,  Y =</t>
  </si>
  <si>
    <t>Allowable gear tooth load,  F =</t>
  </si>
  <si>
    <t>Number of gear teeth,  N =</t>
  </si>
  <si>
    <t>Pitch circle diameter,  Dp =</t>
  </si>
  <si>
    <t>Rotational speed,  n =</t>
  </si>
  <si>
    <t>rpm</t>
  </si>
  <si>
    <t>hp</t>
  </si>
  <si>
    <t>Worm Circular Pitch,  Pc</t>
  </si>
  <si>
    <t>AGMA Standard Circular Pitches (Fraction):</t>
  </si>
  <si>
    <t>1/8, 5/16, 3/8, 1/2, 5/8, 3/4, 1, 1.25, 1.75, and 2.</t>
  </si>
  <si>
    <t>AGMA Standard Circular Pitches (decimal):</t>
  </si>
  <si>
    <t>.125, .3125, .375, .500, .625, .750, 1.000, 1.250, 1.750, and 2.000</t>
  </si>
  <si>
    <t xml:space="preserve">  </t>
  </si>
  <si>
    <t>Worm pitch,  p = Gear pitch, P =</t>
  </si>
  <si>
    <t xml:space="preserve">                    Worm and Gear Addendum and Gear  Factors</t>
  </si>
  <si>
    <t>Worm pitch diameter,  dw =</t>
  </si>
  <si>
    <t>Worm Threads</t>
  </si>
  <si>
    <t>Addendum factor f</t>
  </si>
  <si>
    <t>Whole Depth gd</t>
  </si>
  <si>
    <t>Gear OD factor go</t>
  </si>
  <si>
    <t>Worm and gear addendum factor,  f =</t>
  </si>
  <si>
    <t>Worm and gear whole depth factor,  gd =</t>
  </si>
  <si>
    <t>Gear OD factor,  go =</t>
  </si>
  <si>
    <t>Gear hub diameter =</t>
  </si>
  <si>
    <t>Gear hub width =</t>
  </si>
  <si>
    <t>Bore diameter =</t>
  </si>
  <si>
    <t>p *n</t>
  </si>
  <si>
    <t>f *P</t>
  </si>
  <si>
    <t>gd * P</t>
  </si>
  <si>
    <t>L / n</t>
  </si>
  <si>
    <t>dw + 2*A</t>
  </si>
  <si>
    <t>DG + 2*A</t>
  </si>
  <si>
    <t>TD + go *P</t>
  </si>
  <si>
    <t>2.38*P + .25</t>
  </si>
  <si>
    <t>in      &lt; &lt;</t>
  </si>
  <si>
    <t>2.15*P + .20</t>
  </si>
  <si>
    <t>6 *P</t>
  </si>
  <si>
    <t>57.3*ATAN(L / (dw *3.1416))</t>
  </si>
  <si>
    <t>degrees</t>
  </si>
  <si>
    <t>(0.5*dw) - A</t>
  </si>
  <si>
    <t>(0.5*dw) + P</t>
  </si>
  <si>
    <t>(dw + DG) / 2</t>
  </si>
  <si>
    <t>Use the above spread sheet to calculate the dimensions of worm and gear.</t>
  </si>
  <si>
    <t xml:space="preserve">Strength of Worm &amp; Wheel Gears - Lewis Equation </t>
  </si>
  <si>
    <t>Ultimate stress,  Su =</t>
  </si>
  <si>
    <t>Gear Pitch Line Velocity,  Vg =</t>
  </si>
  <si>
    <t>π*Dp*n / 12</t>
  </si>
  <si>
    <t>Vg =</t>
  </si>
  <si>
    <t>Worm / Wheel allowable stress,  So =</t>
  </si>
  <si>
    <t>Su / 3</t>
  </si>
  <si>
    <t>So =</t>
  </si>
  <si>
    <t>Worm/gear design stress,  Sd =</t>
  </si>
  <si>
    <t>So*1200 / (1200 + Vg)</t>
  </si>
  <si>
    <t>Sd =</t>
  </si>
  <si>
    <t>Circular pitch,  Pnc =</t>
  </si>
  <si>
    <t>Sd*b*Pnc*Y</t>
  </si>
  <si>
    <t>Worm Gear Dynamic Load</t>
  </si>
  <si>
    <t>Worm Gear Dynamic Load,  Fd =</t>
  </si>
  <si>
    <t>F*(1200+Vg) / (1200)</t>
  </si>
  <si>
    <t>Fd =</t>
  </si>
  <si>
    <t>Worm Gear Endurance Load</t>
  </si>
  <si>
    <t>Worm wheel pitch circle diameter,  Dp =</t>
  </si>
  <si>
    <t>Worm Gear Endurance Load,  Fe =</t>
  </si>
  <si>
    <t>Sd*b*Y*π / Pnd</t>
  </si>
  <si>
    <t>Fe =</t>
  </si>
  <si>
    <t xml:space="preserve">lbf </t>
  </si>
  <si>
    <t>Worm Gear Wear Load</t>
  </si>
  <si>
    <t>Gear pitch diameter, Dg =</t>
  </si>
  <si>
    <t>Material wear constant,  B =</t>
  </si>
  <si>
    <t>Worm Gear Wear Load,  Fw =</t>
  </si>
  <si>
    <t>Dg*b*</t>
  </si>
  <si>
    <t>Fw =</t>
  </si>
  <si>
    <t>Worm Gear Efficiency</t>
  </si>
  <si>
    <t>Material Wear Constant</t>
  </si>
  <si>
    <t>Worm</t>
  </si>
  <si>
    <t>Gear</t>
  </si>
  <si>
    <t>B</t>
  </si>
  <si>
    <t>Hardened steel</t>
  </si>
  <si>
    <t>Cast iron</t>
  </si>
  <si>
    <t>250 BHN steel</t>
  </si>
  <si>
    <t>Phosphor bronze</t>
  </si>
  <si>
    <t>Antimony bronze</t>
  </si>
  <si>
    <t>Input Data</t>
  </si>
  <si>
    <t xml:space="preserve">  Coefficient of friction,  f =</t>
  </si>
  <si>
    <t>AGMA Worm Gear Heat Dissipation Limit</t>
  </si>
  <si>
    <t>Worm to wheel center distance,  C =</t>
  </si>
  <si>
    <t>Transmission ratio,  R =</t>
  </si>
  <si>
    <t>Maximum horse power limit,  HPm =</t>
  </si>
  <si>
    <t>9.5*C^1.7 / (R + 5)</t>
  </si>
  <si>
    <t>HPm =</t>
  </si>
  <si>
    <t xml:space="preserve">Bevel Pinion or Gear Data </t>
  </si>
  <si>
    <t>Input-1</t>
  </si>
  <si>
    <t>Whole Numbers</t>
  </si>
  <si>
    <t>Bevel pinion number of teeth,  t =</t>
  </si>
  <si>
    <t>Bevel pinion diametral pitch,  PD =</t>
  </si>
  <si>
    <t>Bevel gear number of teeth,  T =</t>
  </si>
  <si>
    <t>Calculation-1</t>
  </si>
  <si>
    <t>Bevel pinion pitch circle diameter,  pcd =</t>
  </si>
  <si>
    <t>Bevel gear pitch circle diameter,  PCD =</t>
  </si>
  <si>
    <t>Pinion pitch cone angle,  pca =</t>
  </si>
  <si>
    <t>57.3*ATAN(t / T)</t>
  </si>
  <si>
    <t>Gear pitch cone angle,  PCA =</t>
  </si>
  <si>
    <t>57.3*ATAN(T / t)</t>
  </si>
  <si>
    <t>pca + PCA =</t>
  </si>
  <si>
    <t>Pinion pitch cone radius,  pcr =</t>
  </si>
  <si>
    <t>pd / (2*SIN(pca/57.3)</t>
  </si>
  <si>
    <t>Gear pitch cone radius,  PCR =</t>
  </si>
  <si>
    <t>PD / (2*SIN(PCA/57.3)</t>
  </si>
  <si>
    <t>Same Bevel Pinion or Gear Data as above</t>
  </si>
  <si>
    <t xml:space="preserve">Input-2 </t>
  </si>
  <si>
    <t>Calculation-2</t>
  </si>
  <si>
    <t>57.3*ATAN(A / PCR)</t>
  </si>
  <si>
    <t>57.3*ATAN(B / PCR)</t>
  </si>
  <si>
    <t>PCAg - AA</t>
  </si>
  <si>
    <t>PCAg - DA</t>
  </si>
  <si>
    <t>D + (2*Z)</t>
  </si>
  <si>
    <t>(.5*OD) / TAN(FA/57.3)</t>
  </si>
  <si>
    <t>CP*2</t>
  </si>
  <si>
    <t>1.57 / P</t>
  </si>
  <si>
    <t>SPUR GEARS</t>
  </si>
  <si>
    <t xml:space="preserve">carrying capacity than 14.5⁰ PA gears .
</t>
  </si>
  <si>
    <t>RUSH GEARS – download cad drawings from:</t>
  </si>
  <si>
    <t>GEAR ANIMATION http://en.wikipedia.org/wiki/Involute_gear</t>
  </si>
  <si>
    <t xml:space="preserve">Pinion / Gear Speed Ratio and Center Distance </t>
  </si>
  <si>
    <t>Pinion / Gear Pressure Angle</t>
  </si>
  <si>
    <t>Fillet radius at tooth base,  Rb =</t>
  </si>
  <si>
    <t>unwinding from a circle, which is called a BASE CIRCLE.</t>
  </si>
  <si>
    <t>An involute is a curve that is traced by a point on a cord</t>
  </si>
  <si>
    <t>(AG^2 + GE^2)^0.5</t>
  </si>
  <si>
    <t>GE =</t>
  </si>
  <si>
    <t>Gear pitch circle radius,  AG =</t>
  </si>
  <si>
    <t>Pinion pitch circle radius,  BE =</t>
  </si>
  <si>
    <t>PCg / 2</t>
  </si>
  <si>
    <t>PCp/2</t>
  </si>
  <si>
    <t>GX =</t>
  </si>
  <si>
    <t>EX =</t>
  </si>
  <si>
    <t>Gear addendum radius,  AE =</t>
  </si>
  <si>
    <t>GX + EX</t>
  </si>
  <si>
    <t>AG + A</t>
  </si>
  <si>
    <t>Pinion speed,  Sp =</t>
  </si>
  <si>
    <t>Desired Gear speed,  Sg =</t>
  </si>
  <si>
    <t>(Whole Number)</t>
  </si>
  <si>
    <t>Pinion teeth,  Np =</t>
  </si>
  <si>
    <t>Sg / Sp</t>
  </si>
  <si>
    <t>Gear teeth,  Ng =</t>
  </si>
  <si>
    <t>R*Np</t>
  </si>
  <si>
    <t>Gear pitch circle diameter,  Dg =</t>
  </si>
  <si>
    <t>Actual Gear speed,  Sag =</t>
  </si>
  <si>
    <t>Sp / R</t>
  </si>
  <si>
    <t>(Dp+Dg)/2</t>
  </si>
  <si>
    <t>Chordal addendum,  AC =</t>
  </si>
  <si>
    <t>A + (T^2 / (4*D))</t>
  </si>
  <si>
    <t xml:space="preserve">   PINION AND GEAR CENTER DISTANCE</t>
  </si>
  <si>
    <t>N / n</t>
  </si>
  <si>
    <t>COS(PCAg/57.3)*AA</t>
  </si>
  <si>
    <t>D*Sin((90/57.3)/N)</t>
  </si>
  <si>
    <t xml:space="preserve">Spur Gear Dimensions </t>
  </si>
  <si>
    <t xml:space="preserve">Stub Spur Gear Dimensions </t>
  </si>
  <si>
    <t>WORM GEARS</t>
  </si>
  <si>
    <t>SHAFT FORCES</t>
  </si>
  <si>
    <t>Motor Power,  HP =</t>
  </si>
  <si>
    <t>Shaft speed,  N =</t>
  </si>
  <si>
    <t>Torque shock &amp; fatigue factor,  Kt =</t>
  </si>
  <si>
    <t>Shaft diameter,  D =</t>
  </si>
  <si>
    <t>Shaft length,  L =</t>
  </si>
  <si>
    <t>Shaft material shear modulus,  G =</t>
  </si>
  <si>
    <t>psi</t>
  </si>
  <si>
    <t xml:space="preserve"> =</t>
  </si>
  <si>
    <t xml:space="preserve">Drive Shaft Torque Twist Angle </t>
  </si>
  <si>
    <t>&lt; GOAL SEEK</t>
  </si>
  <si>
    <t>Shaft material tension modulus,  E =</t>
  </si>
  <si>
    <t>Section polar moment of area,  J =</t>
  </si>
  <si>
    <t>π*D^4 / 32</t>
  </si>
  <si>
    <t>in^4</t>
  </si>
  <si>
    <t>Shaft torsion deflection angle,  a =</t>
  </si>
  <si>
    <t>radians</t>
  </si>
  <si>
    <t>Shaft Polar Moment of Area and Shear Stress</t>
  </si>
  <si>
    <t>Solid Shaft</t>
  </si>
  <si>
    <t>Torsion,  T =</t>
  </si>
  <si>
    <t>Round solid shaft diameter,  D =</t>
  </si>
  <si>
    <t>Section polar moment of inertia,  J =</t>
  </si>
  <si>
    <t>Torsion stress,  Ft =</t>
  </si>
  <si>
    <t>T*(D/2) / J</t>
  </si>
  <si>
    <t>lb/in^2</t>
  </si>
  <si>
    <t>Hollow Shaft</t>
  </si>
  <si>
    <t>Hollow shaft outside dia,  Do =</t>
  </si>
  <si>
    <t>Hollow shaft inside dia, Di =</t>
  </si>
  <si>
    <t>π*(Do^4 - Di^4) / 32</t>
  </si>
  <si>
    <t>J =</t>
  </si>
  <si>
    <t>T*(Do/2) / J</t>
  </si>
  <si>
    <t>Shaft Design Torque,  T =</t>
  </si>
  <si>
    <t>Shaft moment,  Mb =</t>
  </si>
  <si>
    <t>Shaft allowable torsional shear stress: Ss =</t>
  </si>
  <si>
    <t>((16/π*Ss)*[ (KbMb)^2 + (Kt*T)^2 ]^0.5)^(1/3)</t>
  </si>
  <si>
    <t xml:space="preserve">Shaft having Bending and Torque  </t>
  </si>
  <si>
    <t>Shaft outside diameter,  D =</t>
  </si>
  <si>
    <t>Shaft inside diameter,  d =</t>
  </si>
  <si>
    <t>π*(D^4 - d^4) / 32</t>
  </si>
  <si>
    <t>T*D / (2*J)</t>
  </si>
  <si>
    <t>Motor power,  HP =</t>
  </si>
  <si>
    <t>GEAR FORCES</t>
  </si>
  <si>
    <t xml:space="preserve">1. The objective is to calculate the shaft size having the strength </t>
  </si>
  <si>
    <t>and rigidity required to transmit an applied torque.</t>
  </si>
  <si>
    <t xml:space="preserve">2. The design bending is equal to the applied moment multiplied </t>
  </si>
  <si>
    <t>by a combined stress concentration and fatigue factor Kf.</t>
  </si>
  <si>
    <t>2. The strength in torsion, of shafts made of ductile materials</t>
  </si>
  <si>
    <t>are usually calculated on the basis of the maximum shear theory.</t>
  </si>
  <si>
    <t xml:space="preserve">3. The design torsion is equal to the applied to torsion multiplied </t>
  </si>
  <si>
    <t>by a combined stress concentration and fatigue factor Ks.</t>
  </si>
  <si>
    <t>Shaft Diameter for Combined Torsion and Bending</t>
  </si>
  <si>
    <t>Fatigue Safety Factor Design</t>
  </si>
  <si>
    <t>SPUR GEAR FORCES</t>
  </si>
  <si>
    <t>Motor power,  P =</t>
  </si>
  <si>
    <t>Spur gear pitch circle diameter,  D =</t>
  </si>
  <si>
    <t>Gear pressure angle,  A =</t>
  </si>
  <si>
    <t>Calculations</t>
  </si>
  <si>
    <t>Motor torque,  T =</t>
  </si>
  <si>
    <t>in-lbs</t>
  </si>
  <si>
    <t>Gear pitch circle radius,  R =</t>
  </si>
  <si>
    <t>D / 2</t>
  </si>
  <si>
    <t>Tangential force,  Ft =</t>
  </si>
  <si>
    <t>Ft =</t>
  </si>
  <si>
    <t>lbs</t>
  </si>
  <si>
    <t>Radial force,  Fr =</t>
  </si>
  <si>
    <t>Fr =</t>
  </si>
  <si>
    <t xml:space="preserve">The above tangential, Ft and radial, Fr forces </t>
  </si>
  <si>
    <t>cause fully reversed bending in the shaft</t>
  </si>
  <si>
    <t>as it rotates.</t>
  </si>
  <si>
    <t xml:space="preserve">Driver gear applies forces Ft and Fr </t>
  </si>
  <si>
    <t>to the driven gear. Equal and opposite</t>
  </si>
  <si>
    <t>Ft and Fr forces are applied to the driver</t>
  </si>
  <si>
    <t>gear. (Newton's first law)</t>
  </si>
  <si>
    <t>Length from left bearing to gear,  A =</t>
  </si>
  <si>
    <t>Length from right bearing to gear,  B =</t>
  </si>
  <si>
    <t xml:space="preserve">Vertical shaft bending moment </t>
  </si>
  <si>
    <t>Sum of moments about any point in the shaft =</t>
  </si>
  <si>
    <t>Sum of moments about the right bearing =</t>
  </si>
  <si>
    <t>R1*(A+B) - Fr*B</t>
  </si>
  <si>
    <t>R1v =</t>
  </si>
  <si>
    <t>Fr*B / (A+B)</t>
  </si>
  <si>
    <t>Mv =</t>
  </si>
  <si>
    <t>R1*A</t>
  </si>
  <si>
    <t xml:space="preserve">Horizontal shaft bending moment </t>
  </si>
  <si>
    <t>R1h =</t>
  </si>
  <si>
    <t>Ft*B / (A+B)</t>
  </si>
  <si>
    <t>Mh =</t>
  </si>
  <si>
    <t>Maximum fully reversed fatigue bending moment in the shaft  (Mmax):</t>
  </si>
  <si>
    <t>Mmax =</t>
  </si>
  <si>
    <t>(Mv^2 + Mh^2)^0.5</t>
  </si>
  <si>
    <t>N =</t>
  </si>
  <si>
    <t>lb-in</t>
  </si>
  <si>
    <t>1. Static direct, bending, and torsion stresses are calculated first.</t>
  </si>
  <si>
    <t>2. Static stress concentration factors are applied to the above static stresses.</t>
  </si>
  <si>
    <t>3. Fatigue stress concentration factors modify the static stress concentration.</t>
  </si>
  <si>
    <t>Static Stress in Round Shafts</t>
  </si>
  <si>
    <t>Tension Force (+), Compression (-),  F =</t>
  </si>
  <si>
    <t>Moment, concave (+), convex (-),  M =</t>
  </si>
  <si>
    <t>Shaft Diameter, D =</t>
  </si>
  <si>
    <t>Section Area,  A =</t>
  </si>
  <si>
    <t>π*D^2 / 4</t>
  </si>
  <si>
    <t>in^2</t>
  </si>
  <si>
    <t>Second Moment of Area,  I =</t>
  </si>
  <si>
    <t xml:space="preserve"> I =</t>
  </si>
  <si>
    <t>Polar Moment of Area,  J =</t>
  </si>
  <si>
    <t>π*D^4 / 64</t>
  </si>
  <si>
    <t>Direct stress (+) tension, (-) comp,  σd =</t>
  </si>
  <si>
    <t>F / A</t>
  </si>
  <si>
    <t>σd =</t>
  </si>
  <si>
    <t>Bending stress,  σm =</t>
  </si>
  <si>
    <t>M*D / (2*I)</t>
  </si>
  <si>
    <t>σm =</t>
  </si>
  <si>
    <t>Torsional stress,  τxy =</t>
  </si>
  <si>
    <t>τxy =</t>
  </si>
  <si>
    <t>Given x and y stresses above find static safety factor (N):</t>
  </si>
  <si>
    <t>Material tension yield stress,  Syt =</t>
  </si>
  <si>
    <t>From above,  σx = σd + σm =</t>
  </si>
  <si>
    <t>From above,  σy =</t>
  </si>
  <si>
    <t>From above,  τxy =</t>
  </si>
  <si>
    <t>von Mises' effective stress,  σ’ =</t>
  </si>
  <si>
    <t xml:space="preserve">[ ( σx^2 + σy^2 – σx*σy + 3*τxy^2 ]^0.5 </t>
  </si>
  <si>
    <t>σ’ =</t>
  </si>
  <si>
    <t>Material yield safety factor,  N =</t>
  </si>
  <si>
    <t>Syt / σ’</t>
  </si>
  <si>
    <t>D/d</t>
  </si>
  <si>
    <t>A</t>
  </si>
  <si>
    <t>b</t>
  </si>
  <si>
    <t>Larger diameter,  D =</t>
  </si>
  <si>
    <t>Smaller diameter,  d =</t>
  </si>
  <si>
    <t>Notch radius,  r =</t>
  </si>
  <si>
    <t>D/d =</t>
  </si>
  <si>
    <t>Input Data From Table</t>
  </si>
  <si>
    <t>Enter value from table above, A =</t>
  </si>
  <si>
    <t>Enter value from table above, b =</t>
  </si>
  <si>
    <t>Kt =</t>
  </si>
  <si>
    <t>A *(r / d)^b</t>
  </si>
  <si>
    <t>Answer:  Kt =</t>
  </si>
  <si>
    <t xml:space="preserve">Kt is the stress concentration factor (Kt) in static bending.   </t>
  </si>
  <si>
    <t>Static notch concentration factor, Kt =</t>
  </si>
  <si>
    <t>Calculated max direct stress,  σ =</t>
  </si>
  <si>
    <t>Kt*σ</t>
  </si>
  <si>
    <t>σ =</t>
  </si>
  <si>
    <t>Static stress concentration factor of a rectangular bar in bending.</t>
  </si>
  <si>
    <t>D/d=6</t>
  </si>
  <si>
    <t>D/d=1.2</t>
  </si>
  <si>
    <t xml:space="preserve">r/d  </t>
  </si>
  <si>
    <t>Kt</t>
  </si>
  <si>
    <t>Plate small depth,  d =</t>
  </si>
  <si>
    <t>Plate large depth,  D =</t>
  </si>
  <si>
    <t>r/d =</t>
  </si>
  <si>
    <t>Static concentration factor from table, Kt =</t>
  </si>
  <si>
    <t>Calculated max static direct stress,  σ =</t>
  </si>
  <si>
    <t>Notches and Stress Concentration in Fatigue Cyclic Loading</t>
  </si>
  <si>
    <t xml:space="preserve">Geometric stress concentration factor ( Kf ) in fatigue bending.  </t>
  </si>
  <si>
    <t>Fatigue notch sensitivity factor,  q =</t>
  </si>
  <si>
    <t>(Kf - 1)/ (Kt - 1)</t>
  </si>
  <si>
    <t>or Fatigue notch sensitivity factor,  q =</t>
  </si>
  <si>
    <t>1 / (1 + a^0.5/ r^0.5)</t>
  </si>
  <si>
    <t>a^0.5 =</t>
  </si>
  <si>
    <t>Neuber Constant</t>
  </si>
  <si>
    <t>r =</t>
  </si>
  <si>
    <t>Notch Radius</t>
  </si>
  <si>
    <t>Fatigue stress concentration factor (Kf)</t>
  </si>
  <si>
    <t>Sut  (kpsi)</t>
  </si>
  <si>
    <t>(a)^0.5</t>
  </si>
  <si>
    <t>The fatigue stress concentration factor (Kf) is a</t>
  </si>
  <si>
    <t>function of the sensitivity factor (q).</t>
  </si>
  <si>
    <t>Given ultimate tensile stress, kpsi,  Sut =</t>
  </si>
  <si>
    <t>Type input from table,  (a)^0.5 =</t>
  </si>
  <si>
    <t>Notch Radius, inches,  r =</t>
  </si>
  <si>
    <t>Copy Kt data fom table above,  Kt =</t>
  </si>
  <si>
    <t>q =</t>
  </si>
  <si>
    <t>Fatigue concentration factor,   (Kf) =</t>
  </si>
  <si>
    <t>1 + q * (Kt - 1)</t>
  </si>
  <si>
    <t>Answer:  (Kf) =</t>
  </si>
  <si>
    <t>Fatigue Notch Sensitivity Factor, q applied to the nominal stress:</t>
  </si>
  <si>
    <t>Tension (+ )compression (-) load,  P =</t>
  </si>
  <si>
    <t>Section area, (se below) A =</t>
  </si>
  <si>
    <t>Applied moment,  M =</t>
  </si>
  <si>
    <t>Section second area of moment, (see below) I =</t>
  </si>
  <si>
    <t>Distance, neutral axis to surface,  c =</t>
  </si>
  <si>
    <t>nominal stress, σnom =</t>
  </si>
  <si>
    <t>P/A + M*c/ I</t>
  </si>
  <si>
    <t>Design fatigue endurance stress,  σe =</t>
  </si>
  <si>
    <t>Kf * σnom</t>
  </si>
  <si>
    <t>From calculation above,  Kf =</t>
  </si>
  <si>
    <t xml:space="preserve">  σe =</t>
  </si>
  <si>
    <t>Rectangular Sections:</t>
  </si>
  <si>
    <t>Base, inches,  B =</t>
  </si>
  <si>
    <t>Height, inches,  H =</t>
  </si>
  <si>
    <t>Section Area, A =</t>
  </si>
  <si>
    <t>B*H</t>
  </si>
  <si>
    <t>A =</t>
  </si>
  <si>
    <t>Section vertical second area of moment,  I =</t>
  </si>
  <si>
    <t>B*H^3 / 12</t>
  </si>
  <si>
    <t>Circular Sections:</t>
  </si>
  <si>
    <t>Diameter, inches,  D =</t>
  </si>
  <si>
    <t>Section polar second area of moment,  J =</t>
  </si>
  <si>
    <t>STRESS CONCENTRATION FACTORS</t>
  </si>
  <si>
    <t>Sa =</t>
  </si>
  <si>
    <t>Allowable shaft shear stress,  Sa =</t>
  </si>
  <si>
    <t>Stationary shaft:</t>
  </si>
  <si>
    <t>Load gradually applied</t>
  </si>
  <si>
    <t>Rotating shaft:</t>
  </si>
  <si>
    <t>Cm</t>
  </si>
  <si>
    <t>Ct</t>
  </si>
  <si>
    <t>1.5 to 2.0</t>
  </si>
  <si>
    <t>2.0 to 3.0</t>
  </si>
  <si>
    <t>1.5 to 3.0</t>
  </si>
  <si>
    <t>30% of the yield strength but not over 18% of the ultimate</t>
  </si>
  <si>
    <t>strength in tension for shafts without keyways.</t>
  </si>
  <si>
    <t>These values are to be reduced by 25% for the presence of keyways.</t>
  </si>
  <si>
    <t>Mpa</t>
  </si>
  <si>
    <t xml:space="preserve"> Shafts without keyway,  Sa =</t>
  </si>
  <si>
    <t>Shafts with keyway,  Sa =</t>
  </si>
  <si>
    <t>ASME Code for Commercial Steel Shafting</t>
  </si>
  <si>
    <t>ASME Code for Steel Purchased Under Definite Specifications</t>
  </si>
  <si>
    <t>Given safety factor,  SF =</t>
  </si>
  <si>
    <t>Calculate Shaft Diameter</t>
  </si>
  <si>
    <t>ASME Code Load Case =</t>
  </si>
  <si>
    <t>Load Case</t>
  </si>
  <si>
    <t>C</t>
  </si>
  <si>
    <t>D</t>
  </si>
  <si>
    <t>Motor torque (from above),  T =</t>
  </si>
  <si>
    <t>Shaft maximum moment (from above)  Mmax = M =</t>
  </si>
  <si>
    <t>Next larger standard shaft diameter,  D =</t>
  </si>
  <si>
    <t>(16 / ((π*D^3)*(1-k^4))) * (((Cm*M + ((a*F*D(1 +k^2)/8))^2 + (Ct*T)^2)^(1/2)</t>
  </si>
  <si>
    <t>(16 / ((π*D^3)*(1-k^4))) * (((Cm*M + ((a*F*D(1 +k^2)/8))^2 + (Ct*T)^2)^(1/2) - Sa</t>
  </si>
  <si>
    <t>Goal Seek Shaft diameter from above,  Dg =</t>
  </si>
  <si>
    <t>Subtract Sa,  0 =</t>
  </si>
  <si>
    <t>Use Goal Seek D value to make equation = 0 =</t>
  </si>
  <si>
    <t>Shaft material ultimate stress,  Su =</t>
  </si>
  <si>
    <t>30% of material yield strength =</t>
  </si>
  <si>
    <t>18% of material ultimate strength =</t>
  </si>
  <si>
    <t>Shaft Without Keyway</t>
  </si>
  <si>
    <t>Shaft With Keyway</t>
  </si>
  <si>
    <t>25% of 30% of material yield strength =</t>
  </si>
  <si>
    <t>25% of 18% of material ultimate strength =</t>
  </si>
  <si>
    <t>Shaft Moment and Torque</t>
  </si>
  <si>
    <t>Use this side to solve problems</t>
  </si>
  <si>
    <t>Use this side is an example</t>
  </si>
  <si>
    <t xml:space="preserve">C </t>
  </si>
  <si>
    <t>See "Goal Seek" tab below.</t>
  </si>
  <si>
    <t>End load is small enough to ignore.</t>
  </si>
  <si>
    <t>GEAR RATIOS</t>
  </si>
  <si>
    <t>Case A</t>
  </si>
  <si>
    <t>Insert</t>
  </si>
  <si>
    <t>Gear-1 number of teeth,  T1 =</t>
  </si>
  <si>
    <t>Gear-2 number of teeth,  T2 =</t>
  </si>
  <si>
    <t>Calculate</t>
  </si>
  <si>
    <t>T1 / T2</t>
  </si>
  <si>
    <t>Gear-1 rotation speed,  N1 =</t>
  </si>
  <si>
    <t>Gear-2 rotation speed,  N2 =</t>
  </si>
  <si>
    <t>N1 / R1</t>
  </si>
  <si>
    <t>Gear-3 number of teeth,  T3 =</t>
  </si>
  <si>
    <t>Gear-4 number of teeth,  T4 =</t>
  </si>
  <si>
    <t>T3 / T4</t>
  </si>
  <si>
    <t>Speed ratio:  Gear-1 / Gear-2,  R12 =</t>
  </si>
  <si>
    <t>Speed ratio:  Gear-3 / Gear-4,  R34 =</t>
  </si>
  <si>
    <t>R12*R34</t>
  </si>
  <si>
    <t>(T1/T2)*(T3/T4)</t>
  </si>
  <si>
    <t>Gear-4 rotation speed,  N4 =</t>
  </si>
  <si>
    <t>Speed ratio:  Gear-1 / Gear-4,  R14 =</t>
  </si>
  <si>
    <t>N1 / R14</t>
  </si>
  <si>
    <t>Cases B &amp; C</t>
  </si>
  <si>
    <t>ft-lb</t>
  </si>
  <si>
    <t>Gearbox efficiency,  e =</t>
  </si>
  <si>
    <t>0,04 VS^-0,25</t>
  </si>
  <si>
    <t xml:space="preserve">Friction coefficient (f) for worm gears (Bronze -steel) </t>
  </si>
  <si>
    <t>Sliding velocity (m/s),  VS =</t>
  </si>
  <si>
    <t>Worm rotational speed,  Nw =</t>
  </si>
  <si>
    <t>Worm rotational velocity at pitch radius,  Vw =</t>
  </si>
  <si>
    <t>in/min</t>
  </si>
  <si>
    <t>Vw / COS(LA/57.3)</t>
  </si>
  <si>
    <t>m/s</t>
  </si>
  <si>
    <t>ft/s</t>
  </si>
  <si>
    <t>f</t>
  </si>
  <si>
    <t>Friction coefficients (f) - For Case Hardened Steel Worm / Phos Bronze Wheel</t>
  </si>
  <si>
    <t>in/sec</t>
  </si>
  <si>
    <t>ft/sec</t>
  </si>
  <si>
    <t>Nw*p*π</t>
  </si>
  <si>
    <t>http://www.roymech.co.uk/Useful_Tables/Drive/Worm_Gears.html</t>
  </si>
  <si>
    <t>http://www.qtcgears.com/Q420%20PDF%20Files/Section%209.pdf</t>
  </si>
  <si>
    <t>Single thread, e =</t>
  </si>
  <si>
    <t>Double thread, e =</t>
  </si>
  <si>
    <t>40% to 50%</t>
  </si>
  <si>
    <t>50% to 60%</t>
  </si>
  <si>
    <t>Note: A worm gear must have less than 50% to be self locking.</t>
  </si>
  <si>
    <t>Worm number of threads or starts, n =</t>
  </si>
  <si>
    <t>Motor power connected to worm gear,  HP =</t>
  </si>
  <si>
    <t>5252*HP / Nw</t>
  </si>
  <si>
    <t xml:space="preserve">Calculation </t>
  </si>
  <si>
    <t>lb</t>
  </si>
  <si>
    <t>Worm gear torque friction force,  Fwt =</t>
  </si>
  <si>
    <t>Worm gear thrust friction force,  Fgt =</t>
  </si>
  <si>
    <t>Gear rotational speed,  Ng =</t>
  </si>
  <si>
    <t>Nw / R</t>
  </si>
  <si>
    <t>Worm torque,  Tw =</t>
  </si>
  <si>
    <t>Gear torque,  Tg =</t>
  </si>
  <si>
    <t>5252*HP / Ng</t>
  </si>
  <si>
    <t>Worm and gear ratio,  R =</t>
  </si>
  <si>
    <t>12*Tw / (dw/2)</t>
  </si>
  <si>
    <t>Gear pitch circle diameter,  DG =</t>
  </si>
  <si>
    <t>12*Tg / (DG/2)</t>
  </si>
  <si>
    <t xml:space="preserve">lb </t>
  </si>
  <si>
    <t>Lead of worm,  L =</t>
  </si>
  <si>
    <t>Worm lead angle,  LA =</t>
  </si>
  <si>
    <t>2C - DG</t>
  </si>
  <si>
    <t>P * n</t>
  </si>
  <si>
    <t>n*R</t>
  </si>
  <si>
    <t>Formula</t>
  </si>
  <si>
    <t>Driver Shaft maximum Moment,  M =</t>
  </si>
  <si>
    <t>W*x</t>
  </si>
  <si>
    <t>Overhung load location,  x =</t>
  </si>
  <si>
    <t>N1 * R12</t>
  </si>
  <si>
    <t xml:space="preserve">π*(D^4 - d1^4) / 64          </t>
  </si>
  <si>
    <t>M*(D/2) / I</t>
  </si>
  <si>
    <t>Shaft section modulus,  I =</t>
  </si>
  <si>
    <t>Shaft polar modulus,  J =</t>
  </si>
  <si>
    <t xml:space="preserve">π*(D^4 - d1^4) / 32          </t>
  </si>
  <si>
    <t>Moment tension stress at A,  sm =</t>
  </si>
  <si>
    <t>Torsion shear stress at A,  st =</t>
  </si>
  <si>
    <t>Resultant moment &amp; torsion stress at A,  sr =</t>
  </si>
  <si>
    <t>(sm^2 + st^2)^(1/2)</t>
  </si>
  <si>
    <t>Resultant moment &amp; torsion stress at B, =</t>
  </si>
  <si>
    <t>Resultant moment &amp; torsion stress at A</t>
  </si>
  <si>
    <t>Shaft allowable tension stress,  St =</t>
  </si>
  <si>
    <t>Shaft allowable shear stress,  Ss =</t>
  </si>
  <si>
    <t>Safety Factors</t>
  </si>
  <si>
    <t>Driver tension safety factor, SFt =</t>
  </si>
  <si>
    <t>Driver shear safety factor, SFs =</t>
  </si>
  <si>
    <t>Ss / ss</t>
  </si>
  <si>
    <t>Gearbox allowable overhung load,  Wa =</t>
  </si>
  <si>
    <t>http://www.darali.com/disco/page9.pdf</t>
  </si>
  <si>
    <t>Driver applied overhung load,  W = S =</t>
  </si>
  <si>
    <t>Wa/W</t>
  </si>
  <si>
    <t>Driver overhung load safety factor,  SFo =</t>
  </si>
  <si>
    <t>St / sr</t>
  </si>
  <si>
    <t>Gear Forces</t>
  </si>
  <si>
    <t>Gear and pinion pressure angle,  PA =</t>
  </si>
  <si>
    <t>Pinion pitch cone angle,  B =</t>
  </si>
  <si>
    <t>Bevel pinion diametral pitch,  DP =</t>
  </si>
  <si>
    <t>t / DP</t>
  </si>
  <si>
    <t>T / DP</t>
  </si>
  <si>
    <t>Bevel pinion pitch circle diameter,  PCDp =</t>
  </si>
  <si>
    <t>Bevel gear pitch circle diameter,  PCDg =</t>
  </si>
  <si>
    <t>Whole Number</t>
  </si>
  <si>
    <t>Bevel gear tangential force,  Ft =</t>
  </si>
  <si>
    <t>Bevel gear separating force,  Fr =</t>
  </si>
  <si>
    <t>Driver Shaft Torque,  Q1 =</t>
  </si>
  <si>
    <t>Driven Shaft Torque,  Q2 =</t>
  </si>
  <si>
    <t>Q1 / (PCDp/2)</t>
  </si>
  <si>
    <t>Fp =</t>
  </si>
  <si>
    <t>Fg =</t>
  </si>
  <si>
    <t>Ft *TAN(PA/57.3)</t>
  </si>
  <si>
    <t>Fr *SIN(B/57.3)</t>
  </si>
  <si>
    <t>Fr *COS(B/57.3)</t>
  </si>
  <si>
    <t>57.3 *ATAN(t / T)</t>
  </si>
  <si>
    <t>T1 *PCDg / PCDp</t>
  </si>
  <si>
    <t>Kt *5252*HP / N</t>
  </si>
  <si>
    <t>Q1*D2 / D1</t>
  </si>
  <si>
    <t>Q1*D1 / 2</t>
  </si>
  <si>
    <t>Pinion number of teeth,  t =</t>
  </si>
  <si>
    <t>Gear number of teeth,  T =</t>
  </si>
  <si>
    <t>Q1*(D/2) / J</t>
  </si>
  <si>
    <t>Driver gear pitch circle diameter, D1 =</t>
  </si>
  <si>
    <t>Driven gear pitch circle diameter, D2 =</t>
  </si>
  <si>
    <t>e*12*Kt*5252*HP / N</t>
  </si>
  <si>
    <t>Shaft Design Torque from above,  Q =</t>
  </si>
  <si>
    <t>Q*D / (2*J)</t>
  </si>
  <si>
    <t>Q*L / (J*G)</t>
  </si>
  <si>
    <t>degrees = radians*57.3</t>
  </si>
  <si>
    <t>Note: The units of angle in Excel are radians.</t>
  </si>
  <si>
    <t>Shock &amp; fatigue moment factor,  Kb =</t>
  </si>
  <si>
    <t>12*Kt*5252*HP / N</t>
  </si>
  <si>
    <t>Given,  σy =</t>
  </si>
  <si>
    <t>Static stress concentration factor (Kt) for the round shaft above in bending:</t>
  </si>
  <si>
    <t>ASME Code Load Factors (K)</t>
  </si>
  <si>
    <t>Kb*Kt*12*5252*HP / N</t>
  </si>
  <si>
    <t>Moment</t>
  </si>
  <si>
    <t>Torque</t>
  </si>
  <si>
    <t>Moment factor,  Cm =</t>
  </si>
  <si>
    <t>Torque factor,  Ct =</t>
  </si>
  <si>
    <t>Ratio of inner to outer diameters of the shaft, k = d / D =</t>
  </si>
  <si>
    <t>k = d / D =</t>
  </si>
  <si>
    <t>EXAMPLE ONLY</t>
  </si>
  <si>
    <t>T / R</t>
  </si>
  <si>
    <t>Spur driver  gear pitch circle diameter,  D =</t>
  </si>
  <si>
    <t>Ft * Tan A</t>
  </si>
  <si>
    <t xml:space="preserve">GEAR SHAFT LOADS </t>
  </si>
  <si>
    <t xml:space="preserve">Horizontal driven shaft bending moment </t>
  </si>
  <si>
    <t>ASME Code Load Factor (from above),  Cm =</t>
  </si>
  <si>
    <t>ASME Code Load Factor (from above),  Ct =</t>
  </si>
  <si>
    <t>N / DP</t>
  </si>
  <si>
    <t>1 / DP</t>
  </si>
  <si>
    <t>1.157 / DP</t>
  </si>
  <si>
    <t>2.157 / DP</t>
  </si>
  <si>
    <t>.157 / DP</t>
  </si>
  <si>
    <t>0.35 / DP</t>
  </si>
  <si>
    <t>Do not use the example calculation above.</t>
  </si>
  <si>
    <t>in dia</t>
  </si>
  <si>
    <t>Diametral pitch,  DP =</t>
  </si>
  <si>
    <t>DP*P</t>
  </si>
  <si>
    <t>Ng / DP</t>
  </si>
  <si>
    <t xml:space="preserve"> Pinion pitch circle diameter,  Dp =</t>
  </si>
  <si>
    <t>Motor = pinion speed, Sp =</t>
  </si>
  <si>
    <t>Pinion torque, Q =</t>
  </si>
  <si>
    <t>12*5252*HP / N</t>
  </si>
  <si>
    <t>Motor or drive gearbox power, HP =</t>
  </si>
  <si>
    <t>Motor or drive bearbox power,  P =</t>
  </si>
  <si>
    <t>n / DP</t>
  </si>
  <si>
    <t>Pinion pitch circle diameter,  Dp =</t>
  </si>
  <si>
    <t>Q / (Dg/2)</t>
  </si>
  <si>
    <t>M*(t/2) / I</t>
  </si>
  <si>
    <t>π*Dg / (2*N)</t>
  </si>
  <si>
    <t>Teeth</t>
  </si>
  <si>
    <t>Pinion Lewis form factor,  Yp =</t>
  </si>
  <si>
    <t>Gear Lewis form factor,  Yg =</t>
  </si>
  <si>
    <t>Spur Gear</t>
  </si>
  <si>
    <t>http://www.bostongear.com/litportal/pdfs/P-1482BG_pg133-153.pdf</t>
  </si>
  <si>
    <t>600 / (600 + V)</t>
  </si>
  <si>
    <t xml:space="preserve">Strength of Gear Teeth </t>
  </si>
  <si>
    <t xml:space="preserve">Modified Lewis Equation </t>
  </si>
  <si>
    <t>Modified Lewis Formula Gear Tooth Stress</t>
  </si>
  <si>
    <t>Gear Tooth Stress Moment Stress</t>
  </si>
  <si>
    <t>Gear tooth chordal base thickness,  t =</t>
  </si>
  <si>
    <t>Gear tooth moment arm length, A + h =</t>
  </si>
  <si>
    <t>Gear stress safety factor,  SF =</t>
  </si>
  <si>
    <t xml:space="preserve">A + (D - BC) / 2 </t>
  </si>
  <si>
    <t>Gear = Pinion tooth bending stress,  Sg =</t>
  </si>
  <si>
    <t>Gear speed,  Sg =</t>
  </si>
  <si>
    <t>Sp*n / N</t>
  </si>
  <si>
    <t>Ref:</t>
  </si>
  <si>
    <t>Gear = Pinion pitch line velocity,  V =</t>
  </si>
  <si>
    <t>Q / (Dp/2)</t>
  </si>
  <si>
    <t>Lewis gear tooth bending stress is based on the x dimension.</t>
  </si>
  <si>
    <t>Allowable gear tooth load,  W =</t>
  </si>
  <si>
    <t>Whole number</t>
  </si>
  <si>
    <t>Sa*b*Y / DP</t>
  </si>
  <si>
    <t>Allowable gear tooth tensile stress,  Sa =</t>
  </si>
  <si>
    <t>Pinion tooth load at pitch circle,  Wp =</t>
  </si>
  <si>
    <t>Gear tooth load at pitch circle,  Wp =</t>
  </si>
  <si>
    <t>(DP*Wp /( b*Yp)) / vf</t>
  </si>
  <si>
    <t>(DP*Wg /( b*Yg)) / vf</t>
  </si>
  <si>
    <t>Worm Gear Efficiency Range</t>
  </si>
  <si>
    <t xml:space="preserve">Worm &amp; Wheel (or Gear) Dimensions (inches) </t>
  </si>
  <si>
    <t>Worm/gear design stress from above,  Sd =</t>
  </si>
  <si>
    <t xml:space="preserve">BEVEL GEARS </t>
  </si>
  <si>
    <t>BEVEL or MITER GEAR PAIR</t>
  </si>
  <si>
    <t>Common diametral pitch,  DP =</t>
  </si>
  <si>
    <t>(from above)</t>
  </si>
  <si>
    <t>http://www.rushgears.com</t>
  </si>
  <si>
    <t>http://www.qtcgears.com/Q410/PDF/techsec9.pdf</t>
  </si>
  <si>
    <t>Gleason Zerol Spiral Gears</t>
  </si>
  <si>
    <t>Load suddenly applied</t>
  </si>
  <si>
    <t>Load suddenly applied (minor shock)</t>
  </si>
  <si>
    <t>Load suddenly applied (heavy shock)</t>
  </si>
  <si>
    <t>Shaft material yield stress,  Sy =</t>
  </si>
  <si>
    <t xml:space="preserve">distance variation and concentricity errors than 20 degrees. 
</t>
  </si>
  <si>
    <t>Boston Gear material allowable stress,  Sa =</t>
  </si>
  <si>
    <t>Velocity factor,  vf =</t>
  </si>
  <si>
    <t>Note: for pressure angle = 20 deg A should be less than 25o</t>
  </si>
  <si>
    <t>Torque applied to shaft length (see below),  x =</t>
  </si>
  <si>
    <r>
      <t>Shear stress due to Td,  S</t>
    </r>
    <r>
      <rPr>
        <b/>
        <vertAlign val="subscript"/>
        <sz val="12"/>
        <rFont val="Arial"/>
        <family val="2"/>
      </rPr>
      <t>T</t>
    </r>
    <r>
      <rPr>
        <b/>
        <sz val="12"/>
        <rFont val="Arial"/>
        <family val="2"/>
      </rPr>
      <t xml:space="preserve"> =</t>
    </r>
  </si>
  <si>
    <r>
      <rPr>
        <b/>
        <sz val="12"/>
        <color theme="1"/>
        <rFont val="Arial"/>
        <family val="2"/>
      </rPr>
      <t>Driver</t>
    </r>
    <r>
      <rPr>
        <sz val="12"/>
        <color theme="1"/>
        <rFont val="Arial"/>
        <family val="2"/>
      </rPr>
      <t xml:space="preserve"> shaft diameter, d1 =</t>
    </r>
  </si>
  <si>
    <r>
      <rPr>
        <b/>
        <sz val="12"/>
        <color theme="1"/>
        <rFont val="Arial"/>
        <family val="2"/>
      </rPr>
      <t>Driven</t>
    </r>
    <r>
      <rPr>
        <sz val="12"/>
        <color theme="1"/>
        <rFont val="Arial"/>
        <family val="2"/>
      </rPr>
      <t xml:space="preserve"> shaft diameter, d2 =</t>
    </r>
  </si>
  <si>
    <t xml:space="preserve">M452  GEARS SPREADSHEET </t>
  </si>
  <si>
    <t>BOSTON GEAR</t>
  </si>
  <si>
    <t>http://www.bostongear.com</t>
  </si>
  <si>
    <t xml:space="preserve">Power Shaft Overhung Load </t>
  </si>
  <si>
    <t>END OF SECTION</t>
  </si>
  <si>
    <t xml:space="preserve">Resultant Moment &amp; Torsion Stress at A,  sr </t>
  </si>
  <si>
    <t>http://www.micromo.com/Data/</t>
  </si>
  <si>
    <t>FAULHABER DRIVE CALCULATOR</t>
  </si>
  <si>
    <t>https://www.faulhaber.com/en/drive-calculator/fdc/</t>
  </si>
  <si>
    <t xml:space="preserve">Manual Transmission </t>
  </si>
  <si>
    <t>https://www.faulhaber.com/</t>
  </si>
  <si>
    <t>Select "KNOW HOW"</t>
  </si>
  <si>
    <t>Select "FAULHABER WEBIAR LIBRARY"</t>
  </si>
  <si>
    <t>Select "PRODUCTS"</t>
  </si>
  <si>
    <t>&gt;Start Drive Calulator</t>
  </si>
  <si>
    <t>See "MATH TOOLS" tab below.</t>
  </si>
  <si>
    <t>Shaft Moment and Torque - EXAMPLE ONLY</t>
  </si>
  <si>
    <r>
      <t xml:space="preserve">Calculated nominal direct stress,  </t>
    </r>
    <r>
      <rPr>
        <sz val="12"/>
        <color theme="1"/>
        <rFont val="Arial"/>
        <family val="2"/>
      </rPr>
      <t>σ</t>
    </r>
    <r>
      <rPr>
        <sz val="12"/>
        <rFont val="Arial"/>
        <family val="2"/>
      </rPr>
      <t xml:space="preserve"> =</t>
    </r>
  </si>
  <si>
    <t>METAL STRESS FACTORS</t>
  </si>
  <si>
    <t xml:space="preserve">Geometric Stress Concentration   </t>
  </si>
  <si>
    <t xml:space="preserve">Factor (Kt) in static bending. </t>
  </si>
  <si>
    <r>
      <t>Circular pitch</t>
    </r>
    <r>
      <rPr>
        <sz val="12"/>
        <rFont val="Arial"/>
        <family val="2"/>
      </rPr>
      <t xml:space="preserve"> (CP) is the pitch circle arc length  </t>
    </r>
  </si>
  <si>
    <r>
      <t>Diametral pitch</t>
    </r>
    <r>
      <rPr>
        <sz val="12"/>
        <rFont val="Arial"/>
        <family val="2"/>
      </rPr>
      <t xml:space="preserve"> (P) is the number of teeth per inch </t>
    </r>
  </si>
  <si>
    <r>
      <rPr>
        <b/>
        <sz val="12"/>
        <rFont val="Arial"/>
        <family val="2"/>
      </rPr>
      <t>20°Pressure Angle (PA)</t>
    </r>
    <r>
      <rPr>
        <sz val="12"/>
        <rFont val="Arial"/>
        <family val="2"/>
      </rPr>
      <t xml:space="preserve"> is generally recognized as having higher load </t>
    </r>
  </si>
  <si>
    <r>
      <rPr>
        <b/>
        <sz val="12"/>
        <rFont val="Arial"/>
        <family val="2"/>
      </rPr>
      <t>The 14.5⁰ pressure angle (PA)</t>
    </r>
    <r>
      <rPr>
        <sz val="12"/>
        <rFont val="Arial"/>
        <family val="2"/>
      </rPr>
      <t xml:space="preserve"> results in less backlash due to center </t>
    </r>
  </si>
  <si>
    <r>
      <t xml:space="preserve">                     Pressure angle,  </t>
    </r>
    <r>
      <rPr>
        <b/>
        <sz val="12"/>
        <rFont val="Arial"/>
        <family val="2"/>
      </rPr>
      <t xml:space="preserve">Pa </t>
    </r>
    <r>
      <rPr>
        <sz val="12"/>
        <rFont val="Arial"/>
        <family val="2"/>
      </rPr>
      <t>=</t>
    </r>
  </si>
  <si>
    <r>
      <t xml:space="preserve">Pitch circle diameter,  </t>
    </r>
    <r>
      <rPr>
        <b/>
        <sz val="12"/>
        <rFont val="Arial"/>
        <family val="2"/>
      </rPr>
      <t>D</t>
    </r>
    <r>
      <rPr>
        <sz val="12"/>
        <rFont val="Arial"/>
        <family val="2"/>
      </rPr>
      <t xml:space="preserve"> =</t>
    </r>
  </si>
  <si>
    <r>
      <t>Pinion tooth Lewis  stress,  S</t>
    </r>
    <r>
      <rPr>
        <b/>
        <vertAlign val="subscript"/>
        <sz val="12"/>
        <rFont val="Arial"/>
        <family val="2"/>
      </rPr>
      <t>LP</t>
    </r>
    <r>
      <rPr>
        <b/>
        <sz val="12"/>
        <rFont val="Arial"/>
        <family val="2"/>
      </rPr>
      <t xml:space="preserve"> =</t>
    </r>
  </si>
  <si>
    <r>
      <t>Gear tooth Lewis  stress,  S</t>
    </r>
    <r>
      <rPr>
        <b/>
        <vertAlign val="subscript"/>
        <sz val="12"/>
        <rFont val="Arial"/>
        <family val="2"/>
      </rPr>
      <t>LG</t>
    </r>
    <r>
      <rPr>
        <b/>
        <sz val="12"/>
        <rFont val="Arial"/>
        <family val="2"/>
      </rPr>
      <t xml:space="preserve"> =</t>
    </r>
  </si>
  <si>
    <r>
      <t>Sa / S</t>
    </r>
    <r>
      <rPr>
        <b/>
        <vertAlign val="subscript"/>
        <sz val="12"/>
        <color theme="1"/>
        <rFont val="Arial"/>
        <family val="2"/>
      </rPr>
      <t>LP</t>
    </r>
  </si>
  <si>
    <t>Diametral pitch (Whole Number),  DP =</t>
  </si>
  <si>
    <t>Number of gear teeth (Whole Number),  N =</t>
  </si>
  <si>
    <t>Addendum,  A =</t>
  </si>
  <si>
    <t>Dedendum,  B =</t>
  </si>
  <si>
    <t>Whole depth= Addendum+Dedendum, WD =</t>
  </si>
  <si>
    <t>Clearance, C =</t>
  </si>
  <si>
    <t xml:space="preserve">                                                   Outside diameter, OD =</t>
  </si>
  <si>
    <t xml:space="preserve">                                                        Root circle diameter,  RD =</t>
  </si>
  <si>
    <t xml:space="preserve">                                    Base circle diameter,  BC =</t>
  </si>
  <si>
    <t xml:space="preserve">                                                 Circular pitch of gear teeth,  CP =</t>
  </si>
  <si>
    <r>
      <t xml:space="preserve">                                                 Circular thickness of gear teeth,  </t>
    </r>
    <r>
      <rPr>
        <b/>
        <sz val="12"/>
        <rFont val="Arial"/>
        <family val="2"/>
      </rPr>
      <t>T =</t>
    </r>
  </si>
  <si>
    <t>Chordal gear tooth thickness,  TC =</t>
  </si>
  <si>
    <t>Working depth,  WD =</t>
  </si>
  <si>
    <t xml:space="preserve">                              From above: Gear pitch circle diameter,  PCg =</t>
  </si>
  <si>
    <t xml:space="preserve">                              From above: Pinion pitch circle diameter,  PCp =</t>
  </si>
  <si>
    <t>From above: Gear = Pinion Addendum, A  =</t>
  </si>
  <si>
    <t xml:space="preserve">                   From above: Pressure angle,  φ =</t>
  </si>
  <si>
    <t>AG*SIN(φ/57.30)</t>
  </si>
  <si>
    <t>BE*SIN(φ/57.30)</t>
  </si>
  <si>
    <t>Diametral pitch of pinion &amp; gear,  P =</t>
  </si>
  <si>
    <t>Diametral pitch,  Pd =</t>
  </si>
  <si>
    <r>
      <t xml:space="preserve">Number of gear teeth,  </t>
    </r>
    <r>
      <rPr>
        <sz val="12"/>
        <rFont val="Arial"/>
        <family val="2"/>
      </rPr>
      <t>N =</t>
    </r>
  </si>
  <si>
    <t>Number of pinion teeth,  n =</t>
  </si>
  <si>
    <t>Sp*Dp*π / 12</t>
  </si>
  <si>
    <t xml:space="preserve">                                   Gear base circle diameter,  BC =</t>
  </si>
  <si>
    <t>Gear = Pinion tooth addendum,  A =</t>
  </si>
  <si>
    <r>
      <t>Gear tooth bending stress, S</t>
    </r>
    <r>
      <rPr>
        <b/>
        <vertAlign val="subscript"/>
        <sz val="14"/>
        <color theme="1"/>
        <rFont val="Arial"/>
        <family val="2"/>
      </rPr>
      <t xml:space="preserve">L </t>
    </r>
    <r>
      <rPr>
        <b/>
        <sz val="14"/>
        <color theme="1"/>
        <rFont val="Arial"/>
        <family val="2"/>
      </rPr>
      <t xml:space="preserve">= (DP*W) /( b*Yp) </t>
    </r>
  </si>
  <si>
    <t xml:space="preserve">   BOSTON GEAR Lewis Form Factor  Y</t>
  </si>
  <si>
    <t>GEARBOX - SECTION VIEW</t>
  </si>
  <si>
    <r>
      <t xml:space="preserve">Lead of worm, </t>
    </r>
    <r>
      <rPr>
        <b/>
        <sz val="12"/>
        <rFont val="Arial"/>
        <family val="2"/>
      </rPr>
      <t xml:space="preserve"> L</t>
    </r>
    <r>
      <rPr>
        <sz val="12"/>
        <rFont val="Arial"/>
        <family val="2"/>
      </rPr>
      <t xml:space="preserve"> =</t>
    </r>
  </si>
  <si>
    <r>
      <t xml:space="preserve">Number of gear teeth (Whole Number),  </t>
    </r>
    <r>
      <rPr>
        <b/>
        <sz val="12"/>
        <rFont val="Arial"/>
        <family val="2"/>
      </rPr>
      <t>N =</t>
    </r>
  </si>
  <si>
    <r>
      <t xml:space="preserve">Gear pitch circle diameter,  </t>
    </r>
    <r>
      <rPr>
        <b/>
        <sz val="12"/>
        <rFont val="Arial"/>
        <family val="2"/>
      </rPr>
      <t>DG</t>
    </r>
    <r>
      <rPr>
        <sz val="12"/>
        <rFont val="Arial"/>
        <family val="2"/>
      </rPr>
      <t xml:space="preserve"> =</t>
    </r>
  </si>
  <si>
    <r>
      <t xml:space="preserve">Worm pitch circle diameter,  </t>
    </r>
    <r>
      <rPr>
        <b/>
        <sz val="12"/>
        <color theme="1"/>
        <rFont val="Arial"/>
        <family val="2"/>
      </rPr>
      <t>Dw</t>
    </r>
    <r>
      <rPr>
        <sz val="12"/>
        <color theme="1"/>
        <rFont val="Arial"/>
        <family val="2"/>
      </rPr>
      <t xml:space="preserve"> =</t>
    </r>
  </si>
  <si>
    <r>
      <t xml:space="preserve">Worm or Gear whole depth, </t>
    </r>
    <r>
      <rPr>
        <b/>
        <sz val="12"/>
        <rFont val="Arial"/>
        <family val="2"/>
      </rPr>
      <t xml:space="preserve"> WD =</t>
    </r>
  </si>
  <si>
    <r>
      <t xml:space="preserve">Worm outside diameter, </t>
    </r>
    <r>
      <rPr>
        <b/>
        <sz val="12"/>
        <rFont val="Arial"/>
        <family val="2"/>
      </rPr>
      <t xml:space="preserve"> ODW =</t>
    </r>
  </si>
  <si>
    <r>
      <t xml:space="preserve">                                                 Gear throat diameter,  </t>
    </r>
    <r>
      <rPr>
        <b/>
        <sz val="12"/>
        <rFont val="Arial"/>
        <family val="2"/>
      </rPr>
      <t>TD =</t>
    </r>
  </si>
  <si>
    <r>
      <t xml:space="preserve">Gear outside diameter, </t>
    </r>
    <r>
      <rPr>
        <b/>
        <sz val="12"/>
        <rFont val="Arial"/>
        <family val="2"/>
      </rPr>
      <t xml:space="preserve"> ODG =</t>
    </r>
  </si>
  <si>
    <r>
      <t xml:space="preserve">Gear face width (1 or 2 threads), </t>
    </r>
    <r>
      <rPr>
        <b/>
        <sz val="12"/>
        <rFont val="Arial"/>
        <family val="2"/>
      </rPr>
      <t xml:space="preserve"> F</t>
    </r>
    <r>
      <rPr>
        <sz val="12"/>
        <rFont val="Arial"/>
        <family val="2"/>
      </rPr>
      <t xml:space="preserve"> =</t>
    </r>
  </si>
  <si>
    <r>
      <t xml:space="preserve">Gear face width (3 or 4 threads), </t>
    </r>
    <r>
      <rPr>
        <b/>
        <sz val="12"/>
        <rFont val="Arial"/>
        <family val="2"/>
      </rPr>
      <t xml:space="preserve"> F</t>
    </r>
    <r>
      <rPr>
        <sz val="12"/>
        <rFont val="Arial"/>
        <family val="2"/>
      </rPr>
      <t xml:space="preserve"> =</t>
    </r>
  </si>
  <si>
    <r>
      <t>Worm face length,</t>
    </r>
    <r>
      <rPr>
        <b/>
        <sz val="12"/>
        <rFont val="Arial"/>
        <family val="2"/>
      </rPr>
      <t xml:space="preserve">  FL =</t>
    </r>
  </si>
  <si>
    <r>
      <t xml:space="preserve">Worm lead angle, </t>
    </r>
    <r>
      <rPr>
        <b/>
        <sz val="12"/>
        <rFont val="Arial"/>
        <family val="2"/>
      </rPr>
      <t xml:space="preserve"> LA =</t>
    </r>
  </si>
  <si>
    <r>
      <t xml:space="preserve">Worm throat radius,  </t>
    </r>
    <r>
      <rPr>
        <b/>
        <sz val="12"/>
        <rFont val="Arial"/>
        <family val="2"/>
      </rPr>
      <t>TR =</t>
    </r>
  </si>
  <si>
    <r>
      <t xml:space="preserve">Worm rim radius,  </t>
    </r>
    <r>
      <rPr>
        <b/>
        <sz val="12"/>
        <rFont val="Arial"/>
        <family val="2"/>
      </rPr>
      <t>RR =</t>
    </r>
  </si>
  <si>
    <r>
      <t xml:space="preserve">Gear diametral pitch (Whole Number), </t>
    </r>
    <r>
      <rPr>
        <b/>
        <sz val="12"/>
        <rFont val="Arial"/>
        <family val="2"/>
      </rPr>
      <t xml:space="preserve"> DP</t>
    </r>
    <r>
      <rPr>
        <sz val="12"/>
        <rFont val="Arial"/>
        <family val="2"/>
      </rPr>
      <t xml:space="preserve"> =</t>
    </r>
  </si>
  <si>
    <t>Center distance between worm and gear,  C =</t>
  </si>
  <si>
    <t>Worm Addendum,  A =</t>
  </si>
  <si>
    <r>
      <t xml:space="preserve">Worm or gear pitch,  </t>
    </r>
    <r>
      <rPr>
        <b/>
        <sz val="12"/>
        <rFont val="Arial"/>
        <family val="2"/>
      </rPr>
      <t>P</t>
    </r>
    <r>
      <rPr>
        <sz val="12"/>
        <rFont val="Arial"/>
        <family val="2"/>
      </rPr>
      <t xml:space="preserve"> =</t>
    </r>
  </si>
  <si>
    <r>
      <t xml:space="preserve">Gear diametral pitch (Whole Number), </t>
    </r>
    <r>
      <rPr>
        <b/>
        <sz val="12"/>
        <rFont val="Arial"/>
        <family val="2"/>
      </rPr>
      <t xml:space="preserve"> </t>
    </r>
    <r>
      <rPr>
        <sz val="12"/>
        <rFont val="Arial"/>
        <family val="2"/>
      </rPr>
      <t>Pd =</t>
    </r>
  </si>
  <si>
    <r>
      <t xml:space="preserve">                     Pressure angle,  </t>
    </r>
    <r>
      <rPr>
        <b/>
        <sz val="12"/>
        <rFont val="Arial"/>
        <family val="2"/>
      </rPr>
      <t xml:space="preserve">PA </t>
    </r>
    <r>
      <rPr>
        <sz val="12"/>
        <rFont val="Arial"/>
        <family val="2"/>
      </rPr>
      <t>=</t>
    </r>
  </si>
  <si>
    <r>
      <t xml:space="preserve">Gear pitch cone angle (from above)  </t>
    </r>
    <r>
      <rPr>
        <b/>
        <sz val="12"/>
        <rFont val="Arial"/>
        <family val="2"/>
      </rPr>
      <t>PCAg</t>
    </r>
    <r>
      <rPr>
        <sz val="12"/>
        <rFont val="Arial"/>
        <family val="2"/>
      </rPr>
      <t xml:space="preserve"> =</t>
    </r>
  </si>
  <si>
    <r>
      <t xml:space="preserve">Pitch diameter (from above),  </t>
    </r>
    <r>
      <rPr>
        <b/>
        <sz val="12"/>
        <rFont val="Arial"/>
        <family val="2"/>
      </rPr>
      <t>D =</t>
    </r>
  </si>
  <si>
    <r>
      <t xml:space="preserve">Outside diameter,  </t>
    </r>
    <r>
      <rPr>
        <b/>
        <sz val="12"/>
        <rFont val="Arial"/>
        <family val="2"/>
      </rPr>
      <t>OD =</t>
    </r>
  </si>
  <si>
    <r>
      <t xml:space="preserve">Crown height,  </t>
    </r>
    <r>
      <rPr>
        <b/>
        <sz val="12"/>
        <rFont val="Arial"/>
        <family val="2"/>
      </rPr>
      <t>CH =</t>
    </r>
  </si>
  <si>
    <r>
      <t xml:space="preserve">Face width, </t>
    </r>
    <r>
      <rPr>
        <b/>
        <sz val="12"/>
        <rFont val="Arial"/>
        <family val="2"/>
      </rPr>
      <t xml:space="preserve"> FW =</t>
    </r>
  </si>
  <si>
    <r>
      <t xml:space="preserve">Circular thickness, </t>
    </r>
    <r>
      <rPr>
        <b/>
        <sz val="12"/>
        <rFont val="Arial"/>
        <family val="2"/>
      </rPr>
      <t xml:space="preserve"> T =</t>
    </r>
  </si>
  <si>
    <r>
      <t xml:space="preserve">Chordal thickness,  </t>
    </r>
    <r>
      <rPr>
        <b/>
        <sz val="12"/>
        <rFont val="Arial"/>
        <family val="2"/>
      </rPr>
      <t>TC =</t>
    </r>
  </si>
  <si>
    <r>
      <t xml:space="preserve">Diametral pitch (Whole Number),  </t>
    </r>
    <r>
      <rPr>
        <b/>
        <sz val="12"/>
        <rFont val="Arial"/>
        <family val="2"/>
      </rPr>
      <t>P</t>
    </r>
    <r>
      <rPr>
        <sz val="12"/>
        <rFont val="Arial"/>
        <family val="2"/>
      </rPr>
      <t xml:space="preserve"> =</t>
    </r>
  </si>
  <si>
    <r>
      <t xml:space="preserve">Whole depth= Addendum+Dedendum, </t>
    </r>
    <r>
      <rPr>
        <b/>
        <sz val="12"/>
        <rFont val="Arial"/>
        <family val="2"/>
      </rPr>
      <t>d</t>
    </r>
    <r>
      <rPr>
        <sz val="12"/>
        <rFont val="Arial"/>
        <family val="2"/>
      </rPr>
      <t xml:space="preserve"> =</t>
    </r>
  </si>
  <si>
    <t xml:space="preserve">                                    Base circle,  BC =</t>
  </si>
  <si>
    <t>Chordal thickness,  TC =</t>
  </si>
  <si>
    <t>Addendum angle,  AA =</t>
  </si>
  <si>
    <r>
      <t xml:space="preserve">Dedendum angle,  </t>
    </r>
    <r>
      <rPr>
        <b/>
        <sz val="12"/>
        <rFont val="Arial"/>
        <family val="2"/>
      </rPr>
      <t>DA</t>
    </r>
    <r>
      <rPr>
        <sz val="12"/>
        <rFont val="Arial"/>
        <family val="2"/>
      </rPr>
      <t xml:space="preserve"> =</t>
    </r>
  </si>
  <si>
    <r>
      <t xml:space="preserve">Face angle,  </t>
    </r>
    <r>
      <rPr>
        <b/>
        <sz val="12"/>
        <rFont val="Arial"/>
        <family val="2"/>
      </rPr>
      <t>FA</t>
    </r>
    <r>
      <rPr>
        <sz val="12"/>
        <rFont val="Arial"/>
        <family val="2"/>
      </rPr>
      <t xml:space="preserve"> =</t>
    </r>
  </si>
  <si>
    <r>
      <t xml:space="preserve">Cutting angle,  </t>
    </r>
    <r>
      <rPr>
        <b/>
        <sz val="12"/>
        <rFont val="Arial"/>
        <family val="2"/>
      </rPr>
      <t>CA</t>
    </r>
    <r>
      <rPr>
        <sz val="12"/>
        <rFont val="Arial"/>
        <family val="2"/>
      </rPr>
      <t xml:space="preserve"> =</t>
    </r>
  </si>
  <si>
    <r>
      <t xml:space="preserve">Angular Addendum,  </t>
    </r>
    <r>
      <rPr>
        <b/>
        <sz val="12"/>
        <rFont val="Arial"/>
        <family val="2"/>
      </rPr>
      <t>Z =</t>
    </r>
  </si>
  <si>
    <t>MATH TOOLS</t>
  </si>
  <si>
    <t>Protect Sheet Box Opens</t>
  </si>
  <si>
    <t>Select Format &gt; Unprotect Sheet</t>
  </si>
  <si>
    <t xml:space="preserve">Unlock a worksheet with "Unprotect" </t>
  </si>
  <si>
    <t>Step-1</t>
  </si>
  <si>
    <t xml:space="preserve">HOME </t>
  </si>
  <si>
    <t>Step-2</t>
  </si>
  <si>
    <t xml:space="preserve">Format </t>
  </si>
  <si>
    <t>Step-3</t>
  </si>
  <si>
    <t>Unprotect Sheet</t>
  </si>
  <si>
    <t>Step-4</t>
  </si>
  <si>
    <t>OK</t>
  </si>
  <si>
    <t xml:space="preserve">Lock a worksheet with "Protect Sheet" </t>
  </si>
  <si>
    <t>Step-5</t>
  </si>
  <si>
    <t>NEW EXCEL</t>
  </si>
  <si>
    <t>OLD EXCEL</t>
  </si>
  <si>
    <t>Step-6</t>
  </si>
  <si>
    <t>Step-7</t>
  </si>
  <si>
    <t>Protect Sheet</t>
  </si>
  <si>
    <t>Check the "Protect Sheet" two boxes right &gt;&gt;</t>
  </si>
  <si>
    <t>Select Unlocked Cells</t>
  </si>
  <si>
    <t>Format Cells</t>
  </si>
  <si>
    <t>Step</t>
  </si>
  <si>
    <t>Enter</t>
  </si>
  <si>
    <t>Follow Steps&gt;&gt;</t>
  </si>
  <si>
    <t xml:space="preserve">GOAL SEEK </t>
  </si>
  <si>
    <t>H =</t>
  </si>
  <si>
    <t>Format</t>
  </si>
  <si>
    <t>V =</t>
  </si>
  <si>
    <t>llbs</t>
  </si>
  <si>
    <t>Horizontal force, H =</t>
  </si>
  <si>
    <t>TAN(A) =</t>
  </si>
  <si>
    <t>V/H</t>
  </si>
  <si>
    <t>Number</t>
  </si>
  <si>
    <t>Vertical force, V =</t>
  </si>
  <si>
    <t>number</t>
  </si>
  <si>
    <t>Decimal Places</t>
  </si>
  <si>
    <t>Angle  A =</t>
  </si>
  <si>
    <t>ATAN(V/H)</t>
  </si>
  <si>
    <t>Resultant force, R =</t>
  </si>
  <si>
    <t>( H^2 + V^2 )^(1/2)</t>
  </si>
  <si>
    <t>A radians =</t>
  </si>
  <si>
    <t xml:space="preserve">57.3*A </t>
  </si>
  <si>
    <t>Angle, A =</t>
  </si>
  <si>
    <t>57.30 * ATAN(V / H)</t>
  </si>
  <si>
    <t>57.3*A</t>
  </si>
  <si>
    <t>GOAL SEEK method</t>
  </si>
  <si>
    <t>Step-1  Select the green cell C38 containing a formula.</t>
  </si>
  <si>
    <t>Step-2  Select: DATA  &gt; What-If Analysis &gt; Goal Seek</t>
  </si>
  <si>
    <t>Step-3  To value: 14, for example</t>
  </si>
  <si>
    <t>Step-4  Pick cell containing value to be changed by Excel: C34 or C35 &gt; OK</t>
  </si>
  <si>
    <t>Select &gt; OK and "Goal Seek Status'&gt;&gt; will open &gt;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</si>
</sst>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000"/>
    <numFmt numFmtId="167" formatCode="0.000000"/>
    <numFmt numFmtId="168" formatCode="#,##0.0000"/>
    <numFmt numFmtId="169" formatCode="0.00000"/>
    <numFmt numFmtId="170" formatCode="0.0%"/>
  </numFmts>
  <fonts count="26" x14ac:knownFonts="1">
    <font>
      <sz val="11"/>
      <color theme="1"/>
      <name val="Calibri"/>
      <family val="2"/>
      <scheme val="minor"/>
    </font>
    <font>
      <b/>
      <sz val="12"/>
      <name val="Arial"/>
      <family val="2"/>
    </font>
    <font>
      <u/>
      <sz val="11"/>
      <color theme="10"/>
      <name val="Calibri"/>
      <family val="2"/>
      <scheme val="minor"/>
    </font>
    <font>
      <sz val="12"/>
      <name val="Arial"/>
      <family val="2"/>
    </font>
    <font>
      <b/>
      <sz val="12"/>
      <color theme="1"/>
      <name val="Arial"/>
      <family val="2"/>
    </font>
    <font>
      <b/>
      <sz val="14"/>
      <color theme="1"/>
      <name val="Arial"/>
      <family val="2"/>
    </font>
    <font>
      <sz val="11"/>
      <color theme="1"/>
      <name val="Calibri"/>
      <family val="2"/>
      <scheme val="minor"/>
    </font>
    <font>
      <sz val="12"/>
      <color theme="1"/>
      <name val="Arial"/>
      <family val="2"/>
    </font>
    <font>
      <b/>
      <sz val="12"/>
      <color rgb="FFFF0000"/>
      <name val="Arial"/>
      <family val="2"/>
    </font>
    <font>
      <b/>
      <sz val="12"/>
      <color indexed="10"/>
      <name val="Arial"/>
      <family val="2"/>
    </font>
    <font>
      <sz val="12"/>
      <color rgb="FF000000"/>
      <name val="Arial"/>
      <family val="2"/>
    </font>
    <font>
      <b/>
      <sz val="12"/>
      <color rgb="FF000000"/>
      <name val="Arial"/>
      <family val="2"/>
    </font>
    <font>
      <b/>
      <vertAlign val="subscript"/>
      <sz val="12"/>
      <name val="Arial"/>
      <family val="2"/>
    </font>
    <font>
      <u/>
      <sz val="12"/>
      <color theme="10"/>
      <name val="Arial"/>
      <family val="2"/>
    </font>
    <font>
      <b/>
      <sz val="14"/>
      <name val="Arial"/>
      <family val="2"/>
    </font>
    <font>
      <b/>
      <sz val="16"/>
      <name val="Arial"/>
      <family val="2"/>
    </font>
    <font>
      <b/>
      <u/>
      <sz val="12"/>
      <color theme="10"/>
      <name val="Arial"/>
      <family val="2"/>
    </font>
    <font>
      <sz val="14"/>
      <color theme="1"/>
      <name val="Arial"/>
      <family val="2"/>
    </font>
    <font>
      <u/>
      <sz val="14"/>
      <color theme="10"/>
      <name val="Calibri"/>
      <family val="2"/>
      <scheme val="minor"/>
    </font>
    <font>
      <b/>
      <sz val="16"/>
      <color theme="1"/>
      <name val="Arial"/>
      <family val="2"/>
    </font>
    <font>
      <u/>
      <sz val="14"/>
      <color theme="10"/>
      <name val="Arial"/>
      <family val="2"/>
    </font>
    <font>
      <b/>
      <sz val="12"/>
      <color indexed="12"/>
      <name val="Arial"/>
      <family val="2"/>
    </font>
    <font>
      <b/>
      <vertAlign val="subscript"/>
      <sz val="12"/>
      <color theme="1"/>
      <name val="Arial"/>
      <family val="2"/>
    </font>
    <font>
      <sz val="12"/>
      <color indexed="10"/>
      <name val="Arial"/>
      <family val="2"/>
    </font>
    <font>
      <b/>
      <sz val="14"/>
      <color indexed="10"/>
      <name val="Arial"/>
      <family val="2"/>
    </font>
    <font>
      <b/>
      <vertAlign val="subscript"/>
      <sz val="14"/>
      <color theme="1"/>
      <name val="Arial"/>
      <family val="2"/>
    </font>
  </fonts>
  <fills count="9">
    <fill>
      <patternFill patternType="none"/>
    </fill>
    <fill>
      <patternFill patternType="gray125"/>
    </fill>
    <fill>
      <patternFill patternType="solid">
        <fgColor indexed="15"/>
        <bgColor indexed="64"/>
      </patternFill>
    </fill>
    <fill>
      <patternFill patternType="solid">
        <fgColor rgb="FFFFFF00"/>
        <bgColor indexed="64"/>
      </patternFill>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indexed="11"/>
        <bgColor indexed="64"/>
      </patternFill>
    </fill>
    <fill>
      <patternFill patternType="solid">
        <fgColor rgb="FFFFC00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9" fontId="6" fillId="0" borderId="0" applyFont="0" applyFill="0" applyBorder="0" applyAlignment="0" applyProtection="0"/>
  </cellStyleXfs>
  <cellXfs count="403">
    <xf numFmtId="0" fontId="0" fillId="0" borderId="0" xfId="0"/>
    <xf numFmtId="0" fontId="1" fillId="0" borderId="0" xfId="0" applyFont="1" applyAlignment="1">
      <alignment horizontal="left"/>
    </xf>
    <xf numFmtId="0" fontId="1" fillId="0" borderId="0" xfId="0" applyFont="1"/>
    <xf numFmtId="0" fontId="1" fillId="0" borderId="0" xfId="0" applyFont="1" applyAlignment="1" applyProtection="1">
      <alignment horizontal="left"/>
      <protection locked="0"/>
    </xf>
    <xf numFmtId="0" fontId="1" fillId="0" borderId="0" xfId="0" applyFont="1" applyFill="1" applyAlignment="1">
      <alignment horizontal="left"/>
    </xf>
    <xf numFmtId="0" fontId="2" fillId="0" borderId="0" xfId="1" applyAlignment="1" applyProtection="1"/>
    <xf numFmtId="0" fontId="4" fillId="0" borderId="0" xfId="0" applyFont="1" applyAlignment="1">
      <alignment horizontal="left"/>
    </xf>
    <xf numFmtId="0" fontId="4" fillId="0" borderId="0" xfId="0" applyFont="1"/>
    <xf numFmtId="0" fontId="5" fillId="0" borderId="0" xfId="0" applyFont="1" applyAlignment="1">
      <alignment horizontal="left"/>
    </xf>
    <xf numFmtId="0" fontId="7" fillId="0" borderId="0" xfId="0" applyFont="1"/>
    <xf numFmtId="0" fontId="3" fillId="0" borderId="0" xfId="0" applyFont="1" applyAlignment="1">
      <alignment horizontal="left"/>
    </xf>
    <xf numFmtId="0" fontId="7" fillId="0" borderId="0" xfId="0" applyFont="1" applyAlignment="1">
      <alignment horizontal="left"/>
    </xf>
    <xf numFmtId="0" fontId="7" fillId="0" borderId="0" xfId="0" applyFont="1" applyProtection="1">
      <protection locked="0"/>
    </xf>
    <xf numFmtId="0" fontId="7" fillId="0" borderId="0" xfId="0" applyFont="1" applyAlignment="1">
      <alignment horizontal="right"/>
    </xf>
    <xf numFmtId="0" fontId="8" fillId="0" borderId="0" xfId="0" applyFont="1" applyAlignment="1">
      <alignment horizontal="center"/>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164" fontId="7" fillId="0" borderId="0" xfId="0" applyNumberFormat="1" applyFont="1" applyAlignment="1">
      <alignment horizontal="left"/>
    </xf>
    <xf numFmtId="0" fontId="7" fillId="2" borderId="0" xfId="0" applyFont="1" applyFill="1" applyAlignment="1" applyProtection="1">
      <alignment horizontal="right"/>
    </xf>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Protection="1">
      <protection locked="0"/>
    </xf>
    <xf numFmtId="0" fontId="7" fillId="0" borderId="0" xfId="0" applyFont="1" applyAlignment="1" applyProtection="1">
      <alignment horizontal="left"/>
    </xf>
    <xf numFmtId="0" fontId="1" fillId="0" borderId="0" xfId="0" applyFont="1" applyAlignment="1" applyProtection="1">
      <alignment horizontal="left"/>
    </xf>
    <xf numFmtId="0" fontId="9" fillId="0" borderId="0" xfId="0" applyFont="1" applyAlignment="1" applyProtection="1">
      <alignment horizontal="center"/>
    </xf>
    <xf numFmtId="0" fontId="7" fillId="0" borderId="0" xfId="0" applyFont="1" applyAlignment="1" applyProtection="1">
      <alignment horizontal="right"/>
    </xf>
    <xf numFmtId="165" fontId="7" fillId="0" borderId="1" xfId="0" applyNumberFormat="1" applyFont="1" applyBorder="1" applyAlignment="1" applyProtection="1">
      <alignment horizontal="left"/>
      <protection locked="0"/>
    </xf>
    <xf numFmtId="1" fontId="7" fillId="0" borderId="2" xfId="0" applyNumberFormat="1" applyFont="1" applyBorder="1" applyAlignment="1" applyProtection="1">
      <alignment horizontal="left"/>
      <protection locked="0"/>
    </xf>
    <xf numFmtId="0" fontId="10" fillId="0" borderId="0" xfId="0" applyFont="1" applyAlignment="1">
      <alignment horizontal="right"/>
    </xf>
    <xf numFmtId="3" fontId="7" fillId="0" borderId="2" xfId="0" applyNumberFormat="1" applyFont="1" applyBorder="1" applyAlignment="1" applyProtection="1">
      <alignment horizontal="left"/>
      <protection locked="0"/>
    </xf>
    <xf numFmtId="0" fontId="3" fillId="0" borderId="0" xfId="0" applyFont="1" applyAlignment="1" applyProtection="1">
      <alignment horizontal="left"/>
    </xf>
    <xf numFmtId="0" fontId="7" fillId="0" borderId="0" xfId="0" applyFont="1" applyAlignment="1">
      <alignment wrapText="1"/>
    </xf>
    <xf numFmtId="0" fontId="1" fillId="0" borderId="0" xfId="0" applyFont="1" applyAlignment="1" applyProtection="1">
      <alignment horizontal="right"/>
    </xf>
    <xf numFmtId="0" fontId="7" fillId="0" borderId="0" xfId="0" applyFont="1" applyAlignment="1" applyProtection="1">
      <alignment horizontal="left"/>
      <protection locked="0"/>
    </xf>
    <xf numFmtId="1" fontId="1" fillId="0" borderId="0" xfId="0" applyNumberFormat="1" applyFont="1" applyAlignment="1" applyProtection="1">
      <alignment horizontal="left"/>
    </xf>
    <xf numFmtId="0" fontId="4" fillId="0" borderId="0" xfId="0" applyFont="1" applyAlignment="1">
      <alignment horizontal="right"/>
    </xf>
    <xf numFmtId="0" fontId="11" fillId="0" borderId="0" xfId="0" applyFont="1" applyAlignment="1">
      <alignment horizontal="left" vertical="center" readingOrder="1"/>
    </xf>
    <xf numFmtId="164" fontId="11" fillId="0" borderId="0" xfId="0" applyNumberFormat="1" applyFont="1" applyAlignment="1">
      <alignment horizontal="left" vertical="center" readingOrder="1"/>
    </xf>
    <xf numFmtId="164" fontId="11" fillId="0" borderId="0" xfId="0" applyNumberFormat="1" applyFont="1" applyAlignment="1">
      <alignment horizontal="left"/>
    </xf>
    <xf numFmtId="0" fontId="7" fillId="0" borderId="0" xfId="0" applyFont="1" applyProtection="1"/>
    <xf numFmtId="0" fontId="9" fillId="0" borderId="0" xfId="0" applyFont="1" applyAlignment="1" applyProtection="1">
      <alignment horizontal="left"/>
    </xf>
    <xf numFmtId="0" fontId="3" fillId="0" borderId="0" xfId="0" applyFont="1" applyAlignment="1" applyProtection="1">
      <alignment horizontal="right"/>
    </xf>
    <xf numFmtId="3" fontId="3" fillId="0" borderId="1" xfId="0" applyNumberFormat="1" applyFont="1" applyBorder="1" applyAlignment="1" applyProtection="1">
      <alignment horizontal="left"/>
      <protection locked="0"/>
    </xf>
    <xf numFmtId="164" fontId="7" fillId="0" borderId="3" xfId="0" applyNumberFormat="1" applyFont="1" applyBorder="1" applyAlignment="1" applyProtection="1">
      <alignment horizontal="left"/>
      <protection locked="0"/>
    </xf>
    <xf numFmtId="0" fontId="1" fillId="0" borderId="0" xfId="0" quotePrefix="1" applyFont="1" applyAlignment="1" applyProtection="1">
      <alignment horizontal="right"/>
    </xf>
    <xf numFmtId="164" fontId="1" fillId="0" borderId="0" xfId="0" applyNumberFormat="1" applyFont="1" applyAlignment="1" applyProtection="1">
      <alignment horizontal="left"/>
    </xf>
    <xf numFmtId="0" fontId="1" fillId="0" borderId="0" xfId="0" applyFont="1" applyAlignment="1" applyProtection="1">
      <alignment horizontal="center"/>
    </xf>
    <xf numFmtId="3" fontId="1" fillId="0" borderId="4" xfId="0" applyNumberFormat="1" applyFont="1" applyBorder="1" applyAlignment="1" applyProtection="1">
      <alignment horizontal="left"/>
      <protection locked="0"/>
    </xf>
    <xf numFmtId="164" fontId="7" fillId="0" borderId="2" xfId="0" applyNumberFormat="1" applyFont="1" applyBorder="1" applyAlignment="1" applyProtection="1">
      <alignment horizontal="left"/>
      <protection locked="0"/>
    </xf>
    <xf numFmtId="0" fontId="7" fillId="0" borderId="0" xfId="0" applyFont="1" applyFill="1" applyAlignment="1" applyProtection="1">
      <alignment horizontal="right"/>
      <protection locked="0"/>
    </xf>
    <xf numFmtId="0" fontId="7" fillId="0" borderId="0" xfId="0" applyFont="1" applyFill="1" applyAlignment="1" applyProtection="1">
      <alignment horizontal="left"/>
      <protection locked="0"/>
    </xf>
    <xf numFmtId="0" fontId="7" fillId="0" borderId="0" xfId="0" applyFont="1" applyFill="1" applyProtection="1"/>
    <xf numFmtId="0" fontId="7" fillId="0" borderId="0" xfId="0" applyFont="1" applyAlignment="1" applyProtection="1">
      <alignment horizontal="right"/>
      <protection locked="0"/>
    </xf>
    <xf numFmtId="0" fontId="9" fillId="0" borderId="0" xfId="0" applyFont="1" applyBorder="1" applyAlignment="1" applyProtection="1">
      <alignment horizontal="left"/>
    </xf>
    <xf numFmtId="0" fontId="1" fillId="0" borderId="0" xfId="0" applyFont="1" applyProtection="1"/>
    <xf numFmtId="2" fontId="7" fillId="0" borderId="2" xfId="0" applyNumberFormat="1" applyFont="1" applyBorder="1" applyAlignment="1" applyProtection="1">
      <alignment horizontal="left"/>
      <protection locked="0"/>
    </xf>
    <xf numFmtId="3" fontId="7" fillId="0" borderId="3" xfId="0" applyNumberFormat="1" applyFont="1" applyBorder="1" applyAlignment="1" applyProtection="1">
      <alignment horizontal="left"/>
      <protection locked="0"/>
    </xf>
    <xf numFmtId="167" fontId="1" fillId="0" borderId="0" xfId="0" applyNumberFormat="1" applyFont="1" applyAlignment="1" applyProtection="1">
      <alignment horizontal="left"/>
    </xf>
    <xf numFmtId="0" fontId="13" fillId="0" borderId="0" xfId="1" applyFont="1"/>
    <xf numFmtId="0" fontId="3" fillId="0" borderId="0" xfId="0" applyFont="1" applyAlignment="1">
      <alignment horizontal="right"/>
    </xf>
    <xf numFmtId="0" fontId="3" fillId="0" borderId="2" xfId="0" applyFont="1" applyBorder="1" applyAlignment="1" applyProtection="1">
      <alignment horizontal="left"/>
      <protection locked="0"/>
    </xf>
    <xf numFmtId="1" fontId="3" fillId="0" borderId="2" xfId="0" applyNumberFormat="1" applyFont="1" applyBorder="1" applyAlignment="1" applyProtection="1">
      <alignment horizontal="left"/>
      <protection locked="0"/>
    </xf>
    <xf numFmtId="165" fontId="7" fillId="0" borderId="2" xfId="2" applyNumberFormat="1" applyFont="1" applyBorder="1" applyAlignment="1" applyProtection="1">
      <alignment horizontal="left"/>
      <protection locked="0"/>
    </xf>
    <xf numFmtId="170" fontId="7" fillId="0" borderId="2" xfId="0" applyNumberFormat="1" applyFont="1" applyBorder="1" applyAlignment="1" applyProtection="1">
      <alignment horizontal="left"/>
      <protection locked="0"/>
    </xf>
    <xf numFmtId="165" fontId="7" fillId="0" borderId="0" xfId="0" applyNumberFormat="1" applyFont="1" applyBorder="1" applyAlignment="1" applyProtection="1">
      <alignment horizontal="center"/>
      <protection locked="0"/>
    </xf>
    <xf numFmtId="0" fontId="7" fillId="0" borderId="0" xfId="0" applyFont="1" applyBorder="1" applyAlignment="1" applyProtection="1">
      <alignment horizontal="center"/>
      <protection locked="0"/>
    </xf>
    <xf numFmtId="164" fontId="7" fillId="0" borderId="0" xfId="0" applyNumberFormat="1" applyFont="1" applyBorder="1" applyAlignment="1" applyProtection="1">
      <alignment horizontal="center"/>
      <protection locked="0"/>
    </xf>
    <xf numFmtId="164" fontId="4" fillId="0" borderId="0" xfId="0" applyNumberFormat="1" applyFont="1" applyAlignment="1">
      <alignment horizontal="left"/>
    </xf>
    <xf numFmtId="0" fontId="4" fillId="0" borderId="0" xfId="0" applyFont="1" applyAlignment="1" applyProtection="1">
      <alignment horizontal="left"/>
    </xf>
    <xf numFmtId="1" fontId="4" fillId="0" borderId="0" xfId="0" applyNumberFormat="1" applyFont="1" applyAlignment="1">
      <alignment horizontal="left"/>
    </xf>
    <xf numFmtId="166" fontId="4" fillId="0" borderId="0" xfId="0" applyNumberFormat="1" applyFont="1" applyAlignment="1">
      <alignment horizontal="left"/>
    </xf>
    <xf numFmtId="3" fontId="4" fillId="0" borderId="0" xfId="0" applyNumberFormat="1" applyFont="1" applyAlignment="1">
      <alignment horizontal="left"/>
    </xf>
    <xf numFmtId="0" fontId="1" fillId="0" borderId="0" xfId="0" applyFont="1" applyBorder="1" applyAlignment="1">
      <alignment horizontal="right"/>
    </xf>
    <xf numFmtId="0" fontId="3" fillId="0" borderId="0" xfId="0" applyFont="1" applyBorder="1"/>
    <xf numFmtId="0" fontId="7" fillId="0" borderId="0" xfId="0" applyFont="1" applyBorder="1"/>
    <xf numFmtId="0" fontId="3" fillId="0" borderId="0" xfId="0" applyFont="1" applyBorder="1" applyAlignment="1" applyProtection="1">
      <alignment horizontal="center"/>
      <protection locked="0"/>
    </xf>
    <xf numFmtId="165" fontId="4" fillId="0" borderId="0" xfId="0" applyNumberFormat="1" applyFont="1" applyAlignment="1">
      <alignment horizontal="left"/>
    </xf>
    <xf numFmtId="1" fontId="1" fillId="0" borderId="0" xfId="0" applyNumberFormat="1" applyFont="1" applyBorder="1" applyAlignment="1">
      <alignment horizontal="left"/>
    </xf>
    <xf numFmtId="0" fontId="1" fillId="0" borderId="0" xfId="0" applyFont="1" applyBorder="1"/>
    <xf numFmtId="2" fontId="4" fillId="0" borderId="0" xfId="0" applyNumberFormat="1" applyFont="1" applyAlignment="1">
      <alignment horizontal="left"/>
    </xf>
    <xf numFmtId="0" fontId="7" fillId="0" borderId="0" xfId="0" applyFont="1" applyFill="1" applyAlignment="1" applyProtection="1">
      <alignment horizontal="right"/>
    </xf>
    <xf numFmtId="0" fontId="7" fillId="0" borderId="0" xfId="0" applyFont="1" applyFill="1" applyAlignment="1" applyProtection="1">
      <alignment horizontal="left"/>
    </xf>
    <xf numFmtId="0" fontId="9" fillId="0" borderId="0" xfId="0" applyFont="1" applyAlignment="1">
      <alignment horizontal="center"/>
    </xf>
    <xf numFmtId="0" fontId="1" fillId="0" borderId="0" xfId="0" applyFont="1" applyAlignment="1">
      <alignment horizontal="center"/>
    </xf>
    <xf numFmtId="165" fontId="7" fillId="0" borderId="2" xfId="0" applyNumberFormat="1" applyFont="1" applyBorder="1" applyAlignment="1" applyProtection="1">
      <alignment horizontal="left"/>
      <protection locked="0"/>
    </xf>
    <xf numFmtId="165" fontId="7" fillId="0" borderId="3" xfId="2" applyNumberFormat="1" applyFont="1" applyBorder="1" applyAlignment="1" applyProtection="1">
      <alignment horizontal="left"/>
      <protection locked="0"/>
    </xf>
    <xf numFmtId="0" fontId="1" fillId="0" borderId="0" xfId="0" applyFont="1" applyAlignment="1">
      <alignment horizontal="right"/>
    </xf>
    <xf numFmtId="165" fontId="1" fillId="0" borderId="0" xfId="0" applyNumberFormat="1" applyFont="1" applyAlignment="1" applyProtection="1">
      <alignment horizontal="left"/>
    </xf>
    <xf numFmtId="0" fontId="4" fillId="0" borderId="0" xfId="0" applyFont="1" applyFill="1" applyBorder="1" applyAlignment="1" applyProtection="1">
      <alignment horizontal="left"/>
    </xf>
    <xf numFmtId="2" fontId="1" fillId="0" borderId="0" xfId="0" applyNumberFormat="1" applyFont="1" applyAlignment="1">
      <alignment horizontal="left"/>
    </xf>
    <xf numFmtId="0" fontId="15" fillId="0" borderId="0" xfId="0" applyFont="1" applyAlignment="1">
      <alignment horizontal="left"/>
    </xf>
    <xf numFmtId="0" fontId="7" fillId="0" borderId="0" xfId="0" applyFont="1" applyAlignment="1"/>
    <xf numFmtId="0" fontId="3" fillId="0" borderId="0" xfId="1" applyFont="1" applyAlignment="1"/>
    <xf numFmtId="0" fontId="2" fillId="0" borderId="0" xfId="1" applyAlignment="1"/>
    <xf numFmtId="0" fontId="1" fillId="0" borderId="0" xfId="1" applyFont="1" applyAlignment="1">
      <alignment horizontal="right"/>
    </xf>
    <xf numFmtId="0" fontId="5" fillId="0" borderId="0" xfId="0" applyFont="1"/>
    <xf numFmtId="0" fontId="14" fillId="0" borderId="0" xfId="0" applyFont="1" applyAlignment="1">
      <alignment horizontal="left"/>
    </xf>
    <xf numFmtId="0" fontId="14" fillId="0" borderId="0" xfId="0" applyFont="1" applyAlignment="1" applyProtection="1">
      <alignment horizontal="left"/>
    </xf>
    <xf numFmtId="0" fontId="17" fillId="0" borderId="0" xfId="0" applyFont="1"/>
    <xf numFmtId="0" fontId="18" fillId="0" borderId="0" xfId="1" applyFont="1"/>
    <xf numFmtId="0" fontId="7" fillId="0" borderId="11" xfId="0" applyFont="1" applyBorder="1" applyProtection="1">
      <protection locked="0"/>
    </xf>
    <xf numFmtId="0" fontId="7" fillId="0" borderId="12" xfId="0" applyFont="1" applyBorder="1" applyProtection="1">
      <protection locked="0"/>
    </xf>
    <xf numFmtId="0" fontId="4" fillId="0" borderId="0" xfId="0" applyFont="1" applyProtection="1">
      <protection locked="0"/>
    </xf>
    <xf numFmtId="0" fontId="5" fillId="0" borderId="0" xfId="0" applyFont="1" applyProtection="1">
      <protection locked="0"/>
    </xf>
    <xf numFmtId="0" fontId="7" fillId="0" borderId="0" xfId="0" applyFont="1" applyBorder="1" applyProtection="1">
      <protection locked="0"/>
    </xf>
    <xf numFmtId="0" fontId="17" fillId="0" borderId="11" xfId="0" applyFont="1" applyBorder="1" applyProtection="1">
      <protection locked="0"/>
    </xf>
    <xf numFmtId="0" fontId="17" fillId="0" borderId="12" xfId="0" applyFont="1" applyBorder="1" applyProtection="1">
      <protection locked="0"/>
    </xf>
    <xf numFmtId="0" fontId="17" fillId="0" borderId="0" xfId="0" applyFont="1" applyBorder="1" applyProtection="1">
      <protection locked="0"/>
    </xf>
    <xf numFmtId="0" fontId="17" fillId="0" borderId="10" xfId="0" applyFont="1" applyBorder="1" applyProtection="1">
      <protection locked="0"/>
    </xf>
    <xf numFmtId="0" fontId="19" fillId="0" borderId="0" xfId="0" applyFont="1" applyProtection="1">
      <protection locked="0"/>
    </xf>
    <xf numFmtId="0" fontId="18" fillId="0" borderId="4" xfId="1" applyFont="1" applyBorder="1" applyProtection="1">
      <protection locked="0"/>
    </xf>
    <xf numFmtId="0" fontId="7" fillId="0" borderId="0" xfId="0" applyFont="1" applyAlignment="1">
      <alignment horizontal="center"/>
    </xf>
    <xf numFmtId="0" fontId="16" fillId="0" borderId="10" xfId="1" applyFont="1" applyBorder="1" applyAlignment="1" applyProtection="1">
      <alignment horizontal="left"/>
      <protection locked="0"/>
    </xf>
    <xf numFmtId="0" fontId="7" fillId="0" borderId="11" xfId="0" applyFont="1" applyBorder="1" applyAlignment="1" applyProtection="1">
      <alignment horizontal="right"/>
      <protection locked="0"/>
    </xf>
    <xf numFmtId="0" fontId="7" fillId="0" borderId="12" xfId="0" applyFont="1" applyBorder="1" applyAlignment="1" applyProtection="1">
      <alignment horizontal="center"/>
      <protection locked="0"/>
    </xf>
    <xf numFmtId="0" fontId="5" fillId="0" borderId="0" xfId="0" applyFont="1" applyAlignment="1" applyProtection="1">
      <alignment horizontal="right"/>
      <protection locked="0"/>
    </xf>
    <xf numFmtId="0" fontId="20" fillId="0" borderId="4" xfId="1" applyFont="1" applyBorder="1" applyProtection="1">
      <protection locked="0"/>
    </xf>
    <xf numFmtId="0" fontId="3" fillId="0" borderId="0" xfId="0" applyFont="1"/>
    <xf numFmtId="1" fontId="9" fillId="0" borderId="0" xfId="0" applyNumberFormat="1" applyFont="1" applyAlignment="1">
      <alignment horizontal="center"/>
    </xf>
    <xf numFmtId="0" fontId="3" fillId="0" borderId="0" xfId="0" applyFont="1" applyBorder="1" applyAlignment="1">
      <alignment horizontal="right"/>
    </xf>
    <xf numFmtId="0" fontId="7" fillId="0" borderId="0" xfId="0" applyFont="1" applyBorder="1" applyAlignment="1">
      <alignment horizontal="right"/>
    </xf>
    <xf numFmtId="165" fontId="7" fillId="0" borderId="2" xfId="0" applyNumberFormat="1" applyFont="1" applyBorder="1" applyAlignment="1">
      <alignment horizontal="left"/>
    </xf>
    <xf numFmtId="165" fontId="3" fillId="0" borderId="4" xfId="0" applyNumberFormat="1" applyFont="1" applyBorder="1" applyAlignment="1">
      <alignment horizontal="center"/>
    </xf>
    <xf numFmtId="165" fontId="3" fillId="0" borderId="12" xfId="0" applyNumberFormat="1" applyFont="1" applyBorder="1" applyAlignment="1">
      <alignment horizontal="center"/>
    </xf>
    <xf numFmtId="0" fontId="7" fillId="0" borderId="0" xfId="0" applyFont="1" applyBorder="1" applyAlignment="1" applyProtection="1">
      <alignment horizontal="right"/>
    </xf>
    <xf numFmtId="164" fontId="1" fillId="0" borderId="0" xfId="0" applyNumberFormat="1" applyFont="1" applyAlignment="1">
      <alignment horizontal="left"/>
    </xf>
    <xf numFmtId="0" fontId="7" fillId="0" borderId="4" xfId="0" applyFont="1" applyBorder="1" applyAlignment="1">
      <alignment horizontal="left"/>
    </xf>
    <xf numFmtId="1" fontId="7" fillId="0" borderId="4" xfId="0" applyNumberFormat="1" applyFont="1" applyBorder="1" applyAlignment="1">
      <alignment horizontal="center"/>
    </xf>
    <xf numFmtId="1" fontId="1" fillId="0" borderId="0" xfId="0" applyNumberFormat="1" applyFont="1" applyAlignment="1">
      <alignment horizontal="left"/>
    </xf>
    <xf numFmtId="0" fontId="1" fillId="0" borderId="0" xfId="0" applyFont="1" applyAlignment="1" applyProtection="1">
      <alignment horizontal="center"/>
      <protection locked="0"/>
    </xf>
    <xf numFmtId="2" fontId="3" fillId="0" borderId="0" xfId="0" applyNumberFormat="1" applyFont="1" applyAlignment="1">
      <alignment horizontal="left"/>
    </xf>
    <xf numFmtId="2" fontId="7" fillId="0" borderId="0" xfId="0" applyNumberFormat="1" applyFont="1" applyAlignment="1">
      <alignment horizontal="left"/>
    </xf>
    <xf numFmtId="2" fontId="9" fillId="0" borderId="0" xfId="0" applyNumberFormat="1" applyFont="1" applyAlignment="1">
      <alignment horizontal="left"/>
    </xf>
    <xf numFmtId="0" fontId="9" fillId="0" borderId="0" xfId="0" applyFont="1" applyAlignment="1">
      <alignment horizontal="left"/>
    </xf>
    <xf numFmtId="165" fontId="1" fillId="0" borderId="0" xfId="0" applyNumberFormat="1" applyFont="1" applyAlignment="1">
      <alignment horizontal="left"/>
    </xf>
    <xf numFmtId="1" fontId="7" fillId="0" borderId="1" xfId="0" applyNumberFormat="1" applyFont="1" applyBorder="1" applyAlignment="1" applyProtection="1">
      <alignment horizontal="left"/>
      <protection locked="0"/>
    </xf>
    <xf numFmtId="165" fontId="7" fillId="0" borderId="4" xfId="0" applyNumberFormat="1" applyFont="1" applyBorder="1" applyAlignment="1">
      <alignment horizontal="center"/>
    </xf>
    <xf numFmtId="165" fontId="3" fillId="0" borderId="2" xfId="0" applyNumberFormat="1" applyFont="1" applyBorder="1" applyAlignment="1" applyProtection="1">
      <alignment horizontal="left"/>
      <protection locked="0"/>
    </xf>
    <xf numFmtId="164" fontId="7" fillId="3" borderId="2" xfId="0" applyNumberFormat="1" applyFont="1" applyFill="1" applyBorder="1" applyAlignment="1" applyProtection="1">
      <alignment horizontal="left"/>
      <protection locked="0"/>
    </xf>
    <xf numFmtId="1" fontId="4" fillId="3" borderId="4" xfId="0" applyNumberFormat="1" applyFont="1" applyFill="1" applyBorder="1" applyAlignment="1" applyProtection="1">
      <alignment horizontal="left"/>
      <protection locked="0"/>
    </xf>
    <xf numFmtId="0" fontId="9" fillId="0" borderId="0" xfId="0" applyFont="1" applyBorder="1" applyAlignment="1">
      <alignment horizontal="left"/>
    </xf>
    <xf numFmtId="0" fontId="1" fillId="0" borderId="0" xfId="0" applyFont="1" applyBorder="1" applyAlignment="1">
      <alignment horizontal="left"/>
    </xf>
    <xf numFmtId="164" fontId="1" fillId="0" borderId="0" xfId="0" applyNumberFormat="1" applyFont="1" applyBorder="1" applyAlignment="1">
      <alignment horizontal="left"/>
    </xf>
    <xf numFmtId="0" fontId="13" fillId="0" borderId="0" xfId="1" applyFont="1" applyAlignment="1" applyProtection="1"/>
    <xf numFmtId="15" fontId="7" fillId="0" borderId="0" xfId="0" applyNumberFormat="1" applyFont="1" applyProtection="1">
      <protection locked="0"/>
    </xf>
    <xf numFmtId="0" fontId="4" fillId="0" borderId="4" xfId="0" applyFont="1" applyBorder="1" applyAlignment="1">
      <alignment horizontal="center"/>
    </xf>
    <xf numFmtId="0" fontId="4" fillId="0" borderId="1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7" fillId="0" borderId="3" xfId="0" applyFont="1" applyBorder="1" applyAlignment="1">
      <alignment horizontal="center"/>
    </xf>
    <xf numFmtId="165" fontId="7" fillId="0" borderId="7" xfId="0" applyNumberFormat="1" applyFont="1" applyBorder="1" applyAlignment="1">
      <alignment horizontal="center"/>
    </xf>
    <xf numFmtId="0" fontId="4" fillId="0" borderId="0" xfId="0" applyFont="1" applyAlignment="1">
      <alignment horizontal="center"/>
    </xf>
    <xf numFmtId="0" fontId="7" fillId="0" borderId="1" xfId="0" applyFont="1" applyBorder="1" applyAlignment="1">
      <alignment horizontal="center"/>
    </xf>
    <xf numFmtId="0" fontId="4" fillId="0" borderId="10" xfId="0" applyFont="1" applyBorder="1" applyAlignment="1">
      <alignment horizontal="center"/>
    </xf>
    <xf numFmtId="0" fontId="7" fillId="0" borderId="4" xfId="0" applyFont="1" applyBorder="1" applyAlignment="1">
      <alignment horizontal="center"/>
    </xf>
    <xf numFmtId="165" fontId="7" fillId="0" borderId="12" xfId="0" applyNumberFormat="1" applyFont="1" applyBorder="1" applyAlignment="1">
      <alignment horizontal="center"/>
    </xf>
    <xf numFmtId="0" fontId="4" fillId="0" borderId="6" xfId="0" applyFont="1" applyBorder="1" applyAlignment="1">
      <alignment horizontal="center"/>
    </xf>
    <xf numFmtId="1" fontId="7" fillId="0" borderId="0" xfId="0" applyNumberFormat="1" applyFont="1" applyAlignment="1">
      <alignment horizontal="left"/>
    </xf>
    <xf numFmtId="166" fontId="7" fillId="0" borderId="0" xfId="0" applyNumberFormat="1" applyFont="1" applyAlignment="1">
      <alignment horizontal="left"/>
    </xf>
    <xf numFmtId="168" fontId="7" fillId="0" borderId="0" xfId="0" applyNumberFormat="1" applyFont="1" applyAlignment="1">
      <alignment horizontal="left"/>
    </xf>
    <xf numFmtId="2" fontId="7" fillId="0" borderId="1" xfId="0" applyNumberFormat="1" applyFont="1" applyBorder="1" applyAlignment="1" applyProtection="1">
      <alignment horizontal="left"/>
      <protection locked="0"/>
    </xf>
    <xf numFmtId="2" fontId="7" fillId="0" borderId="3" xfId="0" applyNumberFormat="1" applyFont="1" applyBorder="1" applyAlignment="1" applyProtection="1">
      <alignment horizontal="left"/>
      <protection locked="0"/>
    </xf>
    <xf numFmtId="2" fontId="7" fillId="0" borderId="0" xfId="0" applyNumberFormat="1" applyFont="1" applyAlignment="1" applyProtection="1">
      <alignment horizontal="center"/>
      <protection locked="0"/>
    </xf>
    <xf numFmtId="2" fontId="7" fillId="0" borderId="0" xfId="0" applyNumberFormat="1" applyFont="1" applyAlignment="1">
      <alignment horizontal="center"/>
    </xf>
    <xf numFmtId="0" fontId="7" fillId="0" borderId="0" xfId="0" applyFont="1" applyFill="1" applyBorder="1"/>
    <xf numFmtId="0" fontId="7" fillId="0" borderId="0" xfId="0" applyFont="1" applyBorder="1" applyAlignment="1" applyProtection="1">
      <alignment horizontal="left"/>
      <protection locked="0"/>
    </xf>
    <xf numFmtId="0" fontId="7" fillId="0" borderId="0" xfId="0" applyFont="1" applyBorder="1" applyAlignment="1">
      <alignment horizontal="left"/>
    </xf>
    <xf numFmtId="0" fontId="7" fillId="6" borderId="0" xfId="0" applyFont="1" applyFill="1" applyAlignment="1">
      <alignment horizontal="left"/>
    </xf>
    <xf numFmtId="0" fontId="7" fillId="6" borderId="0" xfId="0" applyFont="1" applyFill="1"/>
    <xf numFmtId="0" fontId="1" fillId="6" borderId="0" xfId="0" applyFont="1" applyFill="1" applyAlignment="1">
      <alignment horizontal="left"/>
    </xf>
    <xf numFmtId="0" fontId="3" fillId="6" borderId="0" xfId="0" applyFont="1" applyFill="1"/>
    <xf numFmtId="0" fontId="14" fillId="6" borderId="0" xfId="0" applyFont="1" applyFill="1" applyAlignment="1">
      <alignment horizontal="left"/>
    </xf>
    <xf numFmtId="0" fontId="15" fillId="6" borderId="0" xfId="0" applyFont="1" applyFill="1" applyAlignment="1">
      <alignment horizontal="left"/>
    </xf>
    <xf numFmtId="0" fontId="7" fillId="0" borderId="4" xfId="0" applyFont="1" applyBorder="1" applyAlignment="1" applyProtection="1">
      <alignment horizontal="left"/>
      <protection locked="0"/>
    </xf>
    <xf numFmtId="1" fontId="7" fillId="0" borderId="1" xfId="0" applyNumberFormat="1" applyFont="1" applyBorder="1" applyAlignment="1" applyProtection="1">
      <alignment horizontal="left"/>
    </xf>
    <xf numFmtId="1" fontId="7" fillId="0" borderId="2" xfId="0" applyNumberFormat="1" applyFont="1" applyBorder="1" applyAlignment="1" applyProtection="1">
      <alignment horizontal="left"/>
    </xf>
    <xf numFmtId="0" fontId="7" fillId="0" borderId="2" xfId="0" applyFont="1" applyBorder="1" applyAlignment="1" applyProtection="1">
      <alignment horizontal="left"/>
    </xf>
    <xf numFmtId="165" fontId="3" fillId="0" borderId="2" xfId="0" applyNumberFormat="1" applyFont="1" applyBorder="1" applyAlignment="1" applyProtection="1">
      <alignment horizontal="left"/>
    </xf>
    <xf numFmtId="164" fontId="7" fillId="3" borderId="2" xfId="0" applyNumberFormat="1" applyFont="1" applyFill="1" applyBorder="1" applyAlignment="1" applyProtection="1">
      <alignment horizontal="left"/>
    </xf>
    <xf numFmtId="164" fontId="7" fillId="0" borderId="3" xfId="0" applyNumberFormat="1" applyFont="1" applyBorder="1" applyAlignment="1" applyProtection="1">
      <alignment horizontal="left"/>
    </xf>
    <xf numFmtId="165" fontId="7" fillId="0" borderId="4" xfId="0" applyNumberFormat="1" applyFont="1" applyBorder="1" applyAlignment="1" applyProtection="1">
      <alignment horizontal="center"/>
    </xf>
    <xf numFmtId="2" fontId="7" fillId="0" borderId="3" xfId="0" applyNumberFormat="1" applyFont="1" applyBorder="1" applyAlignment="1" applyProtection="1">
      <alignment horizontal="left"/>
    </xf>
    <xf numFmtId="2" fontId="7" fillId="0" borderId="1" xfId="0" applyNumberFormat="1" applyFont="1" applyBorder="1" applyAlignment="1" applyProtection="1">
      <alignment horizontal="left"/>
    </xf>
    <xf numFmtId="0" fontId="3" fillId="0" borderId="0" xfId="0" applyFont="1" applyProtection="1">
      <protection locked="0"/>
    </xf>
    <xf numFmtId="164" fontId="9" fillId="0" borderId="0" xfId="0" applyNumberFormat="1" applyFont="1" applyAlignment="1">
      <alignment horizontal="center"/>
    </xf>
    <xf numFmtId="0" fontId="3" fillId="0" borderId="1" xfId="0" applyFont="1" applyBorder="1" applyAlignment="1" applyProtection="1">
      <alignment horizontal="left"/>
      <protection locked="0"/>
    </xf>
    <xf numFmtId="164" fontId="3" fillId="0" borderId="3" xfId="0" applyNumberFormat="1" applyFont="1" applyFill="1" applyBorder="1" applyAlignment="1" applyProtection="1">
      <alignment horizontal="left"/>
      <protection locked="0"/>
    </xf>
    <xf numFmtId="166" fontId="1" fillId="0" borderId="0" xfId="0" applyNumberFormat="1" applyFont="1" applyBorder="1" applyAlignment="1">
      <alignment horizontal="left"/>
    </xf>
    <xf numFmtId="166" fontId="1" fillId="0" borderId="0" xfId="0" applyNumberFormat="1" applyFont="1" applyAlignment="1">
      <alignment horizontal="left"/>
    </xf>
    <xf numFmtId="164" fontId="1" fillId="0" borderId="0" xfId="0" applyNumberFormat="1" applyFont="1"/>
    <xf numFmtId="0" fontId="1" fillId="0" borderId="0" xfId="0" applyFont="1" applyFill="1" applyBorder="1"/>
    <xf numFmtId="0" fontId="1" fillId="0" borderId="0" xfId="0" applyFont="1" applyFill="1" applyBorder="1" applyAlignment="1">
      <alignment horizontal="right"/>
    </xf>
    <xf numFmtId="1" fontId="3" fillId="0" borderId="4" xfId="0" applyNumberFormat="1" applyFont="1" applyBorder="1" applyAlignment="1" applyProtection="1">
      <alignment horizontal="left"/>
      <protection locked="0"/>
    </xf>
    <xf numFmtId="164" fontId="1" fillId="0" borderId="0" xfId="0" applyNumberFormat="1" applyFont="1" applyAlignment="1">
      <alignment horizontal="right"/>
    </xf>
    <xf numFmtId="164" fontId="1" fillId="0" borderId="4" xfId="0" applyNumberFormat="1" applyFont="1" applyBorder="1" applyAlignment="1">
      <alignment horizontal="center"/>
    </xf>
    <xf numFmtId="2" fontId="3" fillId="0" borderId="0" xfId="0" applyNumberFormat="1" applyFont="1" applyAlignment="1"/>
    <xf numFmtId="169" fontId="3" fillId="0" borderId="2" xfId="0" applyNumberFormat="1" applyFont="1" applyBorder="1" applyAlignment="1">
      <alignment horizontal="center"/>
    </xf>
    <xf numFmtId="169" fontId="3" fillId="0" borderId="3" xfId="0" applyNumberFormat="1" applyFont="1" applyBorder="1" applyAlignment="1">
      <alignment horizontal="center"/>
    </xf>
    <xf numFmtId="164" fontId="3" fillId="0" borderId="0" xfId="0" applyNumberFormat="1" applyFont="1"/>
    <xf numFmtId="164" fontId="3" fillId="0" borderId="0" xfId="0" applyNumberFormat="1" applyFont="1" applyAlignment="1">
      <alignment horizontal="right"/>
    </xf>
    <xf numFmtId="169" fontId="3" fillId="0" borderId="0" xfId="0" applyNumberFormat="1" applyFont="1"/>
    <xf numFmtId="2" fontId="3" fillId="0" borderId="0" xfId="0" applyNumberFormat="1" applyFont="1" applyAlignment="1">
      <alignment horizontal="right"/>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169" fontId="9" fillId="0" borderId="0" xfId="0" applyNumberFormat="1" applyFont="1" applyAlignment="1">
      <alignment horizontal="center"/>
    </xf>
    <xf numFmtId="2" fontId="1" fillId="0" borderId="0" xfId="0" applyNumberFormat="1" applyFont="1" applyAlignment="1">
      <alignment horizontal="center"/>
    </xf>
    <xf numFmtId="169" fontId="3" fillId="0" borderId="1" xfId="0" applyNumberFormat="1" applyFont="1" applyBorder="1" applyAlignment="1" applyProtection="1">
      <alignment horizontal="center"/>
      <protection locked="0"/>
    </xf>
    <xf numFmtId="169" fontId="3" fillId="0" borderId="3" xfId="0" applyNumberFormat="1" applyFont="1" applyBorder="1" applyAlignment="1" applyProtection="1">
      <alignment horizontal="center"/>
      <protection locked="0"/>
    </xf>
    <xf numFmtId="2" fontId="1" fillId="0" borderId="0" xfId="0" applyNumberFormat="1" applyFont="1" applyAlignment="1">
      <alignment horizontal="right"/>
    </xf>
    <xf numFmtId="169" fontId="1" fillId="0" borderId="0" xfId="0" applyNumberFormat="1" applyFont="1" applyAlignment="1">
      <alignment horizontal="center"/>
    </xf>
    <xf numFmtId="2" fontId="3" fillId="0" borderId="3" xfId="0" applyNumberFormat="1" applyFont="1" applyBorder="1" applyAlignment="1" applyProtection="1">
      <alignment horizontal="left"/>
      <protection locked="0"/>
    </xf>
    <xf numFmtId="164" fontId="3" fillId="0" borderId="0" xfId="0" applyNumberFormat="1" applyFont="1" applyBorder="1" applyAlignment="1">
      <alignment horizontal="right"/>
    </xf>
    <xf numFmtId="164" fontId="9" fillId="0" borderId="0" xfId="0" applyNumberFormat="1" applyFont="1" applyBorder="1" applyAlignment="1">
      <alignment horizontal="center"/>
    </xf>
    <xf numFmtId="164" fontId="3" fillId="0" borderId="0" xfId="0" applyNumberFormat="1" applyFont="1" applyBorder="1"/>
    <xf numFmtId="1" fontId="3" fillId="0" borderId="0" xfId="0" applyNumberFormat="1" applyFont="1" applyBorder="1" applyAlignment="1">
      <alignment horizontal="left"/>
    </xf>
    <xf numFmtId="2" fontId="3" fillId="0" borderId="0" xfId="0" applyNumberFormat="1" applyFont="1" applyBorder="1" applyAlignment="1">
      <alignment horizontal="left"/>
    </xf>
    <xf numFmtId="164" fontId="1" fillId="0" borderId="1" xfId="0" applyNumberFormat="1" applyFont="1" applyBorder="1" applyAlignment="1">
      <alignment horizontal="center"/>
    </xf>
    <xf numFmtId="164" fontId="1" fillId="0" borderId="5" xfId="0" applyNumberFormat="1" applyFont="1" applyBorder="1" applyAlignment="1">
      <alignment horizontal="center"/>
    </xf>
    <xf numFmtId="164" fontId="1" fillId="0" borderId="3" xfId="0" applyNumberFormat="1" applyFont="1" applyBorder="1" applyAlignment="1">
      <alignment horizontal="center"/>
    </xf>
    <xf numFmtId="164" fontId="1" fillId="0" borderId="7" xfId="0" applyNumberFormat="1" applyFont="1" applyBorder="1" applyAlignment="1">
      <alignment horizontal="center"/>
    </xf>
    <xf numFmtId="2" fontId="3" fillId="0" borderId="2" xfId="0" applyNumberFormat="1" applyFont="1" applyBorder="1" applyAlignment="1">
      <alignment horizontal="center"/>
    </xf>
    <xf numFmtId="2" fontId="3" fillId="0" borderId="3" xfId="0" applyNumberFormat="1" applyFont="1" applyBorder="1" applyAlignment="1">
      <alignment horizontal="center"/>
    </xf>
    <xf numFmtId="164" fontId="1" fillId="0" borderId="0" xfId="0" applyNumberFormat="1" applyFont="1" applyBorder="1" applyAlignment="1" applyProtection="1">
      <alignment horizontal="left"/>
      <protection locked="0"/>
    </xf>
    <xf numFmtId="164" fontId="1" fillId="0" borderId="0" xfId="0" applyNumberFormat="1" applyFont="1" applyBorder="1" applyAlignment="1" applyProtection="1">
      <alignment horizontal="right"/>
      <protection locked="0"/>
    </xf>
    <xf numFmtId="164" fontId="3" fillId="0" borderId="1" xfId="0" applyNumberFormat="1" applyFont="1" applyBorder="1" applyAlignment="1" applyProtection="1">
      <alignment horizontal="left"/>
      <protection locked="0"/>
    </xf>
    <xf numFmtId="2" fontId="3" fillId="0" borderId="0" xfId="0" applyNumberFormat="1" applyFont="1" applyBorder="1" applyAlignment="1" applyProtection="1">
      <protection locked="0"/>
    </xf>
    <xf numFmtId="164" fontId="3" fillId="0" borderId="2" xfId="0" applyNumberFormat="1" applyFont="1" applyBorder="1" applyAlignment="1" applyProtection="1">
      <alignment horizontal="left"/>
      <protection locked="0"/>
    </xf>
    <xf numFmtId="164" fontId="1" fillId="0" borderId="0" xfId="0" applyNumberFormat="1" applyFont="1" applyBorder="1" applyAlignment="1">
      <alignment horizontal="center"/>
    </xf>
    <xf numFmtId="164" fontId="3" fillId="0" borderId="3" xfId="0" applyNumberFormat="1" applyFont="1" applyBorder="1" applyAlignment="1" applyProtection="1">
      <alignment horizontal="left"/>
      <protection locked="0"/>
    </xf>
    <xf numFmtId="169" fontId="3" fillId="0" borderId="0" xfId="0" applyNumberFormat="1" applyFont="1" applyBorder="1"/>
    <xf numFmtId="2" fontId="3" fillId="0" borderId="0" xfId="0" applyNumberFormat="1" applyFont="1" applyBorder="1" applyAlignment="1" applyProtection="1">
      <alignment horizontal="right"/>
      <protection locked="0"/>
    </xf>
    <xf numFmtId="0" fontId="3" fillId="0" borderId="0" xfId="0" applyFont="1" applyBorder="1" applyProtection="1">
      <protection locked="0"/>
    </xf>
    <xf numFmtId="2" fontId="1" fillId="0" borderId="0" xfId="0" applyNumberFormat="1" applyFont="1" applyBorder="1" applyAlignment="1" applyProtection="1">
      <alignment horizontal="left"/>
      <protection locked="0"/>
    </xf>
    <xf numFmtId="164" fontId="3" fillId="0" borderId="0" xfId="0" applyNumberFormat="1" applyFont="1" applyBorder="1" applyAlignment="1" applyProtection="1">
      <alignment horizontal="right"/>
      <protection locked="0"/>
    </xf>
    <xf numFmtId="164" fontId="3" fillId="0" borderId="0" xfId="0" applyNumberFormat="1" applyFont="1" applyAlignment="1">
      <alignment horizontal="left"/>
    </xf>
    <xf numFmtId="164" fontId="1" fillId="0" borderId="4" xfId="0" applyNumberFormat="1" applyFont="1" applyBorder="1" applyAlignment="1">
      <alignment horizontal="right"/>
    </xf>
    <xf numFmtId="1" fontId="3" fillId="0" borderId="2" xfId="0" applyNumberFormat="1" applyFont="1" applyBorder="1" applyAlignment="1">
      <alignment horizontal="right"/>
    </xf>
    <xf numFmtId="164" fontId="3" fillId="0" borderId="2" xfId="0" applyNumberFormat="1" applyFont="1" applyBorder="1"/>
    <xf numFmtId="1" fontId="3" fillId="0" borderId="1" xfId="0" applyNumberFormat="1" applyFont="1" applyBorder="1" applyAlignment="1" applyProtection="1">
      <alignment horizontal="left"/>
      <protection locked="0"/>
    </xf>
    <xf numFmtId="1" fontId="3" fillId="0" borderId="2" xfId="0" applyNumberFormat="1" applyFont="1" applyBorder="1"/>
    <xf numFmtId="1" fontId="3" fillId="0" borderId="3" xfId="0" applyNumberFormat="1" applyFont="1" applyBorder="1" applyAlignment="1">
      <alignment horizontal="right"/>
    </xf>
    <xf numFmtId="164" fontId="3" fillId="0" borderId="3" xfId="0" applyNumberFormat="1" applyFont="1" applyBorder="1"/>
    <xf numFmtId="164" fontId="3" fillId="0" borderId="4" xfId="0" applyNumberFormat="1" applyFont="1" applyBorder="1" applyAlignment="1" applyProtection="1">
      <alignment horizontal="left"/>
      <protection locked="0"/>
    </xf>
    <xf numFmtId="0" fontId="13" fillId="0" borderId="0" xfId="1" applyFont="1" applyAlignment="1" applyProtection="1">
      <alignment horizontal="left"/>
    </xf>
    <xf numFmtId="164" fontId="14" fillId="0" borderId="0" xfId="0" applyNumberFormat="1" applyFont="1" applyAlignment="1">
      <alignment horizontal="left"/>
    </xf>
    <xf numFmtId="0" fontId="14" fillId="0" borderId="0" xfId="0" applyFont="1"/>
    <xf numFmtId="1" fontId="3" fillId="0" borderId="1" xfId="0" applyNumberFormat="1" applyFont="1" applyBorder="1" applyAlignment="1">
      <alignment horizontal="right"/>
    </xf>
    <xf numFmtId="0" fontId="1" fillId="0" borderId="0" xfId="0" applyFont="1" applyFill="1" applyAlignment="1" applyProtection="1">
      <alignment horizontal="center"/>
      <protection locked="0"/>
    </xf>
    <xf numFmtId="0" fontId="4" fillId="0" borderId="0" xfId="0" applyFont="1" applyAlignment="1">
      <alignment vertical="center"/>
    </xf>
    <xf numFmtId="0" fontId="4" fillId="0" borderId="0" xfId="0" applyFont="1" applyAlignment="1" applyProtection="1">
      <alignment horizontal="left"/>
      <protection locked="0"/>
    </xf>
    <xf numFmtId="0" fontId="3" fillId="0" borderId="0" xfId="0" applyFont="1" applyAlignment="1">
      <alignment horizontal="center"/>
    </xf>
    <xf numFmtId="0" fontId="1" fillId="0" borderId="1" xfId="0" applyFont="1" applyBorder="1" applyAlignment="1" applyProtection="1">
      <alignment horizontal="left"/>
      <protection locked="0"/>
    </xf>
    <xf numFmtId="165" fontId="1" fillId="0" borderId="2" xfId="0" applyNumberFormat="1" applyFont="1" applyBorder="1" applyAlignment="1" applyProtection="1">
      <alignment horizontal="left"/>
      <protection locked="0"/>
    </xf>
    <xf numFmtId="0" fontId="1" fillId="0" borderId="2" xfId="0" applyFont="1" applyBorder="1" applyAlignment="1" applyProtection="1">
      <alignment horizontal="left"/>
      <protection locked="0"/>
    </xf>
    <xf numFmtId="2" fontId="1" fillId="0" borderId="2" xfId="0" applyNumberFormat="1" applyFont="1" applyBorder="1" applyAlignment="1" applyProtection="1">
      <alignment horizontal="left"/>
      <protection locked="0"/>
    </xf>
    <xf numFmtId="0" fontId="1" fillId="0" borderId="3" xfId="0" applyFont="1" applyBorder="1" applyAlignment="1" applyProtection="1">
      <alignment horizontal="left"/>
      <protection locked="0"/>
    </xf>
    <xf numFmtId="164" fontId="1" fillId="0" borderId="4" xfId="0" applyNumberFormat="1" applyFont="1" applyBorder="1" applyAlignment="1" applyProtection="1">
      <alignment horizontal="left"/>
      <protection locked="0"/>
    </xf>
    <xf numFmtId="164" fontId="1" fillId="0" borderId="0" xfId="0" applyNumberFormat="1" applyFont="1" applyBorder="1" applyAlignment="1" applyProtection="1">
      <alignment horizontal="left"/>
    </xf>
    <xf numFmtId="0" fontId="3" fillId="0" borderId="0" xfId="0" applyFont="1" applyFill="1" applyBorder="1" applyAlignment="1">
      <alignment horizontal="right"/>
    </xf>
    <xf numFmtId="0" fontId="9" fillId="0" borderId="0" xfId="0" applyFont="1" applyBorder="1" applyAlignment="1">
      <alignment horizontal="center"/>
    </xf>
    <xf numFmtId="0" fontId="21" fillId="0" borderId="0" xfId="0" applyFont="1" applyBorder="1" applyAlignment="1">
      <alignment horizontal="left"/>
    </xf>
    <xf numFmtId="0" fontId="3" fillId="0" borderId="3" xfId="0" applyFont="1" applyBorder="1" applyAlignment="1" applyProtection="1">
      <alignment horizontal="left"/>
      <protection locked="0"/>
    </xf>
    <xf numFmtId="164" fontId="3" fillId="0" borderId="0" xfId="0" applyNumberFormat="1" applyFont="1" applyBorder="1" applyAlignment="1" applyProtection="1">
      <alignment horizontal="left"/>
      <protection locked="0"/>
    </xf>
    <xf numFmtId="165" fontId="1" fillId="0" borderId="4" xfId="0" applyNumberFormat="1" applyFont="1" applyBorder="1" applyAlignment="1" applyProtection="1">
      <alignment horizontal="left"/>
      <protection locked="0"/>
    </xf>
    <xf numFmtId="0" fontId="1" fillId="0" borderId="0" xfId="0" applyFont="1" applyBorder="1" applyAlignment="1" applyProtection="1">
      <alignment horizontal="center"/>
      <protection locked="0"/>
    </xf>
    <xf numFmtId="0" fontId="1" fillId="0" borderId="0" xfId="0" applyFont="1" applyBorder="1" applyAlignment="1" applyProtection="1">
      <alignment horizontal="left"/>
      <protection locked="0"/>
    </xf>
    <xf numFmtId="0" fontId="1"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Fill="1" applyAlignment="1" applyProtection="1">
      <alignment horizontal="right"/>
      <protection locked="0"/>
    </xf>
    <xf numFmtId="164" fontId="1" fillId="0" borderId="0" xfId="0" applyNumberFormat="1" applyFont="1" applyAlignment="1" applyProtection="1">
      <alignment horizontal="left"/>
      <protection locked="0"/>
    </xf>
    <xf numFmtId="3" fontId="1" fillId="0" borderId="0" xfId="0" applyNumberFormat="1" applyFont="1" applyAlignment="1">
      <alignment horizontal="left"/>
    </xf>
    <xf numFmtId="0" fontId="1" fillId="2" borderId="0" xfId="0" applyFont="1" applyFill="1" applyAlignment="1">
      <alignment horizontal="left"/>
    </xf>
    <xf numFmtId="0" fontId="9" fillId="0" borderId="0" xfId="0" applyFont="1" applyAlignment="1">
      <alignment horizontal="right"/>
    </xf>
    <xf numFmtId="0" fontId="1" fillId="0" borderId="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164" fontId="1" fillId="0" borderId="0" xfId="0" applyNumberFormat="1" applyFont="1" applyBorder="1" applyAlignment="1" applyProtection="1">
      <alignment horizontal="center"/>
      <protection locked="0"/>
    </xf>
    <xf numFmtId="164" fontId="1" fillId="0" borderId="2" xfId="0" applyNumberFormat="1" applyFont="1" applyBorder="1" applyAlignment="1">
      <alignment horizontal="center"/>
    </xf>
    <xf numFmtId="164" fontId="1" fillId="0" borderId="2" xfId="0" applyNumberFormat="1" applyFont="1" applyFill="1" applyBorder="1" applyAlignment="1">
      <alignment horizontal="center"/>
    </xf>
    <xf numFmtId="0" fontId="1" fillId="0" borderId="2" xfId="0" applyFont="1" applyFill="1" applyBorder="1" applyAlignment="1">
      <alignment horizontal="center"/>
    </xf>
    <xf numFmtId="164" fontId="1" fillId="0" borderId="3" xfId="0" applyNumberFormat="1" applyFont="1" applyFill="1" applyBorder="1" applyAlignment="1">
      <alignment horizontal="center"/>
    </xf>
    <xf numFmtId="0" fontId="1" fillId="0" borderId="0" xfId="0" applyFont="1" applyBorder="1" applyAlignment="1">
      <alignment horizontal="center"/>
    </xf>
    <xf numFmtId="0" fontId="9" fillId="0" borderId="0" xfId="0" applyFont="1" applyBorder="1" applyAlignment="1" applyProtection="1">
      <alignment horizontal="center"/>
      <protection locked="0"/>
    </xf>
    <xf numFmtId="1" fontId="1" fillId="0" borderId="0" xfId="0" applyNumberFormat="1" applyFont="1" applyBorder="1" applyAlignment="1" applyProtection="1">
      <alignment horizontal="center"/>
      <protection locked="0"/>
    </xf>
    <xf numFmtId="167" fontId="1" fillId="0" borderId="0" xfId="0" applyNumberFormat="1" applyFont="1" applyAlignment="1">
      <alignment horizontal="left"/>
    </xf>
    <xf numFmtId="0" fontId="3" fillId="0" borderId="0" xfId="0" applyFont="1" applyBorder="1" applyAlignment="1" applyProtection="1">
      <alignment horizontal="right"/>
      <protection locked="0"/>
    </xf>
    <xf numFmtId="0" fontId="3" fillId="0" borderId="0" xfId="0" applyFont="1" applyBorder="1" applyAlignment="1" applyProtection="1">
      <alignment horizontal="left"/>
      <protection locked="0"/>
    </xf>
    <xf numFmtId="0" fontId="1" fillId="0" borderId="0" xfId="0" applyFont="1" applyFill="1" applyAlignment="1">
      <alignment horizontal="center"/>
    </xf>
    <xf numFmtId="1" fontId="1" fillId="0" borderId="0" xfId="0" applyNumberFormat="1" applyFont="1" applyBorder="1" applyAlignment="1">
      <alignment horizontal="center"/>
    </xf>
    <xf numFmtId="15" fontId="7" fillId="0" borderId="0" xfId="0" applyNumberFormat="1" applyFont="1" applyAlignment="1" applyProtection="1">
      <alignment horizontal="left"/>
      <protection locked="0"/>
    </xf>
    <xf numFmtId="0" fontId="7" fillId="0" borderId="0" xfId="0" applyFont="1" applyFill="1"/>
    <xf numFmtId="0" fontId="7" fillId="0" borderId="0" xfId="0" applyFont="1" applyFill="1" applyAlignment="1">
      <alignment horizontal="right"/>
    </xf>
    <xf numFmtId="0" fontId="7" fillId="0" borderId="0" xfId="0" applyFont="1" applyFill="1" applyBorder="1" applyAlignment="1" applyProtection="1">
      <alignment horizontal="right"/>
      <protection locked="0"/>
    </xf>
    <xf numFmtId="0" fontId="13" fillId="0" borderId="0" xfId="1" applyFont="1" applyBorder="1" applyAlignment="1" applyProtection="1">
      <alignment vertical="center"/>
      <protection locked="0"/>
    </xf>
    <xf numFmtId="164" fontId="7" fillId="0" borderId="0" xfId="0" applyNumberFormat="1" applyFont="1" applyProtection="1">
      <protection locked="0"/>
    </xf>
    <xf numFmtId="0" fontId="7" fillId="0" borderId="0" xfId="0" applyFont="1" applyFill="1" applyProtection="1">
      <protection locked="0"/>
    </xf>
    <xf numFmtId="0" fontId="7" fillId="2" borderId="0" xfId="0" applyFont="1" applyFill="1"/>
    <xf numFmtId="0" fontId="7" fillId="2" borderId="0" xfId="0" applyFont="1" applyFill="1" applyAlignment="1">
      <alignment horizontal="left"/>
    </xf>
    <xf numFmtId="164" fontId="7" fillId="0" borderId="1" xfId="0" applyNumberFormat="1" applyFont="1" applyBorder="1" applyAlignment="1" applyProtection="1">
      <alignment horizontal="left"/>
      <protection locked="0"/>
    </xf>
    <xf numFmtId="0" fontId="4" fillId="0" borderId="0" xfId="0" applyFont="1" applyFill="1" applyBorder="1" applyAlignment="1">
      <alignment horizontal="left"/>
    </xf>
    <xf numFmtId="0" fontId="4" fillId="0" borderId="0" xfId="0" applyFont="1" applyFill="1" applyAlignment="1">
      <alignment horizontal="right"/>
    </xf>
    <xf numFmtId="0" fontId="7" fillId="0" borderId="0" xfId="0" applyFont="1" applyFill="1" applyBorder="1" applyProtection="1">
      <protection locked="0"/>
    </xf>
    <xf numFmtId="0" fontId="7" fillId="2" borderId="0" xfId="0" applyFont="1" applyFill="1" applyAlignment="1">
      <alignment horizontal="center"/>
    </xf>
    <xf numFmtId="0" fontId="7" fillId="0" borderId="0" xfId="0" applyFont="1" applyAlignment="1" applyProtection="1">
      <alignment horizontal="center"/>
      <protection locked="0"/>
    </xf>
    <xf numFmtId="3" fontId="7" fillId="0" borderId="1" xfId="0" applyNumberFormat="1" applyFont="1" applyBorder="1" applyAlignment="1" applyProtection="1">
      <alignment horizontal="left"/>
      <protection locked="0"/>
    </xf>
    <xf numFmtId="165" fontId="7" fillId="0" borderId="3" xfId="0" applyNumberFormat="1" applyFont="1" applyBorder="1" applyAlignment="1" applyProtection="1">
      <alignment horizontal="left"/>
      <protection locked="0"/>
    </xf>
    <xf numFmtId="0" fontId="7" fillId="0" borderId="2" xfId="0" applyFont="1" applyFill="1" applyBorder="1" applyAlignment="1" applyProtection="1">
      <alignment horizontal="left"/>
      <protection locked="0"/>
    </xf>
    <xf numFmtId="3" fontId="7" fillId="0" borderId="3" xfId="0" applyNumberFormat="1" applyFont="1" applyFill="1" applyBorder="1" applyAlignment="1" applyProtection="1">
      <alignment horizontal="left"/>
      <protection locked="0"/>
    </xf>
    <xf numFmtId="0" fontId="16" fillId="0" borderId="0" xfId="1" applyFont="1" applyBorder="1" applyAlignment="1">
      <alignment horizontal="left"/>
    </xf>
    <xf numFmtId="3" fontId="7" fillId="0" borderId="0" xfId="0" applyNumberFormat="1" applyFont="1" applyBorder="1" applyAlignment="1" applyProtection="1">
      <alignment horizontal="left"/>
      <protection locked="0"/>
    </xf>
    <xf numFmtId="2" fontId="7" fillId="0" borderId="0" xfId="0" applyNumberFormat="1" applyFont="1" applyBorder="1" applyAlignment="1" applyProtection="1">
      <alignment horizontal="left"/>
      <protection locked="0"/>
    </xf>
    <xf numFmtId="0" fontId="16" fillId="0" borderId="0" xfId="1" applyFont="1"/>
    <xf numFmtId="0" fontId="7" fillId="0" borderId="0" xfId="0" applyFont="1" applyBorder="1" applyAlignment="1">
      <alignment horizontal="center"/>
    </xf>
    <xf numFmtId="0" fontId="7" fillId="0" borderId="0" xfId="0" applyFont="1" applyBorder="1" applyAlignment="1" applyProtection="1">
      <alignment horizontal="right"/>
      <protection locked="0"/>
    </xf>
    <xf numFmtId="1" fontId="7" fillId="0" borderId="0" xfId="0" applyNumberFormat="1" applyFont="1" applyBorder="1" applyAlignment="1" applyProtection="1">
      <alignment horizontal="left"/>
      <protection locked="0"/>
    </xf>
    <xf numFmtId="0" fontId="5" fillId="0" borderId="0" xfId="0" applyFont="1" applyAlignment="1" applyProtection="1">
      <alignment horizontal="left"/>
      <protection locked="0"/>
    </xf>
    <xf numFmtId="0" fontId="14" fillId="0" borderId="0" xfId="0" applyFont="1" applyAlignment="1" applyProtection="1">
      <alignment horizontal="left"/>
      <protection locked="0"/>
    </xf>
    <xf numFmtId="0" fontId="14" fillId="0" borderId="0" xfId="0" applyFont="1" applyBorder="1" applyAlignment="1">
      <alignment horizontal="right"/>
    </xf>
    <xf numFmtId="0" fontId="24" fillId="0" borderId="0" xfId="0"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right"/>
    </xf>
    <xf numFmtId="0" fontId="5" fillId="0" borderId="0" xfId="0" applyFont="1" applyBorder="1" applyAlignment="1" applyProtection="1">
      <alignment horizontal="left"/>
      <protection locked="0"/>
    </xf>
    <xf numFmtId="0" fontId="5" fillId="0" borderId="0" xfId="0" applyFont="1" applyBorder="1" applyAlignment="1" applyProtection="1">
      <alignment horizontal="right"/>
      <protection locked="0"/>
    </xf>
    <xf numFmtId="0" fontId="14" fillId="0" borderId="10" xfId="0" applyFont="1" applyBorder="1" applyAlignment="1">
      <alignment horizontal="left"/>
    </xf>
    <xf numFmtId="0" fontId="17" fillId="0" borderId="11" xfId="0" applyFont="1" applyBorder="1"/>
    <xf numFmtId="0" fontId="17" fillId="0" borderId="12" xfId="0" applyFont="1" applyBorder="1"/>
    <xf numFmtId="2" fontId="1" fillId="0" borderId="2" xfId="0" applyNumberFormat="1"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10" xfId="0" applyFont="1" applyBorder="1" applyAlignment="1" applyProtection="1">
      <alignment horizontal="left"/>
    </xf>
    <xf numFmtId="0" fontId="1" fillId="0" borderId="11" xfId="0" applyFont="1" applyBorder="1" applyAlignment="1" applyProtection="1">
      <alignment horizontal="right"/>
    </xf>
    <xf numFmtId="0" fontId="1" fillId="0" borderId="11" xfId="0" applyFont="1" applyBorder="1" applyAlignment="1" applyProtection="1">
      <alignment horizontal="left"/>
    </xf>
    <xf numFmtId="164" fontId="1" fillId="0" borderId="2" xfId="0" applyNumberFormat="1" applyFont="1" applyBorder="1" applyAlignment="1" applyProtection="1">
      <alignment horizontal="center"/>
      <protection locked="0"/>
    </xf>
    <xf numFmtId="0" fontId="1" fillId="0" borderId="3" xfId="0" applyFont="1" applyFill="1" applyBorder="1" applyAlignment="1" applyProtection="1">
      <alignment horizontal="center"/>
    </xf>
    <xf numFmtId="0" fontId="1" fillId="0" borderId="3" xfId="0" applyFont="1" applyBorder="1" applyAlignment="1" applyProtection="1">
      <alignment horizontal="center"/>
    </xf>
    <xf numFmtId="0" fontId="1" fillId="0" borderId="2"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0" xfId="0" applyFont="1" applyBorder="1" applyAlignment="1" applyProtection="1">
      <alignment horizontal="center"/>
    </xf>
    <xf numFmtId="0" fontId="21" fillId="0" borderId="10" xfId="0" applyFont="1" applyBorder="1" applyAlignment="1">
      <alignment horizontal="left"/>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center"/>
    </xf>
    <xf numFmtId="0" fontId="1" fillId="0" borderId="12" xfId="0" applyFont="1" applyBorder="1" applyAlignment="1">
      <alignment horizontal="left"/>
    </xf>
    <xf numFmtId="0" fontId="7" fillId="0" borderId="2" xfId="0" applyFont="1" applyBorder="1" applyAlignment="1">
      <alignment horizontal="center"/>
    </xf>
    <xf numFmtId="0" fontId="7" fillId="0" borderId="0" xfId="0" applyFont="1" applyFill="1" applyAlignment="1">
      <alignment horizontal="center"/>
    </xf>
    <xf numFmtId="0" fontId="7" fillId="0" borderId="0" xfId="0" applyFont="1" applyFill="1" applyAlignment="1">
      <alignment horizontal="left"/>
    </xf>
    <xf numFmtId="0" fontId="7" fillId="0" borderId="1" xfId="0" applyFont="1" applyBorder="1" applyAlignment="1" applyProtection="1">
      <alignment horizontal="center"/>
      <protection locked="0"/>
    </xf>
    <xf numFmtId="0" fontId="7" fillId="0" borderId="12" xfId="0" applyFont="1" applyBorder="1" applyProtection="1"/>
    <xf numFmtId="0" fontId="7" fillId="0" borderId="1" xfId="0" applyFont="1" applyFill="1" applyBorder="1" applyAlignment="1" applyProtection="1">
      <alignment horizontal="center"/>
    </xf>
    <xf numFmtId="0" fontId="7" fillId="0" borderId="1" xfId="0" applyFont="1" applyBorder="1" applyAlignment="1" applyProtection="1">
      <alignment horizontal="center"/>
    </xf>
    <xf numFmtId="0" fontId="7" fillId="0" borderId="2" xfId="0" applyFont="1" applyFill="1" applyBorder="1" applyAlignment="1" applyProtection="1">
      <alignment horizontal="center"/>
    </xf>
    <xf numFmtId="0" fontId="7" fillId="0" borderId="2" xfId="0" applyFont="1" applyBorder="1" applyAlignment="1" applyProtection="1">
      <alignment horizontal="center"/>
    </xf>
    <xf numFmtId="0" fontId="7" fillId="0" borderId="3" xfId="0" applyFont="1" applyFill="1" applyBorder="1" applyAlignment="1" applyProtection="1">
      <alignment horizontal="center"/>
    </xf>
    <xf numFmtId="0" fontId="7" fillId="0" borderId="3" xfId="0" applyFont="1" applyBorder="1" applyAlignment="1" applyProtection="1">
      <alignment horizontal="center"/>
    </xf>
    <xf numFmtId="0" fontId="7" fillId="0" borderId="0" xfId="0" applyFont="1" applyFill="1" applyAlignment="1" applyProtection="1">
      <alignment horizontal="center"/>
      <protection locked="0"/>
    </xf>
    <xf numFmtId="0" fontId="7" fillId="0" borderId="12" xfId="0" applyFont="1" applyFill="1" applyBorder="1" applyProtection="1">
      <protection locked="0"/>
    </xf>
    <xf numFmtId="0" fontId="7" fillId="2" borderId="0" xfId="0" applyFont="1" applyFill="1" applyAlignment="1">
      <alignment horizontal="right"/>
    </xf>
    <xf numFmtId="0" fontId="7" fillId="0" borderId="12" xfId="0" applyFont="1" applyBorder="1" applyAlignment="1">
      <alignment horizontal="left"/>
    </xf>
    <xf numFmtId="0" fontId="7" fillId="0" borderId="8" xfId="0" applyFont="1" applyBorder="1" applyAlignment="1">
      <alignment horizontal="right"/>
    </xf>
    <xf numFmtId="0" fontId="7" fillId="0" borderId="9" xfId="0" applyFont="1" applyBorder="1" applyAlignment="1">
      <alignment horizontal="left"/>
    </xf>
    <xf numFmtId="0" fontId="7" fillId="0" borderId="6" xfId="0" applyFont="1" applyBorder="1" applyAlignment="1">
      <alignment horizontal="right"/>
    </xf>
    <xf numFmtId="0" fontId="7" fillId="0" borderId="7" xfId="0" applyFont="1" applyBorder="1" applyAlignment="1">
      <alignment horizontal="left"/>
    </xf>
    <xf numFmtId="0" fontId="7" fillId="2" borderId="0" xfId="0" applyFont="1" applyFill="1" applyAlignment="1" applyProtection="1">
      <alignment horizontal="left"/>
      <protection locked="0"/>
    </xf>
    <xf numFmtId="0" fontId="13" fillId="0" borderId="0" xfId="1" applyFont="1" applyAlignment="1">
      <alignment horizontal="left"/>
    </xf>
    <xf numFmtId="0" fontId="7" fillId="0" borderId="11" xfId="0" applyFont="1" applyBorder="1" applyAlignment="1" applyProtection="1">
      <alignment horizontal="left"/>
      <protection locked="0"/>
    </xf>
    <xf numFmtId="0" fontId="13" fillId="0" borderId="10" xfId="1" applyFont="1" applyBorder="1" applyProtection="1">
      <protection locked="0"/>
    </xf>
    <xf numFmtId="0" fontId="7" fillId="6" borderId="0" xfId="0" applyFont="1" applyFill="1" applyAlignment="1" applyProtection="1">
      <alignment horizontal="left"/>
      <protection locked="0"/>
    </xf>
    <xf numFmtId="0" fontId="7" fillId="6" borderId="0" xfId="0" applyFont="1" applyFill="1" applyProtection="1">
      <protection locked="0"/>
    </xf>
    <xf numFmtId="164" fontId="1" fillId="0" borderId="0" xfId="0" applyNumberFormat="1" applyFont="1" applyBorder="1" applyAlignment="1" applyProtection="1">
      <alignment horizontal="center"/>
    </xf>
    <xf numFmtId="164" fontId="1" fillId="0" borderId="0" xfId="0" applyNumberFormat="1" applyFont="1" applyAlignment="1">
      <alignment horizontal="center"/>
    </xf>
    <xf numFmtId="166" fontId="1" fillId="0" borderId="0" xfId="0" applyNumberFormat="1" applyFont="1" applyAlignment="1">
      <alignment horizontal="center"/>
    </xf>
    <xf numFmtId="164" fontId="4" fillId="0" borderId="0" xfId="0" applyNumberFormat="1" applyFont="1" applyAlignment="1">
      <alignment horizontal="center"/>
    </xf>
    <xf numFmtId="166" fontId="4" fillId="0" borderId="0" xfId="0" applyNumberFormat="1" applyFont="1" applyAlignment="1">
      <alignment horizontal="center"/>
    </xf>
    <xf numFmtId="15" fontId="3" fillId="0" borderId="0" xfId="0" applyNumberFormat="1" applyFont="1"/>
    <xf numFmtId="0" fontId="23" fillId="0" borderId="0" xfId="0" applyFont="1" applyAlignment="1">
      <alignment horizontal="left"/>
    </xf>
    <xf numFmtId="2" fontId="1" fillId="0" borderId="0" xfId="0" applyNumberFormat="1" applyFont="1" applyAlignment="1" applyProtection="1">
      <alignment horizontal="center"/>
      <protection locked="0"/>
    </xf>
    <xf numFmtId="0" fontId="7" fillId="0" borderId="0" xfId="0" quotePrefix="1" applyFont="1" applyAlignment="1" applyProtection="1">
      <alignment horizontal="right"/>
      <protection locked="0"/>
    </xf>
    <xf numFmtId="166" fontId="1" fillId="0" borderId="0" xfId="0" applyNumberFormat="1" applyFont="1" applyAlignment="1" applyProtection="1">
      <alignment horizontal="center"/>
      <protection locked="0"/>
    </xf>
    <xf numFmtId="167" fontId="1"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right"/>
      <protection locked="0"/>
    </xf>
    <xf numFmtId="2" fontId="4" fillId="0" borderId="0" xfId="0" applyNumberFormat="1" applyFont="1" applyAlignment="1" applyProtection="1">
      <alignment horizontal="left"/>
      <protection locked="0"/>
    </xf>
    <xf numFmtId="2" fontId="1" fillId="5" borderId="4" xfId="0" applyNumberFormat="1" applyFont="1" applyFill="1" applyBorder="1" applyAlignment="1" applyProtection="1">
      <alignment horizontal="left"/>
      <protection locked="0"/>
    </xf>
    <xf numFmtId="2" fontId="1" fillId="4" borderId="4" xfId="0" applyNumberFormat="1" applyFont="1" applyFill="1" applyBorder="1" applyAlignment="1" applyProtection="1">
      <alignment horizontal="left"/>
      <protection locked="0"/>
    </xf>
    <xf numFmtId="166" fontId="4" fillId="0" borderId="0" xfId="0" applyNumberFormat="1" applyFont="1" applyAlignment="1" applyProtection="1">
      <alignment horizontal="left"/>
      <protection locked="0"/>
    </xf>
    <xf numFmtId="0" fontId="1" fillId="0" borderId="0" xfId="0" quotePrefix="1" applyFont="1" applyAlignment="1">
      <alignment horizontal="right"/>
    </xf>
    <xf numFmtId="165" fontId="1" fillId="7" borderId="4" xfId="0" applyNumberFormat="1" applyFont="1" applyFill="1" applyBorder="1" applyAlignment="1" applyProtection="1">
      <alignment horizontal="left"/>
      <protection locked="0"/>
    </xf>
    <xf numFmtId="2" fontId="1" fillId="8" borderId="4" xfId="0" applyNumberFormat="1" applyFont="1" applyFill="1" applyBorder="1" applyAlignment="1" applyProtection="1">
      <alignment horizontal="left"/>
      <protection locked="0"/>
    </xf>
    <xf numFmtId="0" fontId="21" fillId="0" borderId="0" xfId="0" applyFont="1" applyAlignment="1">
      <alignment horizontal="left"/>
    </xf>
    <xf numFmtId="1" fontId="9" fillId="0" borderId="0" xfId="0" applyNumberFormat="1" applyFont="1" applyAlignment="1" applyProtection="1">
      <alignment horizontal="center"/>
      <protection locked="0"/>
    </xf>
    <xf numFmtId="0" fontId="1" fillId="6" borderId="0" xfId="0" applyFont="1" applyFill="1" applyBorder="1" applyAlignment="1">
      <alignment horizontal="right"/>
    </xf>
    <xf numFmtId="0" fontId="3" fillId="6" borderId="0" xfId="0" applyFont="1" applyFill="1" applyBorder="1"/>
    <xf numFmtId="0" fontId="7" fillId="6" borderId="0" xfId="0" applyFont="1" applyFill="1" applyBorder="1" applyAlignment="1">
      <alignment horizontal="left"/>
    </xf>
    <xf numFmtId="0" fontId="9" fillId="6" borderId="0" xfId="0" applyFont="1" applyFill="1" applyBorder="1" applyAlignment="1">
      <alignment horizontal="center"/>
    </xf>
    <xf numFmtId="0" fontId="7" fillId="6" borderId="0" xfId="0" applyFont="1" applyFill="1" applyBorder="1"/>
    <xf numFmtId="2" fontId="1" fillId="6" borderId="0" xfId="0" applyNumberFormat="1" applyFont="1" applyFill="1" applyBorder="1" applyAlignment="1" applyProtection="1">
      <alignment horizontal="left"/>
      <protection locked="0"/>
    </xf>
    <xf numFmtId="0" fontId="1" fillId="6" borderId="0" xfId="0" applyFont="1" applyFill="1" applyBorder="1"/>
    <xf numFmtId="0" fontId="7" fillId="6" borderId="0" xfId="0" applyFont="1" applyFill="1" applyBorder="1" applyAlignment="1">
      <alignment horizontal="right"/>
    </xf>
    <xf numFmtId="0" fontId="1" fillId="6" borderId="0" xfId="0" applyFont="1" applyFill="1" applyBorder="1" applyAlignment="1">
      <alignment horizontal="left"/>
    </xf>
    <xf numFmtId="0" fontId="1" fillId="6" borderId="0" xfId="0" quotePrefix="1" applyFont="1" applyFill="1" applyBorder="1" applyAlignment="1">
      <alignment horizontal="right"/>
    </xf>
    <xf numFmtId="165" fontId="1" fillId="6" borderId="0" xfId="0" applyNumberFormat="1" applyFont="1" applyFill="1" applyBorder="1" applyAlignment="1" applyProtection="1">
      <alignment horizontal="left"/>
      <protection locked="0"/>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6.jpeg"/><Relationship Id="rId13" Type="http://schemas.openxmlformats.org/officeDocument/2006/relationships/image" Target="../media/image31.jpeg"/><Relationship Id="rId3" Type="http://schemas.openxmlformats.org/officeDocument/2006/relationships/image" Target="../media/image21.jpeg"/><Relationship Id="rId7" Type="http://schemas.openxmlformats.org/officeDocument/2006/relationships/image" Target="../media/image25.jpeg"/><Relationship Id="rId12" Type="http://schemas.openxmlformats.org/officeDocument/2006/relationships/image" Target="../media/image30.jpeg"/><Relationship Id="rId2" Type="http://schemas.openxmlformats.org/officeDocument/2006/relationships/image" Target="../media/image20.jpeg"/><Relationship Id="rId1" Type="http://schemas.openxmlformats.org/officeDocument/2006/relationships/image" Target="../media/image19.jpeg"/><Relationship Id="rId6" Type="http://schemas.openxmlformats.org/officeDocument/2006/relationships/image" Target="../media/image24.jpeg"/><Relationship Id="rId11" Type="http://schemas.openxmlformats.org/officeDocument/2006/relationships/image" Target="../media/image29.jpeg"/><Relationship Id="rId5" Type="http://schemas.openxmlformats.org/officeDocument/2006/relationships/image" Target="../media/image23.jpeg"/><Relationship Id="rId15" Type="http://schemas.openxmlformats.org/officeDocument/2006/relationships/image" Target="../media/image33.jpeg"/><Relationship Id="rId10" Type="http://schemas.openxmlformats.org/officeDocument/2006/relationships/image" Target="../media/image28.jpeg"/><Relationship Id="rId4" Type="http://schemas.openxmlformats.org/officeDocument/2006/relationships/image" Target="../media/image22.jpeg"/><Relationship Id="rId9" Type="http://schemas.openxmlformats.org/officeDocument/2006/relationships/image" Target="../media/image27.jpeg"/><Relationship Id="rId14" Type="http://schemas.openxmlformats.org/officeDocument/2006/relationships/image" Target="../media/image3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9.jpg"/><Relationship Id="rId7" Type="http://schemas.openxmlformats.org/officeDocument/2006/relationships/image" Target="../media/image43.tif"/><Relationship Id="rId2" Type="http://schemas.openxmlformats.org/officeDocument/2006/relationships/image" Target="../media/image38.jpg"/><Relationship Id="rId1" Type="http://schemas.openxmlformats.org/officeDocument/2006/relationships/image" Target="../media/image37.tif"/><Relationship Id="rId6" Type="http://schemas.openxmlformats.org/officeDocument/2006/relationships/image" Target="../media/image42.jpg"/><Relationship Id="rId5" Type="http://schemas.openxmlformats.org/officeDocument/2006/relationships/image" Target="../media/image41.jpg"/><Relationship Id="rId4" Type="http://schemas.openxmlformats.org/officeDocument/2006/relationships/image" Target="../media/image40.jpg"/></Relationships>
</file>

<file path=xl/drawings/drawing1.xml><?xml version="1.0" encoding="utf-8"?>
<xdr:wsDr xmlns:xdr="http://schemas.openxmlformats.org/drawingml/2006/spreadsheetDrawing" xmlns:a="http://schemas.openxmlformats.org/drawingml/2006/main">
  <xdr:twoCellAnchor editAs="oneCell">
    <xdr:from>
      <xdr:col>3</xdr:col>
      <xdr:colOff>495301</xdr:colOff>
      <xdr:row>168</xdr:row>
      <xdr:rowOff>19050</xdr:rowOff>
    </xdr:from>
    <xdr:to>
      <xdr:col>5</xdr:col>
      <xdr:colOff>752476</xdr:colOff>
      <xdr:row>175</xdr:row>
      <xdr:rowOff>3175</xdr:rowOff>
    </xdr:to>
    <xdr:pic>
      <xdr:nvPicPr>
        <xdr:cNvPr id="2" name="Picture 1" descr="SECTION-T-ROUN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00651" y="9906000"/>
          <a:ext cx="1371600" cy="1371600"/>
        </a:xfrm>
        <a:prstGeom prst="rect">
          <a:avLst/>
        </a:prstGeom>
        <a:noFill/>
        <a:ln w="9525">
          <a:noFill/>
          <a:miter lim="800000"/>
          <a:headEnd/>
          <a:tailEnd/>
        </a:ln>
      </xdr:spPr>
    </xdr:pic>
    <xdr:clientData/>
  </xdr:twoCellAnchor>
  <xdr:twoCellAnchor editAs="oneCell">
    <xdr:from>
      <xdr:col>3</xdr:col>
      <xdr:colOff>438149</xdr:colOff>
      <xdr:row>181</xdr:row>
      <xdr:rowOff>9525</xdr:rowOff>
    </xdr:from>
    <xdr:to>
      <xdr:col>5</xdr:col>
      <xdr:colOff>857250</xdr:colOff>
      <xdr:row>187</xdr:row>
      <xdr:rowOff>104775</xdr:rowOff>
    </xdr:to>
    <xdr:pic>
      <xdr:nvPicPr>
        <xdr:cNvPr id="3" name="Picture 2" descr="SECTION-T-HOLLOW">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24299" y="4162425"/>
          <a:ext cx="1533526" cy="1285875"/>
        </a:xfrm>
        <a:prstGeom prst="rect">
          <a:avLst/>
        </a:prstGeom>
        <a:noFill/>
        <a:ln w="9525">
          <a:noFill/>
          <a:miter lim="800000"/>
          <a:headEnd/>
          <a:tailEnd/>
        </a:ln>
      </xdr:spPr>
    </xdr:pic>
    <xdr:clientData/>
  </xdr:twoCellAnchor>
  <xdr:twoCellAnchor>
    <xdr:from>
      <xdr:col>1</xdr:col>
      <xdr:colOff>0</xdr:colOff>
      <xdr:row>88</xdr:row>
      <xdr:rowOff>1</xdr:rowOff>
    </xdr:from>
    <xdr:to>
      <xdr:col>5</xdr:col>
      <xdr:colOff>723900</xdr:colOff>
      <xdr:row>136</xdr:row>
      <xdr:rowOff>57151</xdr:rowOff>
    </xdr:to>
    <xdr:sp macro="" textlink="">
      <xdr:nvSpPr>
        <xdr:cNvPr id="5" name="Text Box 55">
          <a:extLst>
            <a:ext uri="{FF2B5EF4-FFF2-40B4-BE49-F238E27FC236}">
              <a16:creationId xmlns:a16="http://schemas.microsoft.com/office/drawing/2014/main" id="{00000000-0008-0000-0000-000005000000}"/>
            </a:ext>
          </a:extLst>
        </xdr:cNvPr>
        <xdr:cNvSpPr txBox="1">
          <a:spLocks noChangeArrowheads="1"/>
        </xdr:cNvSpPr>
      </xdr:nvSpPr>
      <xdr:spPr bwMode="auto">
        <a:xfrm>
          <a:off x="314325" y="14535151"/>
          <a:ext cx="5305425" cy="78295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Design of Power Transmission Shafting</a:t>
          </a:r>
        </a:p>
        <a:p>
          <a:pPr algn="l" rtl="0">
            <a:defRPr sz="1000"/>
          </a:pPr>
          <a:r>
            <a:rPr lang="en-US" sz="1400" b="0" i="0" u="none" strike="noStrike" baseline="0">
              <a:solidFill>
                <a:srgbClr val="000000"/>
              </a:solidFill>
              <a:latin typeface="Arial" pitchFamily="34" charset="0"/>
              <a:cs typeface="Arial" pitchFamily="34" charset="0"/>
            </a:rPr>
            <a:t>T</a:t>
          </a:r>
          <a:r>
            <a:rPr lang="en-US" sz="1050" b="0" i="0" u="none" strike="noStrike" baseline="0">
              <a:solidFill>
                <a:srgbClr val="000000"/>
              </a:solidFill>
              <a:latin typeface="Arial" pitchFamily="34" charset="0"/>
              <a:cs typeface="Arial" pitchFamily="34" charset="0"/>
            </a:rPr>
            <a:t>he objective is to calculate the shaft size having the strength and rigidity required to transmit an applied torque. The strength in torsion, of shafts made of ductile materials are usually calculated on the basis of the maximum shear theory.</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ASME Code states that for shaft made of a specified ASTM steel:</a:t>
          </a:r>
        </a:p>
        <a:p>
          <a:pPr algn="l" rtl="0">
            <a:defRPr sz="1000"/>
          </a:pPr>
          <a:r>
            <a:rPr lang="en-US" sz="1050" b="0" i="0" u="none" strike="noStrike" baseline="0">
              <a:solidFill>
                <a:srgbClr val="000000"/>
              </a:solidFill>
              <a:latin typeface="Arial" pitchFamily="34" charset="0"/>
              <a:cs typeface="Arial" pitchFamily="34" charset="0"/>
            </a:rPr>
            <a:t>Ss(allowable) = 30% of Sy but not over 18% of Sult for shafts without keyways. These values are to be reduced by 25% if the shafts have keyways.</a:t>
          </a:r>
          <a:endParaRPr lang="en-US" sz="140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Shaft design includes the determination of shaft diameter having the strength and rigidity to transmit motor or engine power under various operating conditions. Shafts are usually round and may be solid or hollow. </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Shaft torsional shear stress: Ss = T*R / J</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Polar moment of area:            J = </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D^4 / 32              for solid shafts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J = </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D^4 - d^4) / 32     for hollow shafts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Shaft bending stress:            Sb = M*R / I</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Moment of area:                      I = </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D^4 / 64              for solid shafts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I = </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D^4 - d^4) / 64     for hollow shafts</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The ASME Code equation for shafts subjected to: torsion, bending, axial load, shock, and fatigue is:</a:t>
          </a:r>
        </a:p>
        <a:p>
          <a:pPr algn="l" rtl="0">
            <a:defRPr sz="1000"/>
          </a:pPr>
          <a:r>
            <a:rPr lang="en-US" sz="1050" b="0" i="0" u="none" strike="noStrike" baseline="0">
              <a:solidFill>
                <a:srgbClr val="000000"/>
              </a:solidFill>
              <a:latin typeface="Arial" pitchFamily="34" charset="0"/>
              <a:cs typeface="Arial" pitchFamily="34" charset="0"/>
            </a:rPr>
            <a:t>Shaft diameter cubed,   </a:t>
          </a:r>
        </a:p>
        <a:p>
          <a:pPr algn="l" rtl="0">
            <a:defRPr sz="1000"/>
          </a:pPr>
          <a:r>
            <a:rPr lang="en-US" sz="1050" b="0" i="0" u="none" strike="noStrike" baseline="0">
              <a:solidFill>
                <a:srgbClr val="000000"/>
              </a:solidFill>
              <a:latin typeface="Arial" pitchFamily="34" charset="0"/>
              <a:cs typeface="Arial" pitchFamily="34" charset="0"/>
            </a:rPr>
            <a:t>                     D^3 = (16/</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Ss(1-K^4))*[ ( (KbMb + (</a:t>
          </a:r>
          <a:r>
            <a:rPr lang="el-GR" sz="1050" b="0" i="0" u="none" strike="noStrike" baseline="0">
              <a:solidFill>
                <a:srgbClr val="000000"/>
              </a:solidFill>
              <a:latin typeface="Arial" pitchFamily="34" charset="0"/>
              <a:cs typeface="Arial" pitchFamily="34" charset="0"/>
            </a:rPr>
            <a:t>α*</a:t>
          </a:r>
          <a:r>
            <a:rPr lang="en-US" sz="1050" b="0" i="0" u="none" strike="noStrike" baseline="0">
              <a:solidFill>
                <a:srgbClr val="000000"/>
              </a:solidFill>
              <a:latin typeface="Arial" pitchFamily="34" charset="0"/>
              <a:cs typeface="Arial" pitchFamily="34" charset="0"/>
            </a:rPr>
            <a:t>F</a:t>
          </a:r>
          <a:r>
            <a:rPr lang="el-GR" sz="1050" b="0" i="0" u="none" strike="noStrike" baseline="-25000">
              <a:solidFill>
                <a:srgbClr val="000000"/>
              </a:solidFill>
              <a:latin typeface="Arial" pitchFamily="34" charset="0"/>
              <a:cs typeface="Arial" pitchFamily="34" charset="0"/>
            </a:rPr>
            <a:t>α</a:t>
          </a:r>
          <a:r>
            <a:rPr lang="el-GR" sz="1050" b="0" i="0" u="none" strike="noStrike" baseline="0">
              <a:solidFill>
                <a:srgbClr val="000000"/>
              </a:solidFill>
              <a:latin typeface="Arial" pitchFamily="34" charset="0"/>
              <a:cs typeface="Arial" pitchFamily="34" charset="0"/>
            </a:rPr>
            <a:t>*</a:t>
          </a:r>
          <a:r>
            <a:rPr lang="en-US" sz="1050" b="0" i="0" u="none" strike="noStrike" baseline="0">
              <a:solidFill>
                <a:srgbClr val="000000"/>
              </a:solidFill>
              <a:latin typeface="Arial" pitchFamily="34" charset="0"/>
              <a:cs typeface="Arial" pitchFamily="34" charset="0"/>
            </a:rPr>
            <a:t>D*(1+K^2)/8 ]^2 + (Kt*T)^2 ]^0.5</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Shaft diameter cubed with no axial load,   </a:t>
          </a:r>
        </a:p>
        <a:p>
          <a:pPr algn="l" rtl="0">
            <a:defRPr sz="1000"/>
          </a:pPr>
          <a:r>
            <a:rPr lang="en-US" sz="1050" b="0" i="0" u="none" strike="noStrike" baseline="0">
              <a:solidFill>
                <a:srgbClr val="000000"/>
              </a:solidFill>
              <a:latin typeface="Arial" pitchFamily="34" charset="0"/>
              <a:cs typeface="Arial" pitchFamily="34" charset="0"/>
            </a:rPr>
            <a:t>                      D^3 = (16/</a:t>
          </a:r>
          <a:r>
            <a:rPr lang="el-GR" sz="1050" b="0" i="0" u="none" strike="noStrike" baseline="0">
              <a:solidFill>
                <a:srgbClr val="000000"/>
              </a:solidFill>
              <a:latin typeface="Arial" pitchFamily="34" charset="0"/>
              <a:cs typeface="Arial" pitchFamily="34" charset="0"/>
            </a:rPr>
            <a:t>π*</a:t>
          </a:r>
          <a:r>
            <a:rPr lang="en-US" sz="1050" b="0" i="0" u="none" strike="noStrike" baseline="0">
              <a:solidFill>
                <a:srgbClr val="000000"/>
              </a:solidFill>
              <a:latin typeface="Arial" pitchFamily="34" charset="0"/>
              <a:cs typeface="Arial" pitchFamily="34" charset="0"/>
            </a:rPr>
            <a:t>Ss)*[ (KbMb)^2 + (Kt*T)^2 ]^0.5</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K = D/d           D = Shaft outside diameter,        d = inside diameter</a:t>
          </a: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050" b="0" i="0" u="none" strike="noStrike" baseline="0">
              <a:solidFill>
                <a:srgbClr val="000000"/>
              </a:solidFill>
              <a:latin typeface="Arial" pitchFamily="34" charset="0"/>
              <a:cs typeface="Arial" pitchFamily="34" charset="0"/>
            </a:rPr>
            <a:t>                        Kb = combined shock &amp; fatigue bending factor</a:t>
          </a:r>
        </a:p>
        <a:p>
          <a:pPr algn="l" rtl="0">
            <a:defRPr sz="1000"/>
          </a:pPr>
          <a:endParaRPr lang="en-US" sz="1050" b="0" i="0" u="none" strike="noStrike" baseline="0">
            <a:solidFill>
              <a:srgbClr val="000000"/>
            </a:solidFill>
            <a:latin typeface="Arial" pitchFamily="34" charset="0"/>
            <a:cs typeface="Arial" pitchFamily="34" charset="0"/>
          </a:endParaRPr>
        </a:p>
        <a:p>
          <a:pPr rtl="0"/>
          <a:r>
            <a:rPr lang="en-US" sz="1000" b="0" i="0" u="none" strike="noStrike" baseline="0">
              <a:solidFill>
                <a:srgbClr val="000000"/>
              </a:solidFill>
              <a:latin typeface="Arial" pitchFamily="34" charset="0"/>
              <a:cs typeface="Arial" pitchFamily="34" charset="0"/>
            </a:rPr>
            <a:t>                         Kt = </a:t>
          </a:r>
          <a:r>
            <a:rPr lang="en-US" sz="1200" b="0" i="0" baseline="0">
              <a:effectLst/>
              <a:latin typeface="Arial" pitchFamily="34" charset="0"/>
              <a:ea typeface="+mn-ea"/>
              <a:cs typeface="Arial" pitchFamily="34" charset="0"/>
            </a:rPr>
            <a:t>combined shock &amp; fatigue torsion factor</a:t>
          </a:r>
          <a:endParaRPr lang="en-US" sz="1000">
            <a:effectLst/>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u="none" strike="noStrike" baseline="0">
              <a:solidFill>
                <a:srgbClr val="000000"/>
              </a:solidFill>
              <a:latin typeface="Arial" pitchFamily="34" charset="0"/>
              <a:cs typeface="Arial" pitchFamily="34" charset="0"/>
            </a:rPr>
            <a:t>                         </a:t>
          </a:r>
          <a:r>
            <a:rPr lang="el-GR" sz="1100" b="0" i="0" baseline="0">
              <a:latin typeface="Arial" pitchFamily="34" charset="0"/>
              <a:ea typeface="+mn-ea"/>
              <a:cs typeface="Arial" pitchFamily="34" charset="0"/>
            </a:rPr>
            <a:t>α = </a:t>
          </a:r>
          <a:r>
            <a:rPr lang="en-US" sz="1100" b="0" i="0" baseline="0">
              <a:latin typeface="Arial" pitchFamily="34" charset="0"/>
              <a:ea typeface="+mn-ea"/>
              <a:cs typeface="Arial" pitchFamily="34" charset="0"/>
            </a:rPr>
            <a:t>column factor = 1 / (1 - 0.0044*(L/k)^2 for L/k &lt; 115</a:t>
          </a:r>
          <a:endParaRPr lang="en-US" sz="1000">
            <a:latin typeface="Arial" pitchFamily="34" charset="0"/>
            <a:cs typeface="Arial" pitchFamily="34" charset="0"/>
          </a:endParaRPr>
        </a:p>
        <a:p>
          <a:pPr rtl="0" fontAlgn="base"/>
          <a:endParaRPr lang="en-US" sz="1100" b="0" i="0" baseline="0">
            <a:latin typeface="Arial" pitchFamily="34" charset="0"/>
            <a:ea typeface="+mn-ea"/>
            <a:cs typeface="Arial" pitchFamily="34" charset="0"/>
          </a:endParaRPr>
        </a:p>
        <a:p>
          <a:pPr rtl="0"/>
          <a:r>
            <a:rPr lang="en-US" sz="1100" b="0" i="0" baseline="0">
              <a:latin typeface="Arial" pitchFamily="34" charset="0"/>
              <a:ea typeface="+mn-ea"/>
              <a:cs typeface="Arial" pitchFamily="34" charset="0"/>
            </a:rPr>
            <a:t>                       L = Shaft length                                                                                                                                    -                                                                                                                                                   k = (I / A)^0.5 = Shaft radius of gyration</a:t>
          </a:r>
          <a:endParaRPr lang="en-US" sz="1000">
            <a:latin typeface="Arial" pitchFamily="34" charset="0"/>
            <a:cs typeface="Arial" pitchFamily="34" charset="0"/>
          </a:endParaRPr>
        </a:p>
        <a:p>
          <a:pPr rtl="0" fontAlgn="base"/>
          <a:endParaRPr lang="en-US" sz="1100" b="0" i="0" baseline="0">
            <a:latin typeface="Arial" pitchFamily="34" charset="0"/>
            <a:ea typeface="+mn-ea"/>
            <a:cs typeface="Arial" pitchFamily="34" charset="0"/>
          </a:endParaRPr>
        </a:p>
        <a:p>
          <a:pPr rtl="0"/>
          <a:r>
            <a:rPr lang="en-US" sz="1100" b="0" i="0" baseline="0">
              <a:latin typeface="Arial" pitchFamily="34" charset="0"/>
              <a:ea typeface="+mn-ea"/>
              <a:cs typeface="Arial" pitchFamily="34" charset="0"/>
            </a:rPr>
            <a:t>                        A = Shaft section area</a:t>
          </a:r>
          <a:endParaRPr lang="en-US" sz="1000">
            <a:latin typeface="Arial" pitchFamily="34" charset="0"/>
            <a:cs typeface="Arial" pitchFamily="34" charset="0"/>
          </a:endParaRPr>
        </a:p>
        <a:p>
          <a:pPr rtl="0" fontAlgn="base"/>
          <a:endParaRPr lang="en-US" sz="1100" b="0" i="0" baseline="0">
            <a:latin typeface="Arial" pitchFamily="34" charset="0"/>
            <a:ea typeface="+mn-ea"/>
            <a:cs typeface="Arial" pitchFamily="34" charset="0"/>
          </a:endParaRPr>
        </a:p>
        <a:p>
          <a:pPr rtl="0"/>
          <a:r>
            <a:rPr lang="en-US" sz="1100" b="0" i="0" baseline="0">
              <a:latin typeface="Arial" pitchFamily="34" charset="0"/>
              <a:ea typeface="+mn-ea"/>
              <a:cs typeface="Arial" pitchFamily="34" charset="0"/>
            </a:rPr>
            <a:t>For rotating shafts:                                                                                                               Kb = 1.5, Kt = 1.0 for gradually applied load</a:t>
          </a:r>
          <a:endParaRPr lang="en-US" sz="1000">
            <a:latin typeface="Arial" pitchFamily="34" charset="0"/>
            <a:cs typeface="Arial" pitchFamily="34" charset="0"/>
          </a:endParaRPr>
        </a:p>
        <a:p>
          <a:pPr rtl="0"/>
          <a:r>
            <a:rPr lang="en-US" sz="1100" b="0" i="0" baseline="0">
              <a:latin typeface="Arial" pitchFamily="34" charset="0"/>
              <a:ea typeface="+mn-ea"/>
              <a:cs typeface="Arial" pitchFamily="34" charset="0"/>
            </a:rPr>
            <a:t>                            </a:t>
          </a:r>
          <a:endParaRPr lang="en-US" sz="1000">
            <a:latin typeface="Arial" pitchFamily="34" charset="0"/>
            <a:cs typeface="Arial" pitchFamily="34" charset="0"/>
          </a:endParaRPr>
        </a:p>
        <a:p>
          <a:pPr rtl="0"/>
          <a:r>
            <a:rPr lang="en-US" sz="1100" b="0" i="0" baseline="0">
              <a:latin typeface="Arial" pitchFamily="34" charset="0"/>
              <a:ea typeface="+mn-ea"/>
              <a:cs typeface="Arial" pitchFamily="34" charset="0"/>
            </a:rPr>
            <a:t>Kb = 2.0, Kt = 1.5 for suddenly applied load &amp; minor shock</a:t>
          </a:r>
          <a:endParaRPr lang="en-US" sz="1000">
            <a:latin typeface="Arial" pitchFamily="34" charset="0"/>
            <a:cs typeface="Arial" pitchFamily="34" charset="0"/>
          </a:endParaRPr>
        </a:p>
        <a:p>
          <a:pPr rtl="0" fontAlgn="base"/>
          <a:endParaRPr lang="en-US" sz="1100" b="0" i="0" baseline="0">
            <a:latin typeface="Arial" pitchFamily="34" charset="0"/>
            <a:ea typeface="+mn-ea"/>
            <a:cs typeface="Arial" pitchFamily="34" charset="0"/>
          </a:endParaRPr>
        </a:p>
        <a:p>
          <a:pPr rtl="0"/>
          <a:r>
            <a:rPr lang="en-US" sz="1100" b="0" i="0" baseline="0">
              <a:latin typeface="Arial" pitchFamily="34" charset="0"/>
              <a:ea typeface="+mn-ea"/>
              <a:cs typeface="Arial" pitchFamily="34" charset="0"/>
            </a:rPr>
            <a:t>Kb = 3.0, Kt = 3.0 for suddenly applied load &amp; heavy shock</a:t>
          </a:r>
          <a:endParaRPr lang="en-US" sz="1000">
            <a:latin typeface="Arial" pitchFamily="34" charset="0"/>
            <a:cs typeface="Arial" pitchFamily="34" charset="0"/>
          </a:endParaRPr>
        </a:p>
        <a:p>
          <a:pPr rtl="0" fontAlgn="base"/>
          <a:endParaRPr lang="en-US" sz="1100" b="0" i="0" baseline="0">
            <a:latin typeface="Arial" pitchFamily="34" charset="0"/>
            <a:ea typeface="+mn-ea"/>
            <a:cs typeface="Arial" pitchFamily="34" charset="0"/>
          </a:endParaRPr>
        </a:p>
        <a:p>
          <a:pPr rtl="0"/>
          <a:r>
            <a:rPr lang="en-US" sz="1100" b="0" i="0" baseline="0">
              <a:latin typeface="Arial" pitchFamily="34" charset="0"/>
              <a:ea typeface="+mn-ea"/>
              <a:cs typeface="Arial" pitchFamily="34" charset="0"/>
            </a:rPr>
            <a:t>Input shaft data for your problem below and Excel will calculate the answers, Excel's "Goal Seek" may be used to optimize the design of shafts, see the Math Tools tab below.</a:t>
          </a:r>
          <a:endParaRPr lang="en-US" sz="900">
            <a:latin typeface="Arial" pitchFamily="34" charset="0"/>
            <a:cs typeface="Arial" pitchFamily="34" charset="0"/>
          </a:endParaRPr>
        </a:p>
      </xdr:txBody>
    </xdr:sp>
    <xdr:clientData/>
  </xdr:twoCellAnchor>
  <xdr:twoCellAnchor editAs="oneCell">
    <xdr:from>
      <xdr:col>3</xdr:col>
      <xdr:colOff>266700</xdr:colOff>
      <xdr:row>37</xdr:row>
      <xdr:rowOff>47625</xdr:rowOff>
    </xdr:from>
    <xdr:to>
      <xdr:col>6</xdr:col>
      <xdr:colOff>257175</xdr:colOff>
      <xdr:row>58</xdr:row>
      <xdr:rowOff>171450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75" y="6248400"/>
          <a:ext cx="2190750" cy="4343400"/>
        </a:xfrm>
        <a:prstGeom prst="rect">
          <a:avLst/>
        </a:prstGeom>
      </xdr:spPr>
    </xdr:pic>
    <xdr:clientData/>
  </xdr:twoCellAnchor>
  <xdr:twoCellAnchor editAs="oneCell">
    <xdr:from>
      <xdr:col>1</xdr:col>
      <xdr:colOff>409575</xdr:colOff>
      <xdr:row>39</xdr:row>
      <xdr:rowOff>9525</xdr:rowOff>
    </xdr:from>
    <xdr:to>
      <xdr:col>2</xdr:col>
      <xdr:colOff>104775</xdr:colOff>
      <xdr:row>56</xdr:row>
      <xdr:rowOff>139700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3900" y="6534150"/>
          <a:ext cx="2847975" cy="3543300"/>
        </a:xfrm>
        <a:prstGeom prst="rect">
          <a:avLst/>
        </a:prstGeom>
      </xdr:spPr>
    </xdr:pic>
    <xdr:clientData/>
  </xdr:twoCellAnchor>
  <xdr:twoCellAnchor editAs="oneCell">
    <xdr:from>
      <xdr:col>1</xdr:col>
      <xdr:colOff>1095375</xdr:colOff>
      <xdr:row>7</xdr:row>
      <xdr:rowOff>66675</xdr:rowOff>
    </xdr:from>
    <xdr:to>
      <xdr:col>3</xdr:col>
      <xdr:colOff>212725</xdr:colOff>
      <xdr:row>21</xdr:row>
      <xdr:rowOff>38100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9700" y="1323975"/>
          <a:ext cx="3000375" cy="2781300"/>
        </a:xfrm>
        <a:prstGeom prst="rect">
          <a:avLst/>
        </a:prstGeom>
      </xdr:spPr>
    </xdr:pic>
    <xdr:clientData/>
  </xdr:twoCellAnchor>
  <xdr:twoCellAnchor>
    <xdr:from>
      <xdr:col>7</xdr:col>
      <xdr:colOff>213946</xdr:colOff>
      <xdr:row>88</xdr:row>
      <xdr:rowOff>126754</xdr:rowOff>
    </xdr:from>
    <xdr:to>
      <xdr:col>10</xdr:col>
      <xdr:colOff>634999</xdr:colOff>
      <xdr:row>155</xdr:row>
      <xdr:rowOff>177800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560896" y="17728954"/>
          <a:ext cx="4516803" cy="13278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ase"/>
          <a:endParaRPr lang="en-US" sz="1200" b="1">
            <a:effectLst/>
            <a:latin typeface="Arial" panose="020B0604020202020204" pitchFamily="34" charset="0"/>
            <a:cs typeface="Arial" panose="020B0604020202020204" pitchFamily="34" charset="0"/>
          </a:endParaRPr>
        </a:p>
        <a:p>
          <a:pPr algn="ctr" fontAlgn="base"/>
          <a:r>
            <a:rPr lang="en-US" sz="1400" b="1">
              <a:effectLst/>
              <a:latin typeface="Arial" panose="020B0604020202020204" pitchFamily="34" charset="0"/>
              <a:cs typeface="Arial" panose="020B0604020202020204" pitchFamily="34" charset="0"/>
            </a:rPr>
            <a:t>GEARBOX EFICIENCY                                                                                     </a:t>
          </a:r>
        </a:p>
        <a:p>
          <a:pPr fontAlgn="base"/>
          <a:endParaRPr lang="en-US" sz="1200">
            <a:effectLst/>
            <a:latin typeface="Arial" panose="020B0604020202020204" pitchFamily="34" charset="0"/>
            <a:cs typeface="Arial" panose="020B0604020202020204" pitchFamily="34" charset="0"/>
          </a:endParaRPr>
        </a:p>
        <a:p>
          <a:pPr fontAlgn="base"/>
          <a:r>
            <a:rPr lang="en-US" sz="1200">
              <a:effectLst/>
              <a:latin typeface="Arial" panose="020B0604020202020204" pitchFamily="34" charset="0"/>
              <a:cs typeface="Arial" panose="020B0604020202020204" pitchFamily="34" charset="0"/>
            </a:rPr>
            <a:t>Most gearmotor manufacturers (Dodge, SEW-Eurodrive, Nord, Falk, etc) will list "generalized" efficiencies for a particular type of gearing configuration.                                                                              </a:t>
          </a:r>
        </a:p>
        <a:p>
          <a:pPr fontAlgn="base"/>
          <a:endParaRPr lang="en-US" sz="1200">
            <a:effectLst/>
            <a:latin typeface="Arial" panose="020B0604020202020204" pitchFamily="34" charset="0"/>
            <a:cs typeface="Arial" panose="020B0604020202020204" pitchFamily="34" charset="0"/>
          </a:endParaRPr>
        </a:p>
        <a:p>
          <a:pPr fontAlgn="base"/>
          <a:r>
            <a:rPr lang="en-US" sz="1200">
              <a:effectLst/>
              <a:latin typeface="Arial" panose="020B0604020202020204" pitchFamily="34" charset="0"/>
              <a:cs typeface="Arial" panose="020B0604020202020204" pitchFamily="34" charset="0"/>
            </a:rPr>
            <a:t>For example, helical gears = 0.96, worm gears = .85.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Most manufacturers will specify an intended gearbox operating point.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Gearbox efficiencies in a spur gearbox at a 16-mm (5/8-in) diameter vary from about 87% at a gear ratio of 6.3:1 to about 40% at a ratio of 10,683:1.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A basic rule that designers use for spur gears is a 10% loss per engagement.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One gear wheel in contact with another is defined as an engagement and the loss in that engagement is approximately 10%.</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A general rule is the lighter the load and the higher the ratio, the less likely it is that the gearbox will actually reach the manufacturers' specified efficiency.                                                         Light loading and high ratios tend to produce poor gearbox efficiencies.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But with heavy loading and high ratios, the gearbox will approach its theoretical efficiency.</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Overall system efficiencies depend on the efficiency of the motor and gearbox together.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If the efficiency of the motor and gearbox is each 50%, the two efficiencies are multiplied together to yield the system efficiency (0.5 x 0.5 or 0.25, or a system efficiency of 25%).</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At low ratios, motors are more heavily loaded than the gearboxes. A low reduction ratio lets the motor "see" more of the load than at a high ratio.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For example, the maximum efficiency of a 22:1 gearbox is about 76% and the maximum efficiency of the motor is about 80%. However, the two don't occur at the same time. When the motor reaches its peak efficiency, gearbox efficiency is closer to 63% instead of 74%.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Therefore, when the motor is at peak efficiency the gearbox is not — in low ratios.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This is a critical issue.                                                                                 Assuming the gearbox has a constant efficiency leads to incorrect calculations. In this case, a 10% efficiency difference could mean a lot in the overall system efficiency.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At higher gearbox ratios, motor and gearbox efficiencies follow similar curves because at that point the gearbox sees more of the load than does the motor.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This leads to peak efficiencies in both gearbox and motor.</a:t>
          </a:r>
        </a:p>
        <a:p>
          <a:pPr fontAlgn="base"/>
          <a:r>
            <a:rPr lang="en-US" sz="1200">
              <a:solidFill>
                <a:schemeClr val="dk1"/>
              </a:solidFill>
              <a:effectLst/>
              <a:latin typeface="Arial" panose="020B0604020202020204" pitchFamily="34" charset="0"/>
              <a:ea typeface="+mn-ea"/>
              <a:cs typeface="Arial" panose="020B0604020202020204" pitchFamily="34" charset="0"/>
            </a:rPr>
            <a:t>Variable motor speeds present another set of variables in the overall equation.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However, at about 150:1 to 200:1, the gearbox and motor efficiencies peak at the same time.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200">
              <a:solidFill>
                <a:schemeClr val="dk1"/>
              </a:solidFill>
              <a:effectLst/>
              <a:latin typeface="Arial" panose="020B0604020202020204" pitchFamily="34" charset="0"/>
              <a:ea typeface="+mn-ea"/>
              <a:cs typeface="Arial" panose="020B0604020202020204" pitchFamily="34" charset="0"/>
            </a:rPr>
            <a:t>To use the least amount of power, it's critical to match the motor, gearbox, and load closely to get the best system efficiencies. </a:t>
          </a:r>
        </a:p>
        <a:p>
          <a:pPr fontAlgn="base"/>
          <a:endParaRPr lang="en-US" sz="1200">
            <a:solidFill>
              <a:schemeClr val="dk1"/>
            </a:solidFill>
            <a:effectLst/>
            <a:latin typeface="Arial" panose="020B0604020202020204" pitchFamily="34" charset="0"/>
            <a:ea typeface="+mn-ea"/>
            <a:cs typeface="Arial" panose="020B0604020202020204" pitchFamily="34" charset="0"/>
          </a:endParaRPr>
        </a:p>
        <a:p>
          <a:pPr fontAlgn="base"/>
          <a:r>
            <a:rPr lang="en-US" sz="1400" b="1">
              <a:solidFill>
                <a:schemeClr val="dk1"/>
              </a:solidFill>
              <a:effectLst/>
              <a:latin typeface="Arial" panose="020B0604020202020204" pitchFamily="34" charset="0"/>
              <a:ea typeface="+mn-ea"/>
              <a:cs typeface="Arial" panose="020B0604020202020204" pitchFamily="34" charset="0"/>
            </a:rPr>
            <a:t>http://www.micromo.com/Data/Sites/1/technical-library-pdf/ff-1_gearboxefficiencies_md.pdf</a:t>
          </a:r>
        </a:p>
        <a:p>
          <a:endParaRPr lang="en-US" sz="1100"/>
        </a:p>
      </xdr:txBody>
    </xdr:sp>
    <xdr:clientData/>
  </xdr:twoCellAnchor>
  <xdr:twoCellAnchor editAs="oneCell">
    <xdr:from>
      <xdr:col>1</xdr:col>
      <xdr:colOff>69850</xdr:colOff>
      <xdr:row>229</xdr:row>
      <xdr:rowOff>82550</xdr:rowOff>
    </xdr:from>
    <xdr:to>
      <xdr:col>8</xdr:col>
      <xdr:colOff>1185086</xdr:colOff>
      <xdr:row>252</xdr:row>
      <xdr:rowOff>171450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00050" y="43675300"/>
          <a:ext cx="8551086" cy="4616450"/>
        </a:xfrm>
        <a:prstGeom prst="rect">
          <a:avLst/>
        </a:prstGeom>
      </xdr:spPr>
    </xdr:pic>
    <xdr:clientData/>
  </xdr:twoCellAnchor>
  <xdr:twoCellAnchor editAs="oneCell">
    <xdr:from>
      <xdr:col>1</xdr:col>
      <xdr:colOff>838199</xdr:colOff>
      <xdr:row>213</xdr:row>
      <xdr:rowOff>142875</xdr:rowOff>
    </xdr:from>
    <xdr:to>
      <xdr:col>5</xdr:col>
      <xdr:colOff>344340</xdr:colOff>
      <xdr:row>228</xdr:row>
      <xdr:rowOff>31750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68399" y="40586025"/>
          <a:ext cx="4744891" cy="2841625"/>
        </a:xfrm>
        <a:prstGeom prst="rect">
          <a:avLst/>
        </a:prstGeom>
      </xdr:spPr>
    </xdr:pic>
    <xdr:clientData/>
  </xdr:twoCellAnchor>
  <xdr:twoCellAnchor editAs="oneCell">
    <xdr:from>
      <xdr:col>0</xdr:col>
      <xdr:colOff>295274</xdr:colOff>
      <xdr:row>315</xdr:row>
      <xdr:rowOff>57150</xdr:rowOff>
    </xdr:from>
    <xdr:to>
      <xdr:col>7</xdr:col>
      <xdr:colOff>267555</xdr:colOff>
      <xdr:row>329</xdr:row>
      <xdr:rowOff>133350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95274" y="60655200"/>
          <a:ext cx="7319231" cy="2832100"/>
        </a:xfrm>
        <a:prstGeom prst="rect">
          <a:avLst/>
        </a:prstGeom>
      </xdr:spPr>
    </xdr:pic>
    <xdr:clientData/>
  </xdr:twoCellAnchor>
  <xdr:twoCellAnchor editAs="oneCell">
    <xdr:from>
      <xdr:col>1</xdr:col>
      <xdr:colOff>660400</xdr:colOff>
      <xdr:row>138</xdr:row>
      <xdr:rowOff>6350</xdr:rowOff>
    </xdr:from>
    <xdr:to>
      <xdr:col>4</xdr:col>
      <xdr:colOff>295275</xdr:colOff>
      <xdr:row>146</xdr:row>
      <xdr:rowOff>165100</xdr:rowOff>
    </xdr:to>
    <xdr:pic>
      <xdr:nvPicPr>
        <xdr:cNvPr id="17" name="Picture 9" descr="S-N-CURVE-1-JA">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0600" y="27451050"/>
          <a:ext cx="423227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504825</xdr:colOff>
      <xdr:row>60</xdr:row>
      <xdr:rowOff>22225</xdr:rowOff>
    </xdr:from>
    <xdr:to>
      <xdr:col>13</xdr:col>
      <xdr:colOff>581025</xdr:colOff>
      <xdr:row>77</xdr:row>
      <xdr:rowOff>104775</xdr:rowOff>
    </xdr:to>
    <xdr:pic>
      <xdr:nvPicPr>
        <xdr:cNvPr id="18" name="Picture 17" descr="MANUEL CAR GEARS.jp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cstate="print"/>
        <a:stretch>
          <a:fillRect/>
        </a:stretch>
      </xdr:blipFill>
      <xdr:spPr>
        <a:xfrm>
          <a:off x="8270875" y="11966575"/>
          <a:ext cx="5753100" cy="3473450"/>
        </a:xfrm>
        <a:prstGeom prst="rect">
          <a:avLst/>
        </a:prstGeom>
      </xdr:spPr>
    </xdr:pic>
    <xdr:clientData/>
  </xdr:twoCellAnchor>
  <xdr:oneCellAnchor>
    <xdr:from>
      <xdr:col>6</xdr:col>
      <xdr:colOff>323850</xdr:colOff>
      <xdr:row>3</xdr:row>
      <xdr:rowOff>95250</xdr:rowOff>
    </xdr:from>
    <xdr:ext cx="4000500" cy="4095751"/>
    <xdr:pic>
      <xdr:nvPicPr>
        <xdr:cNvPr id="7" name="Picture 30" descr="Worm_Gear_Speed_Reducer">
          <a:extLst>
            <a:ext uri="{FF2B5EF4-FFF2-40B4-BE49-F238E27FC236}">
              <a16:creationId xmlns:a16="http://schemas.microsoft.com/office/drawing/2014/main" id="{86854575-FBEF-473D-8196-53931FF201C3}"/>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7029450" y="742950"/>
          <a:ext cx="4000500" cy="4095751"/>
        </a:xfrm>
        <a:prstGeom prst="rect">
          <a:avLst/>
        </a:prstGeom>
        <a:noFill/>
        <a:ln w="9525">
          <a:noFill/>
          <a:miter lim="800000"/>
          <a:headEnd/>
          <a:tailEnd/>
        </a:ln>
      </xdr:spPr>
    </xdr:pic>
    <xdr:clientData/>
  </xdr:oneCellAnchor>
  <xdr:twoCellAnchor editAs="oneCell">
    <xdr:from>
      <xdr:col>9</xdr:col>
      <xdr:colOff>723900</xdr:colOff>
      <xdr:row>7</xdr:row>
      <xdr:rowOff>76200</xdr:rowOff>
    </xdr:from>
    <xdr:to>
      <xdr:col>15</xdr:col>
      <xdr:colOff>263002</xdr:colOff>
      <xdr:row>22</xdr:row>
      <xdr:rowOff>120650</xdr:rowOff>
    </xdr:to>
    <xdr:pic>
      <xdr:nvPicPr>
        <xdr:cNvPr id="8" name="Picture 7">
          <a:extLst>
            <a:ext uri="{FF2B5EF4-FFF2-40B4-BE49-F238E27FC236}">
              <a16:creationId xmlns:a16="http://schemas.microsoft.com/office/drawing/2014/main" id="{DF5FDE92-670C-C1A1-69C6-2C50A6E2E2F0}"/>
            </a:ext>
          </a:extLst>
        </xdr:cNvPr>
        <xdr:cNvPicPr>
          <a:picLocks noChangeAspect="1"/>
        </xdr:cNvPicPr>
      </xdr:nvPicPr>
      <xdr:blipFill>
        <a:blip xmlns:r="http://schemas.openxmlformats.org/officeDocument/2006/relationships" r:embed="rId12"/>
        <a:stretch>
          <a:fillRect/>
        </a:stretch>
      </xdr:blipFill>
      <xdr:spPr>
        <a:xfrm>
          <a:off x="10598150" y="1511300"/>
          <a:ext cx="3952352" cy="2997200"/>
        </a:xfrm>
        <a:prstGeom prst="rect">
          <a:avLst/>
        </a:prstGeom>
      </xdr:spPr>
    </xdr:pic>
    <xdr:clientData/>
  </xdr:twoCellAnchor>
  <xdr:twoCellAnchor>
    <xdr:from>
      <xdr:col>8</xdr:col>
      <xdr:colOff>1403350</xdr:colOff>
      <xdr:row>27</xdr:row>
      <xdr:rowOff>133350</xdr:rowOff>
    </xdr:from>
    <xdr:to>
      <xdr:col>13</xdr:col>
      <xdr:colOff>158750</xdr:colOff>
      <xdr:row>56</xdr:row>
      <xdr:rowOff>44450</xdr:rowOff>
    </xdr:to>
    <xdr:sp macro="" textlink="">
      <xdr:nvSpPr>
        <xdr:cNvPr id="9" name="TextBox 8">
          <a:extLst>
            <a:ext uri="{FF2B5EF4-FFF2-40B4-BE49-F238E27FC236}">
              <a16:creationId xmlns:a16="http://schemas.microsoft.com/office/drawing/2014/main" id="{EA441A94-1361-9C15-3B6B-A6EE0E2CB8A9}"/>
            </a:ext>
          </a:extLst>
        </xdr:cNvPr>
        <xdr:cNvSpPr txBox="1"/>
      </xdr:nvSpPr>
      <xdr:spPr>
        <a:xfrm>
          <a:off x="8731250" y="5511800"/>
          <a:ext cx="4432300" cy="562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gn="ctr"/>
          <a:r>
            <a:rPr lang="en-US" sz="1400" b="1">
              <a:latin typeface="Arial" panose="020B0604020202020204" pitchFamily="34" charset="0"/>
              <a:cs typeface="Arial" panose="020B0604020202020204" pitchFamily="34" charset="0"/>
            </a:rPr>
            <a:t>BOSTON GEAR</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"Straight-tooth bevel gears have teeth that are made from precision-forged alloy steel for maximum strength, as well as case hardened for increased durability."</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"Input and output shafts are constructed from ground and polished heat-treated alloy steel to further enhance the overall toughness of these drives.</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Precision-machined, one-piece, quality cast-iron housings mean less maintenance and greater reliability.</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For greater support and rigidity, all shafts are supported by two tapered-roller bearings, while several models offer a straddle design with the gears supported on both sides.</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Double-lip, garter-spring-type oil seals are use to retain lubricants and block foreign-matter contamination for extended life.</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Flush-type vented-filler plugs with sintered-bronze breather inserts further reduce contamination.</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All drives are furnished with keys for projecting shafts to assure quick installation.</a:t>
          </a:r>
        </a:p>
        <a:p>
          <a:endParaRPr lang="en-US" sz="1200" b="0" i="0">
            <a:solidFill>
              <a:schemeClr val="dk1"/>
            </a:solidFill>
            <a:effectLst/>
            <a:latin typeface="Arial" panose="020B0604020202020204" pitchFamily="34" charset="0"/>
            <a:ea typeface="+mn-ea"/>
            <a:cs typeface="Arial" panose="020B0604020202020204" pitchFamily="34" charset="0"/>
          </a:endParaRPr>
        </a:p>
        <a:p>
          <a:r>
            <a:rPr lang="en-US" sz="1200" b="0" i="0">
              <a:solidFill>
                <a:schemeClr val="dk1"/>
              </a:solidFill>
              <a:effectLst/>
              <a:latin typeface="Arial" panose="020B0604020202020204" pitchFamily="34" charset="0"/>
              <a:ea typeface="+mn-ea"/>
              <a:cs typeface="Arial" panose="020B0604020202020204" pitchFamily="34" charset="0"/>
            </a:rPr>
            <a:t>Boston Gear's Guaranteed Same Day Shipment Program ensures that you get what you need when you need it."</a:t>
          </a:r>
        </a:p>
        <a:p>
          <a:endParaRPr lang="en-US" sz="1100"/>
        </a:p>
      </xdr:txBody>
    </xdr:sp>
    <xdr:clientData/>
  </xdr:twoCellAnchor>
  <xdr:twoCellAnchor editAs="oneCell">
    <xdr:from>
      <xdr:col>8</xdr:col>
      <xdr:colOff>762000</xdr:colOff>
      <xdr:row>167</xdr:row>
      <xdr:rowOff>38100</xdr:rowOff>
    </xdr:from>
    <xdr:to>
      <xdr:col>8</xdr:col>
      <xdr:colOff>2514941</xdr:colOff>
      <xdr:row>176</xdr:row>
      <xdr:rowOff>57150</xdr:rowOff>
    </xdr:to>
    <xdr:pic>
      <xdr:nvPicPr>
        <xdr:cNvPr id="19" name="Picture 18">
          <a:extLst>
            <a:ext uri="{FF2B5EF4-FFF2-40B4-BE49-F238E27FC236}">
              <a16:creationId xmlns:a16="http://schemas.microsoft.com/office/drawing/2014/main" id="{A214A49D-F272-2DD1-8960-38DD7BBFF6AE}"/>
            </a:ext>
          </a:extLst>
        </xdr:cNvPr>
        <xdr:cNvPicPr>
          <a:picLocks noChangeAspect="1"/>
        </xdr:cNvPicPr>
      </xdr:nvPicPr>
      <xdr:blipFill>
        <a:blip xmlns:r="http://schemas.openxmlformats.org/officeDocument/2006/relationships" r:embed="rId13"/>
        <a:stretch>
          <a:fillRect/>
        </a:stretch>
      </xdr:blipFill>
      <xdr:spPr>
        <a:xfrm>
          <a:off x="8528050" y="33515300"/>
          <a:ext cx="1752941"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654050</xdr:colOff>
      <xdr:row>19</xdr:row>
      <xdr:rowOff>136525</xdr:rowOff>
    </xdr:from>
    <xdr:to>
      <xdr:col>3</xdr:col>
      <xdr:colOff>85271</xdr:colOff>
      <xdr:row>37</xdr:row>
      <xdr:rowOff>82550</xdr:rowOff>
    </xdr:to>
    <xdr:pic>
      <xdr:nvPicPr>
        <xdr:cNvPr id="2" name="Picture 8" descr="GEAR-FORC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250" y="3997325"/>
          <a:ext cx="4339771" cy="348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2533650</xdr:colOff>
      <xdr:row>61</xdr:row>
      <xdr:rowOff>114300</xdr:rowOff>
    </xdr:from>
    <xdr:to>
      <xdr:col>7</xdr:col>
      <xdr:colOff>345621</xdr:colOff>
      <xdr:row>92</xdr:row>
      <xdr:rowOff>38100</xdr:rowOff>
    </xdr:to>
    <xdr:pic>
      <xdr:nvPicPr>
        <xdr:cNvPr id="4" name="Picture 13" descr="GEARS-Mmax-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7975" y="11953875"/>
          <a:ext cx="4936671" cy="631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539750</xdr:colOff>
      <xdr:row>121</xdr:row>
      <xdr:rowOff>12700</xdr:rowOff>
    </xdr:from>
    <xdr:to>
      <xdr:col>9</xdr:col>
      <xdr:colOff>215900</xdr:colOff>
      <xdr:row>128</xdr:row>
      <xdr:rowOff>60325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2750" y="23609300"/>
          <a:ext cx="2114550" cy="1495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48</xdr:row>
      <xdr:rowOff>19050</xdr:rowOff>
    </xdr:from>
    <xdr:to>
      <xdr:col>1</xdr:col>
      <xdr:colOff>2667000</xdr:colOff>
      <xdr:row>57</xdr:row>
      <xdr:rowOff>47625</xdr:rowOff>
    </xdr:to>
    <xdr:pic>
      <xdr:nvPicPr>
        <xdr:cNvPr id="2" name="Picture 1" descr="3D-SHAFT-SHOULDER-BENDI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9690100"/>
          <a:ext cx="2533650" cy="180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85</xdr:row>
      <xdr:rowOff>44451</xdr:rowOff>
    </xdr:from>
    <xdr:to>
      <xdr:col>3</xdr:col>
      <xdr:colOff>288925</xdr:colOff>
      <xdr:row>99</xdr:row>
      <xdr:rowOff>177801</xdr:rowOff>
    </xdr:to>
    <xdr:pic>
      <xdr:nvPicPr>
        <xdr:cNvPr id="3" name="Picture 2" descr="3D-PLATE-SHOULDER-BENDI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 y="17106901"/>
          <a:ext cx="4060825" cy="288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172</xdr:row>
      <xdr:rowOff>66675</xdr:rowOff>
    </xdr:from>
    <xdr:to>
      <xdr:col>4</xdr:col>
      <xdr:colOff>504825</xdr:colOff>
      <xdr:row>178</xdr:row>
      <xdr:rowOff>47625</xdr:rowOff>
    </xdr:to>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4524375" y="31832550"/>
          <a:ext cx="438150" cy="1143000"/>
        </a:xfrm>
        <a:prstGeom prst="rect">
          <a:avLst/>
        </a:prstGeom>
        <a:solidFill>
          <a:srgbClr val="FFFFFF"/>
        </a:solidFill>
        <a:ln w="9525">
          <a:solidFill>
            <a:srgbClr val="000000"/>
          </a:solidFill>
          <a:miter lim="800000"/>
          <a:headEnd/>
          <a:tailEnd/>
        </a:ln>
      </xdr:spPr>
    </xdr:sp>
    <xdr:clientData/>
  </xdr:twoCellAnchor>
  <xdr:twoCellAnchor>
    <xdr:from>
      <xdr:col>4</xdr:col>
      <xdr:colOff>200025</xdr:colOff>
      <xdr:row>178</xdr:row>
      <xdr:rowOff>133350</xdr:rowOff>
    </xdr:from>
    <xdr:to>
      <xdr:col>4</xdr:col>
      <xdr:colOff>400050</xdr:colOff>
      <xdr:row>179</xdr:row>
      <xdr:rowOff>123825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5448300" y="27612975"/>
          <a:ext cx="200025"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B</a:t>
          </a:r>
        </a:p>
      </xdr:txBody>
    </xdr:sp>
    <xdr:clientData/>
  </xdr:twoCellAnchor>
  <xdr:twoCellAnchor>
    <xdr:from>
      <xdr:col>3</xdr:col>
      <xdr:colOff>504825</xdr:colOff>
      <xdr:row>172</xdr:row>
      <xdr:rowOff>47625</xdr:rowOff>
    </xdr:from>
    <xdr:to>
      <xdr:col>3</xdr:col>
      <xdr:colOff>504825</xdr:colOff>
      <xdr:row>174</xdr:row>
      <xdr:rowOff>114300</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flipV="1">
          <a:off x="4981575" y="26536650"/>
          <a:ext cx="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175</xdr:row>
      <xdr:rowOff>19050</xdr:rowOff>
    </xdr:from>
    <xdr:to>
      <xdr:col>3</xdr:col>
      <xdr:colOff>514350</xdr:colOff>
      <xdr:row>178</xdr:row>
      <xdr:rowOff>76200</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4991100" y="27012900"/>
          <a:ext cx="0"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600075</xdr:colOff>
      <xdr:row>179</xdr:row>
      <xdr:rowOff>57150</xdr:rowOff>
    </xdr:from>
    <xdr:to>
      <xdr:col>4</xdr:col>
      <xdr:colOff>95250</xdr:colOff>
      <xdr:row>179</xdr:row>
      <xdr:rowOff>57150</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bwMode="auto">
        <a:xfrm>
          <a:off x="5076825" y="2769870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495300</xdr:colOff>
      <xdr:row>179</xdr:row>
      <xdr:rowOff>38100</xdr:rowOff>
    </xdr:from>
    <xdr:to>
      <xdr:col>4</xdr:col>
      <xdr:colOff>666750</xdr:colOff>
      <xdr:row>179</xdr:row>
      <xdr:rowOff>38100</xdr:rowOff>
    </xdr:to>
    <xdr:sp macro="" textlink="">
      <xdr:nvSpPr>
        <xdr:cNvPr id="9" name="Line 10">
          <a:extLst>
            <a:ext uri="{FF2B5EF4-FFF2-40B4-BE49-F238E27FC236}">
              <a16:creationId xmlns:a16="http://schemas.microsoft.com/office/drawing/2014/main" id="{00000000-0008-0000-0200-000009000000}"/>
            </a:ext>
          </a:extLst>
        </xdr:cNvPr>
        <xdr:cNvSpPr>
          <a:spLocks noChangeShapeType="1"/>
        </xdr:cNvSpPr>
      </xdr:nvSpPr>
      <xdr:spPr bwMode="auto">
        <a:xfrm flipH="1">
          <a:off x="5743575" y="27679650"/>
          <a:ext cx="171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409575</xdr:colOff>
      <xdr:row>174</xdr:row>
      <xdr:rowOff>85725</xdr:rowOff>
    </xdr:from>
    <xdr:to>
      <xdr:col>3</xdr:col>
      <xdr:colOff>609600</xdr:colOff>
      <xdr:row>175</xdr:row>
      <xdr:rowOff>76200</xdr:rowOff>
    </xdr:to>
    <xdr:sp macro="" textlink="">
      <xdr:nvSpPr>
        <xdr:cNvPr id="10" name="Text Box 5">
          <a:extLst>
            <a:ext uri="{FF2B5EF4-FFF2-40B4-BE49-F238E27FC236}">
              <a16:creationId xmlns:a16="http://schemas.microsoft.com/office/drawing/2014/main" id="{00000000-0008-0000-0200-00000A000000}"/>
            </a:ext>
          </a:extLst>
        </xdr:cNvPr>
        <xdr:cNvSpPr txBox="1">
          <a:spLocks noChangeArrowheads="1"/>
        </xdr:cNvSpPr>
      </xdr:nvSpPr>
      <xdr:spPr bwMode="auto">
        <a:xfrm>
          <a:off x="4886325" y="26908125"/>
          <a:ext cx="2000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H</a:t>
          </a:r>
        </a:p>
      </xdr:txBody>
    </xdr:sp>
    <xdr:clientData/>
  </xdr:twoCellAnchor>
  <xdr:twoCellAnchor>
    <xdr:from>
      <xdr:col>3</xdr:col>
      <xdr:colOff>685800</xdr:colOff>
      <xdr:row>175</xdr:row>
      <xdr:rowOff>66675</xdr:rowOff>
    </xdr:from>
    <xdr:to>
      <xdr:col>4</xdr:col>
      <xdr:colOff>657225</xdr:colOff>
      <xdr:row>175</xdr:row>
      <xdr:rowOff>66675</xdr:rowOff>
    </xdr:to>
    <xdr:sp macro="" textlink="">
      <xdr:nvSpPr>
        <xdr:cNvPr id="11" name="Line 11">
          <a:extLst>
            <a:ext uri="{FF2B5EF4-FFF2-40B4-BE49-F238E27FC236}">
              <a16:creationId xmlns:a16="http://schemas.microsoft.com/office/drawing/2014/main" id="{00000000-0008-0000-0200-00000B000000}"/>
            </a:ext>
          </a:extLst>
        </xdr:cNvPr>
        <xdr:cNvSpPr>
          <a:spLocks noChangeShapeType="1"/>
        </xdr:cNvSpPr>
      </xdr:nvSpPr>
      <xdr:spPr bwMode="auto">
        <a:xfrm>
          <a:off x="5162550" y="27060525"/>
          <a:ext cx="7429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4</xdr:col>
      <xdr:colOff>38100</xdr:colOff>
      <xdr:row>181</xdr:row>
      <xdr:rowOff>133350</xdr:rowOff>
    </xdr:from>
    <xdr:to>
      <xdr:col>4</xdr:col>
      <xdr:colOff>635000</xdr:colOff>
      <xdr:row>184</xdr:row>
      <xdr:rowOff>95250</xdr:rowOff>
    </xdr:to>
    <xdr:sp macro="" textlink="">
      <xdr:nvSpPr>
        <xdr:cNvPr id="12" name="Oval 12">
          <a:extLst>
            <a:ext uri="{FF2B5EF4-FFF2-40B4-BE49-F238E27FC236}">
              <a16:creationId xmlns:a16="http://schemas.microsoft.com/office/drawing/2014/main" id="{00000000-0008-0000-0200-00000C000000}"/>
            </a:ext>
          </a:extLst>
        </xdr:cNvPr>
        <xdr:cNvSpPr>
          <a:spLocks noChangeArrowheads="1"/>
        </xdr:cNvSpPr>
      </xdr:nvSpPr>
      <xdr:spPr bwMode="auto">
        <a:xfrm>
          <a:off x="5645150" y="36353750"/>
          <a:ext cx="596900" cy="596900"/>
        </a:xfrm>
        <a:prstGeom prst="ellipse">
          <a:avLst/>
        </a:prstGeom>
        <a:solidFill>
          <a:srgbClr val="FFFFFF"/>
        </a:solidFill>
        <a:ln w="9525">
          <a:solidFill>
            <a:srgbClr val="000000"/>
          </a:solidFill>
          <a:round/>
          <a:headEnd/>
          <a:tailEnd/>
        </a:ln>
      </xdr:spPr>
    </xdr:sp>
    <xdr:clientData/>
  </xdr:twoCellAnchor>
  <xdr:twoCellAnchor>
    <xdr:from>
      <xdr:col>3</xdr:col>
      <xdr:colOff>647700</xdr:colOff>
      <xdr:row>183</xdr:row>
      <xdr:rowOff>123824</xdr:rowOff>
    </xdr:from>
    <xdr:to>
      <xdr:col>4</xdr:col>
      <xdr:colOff>34925</xdr:colOff>
      <xdr:row>184</xdr:row>
      <xdr:rowOff>66674</xdr:rowOff>
    </xdr:to>
    <xdr:sp macro="" textlink="">
      <xdr:nvSpPr>
        <xdr:cNvPr id="13" name="Line 13">
          <a:extLst>
            <a:ext uri="{FF2B5EF4-FFF2-40B4-BE49-F238E27FC236}">
              <a16:creationId xmlns:a16="http://schemas.microsoft.com/office/drawing/2014/main" id="{00000000-0008-0000-0200-00000D000000}"/>
            </a:ext>
          </a:extLst>
        </xdr:cNvPr>
        <xdr:cNvSpPr>
          <a:spLocks noChangeShapeType="1"/>
        </xdr:cNvSpPr>
      </xdr:nvSpPr>
      <xdr:spPr bwMode="auto">
        <a:xfrm flipV="1">
          <a:off x="5372100" y="36782374"/>
          <a:ext cx="269875" cy="139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457200</xdr:colOff>
      <xdr:row>183</xdr:row>
      <xdr:rowOff>152400</xdr:rowOff>
    </xdr:from>
    <xdr:to>
      <xdr:col>3</xdr:col>
      <xdr:colOff>647700</xdr:colOff>
      <xdr:row>185</xdr:row>
      <xdr:rowOff>0</xdr:rowOff>
    </xdr:to>
    <xdr:sp macro="" textlink="">
      <xdr:nvSpPr>
        <xdr:cNvPr id="14" name="Text Box 14">
          <a:extLst>
            <a:ext uri="{FF2B5EF4-FFF2-40B4-BE49-F238E27FC236}">
              <a16:creationId xmlns:a16="http://schemas.microsoft.com/office/drawing/2014/main" id="{00000000-0008-0000-0200-00000E000000}"/>
            </a:ext>
          </a:extLst>
        </xdr:cNvPr>
        <xdr:cNvSpPr txBox="1">
          <a:spLocks noChangeArrowheads="1"/>
        </xdr:cNvSpPr>
      </xdr:nvSpPr>
      <xdr:spPr bwMode="auto">
        <a:xfrm>
          <a:off x="4933950" y="28460700"/>
          <a:ext cx="190500" cy="1714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D</a:t>
          </a:r>
        </a:p>
      </xdr:txBody>
    </xdr:sp>
    <xdr:clientData/>
  </xdr:twoCellAnchor>
  <xdr:twoCellAnchor>
    <xdr:from>
      <xdr:col>3</xdr:col>
      <xdr:colOff>676274</xdr:colOff>
      <xdr:row>183</xdr:row>
      <xdr:rowOff>9524</xdr:rowOff>
    </xdr:from>
    <xdr:to>
      <xdr:col>5</xdr:col>
      <xdr:colOff>104774</xdr:colOff>
      <xdr:row>183</xdr:row>
      <xdr:rowOff>19049</xdr:rowOff>
    </xdr:to>
    <xdr:sp macro="" textlink="">
      <xdr:nvSpPr>
        <xdr:cNvPr id="15" name="Line 15">
          <a:extLst>
            <a:ext uri="{FF2B5EF4-FFF2-40B4-BE49-F238E27FC236}">
              <a16:creationId xmlns:a16="http://schemas.microsoft.com/office/drawing/2014/main" id="{00000000-0008-0000-0200-00000F000000}"/>
            </a:ext>
          </a:extLst>
        </xdr:cNvPr>
        <xdr:cNvSpPr>
          <a:spLocks noChangeShapeType="1"/>
        </xdr:cNvSpPr>
      </xdr:nvSpPr>
      <xdr:spPr bwMode="auto">
        <a:xfrm>
          <a:off x="4457699" y="33908999"/>
          <a:ext cx="714375" cy="952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181</xdr:row>
      <xdr:rowOff>38100</xdr:rowOff>
    </xdr:from>
    <xdr:to>
      <xdr:col>4</xdr:col>
      <xdr:colOff>333375</xdr:colOff>
      <xdr:row>185</xdr:row>
      <xdr:rowOff>85725</xdr:rowOff>
    </xdr:to>
    <xdr:sp macro="" textlink="">
      <xdr:nvSpPr>
        <xdr:cNvPr id="16" name="Line 16">
          <a:extLst>
            <a:ext uri="{FF2B5EF4-FFF2-40B4-BE49-F238E27FC236}">
              <a16:creationId xmlns:a16="http://schemas.microsoft.com/office/drawing/2014/main" id="{00000000-0008-0000-0200-000010000000}"/>
            </a:ext>
          </a:extLst>
        </xdr:cNvPr>
        <xdr:cNvSpPr>
          <a:spLocks noChangeShapeType="1"/>
        </xdr:cNvSpPr>
      </xdr:nvSpPr>
      <xdr:spPr bwMode="auto">
        <a:xfrm>
          <a:off x="5940425" y="36258500"/>
          <a:ext cx="0" cy="87947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xdr:col>
      <xdr:colOff>1797050</xdr:colOff>
      <xdr:row>102</xdr:row>
      <xdr:rowOff>120650</xdr:rowOff>
    </xdr:from>
    <xdr:to>
      <xdr:col>1</xdr:col>
      <xdr:colOff>3390900</xdr:colOff>
      <xdr:row>108</xdr:row>
      <xdr:rowOff>101600</xdr:rowOff>
    </xdr:to>
    <xdr:sp macro="" textlink="">
      <xdr:nvSpPr>
        <xdr:cNvPr id="17" name="Text Box 19">
          <a:extLst>
            <a:ext uri="{FF2B5EF4-FFF2-40B4-BE49-F238E27FC236}">
              <a16:creationId xmlns:a16="http://schemas.microsoft.com/office/drawing/2014/main" id="{00000000-0008-0000-0200-000011000000}"/>
            </a:ext>
          </a:extLst>
        </xdr:cNvPr>
        <xdr:cNvSpPr txBox="1">
          <a:spLocks noChangeArrowheads="1"/>
        </xdr:cNvSpPr>
      </xdr:nvSpPr>
      <xdr:spPr bwMode="auto">
        <a:xfrm>
          <a:off x="2216150" y="20535900"/>
          <a:ext cx="1593850" cy="1168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endParaRPr lang="en-US" sz="1200" b="1" i="0" u="none" strike="noStrike" baseline="0">
            <a:solidFill>
              <a:srgbClr val="000000"/>
            </a:solidFill>
            <a:latin typeface="Arial"/>
            <a:cs typeface="Arial"/>
          </a:endParaRPr>
        </a:p>
        <a:p>
          <a:pPr algn="l" rtl="0">
            <a:lnSpc>
              <a:spcPts val="1000"/>
            </a:lnSpc>
            <a:defRPr sz="1000"/>
          </a:pPr>
          <a:r>
            <a:rPr lang="en-US" sz="1200" b="1" i="0" u="none" strike="noStrike" baseline="0">
              <a:solidFill>
                <a:srgbClr val="000000"/>
              </a:solidFill>
              <a:latin typeface="Arial"/>
              <a:cs typeface="Arial"/>
            </a:rPr>
            <a:t>Kt Table</a:t>
          </a:r>
        </a:p>
        <a:p>
          <a:pPr algn="l" rtl="0">
            <a:lnSpc>
              <a:spcPts val="1000"/>
            </a:lnSpc>
            <a:defRPr sz="1000"/>
          </a:pPr>
          <a:endParaRPr lang="en-US" sz="1200" b="0" i="0" u="none" strike="noStrike" baseline="0">
            <a:solidFill>
              <a:srgbClr val="000000"/>
            </a:solidFill>
            <a:latin typeface="Arial"/>
            <a:cs typeface="Arial"/>
          </a:endParaRPr>
        </a:p>
        <a:p>
          <a:pPr algn="l" rtl="0">
            <a:lnSpc>
              <a:spcPts val="900"/>
            </a:lnSpc>
            <a:defRPr sz="1000"/>
          </a:pPr>
          <a:r>
            <a:rPr lang="en-US" sz="1200" b="0" i="0" u="none" strike="noStrike" baseline="0">
              <a:solidFill>
                <a:srgbClr val="000000"/>
              </a:solidFill>
              <a:latin typeface="Arial"/>
              <a:cs typeface="Arial"/>
            </a:rPr>
            <a:t>Geometric stress</a:t>
          </a:r>
        </a:p>
        <a:p>
          <a:pPr algn="l" rtl="0">
            <a:lnSpc>
              <a:spcPts val="900"/>
            </a:lnSpc>
            <a:defRPr sz="1000"/>
          </a:pPr>
          <a:endParaRPr lang="en-US" sz="1200" b="0" i="0" u="none" strike="noStrike" baseline="0">
            <a:solidFill>
              <a:srgbClr val="000000"/>
            </a:solidFill>
            <a:latin typeface="Arial"/>
            <a:cs typeface="Arial"/>
          </a:endParaRPr>
        </a:p>
        <a:p>
          <a:pPr algn="l" rtl="0">
            <a:lnSpc>
              <a:spcPts val="900"/>
            </a:lnSpc>
            <a:defRPr sz="1000"/>
          </a:pPr>
          <a:r>
            <a:rPr lang="en-US" sz="1200" b="0" i="0" u="none" strike="noStrike" baseline="0">
              <a:solidFill>
                <a:srgbClr val="000000"/>
              </a:solidFill>
              <a:latin typeface="Arial"/>
              <a:cs typeface="Arial"/>
            </a:rPr>
            <a:t> concentration factor </a:t>
          </a:r>
        </a:p>
        <a:p>
          <a:pPr algn="l" rtl="0">
            <a:lnSpc>
              <a:spcPts val="900"/>
            </a:lnSpc>
            <a:defRPr sz="1000"/>
          </a:pPr>
          <a:endParaRPr lang="en-US" sz="1200" b="0" i="0" u="none" strike="noStrike" baseline="0">
            <a:solidFill>
              <a:srgbClr val="000000"/>
            </a:solidFill>
            <a:latin typeface="Arial"/>
            <a:cs typeface="Arial"/>
          </a:endParaRPr>
        </a:p>
        <a:p>
          <a:pPr algn="l" rtl="0">
            <a:lnSpc>
              <a:spcPts val="900"/>
            </a:lnSpc>
            <a:defRPr sz="1000"/>
          </a:pPr>
          <a:r>
            <a:rPr lang="en-US" sz="1200" b="1" i="0" u="none" strike="noStrike" baseline="0">
              <a:solidFill>
                <a:srgbClr val="000000"/>
              </a:solidFill>
              <a:latin typeface="Arial"/>
              <a:cs typeface="Arial"/>
            </a:rPr>
            <a:t>(Kt) </a:t>
          </a:r>
          <a:r>
            <a:rPr lang="en-US" sz="1200" b="0" i="0" u="none" strike="noStrike" baseline="0">
              <a:solidFill>
                <a:srgbClr val="000000"/>
              </a:solidFill>
              <a:latin typeface="Arial"/>
              <a:cs typeface="Arial"/>
            </a:rPr>
            <a:t>in static bending..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523875</xdr:colOff>
      <xdr:row>133</xdr:row>
      <xdr:rowOff>9525</xdr:rowOff>
    </xdr:from>
    <xdr:ext cx="2886075" cy="2686050"/>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5410200" y="22564725"/>
          <a:ext cx="2886075" cy="2686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3</xdr:col>
      <xdr:colOff>76201</xdr:colOff>
      <xdr:row>4</xdr:row>
      <xdr:rowOff>95251</xdr:rowOff>
    </xdr:from>
    <xdr:to>
      <xdr:col>7</xdr:col>
      <xdr:colOff>583224</xdr:colOff>
      <xdr:row>14</xdr:row>
      <xdr:rowOff>46754</xdr:rowOff>
    </xdr:to>
    <xdr:pic>
      <xdr:nvPicPr>
        <xdr:cNvPr id="54" name="Picture 2" descr="3D-GEAR-SHAFT-BRG">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14826" y="866776"/>
          <a:ext cx="3364523" cy="2177178"/>
        </a:xfrm>
        <a:prstGeom prst="rect">
          <a:avLst/>
        </a:prstGeom>
        <a:noFill/>
        <a:ln w="9525">
          <a:noFill/>
          <a:miter lim="800000"/>
          <a:headEnd/>
          <a:tailEnd/>
        </a:ln>
      </xdr:spPr>
    </xdr:pic>
    <xdr:clientData/>
  </xdr:twoCellAnchor>
  <xdr:twoCellAnchor editAs="oneCell">
    <xdr:from>
      <xdr:col>1</xdr:col>
      <xdr:colOff>114299</xdr:colOff>
      <xdr:row>118</xdr:row>
      <xdr:rowOff>85725</xdr:rowOff>
    </xdr:from>
    <xdr:to>
      <xdr:col>1</xdr:col>
      <xdr:colOff>3308350</xdr:colOff>
      <xdr:row>129</xdr:row>
      <xdr:rowOff>174625</xdr:rowOff>
    </xdr:to>
    <xdr:pic>
      <xdr:nvPicPr>
        <xdr:cNvPr id="55" name="Picture 3" descr="GEARS-TWO">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574" y="20164425"/>
          <a:ext cx="3067051" cy="1987550"/>
        </a:xfrm>
        <a:prstGeom prst="rect">
          <a:avLst/>
        </a:prstGeom>
        <a:noFill/>
        <a:ln w="9525">
          <a:noFill/>
          <a:miter lim="800000"/>
          <a:headEnd/>
          <a:tailEnd/>
        </a:ln>
      </xdr:spPr>
    </xdr:pic>
    <xdr:clientData/>
  </xdr:twoCellAnchor>
  <xdr:twoCellAnchor editAs="oneCell">
    <xdr:from>
      <xdr:col>2</xdr:col>
      <xdr:colOff>765175</xdr:colOff>
      <xdr:row>119</xdr:row>
      <xdr:rowOff>117475</xdr:rowOff>
    </xdr:from>
    <xdr:to>
      <xdr:col>5</xdr:col>
      <xdr:colOff>25400</xdr:colOff>
      <xdr:row>128</xdr:row>
      <xdr:rowOff>79374</xdr:rowOff>
    </xdr:to>
    <xdr:pic>
      <xdr:nvPicPr>
        <xdr:cNvPr id="56" name="Picture 4" descr="TOOTH-STRESS">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84600" y="20358100"/>
          <a:ext cx="1889125" cy="1511299"/>
        </a:xfrm>
        <a:prstGeom prst="rect">
          <a:avLst/>
        </a:prstGeom>
        <a:noFill/>
        <a:ln w="9525">
          <a:noFill/>
          <a:miter lim="800000"/>
          <a:headEnd/>
          <a:tailEnd/>
        </a:ln>
      </xdr:spPr>
    </xdr:pic>
    <xdr:clientData/>
  </xdr:twoCellAnchor>
  <xdr:twoCellAnchor editAs="oneCell">
    <xdr:from>
      <xdr:col>1</xdr:col>
      <xdr:colOff>66675</xdr:colOff>
      <xdr:row>169</xdr:row>
      <xdr:rowOff>123825</xdr:rowOff>
    </xdr:from>
    <xdr:to>
      <xdr:col>4</xdr:col>
      <xdr:colOff>507268</xdr:colOff>
      <xdr:row>177</xdr:row>
      <xdr:rowOff>69851</xdr:rowOff>
    </xdr:to>
    <xdr:pic>
      <xdr:nvPicPr>
        <xdr:cNvPr id="57" name="Picture 5" descr="GEAR-C-FACTOR">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61950" y="32794575"/>
          <a:ext cx="5533293" cy="1571626"/>
        </a:xfrm>
        <a:prstGeom prst="rect">
          <a:avLst/>
        </a:prstGeom>
        <a:noFill/>
        <a:ln w="9525">
          <a:noFill/>
          <a:miter lim="800000"/>
          <a:headEnd/>
          <a:tailEnd/>
        </a:ln>
      </xdr:spPr>
    </xdr:pic>
    <xdr:clientData/>
  </xdr:twoCellAnchor>
  <xdr:twoCellAnchor editAs="oneCell">
    <xdr:from>
      <xdr:col>6</xdr:col>
      <xdr:colOff>790575</xdr:colOff>
      <xdr:row>154</xdr:row>
      <xdr:rowOff>41275</xdr:rowOff>
    </xdr:from>
    <xdr:to>
      <xdr:col>8</xdr:col>
      <xdr:colOff>1095938</xdr:colOff>
      <xdr:row>178</xdr:row>
      <xdr:rowOff>171450</xdr:rowOff>
    </xdr:to>
    <xdr:pic>
      <xdr:nvPicPr>
        <xdr:cNvPr id="60" name="Picture 59" descr="GEARBOX-MASTER-1.jpg">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5" cstate="print"/>
        <a:stretch>
          <a:fillRect/>
        </a:stretch>
      </xdr:blipFill>
      <xdr:spPr>
        <a:xfrm>
          <a:off x="7642225" y="31289625"/>
          <a:ext cx="2680263" cy="4899025"/>
        </a:xfrm>
        <a:prstGeom prst="rect">
          <a:avLst/>
        </a:prstGeom>
      </xdr:spPr>
    </xdr:pic>
    <xdr:clientData/>
  </xdr:twoCellAnchor>
  <xdr:twoCellAnchor editAs="oneCell">
    <xdr:from>
      <xdr:col>6</xdr:col>
      <xdr:colOff>1111251</xdr:colOff>
      <xdr:row>106</xdr:row>
      <xdr:rowOff>165099</xdr:rowOff>
    </xdr:from>
    <xdr:to>
      <xdr:col>10</xdr:col>
      <xdr:colOff>266283</xdr:colOff>
      <xdr:row>113</xdr:row>
      <xdr:rowOff>151758</xdr:rowOff>
    </xdr:to>
    <xdr:pic>
      <xdr:nvPicPr>
        <xdr:cNvPr id="64" name="Picture 63" descr="GEAR BACKLASH.jpg">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6" cstate="print"/>
        <a:stretch>
          <a:fillRect/>
        </a:stretch>
      </xdr:blipFill>
      <xdr:spPr>
        <a:xfrm>
          <a:off x="7962901" y="21863049"/>
          <a:ext cx="4095332" cy="1383659"/>
        </a:xfrm>
        <a:prstGeom prst="rect">
          <a:avLst/>
        </a:prstGeom>
      </xdr:spPr>
    </xdr:pic>
    <xdr:clientData/>
  </xdr:twoCellAnchor>
  <xdr:twoCellAnchor>
    <xdr:from>
      <xdr:col>7</xdr:col>
      <xdr:colOff>9525</xdr:colOff>
      <xdr:row>98</xdr:row>
      <xdr:rowOff>34925</xdr:rowOff>
    </xdr:from>
    <xdr:to>
      <xdr:col>10</xdr:col>
      <xdr:colOff>228600</xdr:colOff>
      <xdr:row>106</xdr:row>
      <xdr:rowOff>130174</xdr:rowOff>
    </xdr:to>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7019925" y="19294475"/>
          <a:ext cx="3638550" cy="1628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CENTER DISTANCE                                                                                    </a:t>
          </a:r>
          <a:r>
            <a:rPr lang="en-US" sz="1100" baseline="0">
              <a:solidFill>
                <a:schemeClr val="dk1"/>
              </a:solidFill>
              <a:latin typeface="+mn-lt"/>
              <a:ea typeface="+mn-ea"/>
              <a:cs typeface="+mn-cs"/>
            </a:rPr>
            <a:t>Stock spur gears are cut to operate at standard center distances.</a:t>
          </a:r>
        </a:p>
        <a:p>
          <a:r>
            <a:rPr lang="en-US" sz="1100" baseline="0">
              <a:solidFill>
                <a:schemeClr val="dk1"/>
              </a:solidFill>
              <a:latin typeface="+mn-lt"/>
              <a:ea typeface="+mn-ea"/>
              <a:cs typeface="+mn-cs"/>
            </a:rPr>
            <a:t>The standard center distance being defined by:</a:t>
          </a:r>
        </a:p>
        <a:p>
          <a:r>
            <a:rPr lang="en-US" sz="1100" baseline="0">
              <a:solidFill>
                <a:schemeClr val="dk1"/>
              </a:solidFill>
              <a:latin typeface="+mn-lt"/>
              <a:ea typeface="+mn-ea"/>
              <a:cs typeface="+mn-cs"/>
            </a:rPr>
            <a:t>Standard Center Distance = (Pinion PD + Gear PD) / 2</a:t>
          </a:r>
        </a:p>
        <a:p>
          <a:r>
            <a:rPr lang="en-US" sz="1100" baseline="0">
              <a:solidFill>
                <a:schemeClr val="dk1"/>
              </a:solidFill>
              <a:latin typeface="+mn-lt"/>
              <a:ea typeface="+mn-ea"/>
              <a:cs typeface="+mn-cs"/>
            </a:rPr>
            <a:t>-                                                                                                              </a:t>
          </a:r>
          <a:r>
            <a:rPr lang="en-US" sz="1100" b="1" baseline="0">
              <a:solidFill>
                <a:schemeClr val="dk1"/>
              </a:solidFill>
              <a:latin typeface="+mn-lt"/>
              <a:ea typeface="+mn-ea"/>
              <a:cs typeface="+mn-cs"/>
            </a:rPr>
            <a:t>BACKLASH </a:t>
          </a:r>
          <a:r>
            <a:rPr lang="en-US" sz="1100" baseline="0">
              <a:solidFill>
                <a:schemeClr val="dk1"/>
              </a:solidFill>
              <a:latin typeface="+mn-lt"/>
              <a:ea typeface="+mn-ea"/>
              <a:cs typeface="+mn-cs"/>
            </a:rPr>
            <a:t>                                                                                                                       </a:t>
          </a:r>
        </a:p>
        <a:p>
          <a:r>
            <a:rPr lang="en-US" sz="1100" baseline="0">
              <a:solidFill>
                <a:schemeClr val="dk1"/>
              </a:solidFill>
              <a:latin typeface="+mn-lt"/>
              <a:ea typeface="+mn-ea"/>
              <a:cs typeface="+mn-cs"/>
            </a:rPr>
            <a:t>When mounted at this center distance, stock spur gears will</a:t>
          </a:r>
        </a:p>
        <a:p>
          <a:r>
            <a:rPr lang="en-US" sz="1100" baseline="0">
              <a:solidFill>
                <a:schemeClr val="dk1"/>
              </a:solidFill>
              <a:latin typeface="+mn-lt"/>
              <a:ea typeface="+mn-ea"/>
              <a:cs typeface="+mn-cs"/>
            </a:rPr>
            <a:t>have the following average backlash:</a:t>
          </a:r>
          <a:endParaRPr lang="en-US" sz="1100"/>
        </a:p>
      </xdr:txBody>
    </xdr:sp>
    <xdr:clientData/>
  </xdr:twoCellAnchor>
  <xdr:twoCellAnchor editAs="oneCell">
    <xdr:from>
      <xdr:col>1</xdr:col>
      <xdr:colOff>685800</xdr:colOff>
      <xdr:row>75</xdr:row>
      <xdr:rowOff>101356</xdr:rowOff>
    </xdr:from>
    <xdr:to>
      <xdr:col>5</xdr:col>
      <xdr:colOff>17831</xdr:colOff>
      <xdr:row>94</xdr:row>
      <xdr:rowOff>41031</xdr:rowOff>
    </xdr:to>
    <xdr:pic>
      <xdr:nvPicPr>
        <xdr:cNvPr id="66" name="Picture 65">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81075" y="14531731"/>
          <a:ext cx="5097831" cy="3806825"/>
        </a:xfrm>
        <a:prstGeom prst="rect">
          <a:avLst/>
        </a:prstGeom>
      </xdr:spPr>
    </xdr:pic>
    <xdr:clientData/>
  </xdr:twoCellAnchor>
  <xdr:twoCellAnchor editAs="oneCell">
    <xdr:from>
      <xdr:col>7</xdr:col>
      <xdr:colOff>723899</xdr:colOff>
      <xdr:row>2</xdr:row>
      <xdr:rowOff>133350</xdr:rowOff>
    </xdr:from>
    <xdr:to>
      <xdr:col>9</xdr:col>
      <xdr:colOff>1127124</xdr:colOff>
      <xdr:row>13</xdr:row>
      <xdr:rowOff>285750</xdr:rowOff>
    </xdr:to>
    <xdr:pic>
      <xdr:nvPicPr>
        <xdr:cNvPr id="67" name="Picture 66">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53349" y="552450"/>
          <a:ext cx="2724150" cy="2390775"/>
        </a:xfrm>
        <a:prstGeom prst="rect">
          <a:avLst/>
        </a:prstGeom>
      </xdr:spPr>
    </xdr:pic>
    <xdr:clientData/>
  </xdr:twoCellAnchor>
  <xdr:twoCellAnchor editAs="oneCell">
    <xdr:from>
      <xdr:col>10</xdr:col>
      <xdr:colOff>228600</xdr:colOff>
      <xdr:row>2</xdr:row>
      <xdr:rowOff>152400</xdr:rowOff>
    </xdr:from>
    <xdr:to>
      <xdr:col>14</xdr:col>
      <xdr:colOff>600075</xdr:colOff>
      <xdr:row>13</xdr:row>
      <xdr:rowOff>352425</xdr:rowOff>
    </xdr:to>
    <xdr:pic>
      <xdr:nvPicPr>
        <xdr:cNvPr id="68" name="Picture 67">
          <a:extLst>
            <a:ext uri="{FF2B5EF4-FFF2-40B4-BE49-F238E27FC236}">
              <a16:creationId xmlns:a16="http://schemas.microsoft.com/office/drawing/2014/main" id="{00000000-0008-0000-0300-00004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687050" y="571500"/>
          <a:ext cx="2809875" cy="2438400"/>
        </a:xfrm>
        <a:prstGeom prst="rect">
          <a:avLst/>
        </a:prstGeom>
      </xdr:spPr>
    </xdr:pic>
    <xdr:clientData/>
  </xdr:twoCellAnchor>
  <xdr:twoCellAnchor editAs="oneCell">
    <xdr:from>
      <xdr:col>8</xdr:col>
      <xdr:colOff>431800</xdr:colOff>
      <xdr:row>49</xdr:row>
      <xdr:rowOff>82550</xdr:rowOff>
    </xdr:from>
    <xdr:to>
      <xdr:col>13</xdr:col>
      <xdr:colOff>142875</xdr:colOff>
      <xdr:row>71</xdr:row>
      <xdr:rowOff>92075</xdr:rowOff>
    </xdr:to>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594850" y="8407400"/>
          <a:ext cx="4943475" cy="4213225"/>
        </a:xfrm>
        <a:prstGeom prst="rect">
          <a:avLst/>
        </a:prstGeom>
      </xdr:spPr>
    </xdr:pic>
    <xdr:clientData/>
  </xdr:twoCellAnchor>
  <xdr:twoCellAnchor>
    <xdr:from>
      <xdr:col>6</xdr:col>
      <xdr:colOff>285748</xdr:colOff>
      <xdr:row>67</xdr:row>
      <xdr:rowOff>57150</xdr:rowOff>
    </xdr:from>
    <xdr:to>
      <xdr:col>8</xdr:col>
      <xdr:colOff>527049</xdr:colOff>
      <xdr:row>92</xdr:row>
      <xdr:rowOff>69850</xdr:rowOff>
    </xdr:to>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7137398" y="14033500"/>
          <a:ext cx="2616201" cy="496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i="0" u="none" strike="noStrike" baseline="0">
            <a:solidFill>
              <a:schemeClr val="dk1"/>
            </a:solidFill>
            <a:latin typeface="Arial" panose="020B0604020202020204" pitchFamily="34" charset="0"/>
            <a:ea typeface="+mn-ea"/>
            <a:cs typeface="Arial" panose="020B0604020202020204" pitchFamily="34" charset="0"/>
          </a:endParaRPr>
        </a:p>
        <a:p>
          <a:pPr algn="ctr"/>
          <a:r>
            <a:rPr lang="en-US" sz="1200" b="1" i="0" u="none" strike="noStrike" baseline="0">
              <a:solidFill>
                <a:schemeClr val="dk1"/>
              </a:solidFill>
              <a:latin typeface="Arial" panose="020B0604020202020204" pitchFamily="34" charset="0"/>
              <a:ea typeface="+mn-ea"/>
              <a:cs typeface="Arial" panose="020B0604020202020204" pitchFamily="34" charset="0"/>
            </a:rPr>
            <a:t>UNDERCUTTING</a:t>
          </a:r>
          <a:r>
            <a:rPr lang="en-US" sz="1200" b="0" i="0" u="none" strike="noStrike" baseline="0">
              <a:solidFill>
                <a:schemeClr val="dk1"/>
              </a:solidFill>
              <a:latin typeface="Arial" panose="020B0604020202020204" pitchFamily="34" charset="0"/>
              <a:ea typeface="+mn-ea"/>
              <a:cs typeface="Arial" panose="020B0604020202020204" pitchFamily="34" charset="0"/>
            </a:rPr>
            <a:t>  </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When the number of teeth in a gear is small, the tip of the mating gear tooth may interfere with the lower portion of the tooth profile.</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To prevent this, the generating process removes material at this point.                                                                                                                                                   </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This results in loss of a portion of the involute adjacent to the tooth base, reducing tooth contact and tooth strength.                                                                                                                                                       </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On 14-1/2°PA gears undercutting occurs where a number of teeth is less than 32 and for 20°PA less than 18.                                                                                                                                       </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Since this condition becomes more severe as tooth numbers decrease, it is recommended that the minimum number of teeth be 16 for 14-1/2°PA and 13 for 20°PA.</a:t>
          </a:r>
          <a:endParaRPr lang="en-US" sz="1200">
            <a:latin typeface="Arial" panose="020B0604020202020204" pitchFamily="34" charset="0"/>
            <a:cs typeface="Arial" panose="020B0604020202020204" pitchFamily="34" charset="0"/>
          </a:endParaRPr>
        </a:p>
      </xdr:txBody>
    </xdr:sp>
    <xdr:clientData/>
  </xdr:twoCellAnchor>
  <xdr:twoCellAnchor editAs="oneCell">
    <xdr:from>
      <xdr:col>8</xdr:col>
      <xdr:colOff>841374</xdr:colOff>
      <xdr:row>75</xdr:row>
      <xdr:rowOff>57150</xdr:rowOff>
    </xdr:from>
    <xdr:to>
      <xdr:col>16</xdr:col>
      <xdr:colOff>390525</xdr:colOff>
      <xdr:row>92</xdr:row>
      <xdr:rowOff>15875</xdr:rowOff>
    </xdr:to>
    <xdr:pic>
      <xdr:nvPicPr>
        <xdr:cNvPr id="71" name="Picture 70">
          <a:extLst>
            <a:ext uri="{FF2B5EF4-FFF2-40B4-BE49-F238E27FC236}">
              <a16:creationId xmlns:a16="http://schemas.microsoft.com/office/drawing/2014/main" id="{00000000-0008-0000-0300-00004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067924" y="15640050"/>
          <a:ext cx="5772151" cy="3305175"/>
        </a:xfrm>
        <a:prstGeom prst="rect">
          <a:avLst/>
        </a:prstGeom>
      </xdr:spPr>
    </xdr:pic>
    <xdr:clientData/>
  </xdr:twoCellAnchor>
  <xdr:twoCellAnchor editAs="oneCell">
    <xdr:from>
      <xdr:col>7</xdr:col>
      <xdr:colOff>254000</xdr:colOff>
      <xdr:row>115</xdr:row>
      <xdr:rowOff>104775</xdr:rowOff>
    </xdr:from>
    <xdr:to>
      <xdr:col>9</xdr:col>
      <xdr:colOff>613508</xdr:colOff>
      <xdr:row>126</xdr:row>
      <xdr:rowOff>41275</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223250" y="23599775"/>
          <a:ext cx="2823308" cy="2133600"/>
        </a:xfrm>
        <a:prstGeom prst="rect">
          <a:avLst/>
        </a:prstGeom>
      </xdr:spPr>
    </xdr:pic>
    <xdr:clientData/>
  </xdr:twoCellAnchor>
  <xdr:twoCellAnchor editAs="oneCell">
    <xdr:from>
      <xdr:col>4</xdr:col>
      <xdr:colOff>66675</xdr:colOff>
      <xdr:row>53</xdr:row>
      <xdr:rowOff>28575</xdr:rowOff>
    </xdr:from>
    <xdr:to>
      <xdr:col>7</xdr:col>
      <xdr:colOff>1095375</xdr:colOff>
      <xdr:row>65</xdr:row>
      <xdr:rowOff>190500</xdr:rowOff>
    </xdr:to>
    <xdr:pic>
      <xdr:nvPicPr>
        <xdr:cNvPr id="73" name="Picture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53000" y="10448925"/>
          <a:ext cx="3238500" cy="2581275"/>
        </a:xfrm>
        <a:prstGeom prst="rect">
          <a:avLst/>
        </a:prstGeom>
      </xdr:spPr>
    </xdr:pic>
    <xdr:clientData/>
  </xdr:twoCellAnchor>
  <xdr:twoCellAnchor>
    <xdr:from>
      <xdr:col>4</xdr:col>
      <xdr:colOff>488951</xdr:colOff>
      <xdr:row>133</xdr:row>
      <xdr:rowOff>101600</xdr:rowOff>
    </xdr:from>
    <xdr:to>
      <xdr:col>8</xdr:col>
      <xdr:colOff>431801</xdr:colOff>
      <xdr:row>149</xdr:row>
      <xdr:rowOff>57149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140451" y="27209750"/>
          <a:ext cx="3517900" cy="3111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Arial" panose="020B0604020202020204" pitchFamily="34" charset="0"/>
            <a:ea typeface="+mn-ea"/>
            <a:cs typeface="Arial" panose="020B0604020202020204" pitchFamily="34" charset="0"/>
          </a:endParaRPr>
        </a:p>
        <a:p>
          <a:pPr algn="ctr"/>
          <a:r>
            <a:rPr lang="en-US" sz="1400" b="1">
              <a:solidFill>
                <a:schemeClr val="dk1"/>
              </a:solidFill>
              <a:effectLst/>
              <a:latin typeface="Arial" panose="020B0604020202020204" pitchFamily="34" charset="0"/>
              <a:ea typeface="+mn-ea"/>
              <a:cs typeface="Arial" panose="020B0604020202020204" pitchFamily="34" charset="0"/>
            </a:rPr>
            <a:t>EXAMPLE</a:t>
          </a:r>
        </a:p>
        <a:p>
          <a:pPr algn="ctr"/>
          <a:endParaRPr lang="en-US" sz="1400" b="1">
            <a:solidFill>
              <a:schemeClr val="dk1"/>
            </a:solidFill>
            <a:effectLst/>
            <a:latin typeface="Arial" panose="020B0604020202020204" pitchFamily="34" charset="0"/>
            <a:ea typeface="+mn-ea"/>
            <a:cs typeface="Arial" panose="020B0604020202020204" pitchFamily="34" charset="0"/>
          </a:endParaRPr>
        </a:p>
        <a:p>
          <a:r>
            <a:rPr lang="en-US" sz="1400" b="1">
              <a:solidFill>
                <a:schemeClr val="dk1"/>
              </a:solidFill>
              <a:effectLst/>
              <a:latin typeface="Arial" panose="020B0604020202020204" pitchFamily="34" charset="0"/>
              <a:ea typeface="+mn-ea"/>
              <a:cs typeface="Arial" panose="020B0604020202020204" pitchFamily="34" charset="0"/>
            </a:rPr>
            <a:t>Spur Gear Tooth load,  W = 1,000 lbf</a:t>
          </a:r>
        </a:p>
        <a:p>
          <a:r>
            <a:rPr lang="en-US" sz="1400" b="1">
              <a:solidFill>
                <a:schemeClr val="dk1"/>
              </a:solidFill>
              <a:effectLst/>
              <a:latin typeface="Arial" panose="020B0604020202020204" pitchFamily="34" charset="0"/>
              <a:ea typeface="+mn-ea"/>
              <a:cs typeface="Arial" panose="020B0604020202020204" pitchFamily="34" charset="0"/>
            </a:rPr>
            <a:t>Tooth base thickness,  t = 1.500 in</a:t>
          </a:r>
        </a:p>
        <a:p>
          <a:r>
            <a:rPr lang="en-US" sz="1400" b="1">
              <a:solidFill>
                <a:schemeClr val="dk1"/>
              </a:solidFill>
              <a:effectLst/>
              <a:latin typeface="Arial" panose="020B0604020202020204" pitchFamily="34" charset="0"/>
              <a:ea typeface="+mn-ea"/>
              <a:cs typeface="Arial" panose="020B0604020202020204" pitchFamily="34" charset="0"/>
            </a:rPr>
            <a:t>Tooth face width (into paper),  b = 1.000 in</a:t>
          </a:r>
        </a:p>
        <a:p>
          <a:r>
            <a:rPr lang="en-US" sz="1400" b="1">
              <a:solidFill>
                <a:schemeClr val="dk1"/>
              </a:solidFill>
              <a:effectLst/>
              <a:latin typeface="Arial" panose="020B0604020202020204" pitchFamily="34" charset="0"/>
              <a:ea typeface="+mn-ea"/>
              <a:cs typeface="Arial" panose="020B0604020202020204" pitchFamily="34" charset="0"/>
            </a:rPr>
            <a:t>Pressure angle,  Pa = 20 degrees</a:t>
          </a:r>
        </a:p>
        <a:p>
          <a:r>
            <a:rPr lang="en-US" sz="1400" b="1">
              <a:solidFill>
                <a:schemeClr val="dk1"/>
              </a:solidFill>
              <a:effectLst/>
              <a:latin typeface="Arial" panose="020B0604020202020204" pitchFamily="34" charset="0"/>
              <a:ea typeface="+mn-ea"/>
              <a:cs typeface="Arial" panose="020B0604020202020204" pitchFamily="34" charset="0"/>
            </a:rPr>
            <a:t>Diametral pitch,  Pd = 4</a:t>
          </a:r>
        </a:p>
        <a:p>
          <a:r>
            <a:rPr lang="en-US" sz="1400" b="1">
              <a:solidFill>
                <a:schemeClr val="dk1"/>
              </a:solidFill>
              <a:effectLst/>
              <a:latin typeface="Arial" panose="020B0604020202020204" pitchFamily="34" charset="0"/>
              <a:ea typeface="+mn-ea"/>
              <a:cs typeface="Arial" panose="020B0604020202020204" pitchFamily="34" charset="0"/>
            </a:rPr>
            <a:t>Number of gear teeth,  N = 32</a:t>
          </a:r>
        </a:p>
        <a:p>
          <a:r>
            <a:rPr lang="en-US" sz="1400" b="1">
              <a:solidFill>
                <a:schemeClr val="dk1"/>
              </a:solidFill>
              <a:effectLst/>
              <a:latin typeface="Arial" panose="020B0604020202020204" pitchFamily="34" charset="0"/>
              <a:ea typeface="+mn-ea"/>
              <a:cs typeface="Arial" panose="020B0604020202020204" pitchFamily="34" charset="0"/>
            </a:rPr>
            <a:t> </a:t>
          </a:r>
        </a:p>
        <a:p>
          <a:pPr algn="ctr"/>
          <a:r>
            <a:rPr lang="en-US" sz="1400" b="1">
              <a:solidFill>
                <a:schemeClr val="dk1"/>
              </a:solidFill>
              <a:effectLst/>
              <a:latin typeface="Arial" panose="020B0604020202020204" pitchFamily="34" charset="0"/>
              <a:ea typeface="+mn-ea"/>
              <a:cs typeface="Arial" panose="020B0604020202020204" pitchFamily="34" charset="0"/>
            </a:rPr>
            <a:t>Answer</a:t>
          </a:r>
        </a:p>
        <a:p>
          <a:pPr algn="ctr"/>
          <a:r>
            <a:rPr lang="en-US" sz="1400" b="1">
              <a:solidFill>
                <a:schemeClr val="dk1"/>
              </a:solidFill>
              <a:effectLst/>
              <a:latin typeface="Arial" panose="020B0604020202020204" pitchFamily="34" charset="0"/>
              <a:ea typeface="+mn-ea"/>
              <a:cs typeface="Arial" panose="020B0604020202020204" pitchFamily="34" charset="0"/>
            </a:rPr>
            <a:t>Gear</a:t>
          </a:r>
          <a:r>
            <a:rPr lang="en-US" sz="1400" b="1" baseline="0">
              <a:solidFill>
                <a:schemeClr val="dk1"/>
              </a:solidFill>
              <a:effectLst/>
              <a:latin typeface="Arial" panose="020B0604020202020204" pitchFamily="34" charset="0"/>
              <a:ea typeface="+mn-ea"/>
              <a:cs typeface="Arial" panose="020B0604020202020204" pitchFamily="34" charset="0"/>
            </a:rPr>
            <a:t> ToothBending Stress</a:t>
          </a:r>
          <a:r>
            <a:rPr lang="en-US" sz="1400" b="1">
              <a:solidFill>
                <a:schemeClr val="dk1"/>
              </a:solidFill>
              <a:effectLst/>
              <a:latin typeface="Arial" panose="020B0604020202020204" pitchFamily="34" charset="0"/>
              <a:ea typeface="+mn-ea"/>
              <a:cs typeface="Arial" panose="020B0604020202020204" pitchFamily="34" charset="0"/>
            </a:rPr>
            <a:t> </a:t>
          </a:r>
        </a:p>
        <a:p>
          <a:pPr algn="ctr"/>
          <a:r>
            <a:rPr lang="en-US" sz="1400" b="1">
              <a:solidFill>
                <a:schemeClr val="dk1"/>
              </a:solidFill>
              <a:effectLst/>
              <a:latin typeface="Arial" panose="020B0604020202020204" pitchFamily="34" charset="0"/>
              <a:ea typeface="+mn-ea"/>
              <a:cs typeface="Arial" panose="020B0604020202020204" pitchFamily="34" charset="0"/>
            </a:rPr>
            <a:t>5,789 lbf/in^2</a:t>
          </a:r>
        </a:p>
        <a:p>
          <a:endParaRPr lang="en-US" sz="1100"/>
        </a:p>
      </xdr:txBody>
    </xdr:sp>
    <xdr:clientData/>
  </xdr:twoCellAnchor>
  <xdr:twoCellAnchor editAs="oneCell">
    <xdr:from>
      <xdr:col>4</xdr:col>
      <xdr:colOff>638175</xdr:colOff>
      <xdr:row>211</xdr:row>
      <xdr:rowOff>28575</xdr:rowOff>
    </xdr:from>
    <xdr:to>
      <xdr:col>9</xdr:col>
      <xdr:colOff>1136650</xdr:colOff>
      <xdr:row>222</xdr:row>
      <xdr:rowOff>130175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524500" y="40605075"/>
          <a:ext cx="5019675" cy="2343150"/>
        </a:xfrm>
        <a:prstGeom prst="rect">
          <a:avLst/>
        </a:prstGeom>
      </xdr:spPr>
    </xdr:pic>
    <xdr:clientData/>
  </xdr:twoCellAnchor>
  <xdr:twoCellAnchor editAs="oneCell">
    <xdr:from>
      <xdr:col>6</xdr:col>
      <xdr:colOff>676275</xdr:colOff>
      <xdr:row>224</xdr:row>
      <xdr:rowOff>187325</xdr:rowOff>
    </xdr:from>
    <xdr:to>
      <xdr:col>8</xdr:col>
      <xdr:colOff>815975</xdr:colOff>
      <xdr:row>236</xdr:row>
      <xdr:rowOff>127000</xdr:rowOff>
    </xdr:to>
    <xdr:pic>
      <xdr:nvPicPr>
        <xdr:cNvPr id="23" name="Picture 22" descr="LEWIS GEAR STRESS-1.jpg">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5" cstate="print"/>
        <a:stretch>
          <a:fillRect/>
        </a:stretch>
      </xdr:blipFill>
      <xdr:spPr>
        <a:xfrm>
          <a:off x="7527925" y="45424725"/>
          <a:ext cx="2514600" cy="2384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1238251</xdr:colOff>
      <xdr:row>15</xdr:row>
      <xdr:rowOff>123825</xdr:rowOff>
    </xdr:from>
    <xdr:ext cx="4000500" cy="4095751"/>
    <xdr:pic>
      <xdr:nvPicPr>
        <xdr:cNvPr id="2" name="Picture 30" descr="Worm_Gear_Speed_Reducer">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1" y="3067050"/>
          <a:ext cx="4000500" cy="4095751"/>
        </a:xfrm>
        <a:prstGeom prst="rect">
          <a:avLst/>
        </a:prstGeom>
        <a:noFill/>
        <a:ln w="9525">
          <a:noFill/>
          <a:miter lim="800000"/>
          <a:headEnd/>
          <a:tailEnd/>
        </a:ln>
      </xdr:spPr>
    </xdr:pic>
    <xdr:clientData/>
  </xdr:oneCellAnchor>
  <xdr:twoCellAnchor editAs="oneCell">
    <xdr:from>
      <xdr:col>1</xdr:col>
      <xdr:colOff>733425</xdr:colOff>
      <xdr:row>177</xdr:row>
      <xdr:rowOff>66675</xdr:rowOff>
    </xdr:from>
    <xdr:to>
      <xdr:col>2</xdr:col>
      <xdr:colOff>793750</xdr:colOff>
      <xdr:row>187</xdr:row>
      <xdr:rowOff>190500</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175" y="34356675"/>
          <a:ext cx="3467100" cy="2162175"/>
        </a:xfrm>
        <a:prstGeom prst="rect">
          <a:avLst/>
        </a:prstGeom>
      </xdr:spPr>
    </xdr:pic>
    <xdr:clientData/>
  </xdr:twoCellAnchor>
  <xdr:twoCellAnchor editAs="oneCell">
    <xdr:from>
      <xdr:col>0</xdr:col>
      <xdr:colOff>209550</xdr:colOff>
      <xdr:row>7</xdr:row>
      <xdr:rowOff>19050</xdr:rowOff>
    </xdr:from>
    <xdr:to>
      <xdr:col>3</xdr:col>
      <xdr:colOff>301625</xdr:colOff>
      <xdr:row>14</xdr:row>
      <xdr:rowOff>193675</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1428750"/>
          <a:ext cx="4933950"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142876</xdr:colOff>
      <xdr:row>3</xdr:row>
      <xdr:rowOff>161925</xdr:rowOff>
    </xdr:from>
    <xdr:ext cx="7126897" cy="4760595"/>
    <xdr:pic>
      <xdr:nvPicPr>
        <xdr:cNvPr id="2" name="Picture 1" descr="BEVEL GEARS-20.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409576" y="796925"/>
          <a:ext cx="7126897" cy="476059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650875</xdr:colOff>
      <xdr:row>14</xdr:row>
      <xdr:rowOff>127000</xdr:rowOff>
    </xdr:from>
    <xdr:to>
      <xdr:col>2</xdr:col>
      <xdr:colOff>1587500</xdr:colOff>
      <xdr:row>24</xdr:row>
      <xdr:rowOff>189167</xdr:rowOff>
    </xdr:to>
    <xdr:pic>
      <xdr:nvPicPr>
        <xdr:cNvPr id="2" name="Picture 1">
          <a:extLst>
            <a:ext uri="{FF2B5EF4-FFF2-40B4-BE49-F238E27FC236}">
              <a16:creationId xmlns:a16="http://schemas.microsoft.com/office/drawing/2014/main" id="{333B66DF-7132-44DD-BC14-50756CD07E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125" y="2882900"/>
          <a:ext cx="2943225" cy="2030667"/>
        </a:xfrm>
        <a:prstGeom prst="rect">
          <a:avLst/>
        </a:prstGeom>
      </xdr:spPr>
    </xdr:pic>
    <xdr:clientData/>
  </xdr:twoCellAnchor>
  <xdr:twoCellAnchor editAs="oneCell">
    <xdr:from>
      <xdr:col>8</xdr:col>
      <xdr:colOff>38100</xdr:colOff>
      <xdr:row>10</xdr:row>
      <xdr:rowOff>53975</xdr:rowOff>
    </xdr:from>
    <xdr:to>
      <xdr:col>10</xdr:col>
      <xdr:colOff>704438</xdr:colOff>
      <xdr:row>27</xdr:row>
      <xdr:rowOff>174625</xdr:rowOff>
    </xdr:to>
    <xdr:pic>
      <xdr:nvPicPr>
        <xdr:cNvPr id="3" name="Picture 2">
          <a:extLst>
            <a:ext uri="{FF2B5EF4-FFF2-40B4-BE49-F238E27FC236}">
              <a16:creationId xmlns:a16="http://schemas.microsoft.com/office/drawing/2014/main" id="{76C15498-0C40-40A7-AD1B-AE51EF4A73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32950" y="2022475"/>
          <a:ext cx="2317338" cy="3473450"/>
        </a:xfrm>
        <a:prstGeom prst="rect">
          <a:avLst/>
        </a:prstGeom>
      </xdr:spPr>
    </xdr:pic>
    <xdr:clientData/>
  </xdr:twoCellAnchor>
  <xdr:twoCellAnchor editAs="oneCell">
    <xdr:from>
      <xdr:col>7</xdr:col>
      <xdr:colOff>371475</xdr:colOff>
      <xdr:row>3</xdr:row>
      <xdr:rowOff>44451</xdr:rowOff>
    </xdr:from>
    <xdr:to>
      <xdr:col>9</xdr:col>
      <xdr:colOff>38100</xdr:colOff>
      <xdr:row>7</xdr:row>
      <xdr:rowOff>125922</xdr:rowOff>
    </xdr:to>
    <xdr:pic>
      <xdr:nvPicPr>
        <xdr:cNvPr id="4" name="Picture 3">
          <a:extLst>
            <a:ext uri="{FF2B5EF4-FFF2-40B4-BE49-F238E27FC236}">
              <a16:creationId xmlns:a16="http://schemas.microsoft.com/office/drawing/2014/main" id="{3A9C2BC7-9453-44BA-A857-78D2F83E44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73950" y="647701"/>
          <a:ext cx="1317625" cy="849821"/>
        </a:xfrm>
        <a:prstGeom prst="rect">
          <a:avLst/>
        </a:prstGeom>
      </xdr:spPr>
    </xdr:pic>
    <xdr:clientData/>
  </xdr:twoCellAnchor>
  <xdr:twoCellAnchor editAs="oneCell">
    <xdr:from>
      <xdr:col>10</xdr:col>
      <xdr:colOff>933450</xdr:colOff>
      <xdr:row>39</xdr:row>
      <xdr:rowOff>152400</xdr:rowOff>
    </xdr:from>
    <xdr:to>
      <xdr:col>16</xdr:col>
      <xdr:colOff>450063</xdr:colOff>
      <xdr:row>61</xdr:row>
      <xdr:rowOff>193675</xdr:rowOff>
    </xdr:to>
    <xdr:pic>
      <xdr:nvPicPr>
        <xdr:cNvPr id="5" name="Picture 4">
          <a:extLst>
            <a:ext uri="{FF2B5EF4-FFF2-40B4-BE49-F238E27FC236}">
              <a16:creationId xmlns:a16="http://schemas.microsoft.com/office/drawing/2014/main" id="{FBEE175B-DBDC-426F-B50C-229DF12EC24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79300" y="7994650"/>
          <a:ext cx="4609313" cy="4371975"/>
        </a:xfrm>
        <a:prstGeom prst="rect">
          <a:avLst/>
        </a:prstGeom>
      </xdr:spPr>
    </xdr:pic>
    <xdr:clientData/>
  </xdr:twoCellAnchor>
  <xdr:twoCellAnchor editAs="oneCell">
    <xdr:from>
      <xdr:col>1</xdr:col>
      <xdr:colOff>0</xdr:colOff>
      <xdr:row>41</xdr:row>
      <xdr:rowOff>0</xdr:rowOff>
    </xdr:from>
    <xdr:to>
      <xdr:col>2</xdr:col>
      <xdr:colOff>79375</xdr:colOff>
      <xdr:row>48</xdr:row>
      <xdr:rowOff>158750</xdr:rowOff>
    </xdr:to>
    <xdr:pic>
      <xdr:nvPicPr>
        <xdr:cNvPr id="6" name="Picture 5">
          <a:extLst>
            <a:ext uri="{FF2B5EF4-FFF2-40B4-BE49-F238E27FC236}">
              <a16:creationId xmlns:a16="http://schemas.microsoft.com/office/drawing/2014/main" id="{648BBE3E-EA8F-49AE-A229-3697B2738DA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7650" y="9401175"/>
          <a:ext cx="2085975" cy="1447800"/>
        </a:xfrm>
        <a:prstGeom prst="rect">
          <a:avLst/>
        </a:prstGeom>
      </xdr:spPr>
    </xdr:pic>
    <xdr:clientData/>
  </xdr:twoCellAnchor>
  <xdr:twoCellAnchor editAs="oneCell">
    <xdr:from>
      <xdr:col>2</xdr:col>
      <xdr:colOff>981075</xdr:colOff>
      <xdr:row>40</xdr:row>
      <xdr:rowOff>114300</xdr:rowOff>
    </xdr:from>
    <xdr:to>
      <xdr:col>3</xdr:col>
      <xdr:colOff>1952625</xdr:colOff>
      <xdr:row>48</xdr:row>
      <xdr:rowOff>117475</xdr:rowOff>
    </xdr:to>
    <xdr:pic>
      <xdr:nvPicPr>
        <xdr:cNvPr id="7" name="Picture 6">
          <a:extLst>
            <a:ext uri="{FF2B5EF4-FFF2-40B4-BE49-F238E27FC236}">
              <a16:creationId xmlns:a16="http://schemas.microsoft.com/office/drawing/2014/main" id="{AF73DEA5-C05C-454F-A18C-7A1CF73AB4B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21000" y="9315450"/>
          <a:ext cx="2584450" cy="1476375"/>
        </a:xfrm>
        <a:prstGeom prst="rect">
          <a:avLst/>
        </a:prstGeom>
      </xdr:spPr>
    </xdr:pic>
    <xdr:clientData/>
  </xdr:twoCellAnchor>
  <xdr:oneCellAnchor>
    <xdr:from>
      <xdr:col>11</xdr:col>
      <xdr:colOff>9526</xdr:colOff>
      <xdr:row>10</xdr:row>
      <xdr:rowOff>19050</xdr:rowOff>
    </xdr:from>
    <xdr:ext cx="2579300" cy="2828925"/>
    <xdr:pic>
      <xdr:nvPicPr>
        <xdr:cNvPr id="8" name="Picture 7">
          <a:extLst>
            <a:ext uri="{FF2B5EF4-FFF2-40B4-BE49-F238E27FC236}">
              <a16:creationId xmlns:a16="http://schemas.microsoft.com/office/drawing/2014/main" id="{F199D760-D9AB-4DA7-8FD6-F9BBBE32CE4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445751" y="2019300"/>
          <a:ext cx="2579300" cy="28289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icromo.com/Data/" TargetMode="External"/><Relationship Id="rId2" Type="http://schemas.openxmlformats.org/officeDocument/2006/relationships/hyperlink" Target="http://www.bostongear.com/" TargetMode="External"/><Relationship Id="rId1" Type="http://schemas.openxmlformats.org/officeDocument/2006/relationships/hyperlink" Target="http://www.darali.com/disco/page9.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faulhaber.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n.wikipedia.org/wiki/Involute_gear" TargetMode="External"/><Relationship Id="rId1" Type="http://schemas.openxmlformats.org/officeDocument/2006/relationships/hyperlink" Target="http://www.rushgears.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qtcgears.com/Q410/PDF/techsec9.pdf" TargetMode="External"/><Relationship Id="rId2" Type="http://schemas.openxmlformats.org/officeDocument/2006/relationships/hyperlink" Target="http://www.qtcgears.com/Q420%20PDF%20Files/Section%209.pdf" TargetMode="External"/><Relationship Id="rId1" Type="http://schemas.openxmlformats.org/officeDocument/2006/relationships/hyperlink" Target="http://www.roymech.co.uk/Useful_Tables/Drive/Worm_Gears.html"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77"/>
  <sheetViews>
    <sheetView tabSelected="1" zoomScaleNormal="100" workbookViewId="0">
      <selection activeCell="I1" sqref="I1"/>
    </sheetView>
  </sheetViews>
  <sheetFormatPr defaultColWidth="9.1796875" defaultRowHeight="15.5" x14ac:dyDescent="0.35"/>
  <cols>
    <col min="1" max="1" width="4.7265625" style="9" customWidth="1"/>
    <col min="2" max="2" width="47" style="13" customWidth="1"/>
    <col min="3" max="3" width="11.26953125" style="11" customWidth="1"/>
    <col min="4" max="4" width="7.54296875" style="9" customWidth="1"/>
    <col min="5" max="5" width="9.1796875" style="9"/>
    <col min="6" max="6" width="16.26953125" style="9" customWidth="1"/>
    <col min="7" max="7" width="9.1796875" style="9"/>
    <col min="8" max="8" width="6" style="9" customWidth="1"/>
    <col min="9" max="9" width="36.453125" style="9" customWidth="1"/>
    <col min="10" max="10" width="16.1796875" style="9" customWidth="1"/>
    <col min="11" max="12" width="9.1796875" style="9"/>
    <col min="13" max="13" width="10.26953125" style="9" bestFit="1" customWidth="1"/>
    <col min="14" max="23" width="9.1796875" style="9"/>
    <col min="24" max="24" width="12.81640625" style="9" customWidth="1"/>
    <col min="25" max="16384" width="9.1796875" style="9"/>
  </cols>
  <sheetData>
    <row r="1" spans="2:12" ht="20" x14ac:dyDescent="0.4">
      <c r="B1" s="91" t="s">
        <v>708</v>
      </c>
      <c r="E1" s="7"/>
      <c r="F1" s="12"/>
      <c r="G1" s="12"/>
      <c r="H1" s="12"/>
      <c r="I1" s="12"/>
      <c r="J1" s="12"/>
      <c r="K1" s="12"/>
      <c r="L1" s="12"/>
    </row>
    <row r="2" spans="2:12" x14ac:dyDescent="0.35">
      <c r="B2" s="10"/>
      <c r="F2" s="12"/>
      <c r="G2" s="12"/>
      <c r="H2" s="12"/>
      <c r="I2" s="12"/>
      <c r="J2" s="12"/>
      <c r="K2" s="12"/>
      <c r="L2" s="12"/>
    </row>
    <row r="3" spans="2:12" x14ac:dyDescent="0.35">
      <c r="B3" s="9"/>
      <c r="F3" s="12"/>
      <c r="G3" s="12"/>
      <c r="H3" s="12"/>
      <c r="I3" s="12"/>
      <c r="J3" s="12"/>
      <c r="K3" s="12"/>
      <c r="L3" s="12"/>
    </row>
    <row r="4" spans="2:12" x14ac:dyDescent="0.35">
      <c r="B4" s="9"/>
      <c r="F4" s="12"/>
      <c r="G4" s="12"/>
      <c r="H4" s="12"/>
      <c r="I4" s="12"/>
      <c r="J4" s="12"/>
      <c r="K4" s="12"/>
      <c r="L4" s="12"/>
    </row>
    <row r="5" spans="2:12" x14ac:dyDescent="0.35">
      <c r="B5" s="11"/>
      <c r="F5" s="12"/>
      <c r="G5" s="12"/>
      <c r="H5" s="12"/>
      <c r="I5" s="12"/>
      <c r="J5" s="12"/>
      <c r="K5" s="12"/>
      <c r="L5" s="12"/>
    </row>
    <row r="6" spans="2:12" ht="18" x14ac:dyDescent="0.4">
      <c r="B6" s="96" t="s">
        <v>486</v>
      </c>
      <c r="C6" s="9"/>
    </row>
    <row r="7" spans="2:12" x14ac:dyDescent="0.35">
      <c r="C7" s="9"/>
    </row>
    <row r="8" spans="2:12" x14ac:dyDescent="0.35">
      <c r="B8" s="9"/>
      <c r="C8" s="9"/>
    </row>
    <row r="9" spans="2:12" x14ac:dyDescent="0.35">
      <c r="B9" s="9"/>
      <c r="C9" s="9"/>
    </row>
    <row r="10" spans="2:12" x14ac:dyDescent="0.35">
      <c r="B10" s="9"/>
      <c r="C10" s="9"/>
    </row>
    <row r="11" spans="2:12" x14ac:dyDescent="0.35">
      <c r="B11" s="9"/>
      <c r="C11" s="9"/>
    </row>
    <row r="12" spans="2:12" x14ac:dyDescent="0.35">
      <c r="B12" s="9"/>
      <c r="C12" s="9"/>
    </row>
    <row r="13" spans="2:12" x14ac:dyDescent="0.35">
      <c r="B13" s="9"/>
      <c r="C13" s="9"/>
    </row>
    <row r="14" spans="2:12" x14ac:dyDescent="0.35">
      <c r="B14" s="9"/>
      <c r="C14" s="9"/>
    </row>
    <row r="15" spans="2:12" x14ac:dyDescent="0.35">
      <c r="B15" s="9"/>
      <c r="C15" s="9"/>
    </row>
    <row r="16" spans="2:12" x14ac:dyDescent="0.35">
      <c r="B16" s="9"/>
      <c r="C16" s="9"/>
    </row>
    <row r="17" spans="2:12" x14ac:dyDescent="0.35">
      <c r="B17" s="9"/>
      <c r="C17" s="9"/>
    </row>
    <row r="18" spans="2:12" x14ac:dyDescent="0.35">
      <c r="B18" s="9"/>
      <c r="C18" s="9"/>
    </row>
    <row r="19" spans="2:12" x14ac:dyDescent="0.35">
      <c r="B19" s="9"/>
      <c r="C19" s="9"/>
    </row>
    <row r="20" spans="2:12" x14ac:dyDescent="0.35">
      <c r="B20" s="9"/>
      <c r="C20" s="9"/>
    </row>
    <row r="21" spans="2:12" x14ac:dyDescent="0.35">
      <c r="B21" s="9"/>
      <c r="C21" s="9"/>
    </row>
    <row r="26" spans="2:12" ht="16" thickBot="1" x14ac:dyDescent="0.4">
      <c r="H26" s="12"/>
      <c r="J26" s="95" t="s">
        <v>709</v>
      </c>
    </row>
    <row r="27" spans="2:12" ht="18.5" thickBot="1" x14ac:dyDescent="0.45">
      <c r="B27" s="96" t="s">
        <v>487</v>
      </c>
      <c r="C27" s="14" t="s">
        <v>488</v>
      </c>
      <c r="H27" s="12"/>
      <c r="J27" s="113" t="s">
        <v>710</v>
      </c>
      <c r="K27" s="114"/>
      <c r="L27" s="115"/>
    </row>
    <row r="28" spans="2:12" x14ac:dyDescent="0.35">
      <c r="B28" s="13" t="s">
        <v>493</v>
      </c>
      <c r="C28" s="15">
        <v>800</v>
      </c>
      <c r="D28" s="9" t="s">
        <v>88</v>
      </c>
      <c r="J28" s="12"/>
      <c r="K28" s="12"/>
    </row>
    <row r="29" spans="2:12" x14ac:dyDescent="0.35">
      <c r="B29" s="13" t="s">
        <v>489</v>
      </c>
      <c r="C29" s="16">
        <v>20</v>
      </c>
      <c r="D29" s="9" t="s">
        <v>8</v>
      </c>
    </row>
    <row r="30" spans="2:12" ht="16" thickBot="1" x14ac:dyDescent="0.4">
      <c r="B30" s="13" t="s">
        <v>490</v>
      </c>
      <c r="C30" s="17">
        <v>40</v>
      </c>
      <c r="D30" s="9" t="s">
        <v>8</v>
      </c>
    </row>
    <row r="31" spans="2:12" x14ac:dyDescent="0.35">
      <c r="C31" s="14" t="s">
        <v>491</v>
      </c>
    </row>
    <row r="32" spans="2:12" x14ac:dyDescent="0.35">
      <c r="B32" s="13" t="s">
        <v>499</v>
      </c>
      <c r="C32" s="11" t="s">
        <v>492</v>
      </c>
    </row>
    <row r="33" spans="2:10" x14ac:dyDescent="0.35">
      <c r="B33" s="13" t="s">
        <v>30</v>
      </c>
      <c r="C33" s="11">
        <f>C29/C30</f>
        <v>0.5</v>
      </c>
      <c r="D33" s="9" t="s">
        <v>8</v>
      </c>
    </row>
    <row r="34" spans="2:10" x14ac:dyDescent="0.35">
      <c r="B34" s="13" t="s">
        <v>494</v>
      </c>
      <c r="C34" s="11" t="s">
        <v>556</v>
      </c>
    </row>
    <row r="35" spans="2:10" x14ac:dyDescent="0.35">
      <c r="B35" s="13" t="s">
        <v>30</v>
      </c>
      <c r="C35" s="11">
        <f>C28*C33</f>
        <v>400</v>
      </c>
      <c r="D35" s="9" t="s">
        <v>88</v>
      </c>
    </row>
    <row r="36" spans="2:10" x14ac:dyDescent="0.35">
      <c r="C36" s="9"/>
    </row>
    <row r="37" spans="2:10" x14ac:dyDescent="0.35">
      <c r="C37" s="9"/>
      <c r="G37" s="12"/>
      <c r="H37" s="12"/>
      <c r="I37" s="12"/>
      <c r="J37" s="12"/>
    </row>
    <row r="38" spans="2:10" x14ac:dyDescent="0.35">
      <c r="B38" s="9"/>
      <c r="C38" s="9"/>
      <c r="G38" s="12"/>
      <c r="H38" s="12"/>
      <c r="I38" s="12"/>
      <c r="J38" s="12"/>
    </row>
    <row r="39" spans="2:10" x14ac:dyDescent="0.35">
      <c r="B39" s="9"/>
      <c r="C39" s="9"/>
      <c r="G39" s="12"/>
      <c r="H39" s="12"/>
      <c r="I39" s="12"/>
      <c r="J39" s="12"/>
    </row>
    <row r="40" spans="2:10" x14ac:dyDescent="0.35">
      <c r="B40" s="9"/>
      <c r="C40" s="9"/>
      <c r="G40" s="12"/>
      <c r="H40" s="12"/>
      <c r="I40" s="12"/>
      <c r="J40" s="12"/>
    </row>
    <row r="41" spans="2:10" x14ac:dyDescent="0.35">
      <c r="B41" s="9"/>
      <c r="C41" s="9"/>
      <c r="G41" s="12"/>
      <c r="H41" s="12"/>
      <c r="I41" s="12"/>
      <c r="J41" s="12"/>
    </row>
    <row r="42" spans="2:10" x14ac:dyDescent="0.35">
      <c r="B42" s="9"/>
      <c r="C42" s="9"/>
      <c r="G42" s="12"/>
      <c r="H42" s="12"/>
      <c r="I42" s="12"/>
      <c r="J42" s="12"/>
    </row>
    <row r="43" spans="2:10" x14ac:dyDescent="0.35">
      <c r="B43" s="9"/>
      <c r="C43" s="9"/>
      <c r="G43" s="12"/>
      <c r="H43" s="12"/>
      <c r="I43" s="12"/>
      <c r="J43" s="12"/>
    </row>
    <row r="44" spans="2:10" x14ac:dyDescent="0.35">
      <c r="B44" s="9"/>
      <c r="C44" s="9"/>
      <c r="G44" s="12"/>
      <c r="H44" s="12"/>
      <c r="I44" s="12"/>
      <c r="J44" s="12"/>
    </row>
    <row r="45" spans="2:10" x14ac:dyDescent="0.35">
      <c r="B45" s="9"/>
      <c r="C45" s="9"/>
      <c r="G45" s="12"/>
      <c r="H45" s="12"/>
      <c r="I45" s="12"/>
      <c r="J45" s="12"/>
    </row>
    <row r="46" spans="2:10" x14ac:dyDescent="0.35">
      <c r="B46" s="9"/>
      <c r="C46" s="9"/>
      <c r="G46" s="12"/>
      <c r="H46" s="12"/>
      <c r="I46" s="12"/>
      <c r="J46" s="12"/>
    </row>
    <row r="47" spans="2:10" x14ac:dyDescent="0.35">
      <c r="B47" s="9"/>
      <c r="C47" s="9"/>
      <c r="G47" s="12"/>
      <c r="H47" s="12"/>
      <c r="I47" s="12"/>
      <c r="J47" s="12"/>
    </row>
    <row r="48" spans="2:10" x14ac:dyDescent="0.35">
      <c r="B48" s="9"/>
      <c r="C48" s="9"/>
      <c r="G48" s="12"/>
      <c r="H48" s="12"/>
      <c r="I48" s="12"/>
      <c r="J48" s="12"/>
    </row>
    <row r="49" spans="2:10" x14ac:dyDescent="0.35">
      <c r="B49" s="9"/>
      <c r="C49" s="9"/>
      <c r="G49" s="12"/>
      <c r="H49" s="12"/>
      <c r="I49" s="12"/>
      <c r="J49" s="12"/>
    </row>
    <row r="50" spans="2:10" x14ac:dyDescent="0.35">
      <c r="B50" s="9"/>
      <c r="C50" s="9"/>
      <c r="G50" s="12"/>
      <c r="H50" s="12"/>
      <c r="I50" s="93"/>
      <c r="J50" s="92"/>
    </row>
    <row r="51" spans="2:10" x14ac:dyDescent="0.35">
      <c r="B51" s="9"/>
      <c r="C51" s="9"/>
      <c r="G51" s="12"/>
      <c r="H51" s="12"/>
      <c r="I51" s="94"/>
      <c r="J51" s="92"/>
    </row>
    <row r="52" spans="2:10" x14ac:dyDescent="0.35">
      <c r="B52" s="9"/>
      <c r="C52" s="9"/>
      <c r="G52" s="12"/>
      <c r="H52" s="12"/>
      <c r="I52" s="12"/>
      <c r="J52" s="12"/>
    </row>
    <row r="53" spans="2:10" x14ac:dyDescent="0.35">
      <c r="B53" s="9"/>
      <c r="C53" s="9"/>
      <c r="G53" s="12"/>
      <c r="J53" s="12"/>
    </row>
    <row r="54" spans="2:10" x14ac:dyDescent="0.35">
      <c r="B54" s="9"/>
      <c r="C54" s="9"/>
      <c r="G54" s="12"/>
      <c r="H54" s="12"/>
      <c r="I54" s="12"/>
      <c r="J54" s="12"/>
    </row>
    <row r="55" spans="2:10" x14ac:dyDescent="0.35">
      <c r="B55" s="9"/>
      <c r="C55" s="9"/>
      <c r="G55" s="12"/>
      <c r="H55" s="12"/>
      <c r="I55" s="12"/>
      <c r="J55" s="12"/>
    </row>
    <row r="56" spans="2:10" x14ac:dyDescent="0.35">
      <c r="B56" s="9"/>
      <c r="C56" s="9"/>
      <c r="G56" s="12"/>
      <c r="H56" s="12"/>
      <c r="I56" s="12"/>
      <c r="J56" s="12"/>
    </row>
    <row r="57" spans="2:10" x14ac:dyDescent="0.35">
      <c r="B57" s="9"/>
      <c r="C57" s="9"/>
      <c r="G57" s="12"/>
      <c r="H57" s="12"/>
      <c r="I57" s="12"/>
      <c r="J57" s="12"/>
    </row>
    <row r="58" spans="2:10" x14ac:dyDescent="0.35">
      <c r="B58" s="9"/>
      <c r="C58" s="9"/>
      <c r="G58" s="12"/>
      <c r="H58" s="12"/>
      <c r="I58" s="12"/>
      <c r="J58" s="12"/>
    </row>
    <row r="59" spans="2:10" x14ac:dyDescent="0.35">
      <c r="G59" s="12"/>
      <c r="H59" s="12"/>
      <c r="I59" s="12"/>
      <c r="J59" s="12"/>
    </row>
    <row r="60" spans="2:10" x14ac:dyDescent="0.35">
      <c r="G60" s="12"/>
      <c r="H60" s="12"/>
      <c r="I60" s="12"/>
      <c r="J60" s="12"/>
    </row>
    <row r="61" spans="2:10" x14ac:dyDescent="0.35">
      <c r="G61" s="12"/>
      <c r="H61" s="12"/>
      <c r="I61" s="12"/>
      <c r="J61" s="12"/>
    </row>
    <row r="62" spans="2:10" x14ac:dyDescent="0.35">
      <c r="G62" s="12"/>
      <c r="H62" s="12"/>
      <c r="I62" s="12"/>
      <c r="J62" s="12"/>
    </row>
    <row r="63" spans="2:10" x14ac:dyDescent="0.35">
      <c r="G63" s="12"/>
      <c r="H63" s="12"/>
      <c r="I63" s="12"/>
      <c r="J63" s="12"/>
    </row>
    <row r="64" spans="2:10" x14ac:dyDescent="0.35">
      <c r="G64" s="12"/>
      <c r="H64" s="12"/>
      <c r="I64" s="12"/>
      <c r="J64" s="12"/>
    </row>
    <row r="65" spans="2:10" ht="18.5" thickBot="1" x14ac:dyDescent="0.45">
      <c r="B65" s="96" t="s">
        <v>506</v>
      </c>
      <c r="C65" s="14" t="s">
        <v>488</v>
      </c>
      <c r="G65" s="12"/>
      <c r="H65" s="12"/>
    </row>
    <row r="66" spans="2:10" x14ac:dyDescent="0.35">
      <c r="B66" s="13" t="s">
        <v>493</v>
      </c>
      <c r="C66" s="15">
        <v>400</v>
      </c>
      <c r="D66" s="9" t="s">
        <v>88</v>
      </c>
      <c r="G66" s="12"/>
      <c r="H66" s="12"/>
    </row>
    <row r="67" spans="2:10" x14ac:dyDescent="0.35">
      <c r="B67" s="13" t="s">
        <v>489</v>
      </c>
      <c r="C67" s="16">
        <v>40</v>
      </c>
      <c r="D67" s="9" t="s">
        <v>8</v>
      </c>
      <c r="G67" s="12"/>
      <c r="H67" s="12"/>
    </row>
    <row r="68" spans="2:10" x14ac:dyDescent="0.35">
      <c r="B68" s="13" t="s">
        <v>490</v>
      </c>
      <c r="C68" s="16">
        <v>20</v>
      </c>
      <c r="D68" s="9" t="s">
        <v>8</v>
      </c>
      <c r="G68" s="12"/>
      <c r="H68" s="12"/>
    </row>
    <row r="69" spans="2:10" x14ac:dyDescent="0.35">
      <c r="B69" s="13" t="s">
        <v>496</v>
      </c>
      <c r="C69" s="16">
        <v>60</v>
      </c>
      <c r="D69" s="9" t="s">
        <v>8</v>
      </c>
      <c r="G69" s="12"/>
      <c r="H69" s="12"/>
    </row>
    <row r="70" spans="2:10" ht="16" thickBot="1" x14ac:dyDescent="0.4">
      <c r="B70" s="13" t="s">
        <v>497</v>
      </c>
      <c r="C70" s="17">
        <v>30</v>
      </c>
      <c r="D70" s="9" t="s">
        <v>8</v>
      </c>
      <c r="G70" s="12"/>
      <c r="H70" s="12"/>
    </row>
    <row r="71" spans="2:10" x14ac:dyDescent="0.35">
      <c r="C71" s="14" t="s">
        <v>491</v>
      </c>
      <c r="G71" s="12"/>
      <c r="H71" s="12"/>
    </row>
    <row r="72" spans="2:10" x14ac:dyDescent="0.35">
      <c r="B72" s="13" t="s">
        <v>499</v>
      </c>
      <c r="C72" s="11" t="s">
        <v>492</v>
      </c>
      <c r="G72" s="12"/>
      <c r="H72" s="12"/>
    </row>
    <row r="73" spans="2:10" x14ac:dyDescent="0.35">
      <c r="B73" s="13" t="s">
        <v>30</v>
      </c>
      <c r="C73" s="11">
        <f>C67/C68</f>
        <v>2</v>
      </c>
      <c r="D73" s="9" t="s">
        <v>8</v>
      </c>
      <c r="G73" s="12"/>
      <c r="H73" s="12"/>
    </row>
    <row r="74" spans="2:10" x14ac:dyDescent="0.35">
      <c r="B74" s="13" t="s">
        <v>494</v>
      </c>
      <c r="C74" s="11" t="s">
        <v>495</v>
      </c>
      <c r="G74" s="12"/>
      <c r="H74" s="12"/>
    </row>
    <row r="75" spans="2:10" x14ac:dyDescent="0.35">
      <c r="B75" s="13" t="s">
        <v>30</v>
      </c>
      <c r="C75" s="11">
        <f>C66/C73</f>
        <v>200</v>
      </c>
      <c r="D75" s="9" t="s">
        <v>88</v>
      </c>
      <c r="G75" s="12"/>
      <c r="H75" s="12"/>
    </row>
    <row r="76" spans="2:10" x14ac:dyDescent="0.35">
      <c r="B76" s="13" t="s">
        <v>500</v>
      </c>
      <c r="C76" s="11" t="s">
        <v>498</v>
      </c>
      <c r="G76" s="12"/>
      <c r="H76" s="12"/>
    </row>
    <row r="77" spans="2:10" x14ac:dyDescent="0.35">
      <c r="B77" s="13" t="s">
        <v>30</v>
      </c>
      <c r="C77" s="18">
        <f>C69/C70</f>
        <v>2</v>
      </c>
      <c r="D77" s="9" t="s">
        <v>8</v>
      </c>
      <c r="G77" s="12"/>
      <c r="H77" s="12"/>
    </row>
    <row r="78" spans="2:10" x14ac:dyDescent="0.35">
      <c r="B78" s="13" t="s">
        <v>504</v>
      </c>
      <c r="C78" s="11" t="s">
        <v>501</v>
      </c>
      <c r="G78" s="12"/>
      <c r="H78" s="12"/>
    </row>
    <row r="79" spans="2:10" ht="18" x14ac:dyDescent="0.4">
      <c r="B79" s="13" t="s">
        <v>30</v>
      </c>
      <c r="C79" s="11" t="s">
        <v>502</v>
      </c>
      <c r="G79" s="12"/>
      <c r="H79" s="12"/>
      <c r="J79" s="96" t="s">
        <v>717</v>
      </c>
    </row>
    <row r="80" spans="2:10" x14ac:dyDescent="0.35">
      <c r="B80" s="13" t="s">
        <v>30</v>
      </c>
      <c r="C80" s="11">
        <f>C73*C77</f>
        <v>4</v>
      </c>
      <c r="D80" s="9" t="s">
        <v>8</v>
      </c>
      <c r="G80" s="12"/>
      <c r="H80" s="12"/>
    </row>
    <row r="81" spans="2:10" x14ac:dyDescent="0.35">
      <c r="B81" s="13" t="s">
        <v>503</v>
      </c>
      <c r="C81" s="11" t="s">
        <v>505</v>
      </c>
      <c r="G81" s="12"/>
      <c r="H81" s="12"/>
    </row>
    <row r="82" spans="2:10" x14ac:dyDescent="0.35">
      <c r="B82" s="13" t="s">
        <v>30</v>
      </c>
      <c r="C82" s="11">
        <f>C66*C80</f>
        <v>1600</v>
      </c>
      <c r="D82" s="9" t="s">
        <v>88</v>
      </c>
      <c r="G82" s="12"/>
      <c r="H82" s="12"/>
    </row>
    <row r="83" spans="2:10" x14ac:dyDescent="0.35">
      <c r="B83" s="9"/>
      <c r="C83" s="9"/>
      <c r="G83" s="12"/>
      <c r="H83" s="12"/>
    </row>
    <row r="84" spans="2:10" x14ac:dyDescent="0.35">
      <c r="G84" s="12"/>
      <c r="H84" s="12"/>
    </row>
    <row r="85" spans="2:10" x14ac:dyDescent="0.35">
      <c r="B85" s="19"/>
      <c r="C85" s="20"/>
      <c r="D85" s="20"/>
      <c r="E85" s="21"/>
      <c r="F85" s="21"/>
      <c r="G85" s="22"/>
      <c r="H85" s="12"/>
    </row>
    <row r="86" spans="2:10" ht="18.5" x14ac:dyDescent="0.45">
      <c r="G86" s="12"/>
      <c r="H86" s="12"/>
      <c r="I86" s="100"/>
      <c r="J86" s="99"/>
    </row>
    <row r="87" spans="2:10" ht="18" x14ac:dyDescent="0.4">
      <c r="B87" s="97" t="s">
        <v>242</v>
      </c>
      <c r="G87" s="12"/>
      <c r="H87" s="12"/>
    </row>
    <row r="88" spans="2:10" x14ac:dyDescent="0.35">
      <c r="G88" s="12"/>
      <c r="H88" s="12"/>
    </row>
    <row r="114" spans="6:10" x14ac:dyDescent="0.35">
      <c r="F114" s="12"/>
      <c r="G114" s="12"/>
      <c r="H114" s="12"/>
      <c r="I114" s="12"/>
      <c r="J114" s="12"/>
    </row>
    <row r="115" spans="6:10" x14ac:dyDescent="0.35">
      <c r="F115" s="12"/>
      <c r="G115" s="12"/>
      <c r="H115" s="12"/>
      <c r="I115" s="12"/>
      <c r="J115" s="12"/>
    </row>
    <row r="116" spans="6:10" x14ac:dyDescent="0.35">
      <c r="F116" s="12"/>
      <c r="G116" s="12"/>
      <c r="H116" s="12"/>
      <c r="I116" s="12"/>
      <c r="J116" s="12"/>
    </row>
    <row r="117" spans="6:10" x14ac:dyDescent="0.35">
      <c r="F117" s="12"/>
      <c r="G117" s="12"/>
      <c r="H117" s="12"/>
      <c r="I117" s="12"/>
      <c r="J117" s="12"/>
    </row>
    <row r="118" spans="6:10" x14ac:dyDescent="0.35">
      <c r="F118" s="12"/>
      <c r="G118" s="12"/>
      <c r="H118" s="12"/>
      <c r="I118" s="12"/>
      <c r="J118" s="12"/>
    </row>
    <row r="119" spans="6:10" x14ac:dyDescent="0.35">
      <c r="F119" s="12"/>
      <c r="G119" s="12"/>
      <c r="H119" s="12"/>
      <c r="I119" s="12"/>
      <c r="J119" s="12"/>
    </row>
    <row r="120" spans="6:10" x14ac:dyDescent="0.35">
      <c r="F120" s="12"/>
      <c r="G120" s="12"/>
      <c r="H120" s="12"/>
      <c r="I120" s="12"/>
      <c r="J120" s="12"/>
    </row>
    <row r="121" spans="6:10" x14ac:dyDescent="0.35">
      <c r="F121" s="12"/>
      <c r="G121" s="12"/>
      <c r="H121" s="12"/>
      <c r="I121" s="12"/>
      <c r="J121" s="12"/>
    </row>
    <row r="122" spans="6:10" x14ac:dyDescent="0.35">
      <c r="F122" s="12"/>
      <c r="G122" s="12"/>
      <c r="H122" s="12"/>
      <c r="I122" s="12"/>
      <c r="J122" s="12"/>
    </row>
    <row r="123" spans="6:10" x14ac:dyDescent="0.35">
      <c r="F123" s="12"/>
      <c r="G123" s="12"/>
      <c r="H123" s="12"/>
      <c r="I123" s="12"/>
      <c r="J123" s="12"/>
    </row>
    <row r="124" spans="6:10" x14ac:dyDescent="0.35">
      <c r="F124" s="12"/>
      <c r="G124" s="12"/>
      <c r="H124" s="12"/>
      <c r="I124" s="12"/>
      <c r="J124" s="12"/>
    </row>
    <row r="125" spans="6:10" x14ac:dyDescent="0.35">
      <c r="F125" s="12"/>
      <c r="G125" s="12"/>
      <c r="H125" s="12"/>
      <c r="I125" s="12"/>
      <c r="J125" s="12"/>
    </row>
    <row r="126" spans="6:10" x14ac:dyDescent="0.35">
      <c r="F126" s="12"/>
      <c r="G126" s="12"/>
      <c r="H126" s="12"/>
      <c r="I126" s="12"/>
      <c r="J126" s="12"/>
    </row>
    <row r="127" spans="6:10" x14ac:dyDescent="0.35">
      <c r="F127" s="12"/>
      <c r="G127" s="12"/>
      <c r="H127" s="12"/>
      <c r="I127" s="12"/>
      <c r="J127" s="12"/>
    </row>
    <row r="128" spans="6:10" x14ac:dyDescent="0.35">
      <c r="F128" s="12"/>
      <c r="G128" s="12"/>
      <c r="H128" s="12"/>
      <c r="I128" s="12"/>
      <c r="J128" s="12"/>
    </row>
    <row r="129" spans="3:10" x14ac:dyDescent="0.35">
      <c r="F129" s="12"/>
      <c r="G129" s="12"/>
      <c r="H129" s="12"/>
      <c r="I129" s="12"/>
      <c r="J129" s="12"/>
    </row>
    <row r="130" spans="3:10" x14ac:dyDescent="0.35">
      <c r="F130" s="12"/>
      <c r="G130" s="12"/>
      <c r="H130" s="12"/>
      <c r="I130" s="12"/>
      <c r="J130" s="12"/>
    </row>
    <row r="131" spans="3:10" x14ac:dyDescent="0.35">
      <c r="F131" s="12"/>
      <c r="G131" s="12"/>
      <c r="H131" s="12"/>
      <c r="I131" s="12"/>
      <c r="J131" s="12"/>
    </row>
    <row r="132" spans="3:10" x14ac:dyDescent="0.35">
      <c r="F132" s="12"/>
      <c r="G132" s="12"/>
      <c r="H132" s="12"/>
      <c r="I132" s="12"/>
      <c r="J132" s="12"/>
    </row>
    <row r="133" spans="3:10" x14ac:dyDescent="0.35">
      <c r="C133" s="23"/>
      <c r="D133" s="23"/>
      <c r="F133" s="12"/>
      <c r="G133" s="12"/>
      <c r="H133" s="12"/>
      <c r="I133" s="12"/>
      <c r="J133" s="12"/>
    </row>
    <row r="134" spans="3:10" x14ac:dyDescent="0.35">
      <c r="F134" s="12"/>
      <c r="G134" s="12"/>
      <c r="H134" s="12"/>
      <c r="I134" s="12"/>
      <c r="J134" s="12"/>
    </row>
    <row r="135" spans="3:10" x14ac:dyDescent="0.35">
      <c r="F135" s="12"/>
      <c r="G135" s="12"/>
      <c r="H135" s="12"/>
      <c r="I135" s="12"/>
      <c r="J135" s="12"/>
    </row>
    <row r="136" spans="3:10" x14ac:dyDescent="0.35">
      <c r="F136" s="12"/>
      <c r="G136" s="12"/>
      <c r="H136" s="12"/>
      <c r="I136" s="12"/>
      <c r="J136" s="12"/>
    </row>
    <row r="137" spans="3:10" x14ac:dyDescent="0.35">
      <c r="F137" s="12"/>
      <c r="G137" s="12"/>
      <c r="H137" s="12"/>
      <c r="I137" s="12"/>
      <c r="J137" s="12"/>
    </row>
    <row r="138" spans="3:10" x14ac:dyDescent="0.35">
      <c r="F138" s="12"/>
      <c r="G138" s="12"/>
      <c r="H138" s="12"/>
      <c r="I138" s="12"/>
      <c r="J138" s="12"/>
    </row>
    <row r="139" spans="3:10" x14ac:dyDescent="0.35">
      <c r="I139" s="12"/>
      <c r="J139" s="12"/>
    </row>
    <row r="149" spans="2:25" ht="18" x14ac:dyDescent="0.4">
      <c r="B149" s="98" t="s">
        <v>277</v>
      </c>
      <c r="F149" s="12"/>
      <c r="G149" s="12"/>
      <c r="H149" s="12"/>
    </row>
    <row r="150" spans="2:25" x14ac:dyDescent="0.35">
      <c r="B150" s="11" t="s">
        <v>485</v>
      </c>
      <c r="I150" s="12"/>
      <c r="J150" s="12"/>
      <c r="K150" s="12"/>
    </row>
    <row r="151" spans="2:25" ht="16" thickBot="1" x14ac:dyDescent="0.4">
      <c r="C151" s="25" t="s">
        <v>4</v>
      </c>
      <c r="D151" s="23"/>
      <c r="I151" s="12"/>
      <c r="J151" s="12"/>
      <c r="K151" s="12"/>
    </row>
    <row r="152" spans="2:25" x14ac:dyDescent="0.35">
      <c r="B152" s="26" t="s">
        <v>243</v>
      </c>
      <c r="C152" s="27">
        <v>5</v>
      </c>
      <c r="D152" s="23" t="s">
        <v>89</v>
      </c>
      <c r="I152" s="12"/>
      <c r="J152" s="12"/>
      <c r="K152" s="12"/>
    </row>
    <row r="153" spans="2:25" x14ac:dyDescent="0.35">
      <c r="B153" s="26" t="s">
        <v>244</v>
      </c>
      <c r="C153" s="28">
        <v>1750</v>
      </c>
      <c r="D153" s="23" t="s">
        <v>88</v>
      </c>
      <c r="I153" s="12"/>
      <c r="J153" s="12"/>
      <c r="K153" s="12"/>
    </row>
    <row r="154" spans="2:25" x14ac:dyDescent="0.35">
      <c r="B154" s="13" t="s">
        <v>615</v>
      </c>
      <c r="C154" s="16">
        <v>1.5</v>
      </c>
      <c r="I154" s="12"/>
      <c r="J154" s="12"/>
      <c r="K154" s="12"/>
    </row>
    <row r="155" spans="2:25" x14ac:dyDescent="0.35">
      <c r="B155" s="26" t="s">
        <v>245</v>
      </c>
      <c r="C155" s="16">
        <v>1.5</v>
      </c>
      <c r="D155" s="23"/>
      <c r="I155" s="12"/>
      <c r="J155" s="12"/>
      <c r="K155" s="12"/>
    </row>
    <row r="156" spans="2:25" x14ac:dyDescent="0.35">
      <c r="B156" s="29" t="s">
        <v>275</v>
      </c>
      <c r="C156" s="30">
        <v>12000</v>
      </c>
      <c r="D156" s="23" t="s">
        <v>249</v>
      </c>
      <c r="F156" s="13"/>
      <c r="I156" s="12"/>
      <c r="J156" s="12"/>
      <c r="K156" s="12"/>
    </row>
    <row r="157" spans="2:25" ht="16" thickBot="1" x14ac:dyDescent="0.4">
      <c r="B157" s="26" t="s">
        <v>247</v>
      </c>
      <c r="C157" s="16">
        <v>8</v>
      </c>
      <c r="D157" s="23" t="s">
        <v>10</v>
      </c>
      <c r="I157" s="12"/>
      <c r="J157" s="12"/>
    </row>
    <row r="158" spans="2:25" ht="19" thickBot="1" x14ac:dyDescent="0.5">
      <c r="B158" s="26" t="s">
        <v>274</v>
      </c>
      <c r="C158" s="17">
        <v>4000</v>
      </c>
      <c r="D158" s="31" t="s">
        <v>67</v>
      </c>
      <c r="F158" s="32"/>
      <c r="I158" s="111" t="s">
        <v>714</v>
      </c>
      <c r="J158" s="108"/>
      <c r="K158" s="108"/>
      <c r="L158" s="108"/>
      <c r="M158" s="108"/>
      <c r="N158" s="105"/>
      <c r="O158" s="105"/>
      <c r="P158" s="105"/>
      <c r="U158" s="105"/>
      <c r="V158" s="105"/>
      <c r="W158" s="105"/>
      <c r="X158" s="105"/>
      <c r="Y158" s="12"/>
    </row>
    <row r="159" spans="2:25" x14ac:dyDescent="0.35">
      <c r="B159" s="26"/>
      <c r="C159" s="25" t="s">
        <v>13</v>
      </c>
      <c r="D159" s="23"/>
      <c r="I159" s="12"/>
      <c r="J159" s="12"/>
    </row>
    <row r="160" spans="2:25" ht="20" x14ac:dyDescent="0.4">
      <c r="B160" s="33" t="s">
        <v>273</v>
      </c>
      <c r="C160" s="24" t="s">
        <v>616</v>
      </c>
      <c r="D160" s="23"/>
      <c r="H160" s="12"/>
      <c r="I160" s="110" t="s">
        <v>715</v>
      </c>
      <c r="J160" s="12"/>
    </row>
    <row r="161" spans="2:16" ht="18" x14ac:dyDescent="0.4">
      <c r="B161" s="33" t="s">
        <v>250</v>
      </c>
      <c r="C161" s="35">
        <f>12*C154*5252*C152 / C153</f>
        <v>270.10285714285715</v>
      </c>
      <c r="D161" s="24" t="s">
        <v>67</v>
      </c>
      <c r="I161" s="96" t="s">
        <v>719</v>
      </c>
      <c r="L161" s="108"/>
      <c r="M161" s="108"/>
      <c r="N161" s="108"/>
      <c r="O161" s="99"/>
      <c r="P161" s="99"/>
    </row>
    <row r="162" spans="2:16" ht="18" x14ac:dyDescent="0.4">
      <c r="B162" s="36" t="s">
        <v>246</v>
      </c>
      <c r="C162" s="37" t="s">
        <v>276</v>
      </c>
      <c r="D162" s="7"/>
      <c r="I162" s="96" t="s">
        <v>720</v>
      </c>
    </row>
    <row r="163" spans="2:16" ht="16" thickBot="1" x14ac:dyDescent="0.4">
      <c r="B163" s="36" t="s">
        <v>30</v>
      </c>
      <c r="C163" s="38">
        <f>((16/(3.1416*C156))*((C154*C158)^2 + (C155*C161)^2 )^0.5)^(1/3)</f>
        <v>1.36660286363562</v>
      </c>
      <c r="D163" s="7" t="s">
        <v>10</v>
      </c>
    </row>
    <row r="164" spans="2:16" ht="18" thickBot="1" x14ac:dyDescent="0.4">
      <c r="C164" s="6"/>
      <c r="D164" s="7"/>
      <c r="E164" s="7"/>
      <c r="H164" s="12"/>
      <c r="I164" s="109" t="s">
        <v>716</v>
      </c>
      <c r="J164" s="106"/>
      <c r="K164" s="107"/>
    </row>
    <row r="165" spans="2:16" ht="16" thickBot="1" x14ac:dyDescent="0.4">
      <c r="B165" s="19"/>
      <c r="C165" s="20"/>
      <c r="D165" s="20"/>
      <c r="E165" s="21"/>
      <c r="F165" s="21"/>
      <c r="G165" s="21"/>
      <c r="H165" s="12"/>
      <c r="I165" s="12"/>
      <c r="J165" s="12"/>
    </row>
    <row r="166" spans="2:16" ht="18" thickBot="1" x14ac:dyDescent="0.4">
      <c r="B166" s="36"/>
      <c r="C166" s="39"/>
      <c r="D166" s="7"/>
      <c r="H166" s="12"/>
      <c r="I166" s="117" t="s">
        <v>718</v>
      </c>
      <c r="J166" s="108"/>
      <c r="K166" s="108"/>
    </row>
    <row r="167" spans="2:16" ht="18" x14ac:dyDescent="0.4">
      <c r="B167" s="97" t="s">
        <v>259</v>
      </c>
      <c r="H167" s="12"/>
      <c r="I167" s="12"/>
      <c r="J167" s="12"/>
      <c r="K167" s="12"/>
      <c r="L167" s="12"/>
      <c r="M167" s="12"/>
    </row>
    <row r="168" spans="2:16" x14ac:dyDescent="0.35">
      <c r="D168" s="11"/>
      <c r="H168" s="12"/>
      <c r="I168" s="12"/>
      <c r="J168" s="12"/>
      <c r="K168" s="12"/>
      <c r="L168" s="12"/>
      <c r="M168" s="12"/>
    </row>
    <row r="169" spans="2:16" x14ac:dyDescent="0.35">
      <c r="B169" s="33" t="s">
        <v>260</v>
      </c>
      <c r="C169" s="23"/>
      <c r="D169" s="23"/>
      <c r="E169" s="40"/>
      <c r="F169" s="40"/>
      <c r="H169" s="12"/>
      <c r="I169" s="12"/>
      <c r="J169" s="12"/>
      <c r="K169" s="12"/>
      <c r="L169" s="12"/>
      <c r="M169" s="12"/>
    </row>
    <row r="170" spans="2:16" ht="16" thickBot="1" x14ac:dyDescent="0.4">
      <c r="B170" s="26"/>
      <c r="C170" s="41" t="s">
        <v>4</v>
      </c>
      <c r="D170" s="23"/>
      <c r="E170" s="40"/>
      <c r="F170" s="40"/>
      <c r="H170" s="12"/>
      <c r="I170" s="12"/>
      <c r="J170" s="12"/>
      <c r="K170" s="12"/>
      <c r="L170" s="12"/>
      <c r="M170" s="12"/>
      <c r="N170" s="12"/>
    </row>
    <row r="171" spans="2:16" x14ac:dyDescent="0.35">
      <c r="B171" s="42" t="s">
        <v>261</v>
      </c>
      <c r="C171" s="43">
        <v>360</v>
      </c>
      <c r="D171" s="23" t="s">
        <v>67</v>
      </c>
      <c r="E171" s="40"/>
      <c r="F171" s="40"/>
      <c r="H171" s="12"/>
      <c r="I171" s="12"/>
      <c r="J171" s="12"/>
      <c r="K171" s="12"/>
      <c r="L171" s="12"/>
      <c r="M171" s="12"/>
      <c r="N171" s="12"/>
    </row>
    <row r="172" spans="2:16" ht="16" thickBot="1" x14ac:dyDescent="0.4">
      <c r="B172" s="26" t="s">
        <v>262</v>
      </c>
      <c r="C172" s="44">
        <v>2</v>
      </c>
      <c r="D172" s="23" t="s">
        <v>10</v>
      </c>
      <c r="E172" s="40"/>
      <c r="F172" s="40"/>
      <c r="H172" s="12"/>
      <c r="I172" s="12"/>
      <c r="J172" s="12"/>
      <c r="K172" s="12"/>
      <c r="L172" s="12"/>
      <c r="M172" s="12"/>
      <c r="N172" s="12"/>
    </row>
    <row r="173" spans="2:16" x14ac:dyDescent="0.35">
      <c r="B173" s="26"/>
      <c r="C173" s="41" t="s">
        <v>13</v>
      </c>
      <c r="D173" s="23"/>
      <c r="E173" s="40"/>
      <c r="F173" s="40"/>
      <c r="H173" s="12"/>
      <c r="I173" s="12"/>
      <c r="J173" s="12"/>
      <c r="K173" s="12"/>
      <c r="L173" s="12"/>
      <c r="M173" s="12"/>
      <c r="N173" s="12"/>
    </row>
    <row r="174" spans="2:16" x14ac:dyDescent="0.35">
      <c r="B174" s="33" t="s">
        <v>263</v>
      </c>
      <c r="C174" s="24" t="s">
        <v>255</v>
      </c>
      <c r="D174" s="23"/>
      <c r="E174" s="40"/>
      <c r="F174" s="40"/>
      <c r="H174" s="12"/>
      <c r="I174" s="12"/>
      <c r="J174" s="12"/>
      <c r="K174" s="12"/>
      <c r="L174" s="12"/>
      <c r="M174" s="12"/>
      <c r="N174" s="12"/>
    </row>
    <row r="175" spans="2:16" x14ac:dyDescent="0.35">
      <c r="B175" s="45" t="s">
        <v>30</v>
      </c>
      <c r="C175" s="46">
        <f>(3.142*C172^4)/32</f>
        <v>1.571</v>
      </c>
      <c r="D175" s="24" t="s">
        <v>256</v>
      </c>
      <c r="E175" s="40"/>
      <c r="F175" s="47" t="s">
        <v>0</v>
      </c>
      <c r="H175" s="12"/>
      <c r="I175" s="12"/>
      <c r="J175" s="12"/>
      <c r="K175" s="12"/>
      <c r="L175" s="12"/>
      <c r="M175" s="12"/>
      <c r="N175" s="12"/>
    </row>
    <row r="176" spans="2:16" ht="16" thickBot="1" x14ac:dyDescent="0.4">
      <c r="B176" s="33" t="s">
        <v>264</v>
      </c>
      <c r="C176" s="24" t="s">
        <v>265</v>
      </c>
      <c r="D176" s="23"/>
      <c r="E176" s="40"/>
      <c r="F176" s="40"/>
      <c r="H176" s="12"/>
      <c r="I176" s="12"/>
      <c r="J176" s="12"/>
      <c r="K176" s="12"/>
      <c r="L176" s="12"/>
      <c r="M176" s="12"/>
      <c r="N176" s="12"/>
    </row>
    <row r="177" spans="2:16" ht="16" thickBot="1" x14ac:dyDescent="0.4">
      <c r="B177" s="45" t="s">
        <v>30</v>
      </c>
      <c r="C177" s="48">
        <f>C171*(C172/2)/C175</f>
        <v>229.15340547422025</v>
      </c>
      <c r="D177" s="24" t="s">
        <v>266</v>
      </c>
      <c r="E177" s="40"/>
      <c r="F177" s="40"/>
      <c r="H177" s="12"/>
      <c r="I177" s="12"/>
      <c r="J177" s="12"/>
      <c r="K177" s="12"/>
      <c r="L177" s="12"/>
      <c r="M177" s="12"/>
      <c r="N177" s="12"/>
    </row>
    <row r="178" spans="2:16" ht="18" x14ac:dyDescent="0.4">
      <c r="D178" s="11"/>
      <c r="H178" s="12"/>
      <c r="I178" s="116" t="s">
        <v>721</v>
      </c>
      <c r="J178" s="12"/>
      <c r="K178" s="12"/>
      <c r="L178" s="12"/>
      <c r="M178" s="12"/>
      <c r="N178" s="12"/>
    </row>
    <row r="179" spans="2:16" ht="18" x14ac:dyDescent="0.4">
      <c r="B179" s="19"/>
      <c r="C179" s="20"/>
      <c r="D179" s="20"/>
      <c r="E179" s="21"/>
      <c r="F179" s="21"/>
      <c r="G179" s="21"/>
      <c r="H179" s="12"/>
      <c r="I179" s="116" t="s">
        <v>722</v>
      </c>
      <c r="J179" s="12"/>
      <c r="K179" s="12"/>
      <c r="L179" s="12"/>
      <c r="M179" s="12"/>
      <c r="N179" s="12"/>
    </row>
    <row r="180" spans="2:16" x14ac:dyDescent="0.35">
      <c r="B180" s="26"/>
      <c r="C180" s="23"/>
      <c r="D180" s="23"/>
      <c r="E180" s="40"/>
      <c r="F180" s="40"/>
      <c r="H180" s="12"/>
      <c r="I180" s="12"/>
      <c r="J180" s="12"/>
      <c r="K180" s="12"/>
      <c r="L180" s="12"/>
      <c r="M180" s="12"/>
      <c r="N180" s="12"/>
    </row>
    <row r="181" spans="2:16" ht="18.5" thickBot="1" x14ac:dyDescent="0.45">
      <c r="B181" s="98" t="s">
        <v>267</v>
      </c>
      <c r="C181" s="41" t="s">
        <v>4</v>
      </c>
      <c r="D181" s="23"/>
      <c r="E181" s="40"/>
      <c r="F181" s="40"/>
      <c r="H181" s="12"/>
      <c r="I181" s="12"/>
      <c r="J181" s="12"/>
      <c r="K181" s="12"/>
      <c r="L181" s="50"/>
      <c r="M181" s="51"/>
      <c r="N181" s="51"/>
      <c r="O181" s="52"/>
      <c r="P181" s="52"/>
    </row>
    <row r="182" spans="2:16" x14ac:dyDescent="0.35">
      <c r="B182" s="42" t="s">
        <v>261</v>
      </c>
      <c r="C182" s="43">
        <v>1000</v>
      </c>
      <c r="D182" s="23" t="s">
        <v>67</v>
      </c>
      <c r="E182" s="40"/>
      <c r="F182" s="40"/>
      <c r="H182" s="12"/>
      <c r="I182" s="12"/>
      <c r="J182" s="12"/>
      <c r="K182" s="12"/>
      <c r="L182" s="53"/>
      <c r="M182" s="34"/>
      <c r="N182" s="34"/>
      <c r="O182" s="40"/>
      <c r="P182" s="40"/>
    </row>
    <row r="183" spans="2:16" x14ac:dyDescent="0.35">
      <c r="B183" s="42" t="s">
        <v>268</v>
      </c>
      <c r="C183" s="49">
        <v>2</v>
      </c>
      <c r="D183" s="23" t="s">
        <v>10</v>
      </c>
      <c r="E183" s="40"/>
      <c r="F183" s="40"/>
      <c r="H183" s="12"/>
      <c r="I183" s="12"/>
      <c r="J183" s="12"/>
      <c r="K183" s="12"/>
      <c r="L183" s="12"/>
      <c r="M183" s="12"/>
      <c r="N183" s="12"/>
    </row>
    <row r="184" spans="2:16" ht="16" thickBot="1" x14ac:dyDescent="0.4">
      <c r="B184" s="42" t="s">
        <v>269</v>
      </c>
      <c r="C184" s="44">
        <v>1.5</v>
      </c>
      <c r="D184" s="23" t="s">
        <v>10</v>
      </c>
      <c r="E184" s="40"/>
      <c r="F184" s="40"/>
      <c r="H184" s="12"/>
      <c r="I184" s="12"/>
      <c r="J184" s="12"/>
      <c r="K184" s="12"/>
      <c r="L184" s="12"/>
      <c r="M184" s="12"/>
      <c r="N184" s="12"/>
    </row>
    <row r="185" spans="2:16" x14ac:dyDescent="0.35">
      <c r="B185" s="26"/>
      <c r="C185" s="41" t="s">
        <v>13</v>
      </c>
      <c r="D185" s="23"/>
      <c r="E185" s="40"/>
      <c r="F185" s="40"/>
      <c r="H185" s="12"/>
      <c r="I185" s="12"/>
      <c r="J185" s="12"/>
      <c r="K185" s="12"/>
      <c r="L185" s="12"/>
      <c r="M185" s="12"/>
      <c r="N185" s="12"/>
    </row>
    <row r="186" spans="2:16" x14ac:dyDescent="0.35">
      <c r="B186" s="33" t="s">
        <v>263</v>
      </c>
      <c r="C186" s="24" t="s">
        <v>270</v>
      </c>
      <c r="D186" s="23"/>
      <c r="E186" s="40"/>
      <c r="F186" s="40"/>
      <c r="H186" s="12"/>
      <c r="I186" s="12"/>
      <c r="J186" s="12"/>
      <c r="K186" s="12"/>
      <c r="L186" s="12"/>
      <c r="M186" s="12"/>
      <c r="N186" s="12"/>
    </row>
    <row r="187" spans="2:16" x14ac:dyDescent="0.35">
      <c r="B187" s="45" t="s">
        <v>271</v>
      </c>
      <c r="C187" s="46">
        <f>(3.142*(C183^4-C184^4))/32</f>
        <v>1.07392578125</v>
      </c>
      <c r="D187" s="24" t="s">
        <v>256</v>
      </c>
      <c r="E187" s="40"/>
      <c r="F187" s="40"/>
      <c r="H187" s="12"/>
      <c r="I187" s="12"/>
      <c r="J187" s="12"/>
      <c r="K187" s="12"/>
      <c r="L187" s="12"/>
      <c r="M187" s="12"/>
      <c r="N187" s="12"/>
    </row>
    <row r="188" spans="2:16" ht="16" thickBot="1" x14ac:dyDescent="0.4">
      <c r="B188" s="33" t="s">
        <v>264</v>
      </c>
      <c r="C188" s="24" t="s">
        <v>272</v>
      </c>
      <c r="D188" s="23"/>
      <c r="E188" s="40"/>
      <c r="F188" s="40"/>
      <c r="H188" s="12"/>
      <c r="I188" s="12"/>
      <c r="J188" s="12"/>
      <c r="K188" s="12"/>
      <c r="L188" s="12"/>
      <c r="M188" s="12"/>
      <c r="N188" s="12"/>
    </row>
    <row r="189" spans="2:16" ht="16" thickBot="1" x14ac:dyDescent="0.4">
      <c r="B189" s="45" t="s">
        <v>250</v>
      </c>
      <c r="C189" s="48">
        <f>C182*(C183/2)/C187</f>
        <v>931.16304446667266</v>
      </c>
      <c r="D189" s="24" t="s">
        <v>266</v>
      </c>
      <c r="E189" s="40"/>
      <c r="F189" s="40"/>
      <c r="H189" s="12"/>
      <c r="I189" s="12"/>
      <c r="J189" s="12"/>
      <c r="K189" s="12"/>
      <c r="L189" s="12"/>
      <c r="M189" s="12"/>
      <c r="N189" s="12"/>
    </row>
    <row r="190" spans="2:16" x14ac:dyDescent="0.35">
      <c r="D190" s="11"/>
      <c r="H190" s="12"/>
      <c r="I190" s="12"/>
      <c r="J190" s="12"/>
      <c r="K190" s="12"/>
      <c r="L190" s="12"/>
      <c r="M190" s="12"/>
      <c r="N190" s="12"/>
    </row>
    <row r="191" spans="2:16" x14ac:dyDescent="0.35">
      <c r="B191" s="19"/>
      <c r="C191" s="20"/>
      <c r="D191" s="20"/>
      <c r="E191" s="21"/>
      <c r="F191" s="21"/>
      <c r="G191" s="21"/>
      <c r="H191" s="12"/>
      <c r="I191" s="12"/>
      <c r="J191" s="12"/>
      <c r="K191" s="12"/>
      <c r="L191" s="12"/>
      <c r="M191" s="12"/>
      <c r="N191" s="12"/>
    </row>
    <row r="192" spans="2:16" x14ac:dyDescent="0.35">
      <c r="D192" s="11"/>
      <c r="H192" s="12"/>
      <c r="I192" s="12"/>
      <c r="J192" s="12"/>
      <c r="K192" s="12"/>
      <c r="L192" s="12"/>
      <c r="M192" s="12"/>
      <c r="N192" s="12"/>
    </row>
    <row r="193" spans="2:14" ht="18" x14ac:dyDescent="0.4">
      <c r="B193" s="98" t="s">
        <v>251</v>
      </c>
      <c r="D193" s="11"/>
      <c r="G193" s="40"/>
      <c r="H193" s="12"/>
      <c r="I193" s="12"/>
      <c r="J193" s="12"/>
      <c r="K193" s="12"/>
      <c r="L193" s="12"/>
      <c r="M193" s="12"/>
      <c r="N193" s="12"/>
    </row>
    <row r="194" spans="2:14" ht="16" thickBot="1" x14ac:dyDescent="0.4">
      <c r="C194" s="54" t="s">
        <v>4</v>
      </c>
      <c r="D194" s="23"/>
      <c r="E194" s="40"/>
      <c r="G194" s="40"/>
      <c r="H194" s="12"/>
      <c r="I194" s="12"/>
      <c r="J194" s="12"/>
      <c r="K194" s="12"/>
      <c r="L194" s="12"/>
      <c r="M194" s="12"/>
      <c r="N194" s="12"/>
    </row>
    <row r="195" spans="2:14" x14ac:dyDescent="0.35">
      <c r="B195" s="42" t="s">
        <v>610</v>
      </c>
      <c r="C195" s="43">
        <v>207</v>
      </c>
      <c r="D195" s="31" t="s">
        <v>67</v>
      </c>
      <c r="E195" s="40"/>
      <c r="G195" s="40"/>
      <c r="H195" s="12"/>
      <c r="I195" s="12"/>
      <c r="J195" s="12"/>
      <c r="K195" s="12"/>
      <c r="L195" s="12"/>
      <c r="M195" s="12"/>
      <c r="N195" s="12"/>
    </row>
    <row r="196" spans="2:14" x14ac:dyDescent="0.35">
      <c r="B196" s="26" t="s">
        <v>278</v>
      </c>
      <c r="C196" s="49">
        <v>1.5</v>
      </c>
      <c r="D196" s="23" t="s">
        <v>49</v>
      </c>
      <c r="E196" s="55"/>
      <c r="G196" s="40"/>
      <c r="H196" s="12"/>
      <c r="I196" s="12"/>
      <c r="J196" s="12"/>
      <c r="K196" s="12"/>
      <c r="L196" s="12"/>
      <c r="M196" s="12"/>
      <c r="N196" s="12"/>
    </row>
    <row r="197" spans="2:14" x14ac:dyDescent="0.35">
      <c r="B197" s="26" t="s">
        <v>279</v>
      </c>
      <c r="C197" s="49">
        <v>0.5</v>
      </c>
      <c r="D197" s="23" t="s">
        <v>49</v>
      </c>
      <c r="H197" s="12"/>
      <c r="I197" s="12"/>
      <c r="J197" s="12"/>
      <c r="K197" s="12"/>
      <c r="L197" s="12"/>
      <c r="M197" s="12"/>
      <c r="N197" s="12"/>
    </row>
    <row r="198" spans="2:14" x14ac:dyDescent="0.35">
      <c r="B198" s="26" t="s">
        <v>704</v>
      </c>
      <c r="C198" s="56">
        <v>8</v>
      </c>
      <c r="D198" s="23" t="s">
        <v>10</v>
      </c>
      <c r="E198" s="40"/>
      <c r="G198" s="40"/>
      <c r="H198" s="12"/>
      <c r="I198" s="12"/>
      <c r="J198" s="12"/>
      <c r="K198" s="12"/>
      <c r="L198" s="12"/>
      <c r="M198" s="12"/>
      <c r="N198" s="12"/>
    </row>
    <row r="199" spans="2:14" x14ac:dyDescent="0.35">
      <c r="B199" s="26" t="s">
        <v>253</v>
      </c>
      <c r="C199" s="30">
        <v>29000000</v>
      </c>
      <c r="D199" s="23" t="s">
        <v>249</v>
      </c>
      <c r="E199" s="40"/>
      <c r="G199" s="40"/>
      <c r="H199" s="12"/>
      <c r="I199" s="12"/>
      <c r="J199" s="12"/>
      <c r="K199" s="12"/>
      <c r="L199" s="12"/>
      <c r="M199" s="12"/>
      <c r="N199" s="12"/>
    </row>
    <row r="200" spans="2:14" ht="16" thickBot="1" x14ac:dyDescent="0.4">
      <c r="B200" s="26" t="s">
        <v>248</v>
      </c>
      <c r="C200" s="57">
        <v>11500000</v>
      </c>
      <c r="D200" s="23" t="s">
        <v>249</v>
      </c>
      <c r="E200" s="40"/>
      <c r="G200" s="40"/>
      <c r="H200" s="12"/>
      <c r="I200" s="12"/>
      <c r="J200" s="12"/>
      <c r="K200" s="12"/>
      <c r="L200" s="12"/>
      <c r="M200" s="12"/>
      <c r="N200" s="12"/>
    </row>
    <row r="201" spans="2:14" x14ac:dyDescent="0.35">
      <c r="B201" s="26"/>
      <c r="C201" s="41" t="s">
        <v>13</v>
      </c>
      <c r="D201" s="23"/>
      <c r="E201" s="40"/>
      <c r="G201" s="40"/>
      <c r="H201" s="12"/>
      <c r="I201" s="12"/>
      <c r="J201" s="12"/>
      <c r="K201" s="12"/>
      <c r="L201" s="12"/>
      <c r="M201" s="12"/>
      <c r="N201" s="12"/>
    </row>
    <row r="202" spans="2:14" x14ac:dyDescent="0.35">
      <c r="B202" s="33" t="s">
        <v>254</v>
      </c>
      <c r="C202" s="24" t="s">
        <v>280</v>
      </c>
      <c r="D202" s="24"/>
      <c r="E202" s="40"/>
      <c r="G202" s="40"/>
      <c r="H202" s="12"/>
      <c r="I202" s="12"/>
      <c r="J202" s="12"/>
      <c r="K202" s="12"/>
      <c r="L202" s="12"/>
      <c r="M202" s="12"/>
      <c r="N202" s="12"/>
    </row>
    <row r="203" spans="2:14" x14ac:dyDescent="0.35">
      <c r="B203" s="33" t="s">
        <v>250</v>
      </c>
      <c r="C203" s="46">
        <f>3.142*(C196^4-C197^4)/32</f>
        <v>0.49093749999999997</v>
      </c>
      <c r="D203" s="24" t="s">
        <v>256</v>
      </c>
      <c r="E203" s="40"/>
      <c r="G203" s="40"/>
      <c r="H203" s="12"/>
      <c r="I203" s="12"/>
      <c r="J203" s="12"/>
      <c r="K203" s="12"/>
      <c r="L203" s="12"/>
      <c r="M203" s="12"/>
      <c r="N203" s="12"/>
    </row>
    <row r="204" spans="2:14" ht="18" thickBot="1" x14ac:dyDescent="0.5">
      <c r="B204" s="33" t="s">
        <v>705</v>
      </c>
      <c r="C204" s="24" t="s">
        <v>611</v>
      </c>
      <c r="D204" s="24" t="s">
        <v>0</v>
      </c>
      <c r="E204" s="40"/>
      <c r="G204" s="40"/>
      <c r="H204" s="12"/>
      <c r="I204" s="12"/>
      <c r="J204" s="12"/>
      <c r="K204" s="12"/>
      <c r="L204" s="12"/>
      <c r="M204" s="12"/>
      <c r="N204" s="12"/>
    </row>
    <row r="205" spans="2:14" ht="16" thickBot="1" x14ac:dyDescent="0.4">
      <c r="B205" s="33" t="s">
        <v>250</v>
      </c>
      <c r="C205" s="48">
        <f>C195*C196/(2*C203)</f>
        <v>316.23169955442393</v>
      </c>
      <c r="D205" s="24" t="s">
        <v>60</v>
      </c>
      <c r="E205" s="55" t="s">
        <v>252</v>
      </c>
      <c r="G205" s="40"/>
      <c r="H205" s="12"/>
      <c r="I205" s="12"/>
      <c r="J205" s="12"/>
      <c r="K205" s="12"/>
      <c r="L205" s="12"/>
      <c r="M205" s="12"/>
      <c r="N205" s="12"/>
    </row>
    <row r="206" spans="2:14" x14ac:dyDescent="0.35">
      <c r="B206" s="33" t="s">
        <v>257</v>
      </c>
      <c r="C206" s="24" t="s">
        <v>612</v>
      </c>
      <c r="D206" s="24" t="s">
        <v>0</v>
      </c>
      <c r="E206" s="40"/>
      <c r="G206" s="40"/>
      <c r="H206" s="12"/>
      <c r="I206" s="12"/>
      <c r="J206" s="12"/>
      <c r="K206" s="12"/>
      <c r="L206" s="12"/>
      <c r="M206" s="12"/>
      <c r="N206" s="12"/>
    </row>
    <row r="207" spans="2:14" x14ac:dyDescent="0.35">
      <c r="B207" s="33" t="s">
        <v>250</v>
      </c>
      <c r="C207" s="58">
        <f>(C195*C198)/(C203*C200)</f>
        <v>2.9331635900700192E-4</v>
      </c>
      <c r="D207" s="24" t="s">
        <v>258</v>
      </c>
      <c r="E207" s="40"/>
      <c r="G207" s="40"/>
      <c r="H207" s="12"/>
      <c r="I207" s="12"/>
      <c r="J207" s="12"/>
      <c r="K207" s="12"/>
      <c r="L207" s="12"/>
      <c r="M207" s="12"/>
      <c r="N207" s="12"/>
    </row>
    <row r="208" spans="2:14" x14ac:dyDescent="0.35">
      <c r="B208" s="33" t="s">
        <v>250</v>
      </c>
      <c r="C208" s="46">
        <f>C207*57.2975</f>
        <v>1.6806294080203694E-2</v>
      </c>
      <c r="D208" s="24" t="s">
        <v>121</v>
      </c>
      <c r="E208" s="40"/>
      <c r="G208" s="40"/>
      <c r="H208" s="12"/>
      <c r="I208" s="12"/>
      <c r="J208" s="12"/>
      <c r="K208" s="12"/>
      <c r="L208" s="12"/>
      <c r="M208" s="12"/>
      <c r="N208" s="12"/>
    </row>
    <row r="209" spans="2:14" x14ac:dyDescent="0.35">
      <c r="H209" s="12"/>
      <c r="I209" s="12"/>
      <c r="J209" s="12"/>
      <c r="K209" s="12"/>
      <c r="L209" s="12"/>
      <c r="M209" s="12"/>
      <c r="N209" s="12"/>
    </row>
    <row r="210" spans="2:14" x14ac:dyDescent="0.35">
      <c r="H210" s="12"/>
      <c r="I210" s="12"/>
      <c r="J210" s="12"/>
      <c r="K210" s="12"/>
      <c r="L210" s="12"/>
      <c r="M210" s="12"/>
      <c r="N210" s="12"/>
    </row>
    <row r="211" spans="2:14" x14ac:dyDescent="0.35">
      <c r="B211" s="19"/>
      <c r="C211" s="20"/>
      <c r="D211" s="20"/>
      <c r="E211" s="21"/>
      <c r="F211" s="21"/>
      <c r="G211" s="21"/>
      <c r="H211" s="12"/>
      <c r="I211" s="12"/>
      <c r="J211" s="12"/>
      <c r="K211" s="12"/>
      <c r="L211" s="12"/>
      <c r="M211" s="12"/>
      <c r="N211" s="12"/>
    </row>
    <row r="212" spans="2:14" x14ac:dyDescent="0.35">
      <c r="H212" s="12"/>
      <c r="I212" s="12"/>
      <c r="J212" s="12"/>
      <c r="K212" s="12"/>
      <c r="L212" s="12"/>
      <c r="M212" s="12"/>
      <c r="N212" s="12"/>
    </row>
    <row r="213" spans="2:14" ht="18" x14ac:dyDescent="0.4">
      <c r="B213" s="98" t="s">
        <v>711</v>
      </c>
      <c r="H213" s="12"/>
      <c r="I213" s="12"/>
      <c r="J213" s="12"/>
      <c r="K213" s="12"/>
      <c r="L213" s="12"/>
      <c r="M213" s="12"/>
      <c r="N213" s="12"/>
    </row>
    <row r="214" spans="2:14" x14ac:dyDescent="0.35">
      <c r="H214" s="12"/>
      <c r="I214" s="12"/>
      <c r="J214" s="12"/>
      <c r="K214" s="12"/>
      <c r="L214" s="12"/>
      <c r="M214" s="12"/>
      <c r="N214" s="12"/>
    </row>
    <row r="215" spans="2:14" x14ac:dyDescent="0.35">
      <c r="H215" s="12"/>
      <c r="I215" s="12"/>
      <c r="J215" s="12"/>
      <c r="K215" s="12"/>
      <c r="L215" s="12"/>
      <c r="M215" s="12"/>
      <c r="N215" s="12"/>
    </row>
    <row r="216" spans="2:14" x14ac:dyDescent="0.35">
      <c r="H216" s="12"/>
      <c r="I216" s="12"/>
      <c r="J216" s="12"/>
      <c r="K216" s="12"/>
      <c r="L216" s="12"/>
      <c r="M216" s="12"/>
      <c r="N216" s="12"/>
    </row>
    <row r="217" spans="2:14" x14ac:dyDescent="0.35">
      <c r="H217" s="12"/>
      <c r="I217" s="12"/>
      <c r="J217" s="12"/>
      <c r="K217" s="12"/>
      <c r="L217" s="12"/>
      <c r="M217" s="12"/>
      <c r="N217" s="12"/>
    </row>
    <row r="218" spans="2:14" x14ac:dyDescent="0.35">
      <c r="H218" s="12"/>
      <c r="I218" s="12"/>
      <c r="J218" s="12"/>
      <c r="K218" s="12"/>
      <c r="L218" s="12"/>
      <c r="M218" s="12"/>
      <c r="N218" s="12"/>
    </row>
    <row r="219" spans="2:14" x14ac:dyDescent="0.35">
      <c r="H219" s="12"/>
      <c r="I219" s="12"/>
      <c r="J219" s="12"/>
      <c r="K219" s="12"/>
      <c r="L219" s="12"/>
      <c r="M219" s="12"/>
      <c r="N219" s="12"/>
    </row>
    <row r="220" spans="2:14" x14ac:dyDescent="0.35">
      <c r="H220" s="12"/>
      <c r="I220" s="12"/>
      <c r="J220" s="12"/>
      <c r="K220" s="12"/>
      <c r="L220" s="12"/>
      <c r="M220" s="12"/>
      <c r="N220" s="12"/>
    </row>
    <row r="221" spans="2:14" x14ac:dyDescent="0.35">
      <c r="H221" s="12"/>
      <c r="I221" s="12"/>
      <c r="J221" s="12"/>
      <c r="K221" s="12"/>
      <c r="L221" s="12"/>
      <c r="M221" s="12"/>
      <c r="N221" s="12"/>
    </row>
    <row r="222" spans="2:14" x14ac:dyDescent="0.35">
      <c r="H222" s="12"/>
      <c r="I222" s="12"/>
      <c r="J222" s="12"/>
      <c r="K222" s="12"/>
      <c r="L222" s="12"/>
      <c r="M222" s="12"/>
      <c r="N222" s="12"/>
    </row>
    <row r="223" spans="2:14" x14ac:dyDescent="0.35">
      <c r="H223" s="12"/>
      <c r="I223" s="12"/>
      <c r="J223" s="12"/>
      <c r="K223" s="12"/>
      <c r="L223" s="12"/>
      <c r="M223" s="12"/>
      <c r="N223" s="12"/>
    </row>
    <row r="224" spans="2:14" x14ac:dyDescent="0.35">
      <c r="H224" s="12"/>
      <c r="I224" s="12"/>
      <c r="J224" s="12"/>
      <c r="K224" s="12"/>
      <c r="L224" s="12"/>
      <c r="M224" s="12"/>
      <c r="N224" s="12"/>
    </row>
    <row r="225" spans="2:14" x14ac:dyDescent="0.35">
      <c r="H225" s="12"/>
      <c r="I225" s="12"/>
      <c r="J225" s="12"/>
      <c r="K225" s="12"/>
      <c r="L225" s="12"/>
      <c r="M225" s="12"/>
      <c r="N225" s="12"/>
    </row>
    <row r="226" spans="2:14" x14ac:dyDescent="0.35">
      <c r="H226" s="12"/>
      <c r="I226" s="12"/>
      <c r="J226" s="12"/>
      <c r="K226" s="12"/>
      <c r="L226" s="12"/>
      <c r="M226" s="12"/>
      <c r="N226" s="12"/>
    </row>
    <row r="227" spans="2:14" x14ac:dyDescent="0.35">
      <c r="H227" s="12"/>
      <c r="I227" s="12"/>
      <c r="J227" s="12"/>
      <c r="K227" s="12"/>
      <c r="L227" s="12"/>
      <c r="M227" s="12"/>
      <c r="N227" s="12"/>
    </row>
    <row r="228" spans="2:14" x14ac:dyDescent="0.35">
      <c r="H228" s="12"/>
      <c r="I228" s="12"/>
      <c r="J228" s="12"/>
      <c r="K228" s="12"/>
      <c r="L228" s="12"/>
      <c r="M228" s="12"/>
      <c r="N228" s="12"/>
    </row>
    <row r="229" spans="2:14" x14ac:dyDescent="0.35">
      <c r="D229" s="11"/>
      <c r="H229" s="12"/>
      <c r="I229" s="12"/>
      <c r="J229" s="12"/>
      <c r="K229" s="12"/>
      <c r="L229" s="12"/>
      <c r="M229" s="12"/>
      <c r="N229" s="12"/>
    </row>
    <row r="230" spans="2:14" x14ac:dyDescent="0.35">
      <c r="B230" s="9"/>
      <c r="C230" s="59" t="s">
        <v>575</v>
      </c>
      <c r="D230" s="11"/>
      <c r="H230" s="12"/>
      <c r="I230" s="12"/>
      <c r="J230" s="12"/>
      <c r="K230" s="12"/>
      <c r="L230" s="12"/>
      <c r="M230" s="12"/>
      <c r="N230" s="12"/>
    </row>
    <row r="231" spans="2:14" x14ac:dyDescent="0.35">
      <c r="B231" s="26"/>
      <c r="C231" s="23"/>
      <c r="D231" s="23"/>
      <c r="E231" s="40"/>
      <c r="F231" s="40"/>
      <c r="H231" s="12"/>
      <c r="I231" s="12"/>
      <c r="J231" s="12"/>
      <c r="K231" s="12"/>
      <c r="L231" s="12"/>
      <c r="M231" s="12"/>
      <c r="N231" s="12"/>
    </row>
    <row r="232" spans="2:14" x14ac:dyDescent="0.35">
      <c r="B232" s="26"/>
      <c r="C232" s="23"/>
      <c r="D232" s="23"/>
      <c r="E232" s="40"/>
      <c r="F232" s="40"/>
      <c r="H232" s="12"/>
      <c r="I232" s="12"/>
      <c r="J232" s="12"/>
      <c r="K232" s="12"/>
      <c r="L232" s="12"/>
      <c r="M232" s="12"/>
      <c r="N232" s="12"/>
    </row>
    <row r="233" spans="2:14" x14ac:dyDescent="0.35">
      <c r="B233" s="26"/>
      <c r="C233" s="23"/>
      <c r="D233" s="23"/>
      <c r="E233" s="40"/>
      <c r="F233" s="40"/>
      <c r="H233" s="12"/>
      <c r="I233" s="12"/>
      <c r="J233" s="12"/>
      <c r="K233" s="12"/>
      <c r="L233" s="12"/>
      <c r="M233" s="12"/>
      <c r="N233" s="12"/>
    </row>
    <row r="234" spans="2:14" x14ac:dyDescent="0.35">
      <c r="B234" s="26"/>
      <c r="C234" s="23"/>
      <c r="D234" s="23"/>
      <c r="E234" s="40"/>
      <c r="F234" s="40"/>
      <c r="H234" s="12"/>
      <c r="I234" s="12"/>
      <c r="J234" s="12"/>
      <c r="K234" s="12"/>
      <c r="L234" s="12"/>
      <c r="M234" s="12"/>
      <c r="N234" s="12"/>
    </row>
    <row r="235" spans="2:14" x14ac:dyDescent="0.35">
      <c r="B235" s="26"/>
      <c r="C235" s="23"/>
      <c r="D235" s="23"/>
      <c r="E235" s="40"/>
      <c r="F235" s="40"/>
      <c r="H235" s="12"/>
      <c r="I235" s="12"/>
      <c r="J235" s="12"/>
      <c r="K235" s="12"/>
      <c r="L235" s="12"/>
      <c r="M235" s="12"/>
      <c r="N235" s="12"/>
    </row>
    <row r="236" spans="2:14" x14ac:dyDescent="0.35">
      <c r="B236" s="26"/>
      <c r="C236" s="23"/>
      <c r="D236" s="23"/>
      <c r="E236" s="40"/>
      <c r="F236" s="40"/>
      <c r="H236" s="12"/>
      <c r="I236" s="12"/>
      <c r="J236" s="12"/>
      <c r="K236" s="12"/>
      <c r="L236" s="12"/>
      <c r="M236" s="12"/>
      <c r="N236" s="12"/>
    </row>
    <row r="237" spans="2:14" x14ac:dyDescent="0.35">
      <c r="B237" s="26"/>
      <c r="C237" s="23"/>
      <c r="D237" s="23"/>
      <c r="E237" s="40"/>
      <c r="F237" s="40"/>
      <c r="H237" s="12"/>
      <c r="I237" s="12"/>
      <c r="J237" s="12"/>
      <c r="K237" s="12"/>
      <c r="L237" s="12"/>
      <c r="M237" s="12"/>
      <c r="N237" s="12"/>
    </row>
    <row r="238" spans="2:14" x14ac:dyDescent="0.35">
      <c r="B238" s="26"/>
      <c r="C238" s="23"/>
      <c r="D238" s="23"/>
      <c r="E238" s="40"/>
      <c r="F238" s="40"/>
      <c r="H238" s="12"/>
      <c r="I238" s="12"/>
      <c r="J238" s="12"/>
      <c r="K238" s="12"/>
      <c r="L238" s="12"/>
      <c r="M238" s="12"/>
      <c r="N238" s="12"/>
    </row>
    <row r="239" spans="2:14" x14ac:dyDescent="0.35">
      <c r="H239" s="12"/>
      <c r="I239" s="12"/>
      <c r="J239" s="12"/>
      <c r="K239" s="12"/>
      <c r="L239" s="12"/>
      <c r="M239" s="12"/>
      <c r="N239" s="12"/>
    </row>
    <row r="240" spans="2:14" x14ac:dyDescent="0.35">
      <c r="H240" s="12"/>
      <c r="I240" s="12"/>
      <c r="J240" s="12"/>
      <c r="K240" s="12"/>
      <c r="L240" s="12"/>
      <c r="M240" s="12"/>
      <c r="N240" s="12"/>
    </row>
    <row r="241" spans="2:14" x14ac:dyDescent="0.35">
      <c r="H241" s="12"/>
      <c r="I241" s="12"/>
      <c r="J241" s="12"/>
      <c r="K241" s="12"/>
      <c r="L241" s="12"/>
      <c r="M241" s="12"/>
      <c r="N241" s="12"/>
    </row>
    <row r="242" spans="2:14" x14ac:dyDescent="0.35">
      <c r="H242" s="12"/>
      <c r="I242" s="12"/>
      <c r="J242" s="12"/>
      <c r="K242" s="12"/>
      <c r="L242" s="12"/>
      <c r="M242" s="12"/>
      <c r="N242" s="12"/>
    </row>
    <row r="243" spans="2:14" x14ac:dyDescent="0.35">
      <c r="H243" s="12"/>
      <c r="I243" s="12"/>
      <c r="J243" s="12"/>
      <c r="K243" s="12"/>
      <c r="L243" s="12"/>
      <c r="M243" s="12"/>
      <c r="N243" s="12"/>
    </row>
    <row r="244" spans="2:14" x14ac:dyDescent="0.35">
      <c r="H244" s="12"/>
      <c r="I244" s="12"/>
      <c r="J244" s="12"/>
      <c r="K244" s="12"/>
      <c r="L244" s="12"/>
      <c r="M244" s="12"/>
      <c r="N244" s="12"/>
    </row>
    <row r="245" spans="2:14" x14ac:dyDescent="0.35">
      <c r="H245" s="12"/>
      <c r="I245" s="12"/>
      <c r="J245" s="12"/>
      <c r="K245" s="12"/>
      <c r="L245" s="12"/>
      <c r="M245" s="12"/>
      <c r="N245" s="12"/>
    </row>
    <row r="246" spans="2:14" x14ac:dyDescent="0.35">
      <c r="H246" s="12"/>
      <c r="I246" s="12"/>
      <c r="J246" s="12"/>
      <c r="K246" s="12"/>
      <c r="L246" s="12"/>
      <c r="M246" s="12"/>
      <c r="N246" s="12"/>
    </row>
    <row r="247" spans="2:14" x14ac:dyDescent="0.35">
      <c r="H247" s="12"/>
      <c r="I247" s="12"/>
      <c r="J247" s="12"/>
      <c r="K247" s="12"/>
      <c r="L247" s="12"/>
      <c r="M247" s="12"/>
      <c r="N247" s="12"/>
    </row>
    <row r="248" spans="2:14" x14ac:dyDescent="0.35">
      <c r="H248" s="12"/>
      <c r="I248" s="12"/>
      <c r="J248" s="12"/>
      <c r="K248" s="12"/>
      <c r="L248" s="12"/>
      <c r="M248" s="12"/>
      <c r="N248" s="12"/>
    </row>
    <row r="249" spans="2:14" x14ac:dyDescent="0.35">
      <c r="H249" s="12"/>
      <c r="I249" s="12"/>
      <c r="J249" s="12"/>
      <c r="K249" s="12"/>
      <c r="L249" s="12"/>
      <c r="M249" s="12"/>
      <c r="N249" s="12"/>
    </row>
    <row r="250" spans="2:14" x14ac:dyDescent="0.35">
      <c r="H250" s="12"/>
      <c r="I250" s="12"/>
      <c r="J250" s="12"/>
      <c r="K250" s="12"/>
      <c r="L250" s="12"/>
      <c r="M250" s="12"/>
      <c r="N250" s="12"/>
    </row>
    <row r="251" spans="2:14" x14ac:dyDescent="0.35">
      <c r="H251" s="12"/>
      <c r="I251" s="12"/>
    </row>
    <row r="252" spans="2:14" x14ac:dyDescent="0.35">
      <c r="H252" s="12"/>
      <c r="I252" s="12"/>
    </row>
    <row r="253" spans="2:14" x14ac:dyDescent="0.35">
      <c r="H253" s="12"/>
      <c r="I253" s="12"/>
    </row>
    <row r="254" spans="2:14" x14ac:dyDescent="0.35">
      <c r="H254" s="12"/>
      <c r="I254" s="12"/>
    </row>
    <row r="255" spans="2:14" ht="18" x14ac:dyDescent="0.4">
      <c r="B255" s="8" t="s">
        <v>713</v>
      </c>
      <c r="H255" s="12"/>
      <c r="I255" s="12"/>
    </row>
    <row r="256" spans="2:14" ht="16" thickBot="1" x14ac:dyDescent="0.4">
      <c r="B256" s="33"/>
      <c r="C256" s="25" t="s">
        <v>4</v>
      </c>
      <c r="D256" s="23"/>
      <c r="E256" s="40"/>
      <c r="F256" s="40"/>
      <c r="H256" s="12"/>
      <c r="I256" s="12"/>
    </row>
    <row r="257" spans="2:9" x14ac:dyDescent="0.35">
      <c r="B257" s="26" t="s">
        <v>282</v>
      </c>
      <c r="C257" s="27">
        <v>2</v>
      </c>
      <c r="D257" s="23" t="s">
        <v>89</v>
      </c>
      <c r="E257" s="40"/>
      <c r="F257" s="40"/>
      <c r="H257" s="12"/>
      <c r="I257" s="12"/>
    </row>
    <row r="258" spans="2:9" x14ac:dyDescent="0.35">
      <c r="B258" s="26" t="s">
        <v>244</v>
      </c>
      <c r="C258" s="30">
        <v>1180</v>
      </c>
      <c r="D258" s="23" t="s">
        <v>88</v>
      </c>
      <c r="E258" s="40"/>
      <c r="F258" s="40"/>
      <c r="H258" s="12"/>
      <c r="I258" s="12"/>
    </row>
    <row r="259" spans="2:9" x14ac:dyDescent="0.35">
      <c r="B259" s="60" t="s">
        <v>604</v>
      </c>
      <c r="C259" s="61">
        <v>20</v>
      </c>
      <c r="D259" s="9" t="s">
        <v>8</v>
      </c>
      <c r="H259" s="12"/>
      <c r="I259" s="12"/>
    </row>
    <row r="260" spans="2:9" x14ac:dyDescent="0.35">
      <c r="B260" s="60" t="s">
        <v>605</v>
      </c>
      <c r="C260" s="61">
        <v>60</v>
      </c>
      <c r="D260" s="9" t="s">
        <v>8</v>
      </c>
      <c r="H260" s="12"/>
      <c r="I260" s="12"/>
    </row>
    <row r="261" spans="2:9" x14ac:dyDescent="0.35">
      <c r="B261" s="60" t="s">
        <v>583</v>
      </c>
      <c r="C261" s="62">
        <v>8</v>
      </c>
      <c r="D261" s="9" t="s">
        <v>588</v>
      </c>
    </row>
    <row r="262" spans="2:9" x14ac:dyDescent="0.35">
      <c r="B262" s="13" t="s">
        <v>581</v>
      </c>
      <c r="C262" s="63">
        <v>20</v>
      </c>
      <c r="D262" s="9" t="s">
        <v>42</v>
      </c>
    </row>
    <row r="263" spans="2:9" x14ac:dyDescent="0.35">
      <c r="B263" s="13" t="s">
        <v>574</v>
      </c>
      <c r="C263" s="16">
        <v>500</v>
      </c>
      <c r="D263" s="9" t="s">
        <v>534</v>
      </c>
      <c r="F263" s="52"/>
    </row>
    <row r="264" spans="2:9" x14ac:dyDescent="0.35">
      <c r="B264" s="13" t="s">
        <v>555</v>
      </c>
      <c r="C264" s="49">
        <v>4</v>
      </c>
      <c r="D264" s="23" t="s">
        <v>10</v>
      </c>
      <c r="F264" s="40"/>
    </row>
    <row r="265" spans="2:9" x14ac:dyDescent="0.35">
      <c r="B265" s="13" t="s">
        <v>508</v>
      </c>
      <c r="C265" s="64">
        <v>0.9</v>
      </c>
      <c r="D265" s="9" t="s">
        <v>8</v>
      </c>
      <c r="F265" s="65"/>
    </row>
    <row r="266" spans="2:9" x14ac:dyDescent="0.35">
      <c r="B266" s="13" t="s">
        <v>706</v>
      </c>
      <c r="C266" s="49">
        <v>1.5</v>
      </c>
      <c r="D266" s="9" t="s">
        <v>10</v>
      </c>
      <c r="F266" s="66"/>
    </row>
    <row r="267" spans="2:9" x14ac:dyDescent="0.35">
      <c r="B267" s="13" t="s">
        <v>707</v>
      </c>
      <c r="C267" s="49">
        <v>2.5</v>
      </c>
      <c r="D267" s="9" t="s">
        <v>10</v>
      </c>
      <c r="F267" s="66"/>
    </row>
    <row r="268" spans="2:9" x14ac:dyDescent="0.35">
      <c r="B268" s="26" t="s">
        <v>245</v>
      </c>
      <c r="C268" s="16">
        <v>3</v>
      </c>
      <c r="D268" s="23" t="s">
        <v>8</v>
      </c>
      <c r="E268" s="52"/>
      <c r="F268" s="67"/>
    </row>
    <row r="269" spans="2:9" x14ac:dyDescent="0.35">
      <c r="B269" s="26" t="s">
        <v>278</v>
      </c>
      <c r="C269" s="49">
        <v>1.5</v>
      </c>
      <c r="D269" s="23" t="s">
        <v>49</v>
      </c>
      <c r="E269" s="40"/>
    </row>
    <row r="270" spans="2:9" x14ac:dyDescent="0.35">
      <c r="B270" s="26" t="s">
        <v>279</v>
      </c>
      <c r="C270" s="49">
        <v>1</v>
      </c>
      <c r="D270" s="23" t="s">
        <v>49</v>
      </c>
      <c r="E270" s="40"/>
    </row>
    <row r="271" spans="2:9" x14ac:dyDescent="0.35">
      <c r="B271" s="26" t="s">
        <v>247</v>
      </c>
      <c r="C271" s="49">
        <v>5</v>
      </c>
      <c r="D271" s="23" t="s">
        <v>10</v>
      </c>
      <c r="E271" s="40"/>
      <c r="F271" s="66"/>
    </row>
    <row r="272" spans="2:9" x14ac:dyDescent="0.35">
      <c r="B272" s="26" t="s">
        <v>568</v>
      </c>
      <c r="C272" s="30">
        <v>26000</v>
      </c>
      <c r="D272" s="23" t="s">
        <v>249</v>
      </c>
    </row>
    <row r="273" spans="2:6" ht="16" thickBot="1" x14ac:dyDescent="0.4">
      <c r="B273" s="26" t="s">
        <v>569</v>
      </c>
      <c r="C273" s="57">
        <v>10000</v>
      </c>
      <c r="D273" s="23" t="s">
        <v>249</v>
      </c>
    </row>
    <row r="274" spans="2:6" x14ac:dyDescent="0.35">
      <c r="B274" s="26"/>
      <c r="C274" s="25" t="s">
        <v>13</v>
      </c>
      <c r="D274" s="23"/>
      <c r="E274" s="40"/>
      <c r="F274" s="40"/>
    </row>
    <row r="275" spans="2:6" x14ac:dyDescent="0.35">
      <c r="B275" s="36" t="s">
        <v>607</v>
      </c>
      <c r="C275" s="2" t="s">
        <v>584</v>
      </c>
      <c r="D275" s="7"/>
    </row>
    <row r="276" spans="2:6" x14ac:dyDescent="0.35">
      <c r="B276" s="36"/>
      <c r="C276" s="68">
        <f>C259/C261</f>
        <v>2.5</v>
      </c>
      <c r="D276" s="7" t="s">
        <v>10</v>
      </c>
    </row>
    <row r="277" spans="2:6" x14ac:dyDescent="0.35">
      <c r="B277" s="36" t="s">
        <v>608</v>
      </c>
      <c r="C277" s="2" t="s">
        <v>585</v>
      </c>
      <c r="D277" s="69"/>
    </row>
    <row r="278" spans="2:6" x14ac:dyDescent="0.35">
      <c r="B278" s="36"/>
      <c r="C278" s="68">
        <f>C260/C261</f>
        <v>7.5</v>
      </c>
      <c r="D278" s="7" t="s">
        <v>10</v>
      </c>
    </row>
    <row r="279" spans="2:6" x14ac:dyDescent="0.35">
      <c r="B279" s="33" t="s">
        <v>591</v>
      </c>
      <c r="C279" s="24" t="s">
        <v>609</v>
      </c>
      <c r="D279" s="23"/>
    </row>
    <row r="280" spans="2:6" x14ac:dyDescent="0.35">
      <c r="B280" s="33" t="s">
        <v>250</v>
      </c>
      <c r="C280" s="35">
        <f>C265*12*C268*5252*C257 / C258</f>
        <v>288.41491525423731</v>
      </c>
      <c r="D280" s="24" t="s">
        <v>56</v>
      </c>
    </row>
    <row r="281" spans="2:6" x14ac:dyDescent="0.35">
      <c r="B281" s="33" t="s">
        <v>592</v>
      </c>
      <c r="C281" s="6" t="s">
        <v>602</v>
      </c>
      <c r="D281" s="11"/>
      <c r="E281" s="40"/>
    </row>
    <row r="282" spans="2:6" x14ac:dyDescent="0.35">
      <c r="B282" s="36" t="s">
        <v>30</v>
      </c>
      <c r="C282" s="70">
        <f>C280*C278/ C276</f>
        <v>865.24474576271189</v>
      </c>
      <c r="D282" s="24" t="s">
        <v>56</v>
      </c>
    </row>
    <row r="283" spans="2:6" x14ac:dyDescent="0.35">
      <c r="B283" s="36" t="s">
        <v>589</v>
      </c>
      <c r="C283" s="6" t="s">
        <v>593</v>
      </c>
    </row>
    <row r="284" spans="2:6" x14ac:dyDescent="0.35">
      <c r="B284" s="13" t="s">
        <v>30</v>
      </c>
      <c r="C284" s="70">
        <f>C280 / (C276/2)</f>
        <v>230.73193220338985</v>
      </c>
      <c r="D284" s="9" t="s">
        <v>534</v>
      </c>
    </row>
    <row r="285" spans="2:6" x14ac:dyDescent="0.35">
      <c r="B285" s="36" t="s">
        <v>590</v>
      </c>
      <c r="C285" s="6" t="s">
        <v>596</v>
      </c>
      <c r="D285" s="7"/>
    </row>
    <row r="286" spans="2:6" x14ac:dyDescent="0.35">
      <c r="C286" s="68">
        <f>C284*TAN(1/57.3)</f>
        <v>4.0271441523276872</v>
      </c>
    </row>
    <row r="287" spans="2:6" x14ac:dyDescent="0.35">
      <c r="B287" s="36" t="s">
        <v>576</v>
      </c>
      <c r="C287" s="6" t="s">
        <v>603</v>
      </c>
    </row>
    <row r="288" spans="2:6" x14ac:dyDescent="0.35">
      <c r="B288" s="36" t="s">
        <v>30</v>
      </c>
      <c r="C288" s="70">
        <f>C280*C276 / 2</f>
        <v>360.51864406779663</v>
      </c>
      <c r="D288" s="7" t="s">
        <v>534</v>
      </c>
    </row>
    <row r="289" spans="2:14" x14ac:dyDescent="0.35">
      <c r="B289" s="33" t="s">
        <v>553</v>
      </c>
      <c r="C289" s="6" t="s">
        <v>554</v>
      </c>
      <c r="D289" s="7"/>
    </row>
    <row r="290" spans="2:14" x14ac:dyDescent="0.35">
      <c r="B290" s="36" t="s">
        <v>30</v>
      </c>
      <c r="C290" s="70">
        <f>C288*C264</f>
        <v>1442.0745762711865</v>
      </c>
      <c r="D290" s="24" t="s">
        <v>56</v>
      </c>
    </row>
    <row r="291" spans="2:14" x14ac:dyDescent="0.35">
      <c r="B291" s="36" t="s">
        <v>559</v>
      </c>
      <c r="C291" s="6" t="s">
        <v>557</v>
      </c>
      <c r="D291" s="7"/>
    </row>
    <row r="292" spans="2:14" x14ac:dyDescent="0.35">
      <c r="B292" s="36" t="s">
        <v>30</v>
      </c>
      <c r="C292" s="71">
        <f>3.1416*(C269^4 - C270^4) / 64</f>
        <v>0.19941796875000001</v>
      </c>
      <c r="D292" s="7" t="s">
        <v>256</v>
      </c>
    </row>
    <row r="293" spans="2:14" x14ac:dyDescent="0.35">
      <c r="B293" s="36" t="s">
        <v>562</v>
      </c>
      <c r="C293" s="6" t="s">
        <v>558</v>
      </c>
      <c r="D293" s="7"/>
    </row>
    <row r="294" spans="2:14" x14ac:dyDescent="0.35">
      <c r="B294" s="36" t="s">
        <v>30</v>
      </c>
      <c r="C294" s="72">
        <f>C290*(C269/2) /C292</f>
        <v>5423.5630770027574</v>
      </c>
      <c r="D294" s="7" t="s">
        <v>249</v>
      </c>
    </row>
    <row r="295" spans="2:14" x14ac:dyDescent="0.35">
      <c r="B295" s="36" t="s">
        <v>560</v>
      </c>
      <c r="C295" s="6" t="s">
        <v>561</v>
      </c>
    </row>
    <row r="296" spans="2:14" x14ac:dyDescent="0.35">
      <c r="B296" s="36" t="s">
        <v>30</v>
      </c>
      <c r="C296" s="71">
        <f>3.1416*(C269^4 - C270^4) / 33</f>
        <v>0.38675000000000004</v>
      </c>
    </row>
    <row r="297" spans="2:14" x14ac:dyDescent="0.35">
      <c r="B297" s="36" t="s">
        <v>563</v>
      </c>
      <c r="C297" s="6" t="s">
        <v>606</v>
      </c>
    </row>
    <row r="298" spans="2:14" x14ac:dyDescent="0.35">
      <c r="B298" s="36" t="s">
        <v>30</v>
      </c>
      <c r="C298" s="72">
        <f>C280*(C269/2) /C296</f>
        <v>559.30494231590944</v>
      </c>
      <c r="D298" s="7" t="s">
        <v>249</v>
      </c>
    </row>
    <row r="299" spans="2:14" x14ac:dyDescent="0.35">
      <c r="B299" s="36" t="s">
        <v>564</v>
      </c>
      <c r="C299" s="6" t="s">
        <v>565</v>
      </c>
      <c r="J299" s="12"/>
      <c r="K299" s="12"/>
      <c r="L299" s="12"/>
      <c r="M299" s="12"/>
      <c r="N299" s="12"/>
    </row>
    <row r="300" spans="2:14" x14ac:dyDescent="0.35">
      <c r="B300" s="73" t="s">
        <v>30</v>
      </c>
      <c r="C300" s="72">
        <f>(C294^2 + C298^2)^(1/2)</f>
        <v>5452.3259686785623</v>
      </c>
      <c r="D300" s="7" t="s">
        <v>249</v>
      </c>
      <c r="E300" s="74"/>
      <c r="F300" s="75"/>
      <c r="J300" s="12"/>
      <c r="K300" s="12"/>
      <c r="L300" s="12"/>
      <c r="M300" s="12"/>
      <c r="N300" s="12"/>
    </row>
    <row r="301" spans="2:14" x14ac:dyDescent="0.35">
      <c r="B301" s="36" t="s">
        <v>566</v>
      </c>
      <c r="C301" s="6" t="s">
        <v>567</v>
      </c>
      <c r="D301" s="74"/>
      <c r="E301" s="74"/>
      <c r="F301" s="75"/>
      <c r="J301" s="12"/>
      <c r="K301" s="34"/>
      <c r="L301" s="12"/>
      <c r="M301" s="12"/>
      <c r="N301" s="12"/>
    </row>
    <row r="302" spans="2:14" x14ac:dyDescent="0.35">
      <c r="J302" s="12"/>
      <c r="K302" s="12"/>
      <c r="L302" s="12"/>
      <c r="M302" s="12"/>
      <c r="N302" s="12"/>
    </row>
    <row r="303" spans="2:14" ht="18" x14ac:dyDescent="0.4">
      <c r="B303" s="8" t="s">
        <v>570</v>
      </c>
      <c r="C303" s="76"/>
      <c r="D303" s="74"/>
      <c r="E303" s="74"/>
      <c r="F303" s="75"/>
      <c r="J303" s="12"/>
      <c r="K303" s="12"/>
      <c r="L303" s="12"/>
      <c r="M303" s="12"/>
      <c r="N303" s="12"/>
    </row>
    <row r="304" spans="2:14" x14ac:dyDescent="0.35">
      <c r="B304" s="36" t="s">
        <v>571</v>
      </c>
      <c r="C304" s="6" t="s">
        <v>579</v>
      </c>
      <c r="J304" s="12"/>
      <c r="K304" s="12"/>
      <c r="L304" s="12"/>
      <c r="M304" s="12"/>
      <c r="N304" s="12"/>
    </row>
    <row r="305" spans="1:14" x14ac:dyDescent="0.35">
      <c r="B305" s="36" t="s">
        <v>30</v>
      </c>
      <c r="C305" s="77">
        <f>C272 / C300</f>
        <v>4.7686070402539444</v>
      </c>
      <c r="E305" s="74"/>
      <c r="F305" s="75"/>
      <c r="J305" s="12"/>
      <c r="K305" s="12"/>
      <c r="L305" s="12"/>
      <c r="M305" s="12"/>
      <c r="N305" s="12"/>
    </row>
    <row r="306" spans="1:14" x14ac:dyDescent="0.35">
      <c r="B306" s="36" t="s">
        <v>572</v>
      </c>
      <c r="C306" s="6" t="s">
        <v>573</v>
      </c>
      <c r="D306" s="74"/>
      <c r="E306" s="74"/>
      <c r="F306" s="75"/>
      <c r="J306" s="12"/>
      <c r="K306" s="12"/>
      <c r="L306" s="12"/>
      <c r="M306" s="12"/>
      <c r="N306" s="12"/>
    </row>
    <row r="307" spans="1:14" x14ac:dyDescent="0.35">
      <c r="B307" s="73" t="s">
        <v>30</v>
      </c>
      <c r="C307" s="77">
        <f>C273 / C298</f>
        <v>17.879334229719266</v>
      </c>
      <c r="D307" s="74"/>
      <c r="E307" s="74"/>
      <c r="F307" s="75"/>
      <c r="J307" s="12"/>
      <c r="K307" s="12"/>
      <c r="L307" s="12"/>
      <c r="M307" s="12"/>
      <c r="N307" s="12"/>
    </row>
    <row r="308" spans="1:14" x14ac:dyDescent="0.35">
      <c r="B308" s="36" t="s">
        <v>578</v>
      </c>
      <c r="C308" s="78" t="s">
        <v>577</v>
      </c>
      <c r="D308" s="79"/>
      <c r="E308" s="74"/>
      <c r="F308" s="75"/>
      <c r="J308" s="12"/>
      <c r="K308" s="12"/>
      <c r="L308" s="12"/>
      <c r="M308" s="12"/>
      <c r="N308" s="12"/>
    </row>
    <row r="309" spans="1:14" x14ac:dyDescent="0.35">
      <c r="B309" s="36" t="s">
        <v>30</v>
      </c>
      <c r="C309" s="80">
        <f>C263/C288</f>
        <v>1.3868908258347201</v>
      </c>
      <c r="J309" s="12"/>
      <c r="K309" s="12"/>
      <c r="L309" s="12"/>
      <c r="M309" s="12"/>
      <c r="N309" s="12"/>
    </row>
    <row r="310" spans="1:14" x14ac:dyDescent="0.35">
      <c r="H310" s="12"/>
      <c r="I310" s="12"/>
      <c r="J310" s="12"/>
      <c r="K310" s="12"/>
      <c r="L310" s="12"/>
      <c r="M310" s="12"/>
      <c r="N310" s="12"/>
    </row>
    <row r="311" spans="1:14" x14ac:dyDescent="0.35">
      <c r="B311" s="74"/>
      <c r="C311" s="74"/>
      <c r="D311" s="79"/>
      <c r="E311" s="74"/>
      <c r="F311" s="75"/>
      <c r="H311" s="12"/>
      <c r="I311" s="12"/>
      <c r="J311" s="12"/>
      <c r="K311" s="12"/>
      <c r="L311" s="12"/>
      <c r="M311" s="12"/>
      <c r="N311" s="12"/>
    </row>
    <row r="312" spans="1:14" x14ac:dyDescent="0.35">
      <c r="B312" s="19"/>
      <c r="C312" s="20"/>
      <c r="D312" s="20"/>
      <c r="E312" s="21"/>
      <c r="F312" s="21"/>
      <c r="G312" s="21"/>
      <c r="H312" s="12"/>
      <c r="I312" s="12"/>
      <c r="J312" s="12"/>
      <c r="K312" s="12"/>
      <c r="L312" s="12"/>
      <c r="M312" s="12"/>
      <c r="N312" s="12"/>
    </row>
    <row r="313" spans="1:14" x14ac:dyDescent="0.35">
      <c r="B313" s="81"/>
      <c r="C313" s="82"/>
      <c r="D313" s="82"/>
      <c r="E313" s="52"/>
      <c r="F313" s="52"/>
      <c r="G313" s="52"/>
      <c r="H313" s="12"/>
      <c r="I313" s="12"/>
      <c r="J313" s="12"/>
      <c r="K313" s="12"/>
      <c r="L313" s="12"/>
      <c r="M313" s="12"/>
      <c r="N313" s="12"/>
    </row>
    <row r="314" spans="1:14" x14ac:dyDescent="0.35">
      <c r="A314" s="75"/>
      <c r="H314" s="12"/>
      <c r="I314" s="12"/>
      <c r="J314" s="12"/>
      <c r="K314" s="12"/>
      <c r="L314" s="12"/>
      <c r="M314" s="12"/>
      <c r="N314" s="12"/>
    </row>
    <row r="315" spans="1:14" ht="18" x14ac:dyDescent="0.4">
      <c r="A315" s="75"/>
      <c r="B315" s="98" t="s">
        <v>580</v>
      </c>
      <c r="H315" s="12"/>
      <c r="I315" s="12"/>
      <c r="J315" s="12"/>
      <c r="K315" s="12"/>
      <c r="L315" s="12"/>
      <c r="M315" s="12"/>
      <c r="N315" s="12"/>
    </row>
    <row r="316" spans="1:14" x14ac:dyDescent="0.35">
      <c r="A316" s="75"/>
      <c r="H316" s="12"/>
      <c r="I316" s="12"/>
      <c r="J316" s="12"/>
      <c r="K316" s="12"/>
      <c r="L316" s="12"/>
      <c r="M316" s="12"/>
      <c r="N316" s="12"/>
    </row>
    <row r="317" spans="1:14" x14ac:dyDescent="0.35">
      <c r="A317" s="75"/>
      <c r="H317" s="12"/>
      <c r="I317" s="12"/>
      <c r="J317" s="12"/>
      <c r="K317" s="12"/>
      <c r="L317" s="12"/>
      <c r="M317" s="12"/>
      <c r="N317" s="12"/>
    </row>
    <row r="318" spans="1:14" x14ac:dyDescent="0.35">
      <c r="A318" s="75"/>
      <c r="H318" s="12"/>
      <c r="I318" s="12"/>
      <c r="J318" s="12"/>
      <c r="K318" s="12"/>
      <c r="L318" s="12"/>
      <c r="M318" s="12"/>
      <c r="N318" s="12"/>
    </row>
    <row r="319" spans="1:14" x14ac:dyDescent="0.35">
      <c r="A319" s="75"/>
      <c r="H319" s="12"/>
      <c r="I319" s="12"/>
      <c r="J319" s="12"/>
      <c r="K319" s="12"/>
      <c r="L319" s="12"/>
      <c r="M319" s="12"/>
      <c r="N319" s="12"/>
    </row>
    <row r="320" spans="1:14" x14ac:dyDescent="0.35">
      <c r="A320" s="75"/>
      <c r="H320" s="12"/>
      <c r="I320" s="12"/>
      <c r="J320" s="12"/>
      <c r="K320" s="12"/>
      <c r="L320" s="12"/>
      <c r="M320" s="12"/>
      <c r="N320" s="12"/>
    </row>
    <row r="321" spans="1:14" x14ac:dyDescent="0.35">
      <c r="A321" s="75"/>
      <c r="H321" s="12"/>
      <c r="I321" s="12"/>
      <c r="J321" s="12"/>
      <c r="K321" s="12"/>
      <c r="L321" s="12"/>
      <c r="M321" s="12"/>
      <c r="N321" s="12"/>
    </row>
    <row r="322" spans="1:14" x14ac:dyDescent="0.35">
      <c r="A322" s="75"/>
      <c r="H322" s="12"/>
      <c r="I322" s="12"/>
      <c r="J322" s="12"/>
      <c r="K322" s="12"/>
      <c r="L322" s="12"/>
      <c r="M322" s="12"/>
      <c r="N322" s="12"/>
    </row>
    <row r="323" spans="1:14" x14ac:dyDescent="0.35">
      <c r="A323" s="75"/>
      <c r="H323" s="12"/>
      <c r="I323" s="12"/>
      <c r="J323" s="12"/>
      <c r="K323" s="12"/>
      <c r="L323" s="12"/>
      <c r="M323" s="12"/>
      <c r="N323" s="12"/>
    </row>
    <row r="324" spans="1:14" x14ac:dyDescent="0.35">
      <c r="A324" s="75"/>
      <c r="H324" s="12"/>
      <c r="I324" s="12"/>
      <c r="J324" s="12"/>
      <c r="K324" s="12"/>
      <c r="L324" s="12"/>
      <c r="M324" s="12"/>
      <c r="N324" s="12"/>
    </row>
    <row r="325" spans="1:14" x14ac:dyDescent="0.35">
      <c r="A325" s="75"/>
      <c r="H325" s="12"/>
      <c r="I325" s="12"/>
      <c r="J325" s="12"/>
      <c r="K325" s="12"/>
      <c r="L325" s="12"/>
      <c r="M325" s="12"/>
      <c r="N325" s="12"/>
    </row>
    <row r="326" spans="1:14" x14ac:dyDescent="0.35">
      <c r="A326" s="75"/>
      <c r="H326" s="12"/>
      <c r="I326" s="12"/>
      <c r="J326" s="12"/>
      <c r="K326" s="12"/>
      <c r="L326" s="12"/>
      <c r="M326" s="12"/>
      <c r="N326" s="12"/>
    </row>
    <row r="327" spans="1:14" x14ac:dyDescent="0.35">
      <c r="A327" s="75"/>
      <c r="H327" s="12"/>
      <c r="I327" s="12"/>
      <c r="J327" s="12"/>
      <c r="K327" s="12"/>
      <c r="L327" s="12"/>
      <c r="M327" s="12"/>
      <c r="N327" s="12"/>
    </row>
    <row r="328" spans="1:14" x14ac:dyDescent="0.35">
      <c r="A328" s="75"/>
      <c r="H328" s="12"/>
      <c r="I328" s="12"/>
      <c r="J328" s="12"/>
      <c r="K328" s="12"/>
      <c r="L328" s="12"/>
      <c r="M328" s="12"/>
      <c r="N328" s="12"/>
    </row>
    <row r="329" spans="1:14" x14ac:dyDescent="0.35">
      <c r="A329" s="75"/>
      <c r="H329" s="12"/>
      <c r="I329" s="12"/>
      <c r="J329" s="12"/>
      <c r="K329" s="12"/>
      <c r="L329" s="12"/>
      <c r="M329" s="12"/>
      <c r="N329" s="12"/>
    </row>
    <row r="330" spans="1:14" x14ac:dyDescent="0.35">
      <c r="A330" s="75"/>
      <c r="H330" s="12"/>
      <c r="I330" s="12"/>
      <c r="J330" s="12"/>
      <c r="K330" s="12"/>
      <c r="L330" s="12"/>
      <c r="M330" s="12"/>
      <c r="N330" s="12"/>
    </row>
    <row r="331" spans="1:14" x14ac:dyDescent="0.35">
      <c r="H331" s="12"/>
      <c r="I331" s="12"/>
      <c r="J331" s="12"/>
      <c r="K331" s="12"/>
      <c r="L331" s="12"/>
      <c r="M331" s="12"/>
      <c r="N331" s="12"/>
    </row>
    <row r="332" spans="1:14" x14ac:dyDescent="0.35">
      <c r="H332" s="12"/>
      <c r="I332" s="12"/>
      <c r="J332" s="12"/>
      <c r="K332" s="12"/>
      <c r="L332" s="12"/>
      <c r="M332" s="12"/>
      <c r="N332" s="12"/>
    </row>
    <row r="333" spans="1:14" ht="18" x14ac:dyDescent="0.4">
      <c r="B333" s="97" t="s">
        <v>173</v>
      </c>
      <c r="C333" s="83" t="s">
        <v>36</v>
      </c>
      <c r="H333" s="12"/>
      <c r="I333" s="12"/>
      <c r="J333" s="12"/>
      <c r="K333" s="12"/>
      <c r="L333" s="12"/>
      <c r="M333" s="12"/>
      <c r="N333" s="12"/>
    </row>
    <row r="334" spans="1:14" ht="16" thickBot="1" x14ac:dyDescent="0.4">
      <c r="B334" s="9"/>
      <c r="C334" s="84" t="s">
        <v>175</v>
      </c>
      <c r="H334" s="12"/>
      <c r="I334" s="12"/>
      <c r="J334" s="12"/>
      <c r="K334" s="12"/>
      <c r="L334" s="12"/>
      <c r="M334" s="12"/>
      <c r="N334" s="12"/>
    </row>
    <row r="335" spans="1:14" x14ac:dyDescent="0.35">
      <c r="B335" s="26" t="s">
        <v>282</v>
      </c>
      <c r="C335" s="27">
        <v>7.5</v>
      </c>
      <c r="D335" s="23" t="s">
        <v>89</v>
      </c>
      <c r="H335" s="12"/>
      <c r="I335" s="12"/>
      <c r="J335" s="12"/>
      <c r="K335" s="12"/>
      <c r="L335" s="12"/>
      <c r="M335" s="12"/>
      <c r="N335" s="12"/>
    </row>
    <row r="336" spans="1:14" x14ac:dyDescent="0.35">
      <c r="B336" s="26" t="s">
        <v>244</v>
      </c>
      <c r="C336" s="30">
        <v>1750</v>
      </c>
      <c r="D336" s="23" t="s">
        <v>88</v>
      </c>
      <c r="H336" s="12"/>
      <c r="I336" s="12"/>
      <c r="J336" s="12"/>
      <c r="K336" s="12"/>
      <c r="L336" s="12"/>
      <c r="M336" s="12"/>
      <c r="N336" s="12"/>
    </row>
    <row r="337" spans="2:14" x14ac:dyDescent="0.35">
      <c r="B337" s="26" t="s">
        <v>245</v>
      </c>
      <c r="C337" s="85">
        <v>2</v>
      </c>
      <c r="H337" s="12"/>
      <c r="I337" s="12"/>
      <c r="J337" s="12"/>
      <c r="K337" s="12"/>
      <c r="L337" s="12"/>
      <c r="M337" s="12"/>
      <c r="N337" s="12"/>
    </row>
    <row r="338" spans="2:14" x14ac:dyDescent="0.35">
      <c r="B338" s="60" t="s">
        <v>176</v>
      </c>
      <c r="C338" s="61">
        <v>20</v>
      </c>
      <c r="H338" s="12"/>
      <c r="I338" s="12"/>
      <c r="J338" s="12"/>
      <c r="K338" s="12"/>
      <c r="L338" s="12"/>
      <c r="M338" s="12"/>
      <c r="N338" s="12"/>
    </row>
    <row r="339" spans="2:14" x14ac:dyDescent="0.35">
      <c r="B339" s="60" t="s">
        <v>178</v>
      </c>
      <c r="C339" s="61">
        <v>40</v>
      </c>
      <c r="H339" s="12"/>
      <c r="I339" s="12"/>
      <c r="J339" s="12"/>
      <c r="K339" s="12"/>
      <c r="L339" s="12"/>
      <c r="M339" s="12"/>
      <c r="N339" s="12"/>
    </row>
    <row r="340" spans="2:14" x14ac:dyDescent="0.35">
      <c r="B340" s="60" t="s">
        <v>177</v>
      </c>
      <c r="C340" s="62">
        <v>6</v>
      </c>
      <c r="D340" s="9" t="s">
        <v>588</v>
      </c>
      <c r="H340" s="12"/>
      <c r="I340" s="12"/>
      <c r="J340" s="12"/>
      <c r="K340" s="12"/>
      <c r="L340" s="12"/>
      <c r="M340" s="12"/>
      <c r="N340" s="12"/>
    </row>
    <row r="341" spans="2:14" ht="16" thickBot="1" x14ac:dyDescent="0.4">
      <c r="B341" s="13" t="s">
        <v>581</v>
      </c>
      <c r="C341" s="86">
        <v>20</v>
      </c>
      <c r="D341" s="9" t="s">
        <v>42</v>
      </c>
      <c r="H341" s="12"/>
      <c r="I341" s="12"/>
      <c r="J341" s="12"/>
      <c r="K341" s="12"/>
      <c r="L341" s="12"/>
      <c r="M341" s="12"/>
      <c r="N341" s="12"/>
    </row>
    <row r="342" spans="2:14" x14ac:dyDescent="0.35">
      <c r="C342" s="83" t="s">
        <v>13</v>
      </c>
      <c r="H342" s="12"/>
      <c r="I342" s="12"/>
      <c r="J342" s="12"/>
      <c r="K342" s="12"/>
      <c r="L342" s="12"/>
      <c r="M342" s="12"/>
      <c r="N342" s="12"/>
    </row>
    <row r="343" spans="2:14" x14ac:dyDescent="0.35">
      <c r="B343" s="87" t="s">
        <v>586</v>
      </c>
      <c r="C343" s="2" t="s">
        <v>584</v>
      </c>
      <c r="D343" s="1"/>
      <c r="E343" s="7"/>
      <c r="H343" s="12"/>
      <c r="I343" s="12"/>
      <c r="J343" s="12"/>
      <c r="K343" s="12"/>
      <c r="L343" s="12"/>
      <c r="M343" s="12"/>
      <c r="N343" s="12"/>
    </row>
    <row r="344" spans="2:14" x14ac:dyDescent="0.35">
      <c r="B344" s="36" t="s">
        <v>30</v>
      </c>
      <c r="C344" s="68">
        <f>C338/C340</f>
        <v>3.3333333333333335</v>
      </c>
      <c r="D344" s="7" t="s">
        <v>10</v>
      </c>
      <c r="E344" s="7"/>
      <c r="H344" s="12"/>
      <c r="I344" s="12"/>
      <c r="J344" s="12"/>
      <c r="K344" s="12"/>
      <c r="L344" s="12"/>
      <c r="M344" s="12"/>
      <c r="N344" s="12"/>
    </row>
    <row r="345" spans="2:14" x14ac:dyDescent="0.35">
      <c r="B345" s="87" t="s">
        <v>587</v>
      </c>
      <c r="C345" s="2" t="s">
        <v>585</v>
      </c>
      <c r="D345" s="7"/>
      <c r="E345" s="7"/>
      <c r="H345" s="12"/>
      <c r="I345" s="12"/>
      <c r="J345" s="12"/>
      <c r="K345" s="12"/>
      <c r="L345" s="12"/>
      <c r="M345" s="12"/>
      <c r="N345" s="12"/>
    </row>
    <row r="346" spans="2:14" x14ac:dyDescent="0.35">
      <c r="B346" s="36" t="s">
        <v>30</v>
      </c>
      <c r="C346" s="68">
        <f>C339/C340</f>
        <v>6.666666666666667</v>
      </c>
      <c r="D346" s="7" t="s">
        <v>10</v>
      </c>
      <c r="E346" s="7"/>
      <c r="H346" s="12"/>
      <c r="I346" s="12"/>
      <c r="J346" s="12"/>
      <c r="K346" s="12"/>
      <c r="L346" s="12"/>
      <c r="M346" s="12"/>
      <c r="N346" s="12"/>
    </row>
    <row r="347" spans="2:14" x14ac:dyDescent="0.35">
      <c r="B347" s="33" t="s">
        <v>591</v>
      </c>
      <c r="C347" s="24" t="s">
        <v>601</v>
      </c>
      <c r="D347" s="69"/>
      <c r="E347" s="7"/>
      <c r="H347" s="12"/>
      <c r="I347" s="12"/>
      <c r="J347" s="12"/>
      <c r="K347" s="12"/>
      <c r="L347" s="12"/>
      <c r="M347" s="12"/>
      <c r="N347" s="12"/>
    </row>
    <row r="348" spans="2:14" x14ac:dyDescent="0.35">
      <c r="B348" s="36" t="s">
        <v>30</v>
      </c>
      <c r="C348" s="88">
        <f>C337*5252*C335 / C336</f>
        <v>45.017142857142858</v>
      </c>
      <c r="D348" s="89" t="s">
        <v>507</v>
      </c>
      <c r="E348" s="7"/>
      <c r="H348" s="12"/>
      <c r="I348" s="12"/>
      <c r="J348" s="12"/>
      <c r="K348" s="12"/>
      <c r="L348" s="12"/>
      <c r="M348" s="12"/>
      <c r="N348" s="12"/>
    </row>
    <row r="349" spans="2:14" x14ac:dyDescent="0.35">
      <c r="B349" s="36" t="s">
        <v>30</v>
      </c>
      <c r="C349" s="70">
        <f>C348*12</f>
        <v>540.20571428571429</v>
      </c>
      <c r="D349" s="24" t="s">
        <v>56</v>
      </c>
      <c r="E349" s="7"/>
      <c r="H349" s="12"/>
      <c r="I349" s="12"/>
      <c r="J349" s="12"/>
      <c r="K349" s="12"/>
      <c r="L349" s="12"/>
      <c r="M349" s="12"/>
      <c r="N349" s="12"/>
    </row>
    <row r="350" spans="2:14" x14ac:dyDescent="0.35">
      <c r="B350" s="33" t="s">
        <v>592</v>
      </c>
      <c r="C350" s="6" t="s">
        <v>600</v>
      </c>
      <c r="D350" s="7"/>
      <c r="E350" s="7"/>
      <c r="H350" s="12"/>
      <c r="I350" s="12"/>
      <c r="J350" s="12"/>
      <c r="K350" s="12"/>
      <c r="L350" s="12"/>
      <c r="M350" s="12"/>
      <c r="N350" s="12"/>
    </row>
    <row r="351" spans="2:14" x14ac:dyDescent="0.35">
      <c r="B351" s="36" t="s">
        <v>30</v>
      </c>
      <c r="C351" s="70">
        <f>C349*C346 / C344</f>
        <v>1080.4114285714286</v>
      </c>
      <c r="D351" s="7"/>
      <c r="E351" s="7"/>
      <c r="H351" s="12"/>
      <c r="I351" s="12"/>
      <c r="J351" s="12"/>
      <c r="K351" s="12"/>
      <c r="L351" s="12"/>
      <c r="M351" s="12"/>
      <c r="N351" s="12"/>
    </row>
    <row r="352" spans="2:14" x14ac:dyDescent="0.35">
      <c r="B352" s="87" t="s">
        <v>582</v>
      </c>
      <c r="C352" s="2" t="s">
        <v>599</v>
      </c>
      <c r="D352" s="1"/>
      <c r="E352" s="7"/>
      <c r="H352" s="12"/>
      <c r="I352" s="12"/>
      <c r="J352" s="12"/>
      <c r="K352" s="12"/>
      <c r="L352" s="12"/>
      <c r="M352" s="12"/>
      <c r="N352" s="12"/>
    </row>
    <row r="353" spans="2:14" x14ac:dyDescent="0.35">
      <c r="B353" s="36" t="s">
        <v>30</v>
      </c>
      <c r="C353" s="90">
        <f>57.3*ATAN(C338 / C339)</f>
        <v>26.567007995746188</v>
      </c>
      <c r="D353" s="7" t="s">
        <v>42</v>
      </c>
      <c r="E353" s="7"/>
      <c r="H353" s="12"/>
      <c r="I353" s="12"/>
      <c r="J353" s="12"/>
      <c r="K353" s="12"/>
      <c r="L353" s="12"/>
      <c r="M353" s="12"/>
      <c r="N353" s="12"/>
    </row>
    <row r="354" spans="2:14" x14ac:dyDescent="0.35">
      <c r="B354" s="36" t="s">
        <v>589</v>
      </c>
      <c r="C354" s="6" t="s">
        <v>593</v>
      </c>
      <c r="D354" s="7"/>
      <c r="E354" s="7"/>
      <c r="H354" s="12"/>
      <c r="I354" s="12"/>
      <c r="J354" s="12"/>
      <c r="K354" s="12"/>
      <c r="L354" s="12"/>
      <c r="M354" s="12"/>
      <c r="N354" s="12"/>
    </row>
    <row r="355" spans="2:14" x14ac:dyDescent="0.35">
      <c r="B355" s="36" t="s">
        <v>30</v>
      </c>
      <c r="C355" s="70">
        <f>C349/ (C344/2)</f>
        <v>324.12342857142858</v>
      </c>
      <c r="D355" s="7" t="s">
        <v>534</v>
      </c>
      <c r="E355" s="7"/>
      <c r="H355" s="12"/>
      <c r="I355" s="12"/>
      <c r="J355" s="12"/>
      <c r="K355" s="12"/>
      <c r="L355" s="12"/>
      <c r="M355" s="12"/>
      <c r="N355" s="12"/>
    </row>
    <row r="356" spans="2:14" x14ac:dyDescent="0.35">
      <c r="B356" s="36" t="s">
        <v>590</v>
      </c>
      <c r="C356" s="6" t="s">
        <v>596</v>
      </c>
      <c r="D356" s="7"/>
      <c r="E356" s="7"/>
      <c r="H356" s="12"/>
      <c r="I356" s="12"/>
      <c r="J356" s="12"/>
      <c r="K356" s="12"/>
      <c r="L356" s="12"/>
      <c r="M356" s="12"/>
      <c r="N356" s="12"/>
    </row>
    <row r="357" spans="2:14" x14ac:dyDescent="0.35">
      <c r="B357" s="13" t="s">
        <v>30</v>
      </c>
      <c r="C357" s="77">
        <f>C355*TAN(C341/57.3)</f>
        <v>117.9618428790648</v>
      </c>
      <c r="D357" s="9" t="s">
        <v>534</v>
      </c>
      <c r="H357" s="12"/>
      <c r="I357" s="12"/>
      <c r="J357" s="12"/>
      <c r="K357" s="12"/>
      <c r="L357" s="12"/>
      <c r="M357" s="12"/>
      <c r="N357" s="12"/>
    </row>
    <row r="358" spans="2:14" x14ac:dyDescent="0.35">
      <c r="B358" s="36" t="s">
        <v>594</v>
      </c>
      <c r="C358" s="6" t="s">
        <v>597</v>
      </c>
      <c r="D358" s="7"/>
      <c r="H358" s="12"/>
      <c r="I358" s="12"/>
      <c r="J358" s="12"/>
      <c r="K358" s="12"/>
      <c r="L358" s="12"/>
      <c r="M358" s="12"/>
      <c r="N358" s="12"/>
    </row>
    <row r="359" spans="2:14" x14ac:dyDescent="0.35">
      <c r="B359" s="36" t="s">
        <v>30</v>
      </c>
      <c r="C359" s="77">
        <f>C357*SIN(C353/57.3)</f>
        <v>52.754139885747676</v>
      </c>
      <c r="D359" s="7" t="s">
        <v>534</v>
      </c>
      <c r="H359" s="12"/>
      <c r="I359" s="12"/>
      <c r="J359" s="12"/>
      <c r="K359" s="12"/>
      <c r="L359" s="12"/>
      <c r="M359" s="12"/>
      <c r="N359" s="12"/>
    </row>
    <row r="360" spans="2:14" x14ac:dyDescent="0.35">
      <c r="B360" s="36" t="s">
        <v>595</v>
      </c>
      <c r="C360" s="6" t="s">
        <v>598</v>
      </c>
      <c r="D360" s="7"/>
      <c r="H360" s="12"/>
      <c r="I360" s="12"/>
      <c r="J360" s="12"/>
      <c r="K360" s="12"/>
      <c r="L360" s="12"/>
      <c r="M360" s="12"/>
      <c r="N360" s="12"/>
    </row>
    <row r="361" spans="2:14" x14ac:dyDescent="0.35">
      <c r="B361" s="36" t="s">
        <v>30</v>
      </c>
      <c r="C361" s="77">
        <f>C357*COS(C353/57.3)</f>
        <v>105.50827977149535</v>
      </c>
      <c r="D361" s="7" t="s">
        <v>534</v>
      </c>
      <c r="H361" s="12"/>
      <c r="I361" s="12"/>
      <c r="J361" s="12"/>
      <c r="K361" s="12"/>
      <c r="L361" s="12"/>
      <c r="M361" s="12"/>
      <c r="N361" s="12"/>
    </row>
    <row r="362" spans="2:14" x14ac:dyDescent="0.35">
      <c r="H362" s="12"/>
      <c r="I362" s="12"/>
      <c r="J362" s="12"/>
      <c r="K362" s="12"/>
      <c r="L362" s="12"/>
      <c r="M362" s="12"/>
      <c r="N362" s="12"/>
    </row>
    <row r="363" spans="2:14" x14ac:dyDescent="0.35">
      <c r="B363" s="9" t="s">
        <v>614</v>
      </c>
      <c r="C363" s="9"/>
      <c r="H363" s="12"/>
      <c r="I363" s="12"/>
      <c r="J363" s="12"/>
      <c r="K363" s="12"/>
      <c r="L363" s="12"/>
      <c r="M363" s="12"/>
      <c r="N363" s="12"/>
    </row>
    <row r="364" spans="2:14" x14ac:dyDescent="0.35">
      <c r="B364" s="9" t="s">
        <v>613</v>
      </c>
      <c r="C364" s="9"/>
      <c r="H364" s="12"/>
      <c r="I364" s="12"/>
      <c r="J364" s="12"/>
      <c r="K364" s="12"/>
      <c r="L364" s="12"/>
      <c r="M364" s="12"/>
      <c r="N364" s="12"/>
    </row>
    <row r="365" spans="2:14" x14ac:dyDescent="0.35">
      <c r="H365" s="12"/>
      <c r="I365" s="12"/>
      <c r="J365" s="12"/>
      <c r="K365" s="12"/>
      <c r="L365" s="12"/>
      <c r="M365" s="12"/>
      <c r="N365" s="12"/>
    </row>
    <row r="366" spans="2:14" x14ac:dyDescent="0.35">
      <c r="B366" s="19"/>
      <c r="C366" s="20"/>
      <c r="D366" s="20"/>
      <c r="E366" s="21"/>
      <c r="F366" s="21"/>
      <c r="G366" s="21"/>
      <c r="H366" s="12"/>
      <c r="I366" s="12"/>
      <c r="J366" s="12"/>
      <c r="K366" s="12"/>
      <c r="L366" s="12"/>
      <c r="M366" s="12"/>
      <c r="N366" s="12"/>
    </row>
    <row r="367" spans="2:14" x14ac:dyDescent="0.35">
      <c r="H367" s="12"/>
      <c r="I367" s="12"/>
    </row>
    <row r="368" spans="2:14" x14ac:dyDescent="0.35">
      <c r="B368" s="36"/>
      <c r="H368" s="12"/>
      <c r="I368" s="12"/>
    </row>
    <row r="369" spans="3:14" x14ac:dyDescent="0.35">
      <c r="C369" s="11" t="s">
        <v>712</v>
      </c>
      <c r="H369" s="12"/>
      <c r="I369" s="12"/>
      <c r="J369" s="12"/>
      <c r="K369" s="12"/>
      <c r="L369" s="12"/>
      <c r="M369" s="12"/>
      <c r="N369" s="12"/>
    </row>
    <row r="370" spans="3:14" x14ac:dyDescent="0.35">
      <c r="H370" s="12"/>
      <c r="I370" s="12"/>
    </row>
    <row r="371" spans="3:14" x14ac:dyDescent="0.35">
      <c r="H371" s="12"/>
      <c r="I371" s="12"/>
    </row>
    <row r="372" spans="3:14" x14ac:dyDescent="0.35">
      <c r="H372" s="12"/>
      <c r="I372" s="12"/>
    </row>
    <row r="373" spans="3:14" x14ac:dyDescent="0.35">
      <c r="H373" s="12"/>
      <c r="I373" s="12"/>
    </row>
    <row r="374" spans="3:14" x14ac:dyDescent="0.35">
      <c r="H374" s="12"/>
      <c r="I374" s="12"/>
    </row>
    <row r="375" spans="3:14" x14ac:dyDescent="0.35">
      <c r="H375" s="12"/>
      <c r="I375" s="12"/>
    </row>
    <row r="376" spans="3:14" x14ac:dyDescent="0.35">
      <c r="H376" s="12"/>
      <c r="I376" s="12"/>
    </row>
    <row r="377" spans="3:14" x14ac:dyDescent="0.35">
      <c r="H377" s="12"/>
      <c r="I377" s="12"/>
    </row>
  </sheetData>
  <sheetProtection sheet="1" objects="1" scenarios="1" selectLockedCells="1"/>
  <protectedRanges>
    <protectedRange sqref="C183:C184" name="Range6"/>
    <protectedRange sqref="F271 C155 C152:C153 C157 C335:C337 C195:C200 F265:F268 C257:C258 C268:C271" name="Range1"/>
    <protectedRange sqref="C172" name="Range3"/>
    <protectedRange sqref="C183:C184" name="Range4"/>
  </protectedRanges>
  <hyperlinks>
    <hyperlink ref="C230" r:id="rId1" xr:uid="{00000000-0004-0000-0000-000000000000}"/>
    <hyperlink ref="J27" r:id="rId2" xr:uid="{E6C3F2C4-FEEB-4283-BA67-1E923B0BAF9D}"/>
    <hyperlink ref="I158" r:id="rId3" xr:uid="{05DC1BA0-E27E-4214-8D3D-94D37DFAA297}"/>
    <hyperlink ref="I166" r:id="rId4" xr:uid="{87E839B9-B6C6-4F77-8B55-279C2418F9CA}"/>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32"/>
  <sheetViews>
    <sheetView zoomScaleNormal="100" workbookViewId="0">
      <selection activeCell="J1" sqref="J1"/>
    </sheetView>
  </sheetViews>
  <sheetFormatPr defaultRowHeight="15.5" x14ac:dyDescent="0.35"/>
  <cols>
    <col min="1" max="1" width="4.7265625" style="9" customWidth="1"/>
    <col min="2" max="2" width="56" style="9" customWidth="1"/>
    <col min="3" max="3" width="14.26953125" style="11" customWidth="1"/>
    <col min="4" max="9" width="8.7265625" style="9"/>
    <col min="10" max="10" width="11" style="9" customWidth="1"/>
    <col min="11" max="11" width="50" style="9" customWidth="1"/>
    <col min="12" max="12" width="12.453125" style="9" customWidth="1"/>
    <col min="13" max="13" width="12.90625" style="9" customWidth="1"/>
    <col min="14" max="14" width="13.7265625" style="9" customWidth="1"/>
    <col min="15" max="16384" width="8.7265625" style="9"/>
  </cols>
  <sheetData>
    <row r="1" spans="2:14" ht="20" x14ac:dyDescent="0.4">
      <c r="B1" s="91" t="s">
        <v>283</v>
      </c>
      <c r="E1" s="12"/>
      <c r="F1" s="12"/>
      <c r="G1" s="12"/>
      <c r="H1" s="12"/>
      <c r="I1" s="12"/>
      <c r="J1" s="12"/>
      <c r="K1" s="12"/>
      <c r="L1" s="12"/>
      <c r="M1" s="12"/>
      <c r="N1" s="12"/>
    </row>
    <row r="2" spans="2:14" x14ac:dyDescent="0.35">
      <c r="B2" s="10"/>
      <c r="E2" s="12"/>
      <c r="F2" s="12"/>
      <c r="G2" s="12"/>
      <c r="H2" s="12"/>
      <c r="I2" s="12"/>
      <c r="J2" s="12"/>
      <c r="K2" s="12"/>
      <c r="L2" s="12"/>
      <c r="M2" s="12"/>
      <c r="N2" s="12"/>
    </row>
    <row r="3" spans="2:14" x14ac:dyDescent="0.35">
      <c r="B3" s="11"/>
      <c r="E3" s="12"/>
      <c r="F3" s="12"/>
      <c r="G3" s="12"/>
      <c r="H3" s="12"/>
      <c r="I3" s="12"/>
      <c r="J3" s="12"/>
      <c r="K3" s="12"/>
      <c r="L3" s="12"/>
      <c r="M3" s="12"/>
      <c r="N3" s="12"/>
    </row>
    <row r="4" spans="2:14" x14ac:dyDescent="0.35">
      <c r="B4" s="10" t="s">
        <v>284</v>
      </c>
      <c r="E4" s="12"/>
      <c r="F4" s="12"/>
      <c r="G4" s="12"/>
      <c r="H4" s="12"/>
      <c r="I4" s="12"/>
      <c r="J4" s="12"/>
      <c r="K4" s="12"/>
      <c r="L4" s="12"/>
      <c r="M4" s="12"/>
      <c r="N4" s="12"/>
    </row>
    <row r="5" spans="2:14" x14ac:dyDescent="0.35">
      <c r="B5" s="10" t="s">
        <v>285</v>
      </c>
      <c r="E5" s="12"/>
      <c r="F5" s="12"/>
      <c r="G5" s="12"/>
      <c r="H5" s="12"/>
      <c r="I5" s="12"/>
      <c r="J5" s="12"/>
      <c r="K5" s="12"/>
      <c r="L5" s="12"/>
      <c r="M5" s="12"/>
      <c r="N5" s="12"/>
    </row>
    <row r="6" spans="2:14" x14ac:dyDescent="0.35">
      <c r="B6" s="118"/>
      <c r="E6" s="12"/>
      <c r="F6" s="12"/>
      <c r="G6" s="12"/>
      <c r="H6" s="12"/>
      <c r="I6" s="12"/>
      <c r="J6" s="12"/>
      <c r="K6" s="12"/>
      <c r="L6" s="12"/>
      <c r="M6" s="12"/>
      <c r="N6" s="12"/>
    </row>
    <row r="7" spans="2:14" x14ac:dyDescent="0.35">
      <c r="B7" s="10" t="s">
        <v>286</v>
      </c>
      <c r="E7" s="12"/>
      <c r="F7" s="12"/>
      <c r="G7" s="12"/>
      <c r="H7" s="12"/>
      <c r="I7" s="12"/>
      <c r="J7" s="12"/>
      <c r="K7" s="12"/>
      <c r="L7" s="12"/>
      <c r="M7" s="12"/>
      <c r="N7" s="12"/>
    </row>
    <row r="8" spans="2:14" x14ac:dyDescent="0.35">
      <c r="B8" s="10" t="s">
        <v>287</v>
      </c>
      <c r="E8" s="12"/>
      <c r="F8" s="12"/>
      <c r="G8" s="12"/>
      <c r="H8" s="12"/>
      <c r="I8" s="12"/>
      <c r="J8" s="12"/>
      <c r="K8" s="12"/>
      <c r="L8" s="12"/>
      <c r="M8" s="12"/>
      <c r="N8" s="12"/>
    </row>
    <row r="9" spans="2:14" x14ac:dyDescent="0.35">
      <c r="B9" s="60"/>
      <c r="E9" s="12"/>
      <c r="F9" s="12"/>
      <c r="G9" s="12"/>
      <c r="H9" s="12"/>
      <c r="I9" s="12"/>
      <c r="J9" s="12"/>
      <c r="K9" s="12"/>
      <c r="L9" s="12"/>
      <c r="M9" s="12"/>
      <c r="N9" s="12"/>
    </row>
    <row r="10" spans="2:14" x14ac:dyDescent="0.35">
      <c r="B10" s="10" t="s">
        <v>288</v>
      </c>
      <c r="E10" s="12"/>
      <c r="F10" s="12"/>
      <c r="G10" s="12"/>
      <c r="H10" s="12"/>
      <c r="I10" s="12"/>
      <c r="J10" s="12"/>
      <c r="K10" s="12"/>
      <c r="L10" s="12"/>
      <c r="M10" s="12"/>
      <c r="N10" s="12"/>
    </row>
    <row r="11" spans="2:14" x14ac:dyDescent="0.35">
      <c r="B11" s="10" t="s">
        <v>289</v>
      </c>
      <c r="E11" s="12"/>
      <c r="F11" s="12"/>
      <c r="G11" s="12"/>
      <c r="H11" s="12"/>
      <c r="I11" s="12"/>
      <c r="J11" s="12"/>
      <c r="K11" s="12"/>
      <c r="L11" s="12"/>
      <c r="M11" s="12"/>
      <c r="N11" s="12"/>
    </row>
    <row r="12" spans="2:14" x14ac:dyDescent="0.35">
      <c r="B12" s="10"/>
      <c r="E12" s="12"/>
      <c r="F12" s="12"/>
      <c r="G12" s="12"/>
      <c r="H12" s="12"/>
      <c r="I12" s="12"/>
      <c r="J12" s="12"/>
      <c r="K12" s="12"/>
      <c r="L12" s="12"/>
      <c r="M12" s="12"/>
      <c r="N12" s="12"/>
    </row>
    <row r="13" spans="2:14" x14ac:dyDescent="0.35">
      <c r="B13" s="10" t="s">
        <v>290</v>
      </c>
      <c r="E13" s="12"/>
      <c r="F13" s="12"/>
      <c r="G13" s="12"/>
      <c r="H13" s="12"/>
      <c r="I13" s="12"/>
      <c r="J13" s="12"/>
      <c r="K13" s="12"/>
      <c r="L13" s="12"/>
      <c r="M13" s="12"/>
      <c r="N13" s="12"/>
    </row>
    <row r="14" spans="2:14" x14ac:dyDescent="0.35">
      <c r="B14" s="10" t="s">
        <v>291</v>
      </c>
      <c r="E14" s="12"/>
      <c r="F14" s="12"/>
      <c r="G14" s="92"/>
      <c r="H14" s="144"/>
      <c r="I14" s="12"/>
      <c r="J14" s="12"/>
      <c r="K14" s="12"/>
      <c r="L14" s="12"/>
      <c r="M14" s="12"/>
      <c r="N14" s="12"/>
    </row>
    <row r="15" spans="2:14" x14ac:dyDescent="0.35">
      <c r="C15" s="9"/>
      <c r="E15" s="12"/>
      <c r="F15" s="12"/>
      <c r="G15" s="12"/>
      <c r="H15" s="12"/>
      <c r="I15" s="12"/>
      <c r="J15" s="12"/>
      <c r="K15" s="12"/>
      <c r="L15" s="12"/>
      <c r="M15" s="12"/>
      <c r="N15" s="12"/>
    </row>
    <row r="16" spans="2:14" x14ac:dyDescent="0.35">
      <c r="C16" s="9"/>
      <c r="E16" s="12"/>
      <c r="F16" s="12"/>
      <c r="G16" s="12"/>
      <c r="H16" s="12"/>
      <c r="I16" s="12"/>
      <c r="J16" s="12"/>
      <c r="K16" s="12"/>
      <c r="L16" s="12"/>
      <c r="M16" s="12"/>
      <c r="N16" s="12"/>
    </row>
    <row r="17" spans="2:14" ht="20" x14ac:dyDescent="0.4">
      <c r="B17" s="91" t="s">
        <v>292</v>
      </c>
      <c r="C17" s="9"/>
      <c r="E17" s="12"/>
      <c r="F17" s="12"/>
      <c r="G17" s="12"/>
      <c r="H17" s="12"/>
      <c r="I17" s="12"/>
      <c r="J17" s="12"/>
      <c r="K17" s="12"/>
      <c r="L17" s="12"/>
      <c r="M17" s="12"/>
      <c r="N17" s="12"/>
    </row>
    <row r="18" spans="2:14" ht="20" x14ac:dyDescent="0.4">
      <c r="B18" s="91" t="s">
        <v>293</v>
      </c>
      <c r="C18" s="9"/>
      <c r="E18" s="12"/>
      <c r="F18" s="12"/>
      <c r="G18" s="12"/>
      <c r="H18" s="12"/>
      <c r="I18" s="12"/>
      <c r="J18" s="12"/>
      <c r="K18" s="12"/>
      <c r="L18" s="12"/>
      <c r="M18" s="12"/>
      <c r="N18" s="12"/>
    </row>
    <row r="19" spans="2:14" x14ac:dyDescent="0.35">
      <c r="B19" s="13"/>
      <c r="E19" s="12"/>
      <c r="F19" s="12"/>
      <c r="G19" s="12"/>
      <c r="H19" s="12"/>
      <c r="I19" s="12"/>
      <c r="J19" s="12"/>
      <c r="K19" s="12"/>
      <c r="L19" s="12"/>
      <c r="M19" s="12"/>
      <c r="N19" s="12"/>
    </row>
    <row r="20" spans="2:14" x14ac:dyDescent="0.35">
      <c r="C20" s="132"/>
      <c r="E20" s="145"/>
      <c r="F20" s="12"/>
      <c r="G20" s="12"/>
      <c r="H20" s="12"/>
      <c r="I20" s="12"/>
      <c r="J20" s="12"/>
      <c r="K20" s="12"/>
      <c r="L20" s="12"/>
      <c r="M20" s="12"/>
      <c r="N20" s="12"/>
    </row>
    <row r="21" spans="2:14" x14ac:dyDescent="0.35">
      <c r="C21" s="132"/>
      <c r="E21" s="12"/>
      <c r="F21" s="12"/>
      <c r="G21" s="12"/>
      <c r="H21" s="12"/>
      <c r="I21" s="12"/>
      <c r="J21" s="12"/>
      <c r="K21" s="12"/>
      <c r="L21" s="12"/>
      <c r="M21" s="12"/>
      <c r="N21" s="12"/>
    </row>
    <row r="22" spans="2:14" x14ac:dyDescent="0.35">
      <c r="B22" s="87" t="s">
        <v>0</v>
      </c>
      <c r="C22" s="132"/>
      <c r="E22" s="12"/>
      <c r="F22" s="12"/>
      <c r="G22" s="12"/>
      <c r="H22" s="12"/>
      <c r="I22" s="12"/>
      <c r="J22" s="12"/>
      <c r="K22" s="12"/>
      <c r="L22" s="12"/>
      <c r="M22" s="12"/>
      <c r="N22" s="12"/>
    </row>
    <row r="23" spans="2:14" x14ac:dyDescent="0.35">
      <c r="B23" s="13"/>
      <c r="C23" s="132"/>
      <c r="E23" s="12"/>
      <c r="F23" s="12"/>
      <c r="G23" s="12"/>
      <c r="H23" s="12"/>
      <c r="I23" s="12"/>
      <c r="J23" s="12"/>
      <c r="K23" s="12"/>
      <c r="L23" s="12"/>
      <c r="M23" s="12"/>
      <c r="N23" s="12"/>
    </row>
    <row r="24" spans="2:14" x14ac:dyDescent="0.35">
      <c r="B24" s="13"/>
      <c r="C24" s="132"/>
      <c r="E24" s="12"/>
      <c r="F24" s="12"/>
      <c r="G24" s="12"/>
      <c r="H24" s="12"/>
      <c r="I24" s="12"/>
      <c r="J24" s="12"/>
      <c r="K24" s="12"/>
      <c r="L24" s="12"/>
      <c r="M24" s="12"/>
      <c r="N24" s="12"/>
    </row>
    <row r="25" spans="2:14" x14ac:dyDescent="0.35">
      <c r="B25" s="13"/>
      <c r="C25" s="132"/>
      <c r="E25" s="12"/>
      <c r="F25" s="12"/>
      <c r="G25" s="12"/>
      <c r="H25" s="12"/>
      <c r="I25" s="12"/>
      <c r="J25" s="12"/>
      <c r="K25" s="12"/>
      <c r="L25" s="12"/>
      <c r="M25" s="12"/>
      <c r="N25" s="12"/>
    </row>
    <row r="26" spans="2:14" x14ac:dyDescent="0.35">
      <c r="B26" s="13"/>
      <c r="C26" s="132"/>
      <c r="E26" s="12"/>
      <c r="F26" s="12"/>
      <c r="G26" s="12"/>
      <c r="H26" s="12"/>
      <c r="I26" s="12"/>
      <c r="J26" s="12"/>
      <c r="K26" s="12"/>
      <c r="L26" s="12"/>
      <c r="M26" s="12"/>
      <c r="N26" s="12"/>
    </row>
    <row r="27" spans="2:14" x14ac:dyDescent="0.35">
      <c r="B27" s="13"/>
      <c r="C27" s="132"/>
      <c r="E27" s="12"/>
      <c r="F27" s="12"/>
      <c r="G27" s="12"/>
      <c r="H27" s="12"/>
      <c r="I27" s="12"/>
      <c r="J27" s="12"/>
      <c r="K27" s="12"/>
      <c r="L27" s="12"/>
      <c r="M27" s="12"/>
      <c r="N27" s="12"/>
    </row>
    <row r="28" spans="2:14" x14ac:dyDescent="0.35">
      <c r="B28" s="13"/>
      <c r="C28" s="132"/>
      <c r="E28" s="12"/>
      <c r="F28" s="12"/>
      <c r="G28" s="12"/>
      <c r="H28" s="12"/>
      <c r="I28" s="12"/>
      <c r="J28" s="12"/>
      <c r="K28" s="12"/>
      <c r="L28" s="12"/>
      <c r="M28" s="12"/>
      <c r="N28" s="12"/>
    </row>
    <row r="29" spans="2:14" x14ac:dyDescent="0.35">
      <c r="B29" s="13"/>
      <c r="C29" s="132"/>
      <c r="E29" s="12"/>
      <c r="F29" s="12"/>
      <c r="G29" s="12"/>
      <c r="H29" s="12"/>
      <c r="I29" s="12"/>
      <c r="J29" s="12"/>
      <c r="K29" s="12"/>
      <c r="L29" s="12"/>
      <c r="M29" s="12"/>
      <c r="N29" s="12"/>
    </row>
    <row r="30" spans="2:14" x14ac:dyDescent="0.35">
      <c r="B30" s="13"/>
      <c r="C30" s="132"/>
      <c r="E30" s="12"/>
      <c r="F30" s="12"/>
      <c r="G30" s="12"/>
      <c r="H30" s="12"/>
      <c r="I30" s="12"/>
      <c r="J30" s="12"/>
      <c r="K30" s="12"/>
      <c r="L30" s="12"/>
      <c r="M30" s="12"/>
      <c r="N30" s="12"/>
    </row>
    <row r="31" spans="2:14" x14ac:dyDescent="0.35">
      <c r="B31" s="13"/>
      <c r="C31" s="132"/>
      <c r="E31" s="12"/>
      <c r="F31" s="12"/>
      <c r="G31" s="12"/>
      <c r="H31" s="12"/>
      <c r="I31" s="12"/>
      <c r="J31" s="12"/>
      <c r="K31" s="12"/>
      <c r="L31" s="12"/>
      <c r="M31" s="12"/>
      <c r="N31" s="12"/>
    </row>
    <row r="32" spans="2:14" x14ac:dyDescent="0.35">
      <c r="B32" s="13"/>
      <c r="C32" s="132"/>
      <c r="E32" s="12"/>
      <c r="F32" s="12"/>
      <c r="G32" s="12"/>
      <c r="H32" s="12"/>
      <c r="I32" s="12"/>
      <c r="J32" s="12"/>
      <c r="K32" s="12"/>
      <c r="L32" s="12"/>
      <c r="M32" s="12"/>
      <c r="N32" s="12"/>
    </row>
    <row r="33" spans="2:17" x14ac:dyDescent="0.35">
      <c r="B33" s="13"/>
      <c r="C33" s="132"/>
      <c r="E33" s="12"/>
      <c r="F33" s="12"/>
      <c r="G33" s="12"/>
      <c r="H33" s="12"/>
      <c r="I33" s="12"/>
      <c r="J33" s="12"/>
      <c r="K33" s="12"/>
      <c r="L33" s="12"/>
      <c r="M33" s="12"/>
      <c r="N33" s="12"/>
    </row>
    <row r="34" spans="2:17" x14ac:dyDescent="0.35">
      <c r="B34" s="13"/>
      <c r="C34" s="132"/>
      <c r="E34" s="12"/>
      <c r="F34" s="12"/>
      <c r="G34" s="12"/>
      <c r="H34" s="12"/>
      <c r="I34" s="12"/>
      <c r="J34" s="12"/>
      <c r="K34" s="12"/>
      <c r="L34" s="12"/>
      <c r="M34" s="12"/>
      <c r="N34" s="12"/>
    </row>
    <row r="35" spans="2:17" x14ac:dyDescent="0.35">
      <c r="B35" s="13"/>
      <c r="C35" s="132"/>
      <c r="E35" s="12"/>
      <c r="F35" s="12"/>
      <c r="G35" s="12"/>
      <c r="H35" s="12"/>
      <c r="I35" s="12"/>
      <c r="J35" s="12"/>
      <c r="K35" s="12"/>
      <c r="L35" s="12"/>
      <c r="M35" s="12"/>
      <c r="N35" s="12"/>
    </row>
    <row r="36" spans="2:17" x14ac:dyDescent="0.35">
      <c r="B36" s="13"/>
      <c r="E36" s="12"/>
      <c r="F36" s="12"/>
      <c r="G36" s="12"/>
      <c r="H36" s="12"/>
      <c r="I36" s="12"/>
      <c r="J36" s="12"/>
      <c r="K36" s="12"/>
      <c r="L36" s="12"/>
      <c r="M36" s="12"/>
      <c r="N36" s="12"/>
    </row>
    <row r="37" spans="2:17" x14ac:dyDescent="0.35">
      <c r="B37" s="13"/>
      <c r="E37" s="12"/>
      <c r="F37" s="12"/>
      <c r="G37" s="12"/>
      <c r="H37" s="12"/>
      <c r="I37" s="12"/>
      <c r="J37" s="12"/>
      <c r="K37" s="12"/>
      <c r="L37" s="12"/>
      <c r="M37" s="12"/>
      <c r="N37" s="12"/>
    </row>
    <row r="38" spans="2:17" x14ac:dyDescent="0.35">
      <c r="B38" s="13"/>
      <c r="E38" s="12"/>
      <c r="F38" s="12"/>
      <c r="G38" s="12"/>
      <c r="H38" s="12"/>
      <c r="I38" s="12"/>
      <c r="J38" s="12"/>
      <c r="K38" s="12"/>
      <c r="L38" s="12"/>
      <c r="M38" s="12"/>
      <c r="N38" s="12"/>
    </row>
    <row r="39" spans="2:17" x14ac:dyDescent="0.35">
      <c r="B39" s="13"/>
      <c r="E39" s="12"/>
      <c r="F39" s="12"/>
      <c r="G39" s="12"/>
      <c r="H39" s="12"/>
      <c r="I39" s="12"/>
      <c r="J39" s="12"/>
      <c r="K39" s="12"/>
      <c r="L39" s="12"/>
      <c r="M39" s="12"/>
      <c r="N39" s="12"/>
    </row>
    <row r="40" spans="2:17" x14ac:dyDescent="0.35">
      <c r="B40" s="13"/>
      <c r="E40" s="12"/>
      <c r="F40" s="12"/>
      <c r="G40" s="12"/>
      <c r="H40" s="12"/>
      <c r="I40" s="12"/>
      <c r="J40" s="12"/>
      <c r="K40" s="12"/>
      <c r="L40" s="12"/>
      <c r="M40" s="12"/>
      <c r="N40" s="12"/>
    </row>
    <row r="41" spans="2:17" ht="18.5" thickBot="1" x14ac:dyDescent="0.45">
      <c r="B41" s="97" t="s">
        <v>294</v>
      </c>
      <c r="C41" s="119" t="s">
        <v>165</v>
      </c>
      <c r="E41" s="12"/>
      <c r="F41" s="12"/>
      <c r="G41" s="12"/>
      <c r="H41" s="12"/>
      <c r="I41" s="12"/>
      <c r="J41" s="12"/>
      <c r="K41" s="12"/>
      <c r="L41" s="12"/>
      <c r="M41" s="12"/>
      <c r="N41" s="12"/>
    </row>
    <row r="42" spans="2:17" ht="18.5" thickBot="1" x14ac:dyDescent="0.45">
      <c r="B42" s="121" t="s">
        <v>651</v>
      </c>
      <c r="C42" s="15">
        <v>5</v>
      </c>
      <c r="D42" s="75" t="s">
        <v>89</v>
      </c>
      <c r="E42" s="12"/>
      <c r="F42" s="12"/>
      <c r="G42" s="12"/>
      <c r="H42" s="12"/>
      <c r="I42" s="12"/>
      <c r="J42" s="12"/>
      <c r="K42" s="97" t="s">
        <v>619</v>
      </c>
      <c r="L42" s="11"/>
      <c r="M42" s="146" t="s">
        <v>621</v>
      </c>
      <c r="N42" s="147" t="s">
        <v>622</v>
      </c>
    </row>
    <row r="43" spans="2:17" ht="16" thickBot="1" x14ac:dyDescent="0.4">
      <c r="B43" s="120" t="s">
        <v>244</v>
      </c>
      <c r="C43" s="16">
        <v>1750</v>
      </c>
      <c r="D43" s="75" t="s">
        <v>88</v>
      </c>
      <c r="E43" s="12"/>
      <c r="F43" s="12"/>
      <c r="G43" s="12"/>
      <c r="H43" s="12"/>
      <c r="I43" s="12"/>
      <c r="J43" s="12"/>
      <c r="K43" s="1" t="s">
        <v>443</v>
      </c>
      <c r="L43" s="148" t="s">
        <v>462</v>
      </c>
      <c r="M43" s="148" t="s">
        <v>446</v>
      </c>
      <c r="N43" s="146" t="s">
        <v>447</v>
      </c>
      <c r="P43" s="12"/>
      <c r="Q43" s="75"/>
    </row>
    <row r="44" spans="2:17" ht="16" thickBot="1" x14ac:dyDescent="0.4">
      <c r="B44" s="121" t="s">
        <v>623</v>
      </c>
      <c r="C44" s="122">
        <v>1.5</v>
      </c>
      <c r="D44" s="75"/>
      <c r="E44" s="12"/>
      <c r="F44" s="12"/>
      <c r="G44" s="12"/>
      <c r="H44" s="12"/>
      <c r="I44" s="12"/>
      <c r="J44" s="12"/>
      <c r="K44" s="87" t="s">
        <v>444</v>
      </c>
      <c r="L44" s="146" t="s">
        <v>367</v>
      </c>
      <c r="M44" s="123">
        <v>1</v>
      </c>
      <c r="N44" s="124">
        <v>1</v>
      </c>
      <c r="P44" s="12"/>
      <c r="Q44" s="75"/>
    </row>
    <row r="45" spans="2:17" ht="16" thickBot="1" x14ac:dyDescent="0.4">
      <c r="B45" s="125" t="s">
        <v>624</v>
      </c>
      <c r="C45" s="85">
        <v>2</v>
      </c>
      <c r="D45" s="75"/>
      <c r="E45" s="12"/>
      <c r="F45" s="12"/>
      <c r="G45" s="12"/>
      <c r="H45" s="12"/>
      <c r="I45" s="12"/>
      <c r="J45" s="12"/>
      <c r="K45" s="87" t="s">
        <v>696</v>
      </c>
      <c r="L45" s="149" t="s">
        <v>159</v>
      </c>
      <c r="M45" s="150" t="s">
        <v>448</v>
      </c>
      <c r="N45" s="151" t="s">
        <v>448</v>
      </c>
      <c r="P45" s="12"/>
      <c r="Q45" s="75"/>
    </row>
    <row r="46" spans="2:17" ht="16" thickBot="1" x14ac:dyDescent="0.4">
      <c r="B46" s="121" t="s">
        <v>629</v>
      </c>
      <c r="C46" s="49">
        <v>8</v>
      </c>
      <c r="D46" s="75" t="s">
        <v>10</v>
      </c>
      <c r="E46" s="12"/>
      <c r="F46" s="12"/>
      <c r="G46" s="12"/>
      <c r="H46" s="12"/>
      <c r="I46" s="12"/>
      <c r="J46" s="12"/>
      <c r="O46" s="90"/>
      <c r="P46" s="12"/>
      <c r="Q46" s="75"/>
    </row>
    <row r="47" spans="2:17" ht="16" thickBot="1" x14ac:dyDescent="0.4">
      <c r="B47" s="121" t="s">
        <v>297</v>
      </c>
      <c r="C47" s="17">
        <v>20</v>
      </c>
      <c r="D47" s="75" t="s">
        <v>42</v>
      </c>
      <c r="E47" s="12"/>
      <c r="F47" s="12"/>
      <c r="G47" s="12"/>
      <c r="H47" s="12"/>
      <c r="I47" s="12"/>
      <c r="J47" s="12"/>
      <c r="K47" s="1" t="s">
        <v>445</v>
      </c>
      <c r="L47" s="152"/>
      <c r="M47" s="146" t="s">
        <v>621</v>
      </c>
      <c r="N47" s="147" t="s">
        <v>622</v>
      </c>
      <c r="P47" s="12"/>
      <c r="Q47" s="75"/>
    </row>
    <row r="48" spans="2:17" ht="16" thickBot="1" x14ac:dyDescent="0.4">
      <c r="B48" s="13"/>
      <c r="C48" s="83" t="s">
        <v>298</v>
      </c>
      <c r="E48" s="12"/>
      <c r="F48" s="12"/>
      <c r="G48" s="12"/>
      <c r="H48" s="12"/>
      <c r="I48" s="12"/>
      <c r="J48" s="12"/>
      <c r="K48" s="87" t="s">
        <v>444</v>
      </c>
      <c r="L48" s="148" t="s">
        <v>462</v>
      </c>
      <c r="M48" s="153">
        <v>1.5</v>
      </c>
      <c r="N48" s="137">
        <v>1</v>
      </c>
      <c r="Q48" s="75"/>
    </row>
    <row r="49" spans="2:17" ht="16" thickBot="1" x14ac:dyDescent="0.4">
      <c r="B49" s="87" t="s">
        <v>299</v>
      </c>
      <c r="C49" s="24" t="s">
        <v>620</v>
      </c>
      <c r="D49" s="2"/>
      <c r="E49" s="12"/>
      <c r="F49" s="34"/>
      <c r="G49" s="12"/>
      <c r="H49" s="12"/>
      <c r="I49" s="12"/>
      <c r="J49" s="12"/>
      <c r="K49" s="87" t="s">
        <v>697</v>
      </c>
      <c r="L49" s="154" t="s">
        <v>463</v>
      </c>
      <c r="M49" s="155" t="s">
        <v>448</v>
      </c>
      <c r="N49" s="156" t="s">
        <v>448</v>
      </c>
      <c r="P49" s="12"/>
      <c r="Q49" s="75"/>
    </row>
    <row r="50" spans="2:17" ht="16" thickBot="1" x14ac:dyDescent="0.4">
      <c r="B50" s="87" t="s">
        <v>30</v>
      </c>
      <c r="C50" s="35">
        <f>C44*C45*12*5252*C42 / C43</f>
        <v>540.20571428571429</v>
      </c>
      <c r="D50" s="2" t="s">
        <v>300</v>
      </c>
      <c r="E50" s="12"/>
      <c r="F50" s="12"/>
      <c r="G50" s="12"/>
      <c r="H50" s="12"/>
      <c r="I50" s="12"/>
      <c r="J50" s="12"/>
      <c r="K50" s="87" t="s">
        <v>698</v>
      </c>
      <c r="L50" s="157" t="s">
        <v>464</v>
      </c>
      <c r="M50" s="150" t="s">
        <v>449</v>
      </c>
      <c r="N50" s="151" t="s">
        <v>450</v>
      </c>
      <c r="P50" s="12"/>
      <c r="Q50" s="75"/>
    </row>
    <row r="51" spans="2:17" x14ac:dyDescent="0.35">
      <c r="B51" s="87" t="s">
        <v>301</v>
      </c>
      <c r="C51" s="1" t="s">
        <v>302</v>
      </c>
      <c r="D51" s="2"/>
      <c r="E51" s="12"/>
      <c r="F51" s="12" t="s">
        <v>0</v>
      </c>
      <c r="G51" s="12"/>
      <c r="H51" s="12"/>
      <c r="I51" s="12"/>
      <c r="J51" s="12"/>
      <c r="K51" s="1"/>
      <c r="L51" s="11"/>
      <c r="M51" s="11"/>
      <c r="P51" s="12"/>
      <c r="Q51" s="75"/>
    </row>
    <row r="52" spans="2:17" ht="16" thickBot="1" x14ac:dyDescent="0.4">
      <c r="B52" s="87" t="s">
        <v>250</v>
      </c>
      <c r="C52" s="126">
        <f>C46 / 2</f>
        <v>4</v>
      </c>
      <c r="D52" s="2" t="s">
        <v>10</v>
      </c>
      <c r="E52" s="12"/>
      <c r="F52" s="12"/>
      <c r="G52" s="12"/>
      <c r="H52" s="12"/>
      <c r="I52" s="12"/>
      <c r="J52" s="12"/>
      <c r="K52" s="1" t="s">
        <v>457</v>
      </c>
      <c r="L52" s="11"/>
      <c r="M52" s="11"/>
      <c r="P52" s="12"/>
      <c r="Q52" s="75"/>
    </row>
    <row r="53" spans="2:17" ht="16" thickBot="1" x14ac:dyDescent="0.4">
      <c r="B53" s="87" t="s">
        <v>303</v>
      </c>
      <c r="C53" s="1" t="s">
        <v>628</v>
      </c>
      <c r="D53" s="2" t="s">
        <v>300</v>
      </c>
      <c r="E53" s="12"/>
      <c r="F53" s="12"/>
      <c r="G53" s="12"/>
      <c r="H53" s="12"/>
      <c r="I53" s="12"/>
      <c r="J53" s="12"/>
      <c r="K53" s="87" t="s">
        <v>455</v>
      </c>
      <c r="L53" s="174">
        <v>8000</v>
      </c>
      <c r="M53" s="10" t="s">
        <v>249</v>
      </c>
      <c r="N53" s="128">
        <f>L53/145.04</f>
        <v>55.157198014340878</v>
      </c>
      <c r="O53" s="9" t="s">
        <v>454</v>
      </c>
      <c r="P53" s="12"/>
      <c r="Q53" s="75"/>
    </row>
    <row r="54" spans="2:17" ht="16" thickBot="1" x14ac:dyDescent="0.4">
      <c r="B54" s="87" t="s">
        <v>304</v>
      </c>
      <c r="C54" s="129">
        <f>C50 / C52</f>
        <v>135.05142857142857</v>
      </c>
      <c r="D54" s="2" t="s">
        <v>305</v>
      </c>
      <c r="E54" s="12"/>
      <c r="F54" s="12"/>
      <c r="G54" s="12"/>
      <c r="H54" s="12"/>
      <c r="I54" s="12"/>
      <c r="J54" s="12"/>
      <c r="K54" s="87" t="s">
        <v>456</v>
      </c>
      <c r="L54" s="174">
        <v>5800</v>
      </c>
      <c r="M54" s="11" t="s">
        <v>249</v>
      </c>
      <c r="N54" s="128">
        <f>L54/145.04</f>
        <v>39.988968560397133</v>
      </c>
      <c r="O54" s="9" t="s">
        <v>454</v>
      </c>
      <c r="P54" s="12"/>
      <c r="Q54" s="75"/>
    </row>
    <row r="55" spans="2:17" x14ac:dyDescent="0.35">
      <c r="B55" s="87" t="s">
        <v>306</v>
      </c>
      <c r="C55" s="1" t="s">
        <v>630</v>
      </c>
      <c r="D55" s="2" t="s">
        <v>300</v>
      </c>
      <c r="E55" s="12"/>
      <c r="F55" s="12"/>
      <c r="G55" s="12"/>
      <c r="H55" s="12"/>
      <c r="I55" s="12"/>
      <c r="J55" s="12"/>
      <c r="K55" s="1" t="s">
        <v>458</v>
      </c>
      <c r="L55" s="11"/>
      <c r="M55" s="2"/>
      <c r="P55" s="12"/>
      <c r="Q55" s="75"/>
    </row>
    <row r="56" spans="2:17" x14ac:dyDescent="0.35">
      <c r="B56" s="87" t="s">
        <v>307</v>
      </c>
      <c r="C56" s="129">
        <f>C54 * TAN(C47/57.2958)</f>
        <v>49.154681005884214</v>
      </c>
      <c r="D56" s="2" t="s">
        <v>305</v>
      </c>
      <c r="E56" s="12"/>
      <c r="F56" s="12"/>
      <c r="G56" s="12"/>
      <c r="H56" s="12"/>
      <c r="I56" s="12"/>
      <c r="J56" s="12"/>
      <c r="K56" s="87" t="s">
        <v>441</v>
      </c>
      <c r="L56" s="11" t="s">
        <v>451</v>
      </c>
      <c r="P56" s="12"/>
      <c r="Q56" s="75"/>
    </row>
    <row r="57" spans="2:17" x14ac:dyDescent="0.35">
      <c r="E57" s="12"/>
      <c r="F57" s="130"/>
      <c r="G57" s="12"/>
      <c r="H57" s="12"/>
      <c r="I57" s="12"/>
      <c r="J57" s="12"/>
      <c r="K57" s="87"/>
      <c r="L57" s="131" t="s">
        <v>452</v>
      </c>
      <c r="P57" s="12"/>
      <c r="Q57" s="75"/>
    </row>
    <row r="58" spans="2:17" ht="18" x14ac:dyDescent="0.4">
      <c r="B58" s="97" t="s">
        <v>631</v>
      </c>
      <c r="C58" s="132"/>
      <c r="E58" s="12"/>
      <c r="F58" s="12"/>
      <c r="G58" s="12"/>
      <c r="H58" s="12"/>
      <c r="I58" s="12"/>
      <c r="J58" s="12"/>
      <c r="K58" s="13"/>
      <c r="L58" s="132" t="s">
        <v>453</v>
      </c>
      <c r="P58" s="12"/>
      <c r="Q58" s="75"/>
    </row>
    <row r="59" spans="2:17" x14ac:dyDescent="0.35">
      <c r="B59" s="13"/>
      <c r="C59" s="132"/>
      <c r="E59" s="12"/>
      <c r="F59" s="12"/>
      <c r="G59" s="12"/>
      <c r="H59" s="12"/>
      <c r="I59" s="12"/>
      <c r="J59" s="12"/>
      <c r="L59" s="11"/>
      <c r="P59" s="12"/>
      <c r="Q59" s="75"/>
    </row>
    <row r="60" spans="2:17" ht="16" thickBot="1" x14ac:dyDescent="0.4">
      <c r="B60" s="11" t="s">
        <v>308</v>
      </c>
      <c r="C60" s="132"/>
      <c r="E60" s="12"/>
      <c r="F60" s="12"/>
      <c r="G60" s="12"/>
      <c r="H60" s="12"/>
      <c r="I60" s="12"/>
      <c r="J60" s="12"/>
      <c r="L60" s="83" t="s">
        <v>165</v>
      </c>
    </row>
    <row r="61" spans="2:17" ht="16" thickBot="1" x14ac:dyDescent="0.4">
      <c r="B61" s="11" t="s">
        <v>309</v>
      </c>
      <c r="C61" s="132"/>
      <c r="E61" s="12"/>
      <c r="F61" s="12"/>
      <c r="G61" s="12"/>
      <c r="H61" s="12"/>
      <c r="I61" s="12"/>
      <c r="J61" s="12"/>
      <c r="K61" s="13" t="s">
        <v>699</v>
      </c>
      <c r="L61" s="174">
        <v>36000</v>
      </c>
      <c r="M61" s="9" t="s">
        <v>249</v>
      </c>
      <c r="N61" s="128">
        <f>L61/145.04</f>
        <v>248.20739106453394</v>
      </c>
      <c r="O61" s="9" t="s">
        <v>454</v>
      </c>
    </row>
    <row r="62" spans="2:17" ht="16" thickBot="1" x14ac:dyDescent="0.4">
      <c r="B62" s="10" t="s">
        <v>310</v>
      </c>
      <c r="C62" s="132"/>
      <c r="G62" s="12"/>
      <c r="K62" s="13" t="s">
        <v>473</v>
      </c>
      <c r="L62" s="17">
        <v>62000</v>
      </c>
      <c r="M62" s="9" t="s">
        <v>249</v>
      </c>
      <c r="N62" s="128">
        <f>L62/145.04</f>
        <v>427.46828461114177</v>
      </c>
      <c r="O62" s="9" t="s">
        <v>454</v>
      </c>
    </row>
    <row r="63" spans="2:17" x14ac:dyDescent="0.35">
      <c r="B63" s="13"/>
      <c r="C63" s="132"/>
      <c r="G63" s="12"/>
      <c r="K63" s="13"/>
    </row>
    <row r="64" spans="2:17" ht="16" thickBot="1" x14ac:dyDescent="0.4">
      <c r="B64" s="13"/>
      <c r="C64" s="132"/>
      <c r="G64" s="12"/>
      <c r="K64" s="7" t="s">
        <v>476</v>
      </c>
      <c r="L64" s="83" t="s">
        <v>298</v>
      </c>
    </row>
    <row r="65" spans="2:17" ht="16" thickBot="1" x14ac:dyDescent="0.4">
      <c r="B65" s="13"/>
      <c r="C65" s="158"/>
      <c r="G65" s="12"/>
      <c r="K65" s="13" t="s">
        <v>474</v>
      </c>
      <c r="L65" s="127">
        <f>L61*0.3</f>
        <v>10800</v>
      </c>
      <c r="M65" s="9" t="s">
        <v>249</v>
      </c>
    </row>
    <row r="66" spans="2:17" ht="16" thickBot="1" x14ac:dyDescent="0.4">
      <c r="B66" s="13"/>
      <c r="C66" s="158"/>
      <c r="G66" s="12"/>
      <c r="K66" s="13" t="s">
        <v>475</v>
      </c>
      <c r="L66" s="127">
        <f>L62*0.18</f>
        <v>11160</v>
      </c>
      <c r="M66" s="9" t="s">
        <v>249</v>
      </c>
    </row>
    <row r="67" spans="2:17" ht="16" thickBot="1" x14ac:dyDescent="0.4">
      <c r="B67" s="87"/>
      <c r="C67" s="132"/>
      <c r="G67" s="12"/>
      <c r="K67" s="7" t="s">
        <v>477</v>
      </c>
      <c r="L67" s="127"/>
    </row>
    <row r="68" spans="2:17" ht="16" thickBot="1" x14ac:dyDescent="0.4">
      <c r="B68" s="13"/>
      <c r="C68" s="132" t="s">
        <v>0</v>
      </c>
      <c r="G68" s="12"/>
      <c r="K68" s="13" t="s">
        <v>478</v>
      </c>
      <c r="L68" s="127">
        <f>L65*0.75</f>
        <v>8100</v>
      </c>
      <c r="M68" s="9" t="s">
        <v>249</v>
      </c>
    </row>
    <row r="69" spans="2:17" ht="16" thickBot="1" x14ac:dyDescent="0.4">
      <c r="B69" s="13"/>
      <c r="C69" s="132"/>
      <c r="G69" s="12"/>
      <c r="K69" s="13" t="s">
        <v>479</v>
      </c>
      <c r="L69" s="127">
        <f>L66*0.75</f>
        <v>8370</v>
      </c>
      <c r="M69" s="9" t="s">
        <v>249</v>
      </c>
    </row>
    <row r="70" spans="2:17" x14ac:dyDescent="0.35">
      <c r="B70" s="13"/>
      <c r="C70" s="132"/>
      <c r="G70" s="12"/>
      <c r="I70" s="12"/>
      <c r="J70" s="12"/>
      <c r="K70" s="12"/>
      <c r="L70" s="34"/>
      <c r="M70" s="12"/>
      <c r="N70" s="12"/>
      <c r="O70" s="12"/>
      <c r="P70" s="12"/>
      <c r="Q70" s="12"/>
    </row>
    <row r="71" spans="2:17" x14ac:dyDescent="0.35">
      <c r="B71" s="13"/>
      <c r="C71" s="158"/>
      <c r="G71" s="12"/>
      <c r="I71" s="12"/>
      <c r="J71" s="12"/>
      <c r="K71" s="12"/>
      <c r="L71" s="12"/>
      <c r="M71" s="12"/>
      <c r="N71" s="12"/>
      <c r="O71" s="12"/>
      <c r="P71" s="12"/>
      <c r="Q71" s="12"/>
    </row>
    <row r="72" spans="2:17" x14ac:dyDescent="0.35">
      <c r="B72" s="13"/>
      <c r="C72" s="132"/>
      <c r="G72" s="12"/>
      <c r="I72" s="12"/>
      <c r="J72" s="12"/>
      <c r="K72" s="12"/>
      <c r="L72" s="12"/>
      <c r="M72" s="12"/>
      <c r="N72" s="12"/>
      <c r="O72" s="12"/>
      <c r="P72" s="12"/>
      <c r="Q72" s="12"/>
    </row>
    <row r="73" spans="2:17" x14ac:dyDescent="0.35">
      <c r="B73" s="13"/>
      <c r="C73" s="132"/>
      <c r="G73" s="12"/>
      <c r="I73" s="12"/>
      <c r="J73" s="12"/>
      <c r="K73" s="12"/>
      <c r="L73" s="12"/>
      <c r="M73" s="12"/>
      <c r="N73" s="12"/>
      <c r="O73" s="12"/>
      <c r="P73" s="12"/>
      <c r="Q73" s="12"/>
    </row>
    <row r="74" spans="2:17" ht="16" thickBot="1" x14ac:dyDescent="0.4">
      <c r="B74" s="11" t="s">
        <v>311</v>
      </c>
      <c r="C74" s="159"/>
      <c r="G74" s="12"/>
      <c r="I74" s="12"/>
      <c r="J74" s="12"/>
      <c r="L74" s="119" t="s">
        <v>165</v>
      </c>
      <c r="N74" s="12"/>
      <c r="O74" s="12"/>
      <c r="P74" s="12"/>
      <c r="Q74" s="12"/>
    </row>
    <row r="75" spans="2:17" x14ac:dyDescent="0.35">
      <c r="B75" s="11" t="s">
        <v>312</v>
      </c>
      <c r="C75" s="132"/>
      <c r="G75" s="12"/>
      <c r="I75" s="12"/>
      <c r="J75" s="12"/>
      <c r="K75" s="121" t="s">
        <v>295</v>
      </c>
      <c r="L75" s="15">
        <v>20</v>
      </c>
      <c r="M75" s="75" t="s">
        <v>89</v>
      </c>
      <c r="O75" s="12"/>
      <c r="P75" s="12"/>
      <c r="Q75" s="12"/>
    </row>
    <row r="76" spans="2:17" x14ac:dyDescent="0.35">
      <c r="B76" s="11" t="s">
        <v>313</v>
      </c>
      <c r="C76" s="132"/>
      <c r="G76" s="12"/>
      <c r="I76" s="12"/>
      <c r="J76" s="12"/>
      <c r="K76" s="120" t="s">
        <v>244</v>
      </c>
      <c r="L76" s="16">
        <v>1750</v>
      </c>
      <c r="M76" s="75" t="s">
        <v>88</v>
      </c>
      <c r="O76" s="12"/>
      <c r="P76" s="12"/>
      <c r="Q76" s="12"/>
    </row>
    <row r="77" spans="2:17" x14ac:dyDescent="0.35">
      <c r="B77" s="11" t="s">
        <v>314</v>
      </c>
      <c r="C77" s="132"/>
      <c r="G77" s="12"/>
      <c r="I77" s="12"/>
      <c r="J77" s="12"/>
      <c r="K77" s="121" t="s">
        <v>623</v>
      </c>
      <c r="L77" s="85">
        <v>1.5</v>
      </c>
      <c r="M77" s="75"/>
      <c r="O77" s="12"/>
      <c r="P77" s="12"/>
      <c r="Q77" s="12"/>
    </row>
    <row r="78" spans="2:17" x14ac:dyDescent="0.35">
      <c r="B78" s="11"/>
      <c r="C78" s="132"/>
      <c r="G78" s="12"/>
      <c r="K78" s="125" t="s">
        <v>624</v>
      </c>
      <c r="L78" s="85">
        <v>2</v>
      </c>
      <c r="M78" s="75"/>
    </row>
    <row r="79" spans="2:17" x14ac:dyDescent="0.35">
      <c r="B79" s="11"/>
      <c r="C79" s="158"/>
      <c r="G79" s="12"/>
      <c r="K79" s="121" t="s">
        <v>296</v>
      </c>
      <c r="L79" s="49">
        <v>10</v>
      </c>
      <c r="M79" s="75" t="s">
        <v>10</v>
      </c>
    </row>
    <row r="80" spans="2:17" ht="16" thickBot="1" x14ac:dyDescent="0.4">
      <c r="B80" s="11"/>
      <c r="C80" s="132"/>
      <c r="G80" s="12"/>
      <c r="K80" s="121" t="s">
        <v>297</v>
      </c>
      <c r="L80" s="17">
        <v>20</v>
      </c>
      <c r="M80" s="75" t="s">
        <v>42</v>
      </c>
    </row>
    <row r="81" spans="2:15" x14ac:dyDescent="0.35">
      <c r="B81" s="13"/>
      <c r="C81" s="132"/>
      <c r="G81" s="12"/>
      <c r="K81" s="13"/>
      <c r="L81" s="83" t="s">
        <v>298</v>
      </c>
    </row>
    <row r="82" spans="2:15" x14ac:dyDescent="0.35">
      <c r="B82" s="13"/>
      <c r="C82" s="132"/>
      <c r="G82" s="12"/>
      <c r="K82" s="87" t="s">
        <v>299</v>
      </c>
      <c r="L82" s="24" t="s">
        <v>620</v>
      </c>
      <c r="M82" s="2"/>
    </row>
    <row r="83" spans="2:15" x14ac:dyDescent="0.35">
      <c r="B83" s="13"/>
      <c r="C83" s="132"/>
      <c r="G83" s="12"/>
      <c r="K83" s="87" t="s">
        <v>30</v>
      </c>
      <c r="L83" s="35">
        <f>L77*L78*12*5252*L75 / L76</f>
        <v>2160.8228571428572</v>
      </c>
      <c r="M83" s="2" t="s">
        <v>300</v>
      </c>
    </row>
    <row r="84" spans="2:15" x14ac:dyDescent="0.35">
      <c r="B84" s="13"/>
      <c r="C84" s="159"/>
      <c r="G84" s="12"/>
      <c r="K84" s="87" t="s">
        <v>301</v>
      </c>
      <c r="L84" s="1" t="s">
        <v>302</v>
      </c>
      <c r="M84" s="2"/>
    </row>
    <row r="85" spans="2:15" x14ac:dyDescent="0.35">
      <c r="B85" s="13"/>
      <c r="C85" s="160"/>
      <c r="G85" s="12"/>
      <c r="K85" s="87" t="s">
        <v>250</v>
      </c>
      <c r="L85" s="126">
        <f>L79 / 2</f>
        <v>5</v>
      </c>
      <c r="M85" s="2" t="s">
        <v>10</v>
      </c>
    </row>
    <row r="86" spans="2:15" x14ac:dyDescent="0.35">
      <c r="B86" s="13"/>
      <c r="G86" s="12"/>
      <c r="K86" s="87" t="s">
        <v>303</v>
      </c>
      <c r="L86" s="1" t="s">
        <v>628</v>
      </c>
      <c r="M86" s="2" t="s">
        <v>300</v>
      </c>
    </row>
    <row r="87" spans="2:15" x14ac:dyDescent="0.35">
      <c r="B87" s="13"/>
      <c r="G87" s="12"/>
      <c r="K87" s="87" t="s">
        <v>304</v>
      </c>
      <c r="L87" s="129">
        <f>L83 / L85</f>
        <v>432.16457142857143</v>
      </c>
      <c r="M87" s="2" t="s">
        <v>305</v>
      </c>
      <c r="O87" s="23"/>
    </row>
    <row r="88" spans="2:15" x14ac:dyDescent="0.35">
      <c r="B88" s="13"/>
      <c r="G88" s="12"/>
      <c r="K88" s="87" t="s">
        <v>306</v>
      </c>
      <c r="L88" s="1" t="s">
        <v>630</v>
      </c>
      <c r="M88" s="2" t="s">
        <v>300</v>
      </c>
    </row>
    <row r="89" spans="2:15" x14ac:dyDescent="0.35">
      <c r="B89" s="13"/>
      <c r="G89" s="12"/>
      <c r="K89" s="87" t="s">
        <v>307</v>
      </c>
      <c r="L89" s="129">
        <f>L87 * TAN(L80/57.2958)</f>
        <v>157.29497921882947</v>
      </c>
      <c r="M89" s="2" t="s">
        <v>305</v>
      </c>
      <c r="O89" s="9" t="s">
        <v>0</v>
      </c>
    </row>
    <row r="90" spans="2:15" x14ac:dyDescent="0.35">
      <c r="B90" s="13"/>
      <c r="G90" s="12"/>
    </row>
    <row r="91" spans="2:15" x14ac:dyDescent="0.35">
      <c r="B91" s="13"/>
      <c r="G91" s="12"/>
    </row>
    <row r="92" spans="2:15" x14ac:dyDescent="0.35">
      <c r="B92" s="13"/>
      <c r="G92" s="12"/>
    </row>
    <row r="93" spans="2:15" ht="18" x14ac:dyDescent="0.4">
      <c r="B93" s="13"/>
      <c r="G93" s="12"/>
      <c r="K93" s="96" t="s">
        <v>627</v>
      </c>
    </row>
    <row r="94" spans="2:15" ht="18" x14ac:dyDescent="0.4">
      <c r="B94" s="13"/>
      <c r="G94" s="12"/>
      <c r="K94" s="97" t="s">
        <v>294</v>
      </c>
    </row>
    <row r="95" spans="2:15" x14ac:dyDescent="0.35">
      <c r="B95" s="13"/>
      <c r="E95" s="12"/>
      <c r="F95" s="12"/>
      <c r="G95" s="12"/>
      <c r="H95" s="12"/>
      <c r="I95" s="12"/>
      <c r="J95" s="12"/>
      <c r="K95" s="87"/>
      <c r="L95" s="129"/>
      <c r="M95" s="2"/>
      <c r="O95" s="84"/>
    </row>
    <row r="96" spans="2:15" ht="18" x14ac:dyDescent="0.4">
      <c r="B96" s="8" t="s">
        <v>480</v>
      </c>
      <c r="E96" s="12"/>
      <c r="F96" s="12"/>
      <c r="G96" s="12"/>
      <c r="H96" s="12" t="s">
        <v>0</v>
      </c>
      <c r="I96" s="12"/>
      <c r="J96" s="12"/>
      <c r="K96" s="8" t="s">
        <v>724</v>
      </c>
      <c r="L96" s="11"/>
    </row>
    <row r="97" spans="2:18" ht="16" thickBot="1" x14ac:dyDescent="0.4">
      <c r="B97" s="6" t="s">
        <v>481</v>
      </c>
      <c r="C97" s="133" t="s">
        <v>165</v>
      </c>
      <c r="E97" s="12"/>
      <c r="F97" s="12"/>
      <c r="G97" s="12"/>
      <c r="H97" s="105"/>
      <c r="I97" s="12"/>
      <c r="J97" s="12"/>
      <c r="K97" s="6" t="s">
        <v>482</v>
      </c>
      <c r="L97" s="133" t="s">
        <v>165</v>
      </c>
    </row>
    <row r="98" spans="2:18" x14ac:dyDescent="0.35">
      <c r="B98" s="13" t="s">
        <v>315</v>
      </c>
      <c r="C98" s="161">
        <v>3</v>
      </c>
      <c r="D98" s="9" t="s">
        <v>10</v>
      </c>
      <c r="E98" s="12"/>
      <c r="F98" s="12"/>
      <c r="G98" s="12"/>
      <c r="H98" s="105"/>
      <c r="I98" s="12"/>
      <c r="J98" s="12"/>
      <c r="K98" s="13" t="s">
        <v>315</v>
      </c>
      <c r="L98" s="183">
        <v>3</v>
      </c>
      <c r="M98" s="9" t="s">
        <v>10</v>
      </c>
    </row>
    <row r="99" spans="2:18" ht="16" thickBot="1" x14ac:dyDescent="0.4">
      <c r="B99" s="13" t="s">
        <v>316</v>
      </c>
      <c r="C99" s="162">
        <v>5</v>
      </c>
      <c r="D99" s="9" t="s">
        <v>10</v>
      </c>
      <c r="E99" s="12"/>
      <c r="F99" s="12"/>
      <c r="G99" s="12"/>
      <c r="H99" s="105"/>
      <c r="I99" s="12"/>
      <c r="J99" s="12"/>
      <c r="K99" s="13" t="s">
        <v>316</v>
      </c>
      <c r="L99" s="182">
        <v>5</v>
      </c>
      <c r="M99" s="9" t="s">
        <v>10</v>
      </c>
    </row>
    <row r="100" spans="2:18" x14ac:dyDescent="0.35">
      <c r="B100" s="13"/>
      <c r="C100" s="134" t="s">
        <v>298</v>
      </c>
      <c r="E100" s="12"/>
      <c r="F100" s="12"/>
      <c r="G100" s="12"/>
      <c r="H100" s="105"/>
      <c r="I100" s="12"/>
      <c r="J100" s="12"/>
      <c r="K100" s="13"/>
      <c r="L100" s="134" t="s">
        <v>298</v>
      </c>
    </row>
    <row r="101" spans="2:18" x14ac:dyDescent="0.35">
      <c r="B101" s="1" t="s">
        <v>317</v>
      </c>
      <c r="E101" s="12"/>
      <c r="F101" s="12"/>
      <c r="G101" s="12"/>
      <c r="H101" s="105"/>
      <c r="I101" s="12"/>
      <c r="J101" s="12"/>
      <c r="K101" s="1" t="s">
        <v>317</v>
      </c>
      <c r="L101" s="11"/>
      <c r="P101" s="12"/>
    </row>
    <row r="102" spans="2:18" x14ac:dyDescent="0.35">
      <c r="B102" s="87" t="s">
        <v>318</v>
      </c>
      <c r="C102" s="129">
        <v>0</v>
      </c>
      <c r="D102" s="2"/>
      <c r="E102" s="12"/>
      <c r="F102" s="12"/>
      <c r="G102" s="12"/>
      <c r="H102" s="105"/>
      <c r="I102" s="105"/>
      <c r="J102" s="105"/>
      <c r="K102" s="87" t="s">
        <v>318</v>
      </c>
      <c r="L102" s="129">
        <v>0</v>
      </c>
      <c r="M102" s="2"/>
      <c r="P102" s="12"/>
      <c r="Q102" s="75"/>
      <c r="R102" s="75"/>
    </row>
    <row r="103" spans="2:18" x14ac:dyDescent="0.35">
      <c r="B103" s="87" t="s">
        <v>319</v>
      </c>
      <c r="C103" s="90" t="s">
        <v>320</v>
      </c>
      <c r="D103" s="2"/>
      <c r="E103" s="12"/>
      <c r="F103" s="12"/>
      <c r="G103" s="12"/>
      <c r="H103" s="105"/>
      <c r="I103" s="105"/>
      <c r="J103" s="105"/>
      <c r="K103" s="87" t="s">
        <v>319</v>
      </c>
      <c r="L103" s="90" t="s">
        <v>320</v>
      </c>
      <c r="M103" s="2"/>
      <c r="P103" s="12"/>
      <c r="Q103" s="75"/>
      <c r="R103" s="75"/>
    </row>
    <row r="104" spans="2:18" x14ac:dyDescent="0.35">
      <c r="B104" s="87" t="s">
        <v>321</v>
      </c>
      <c r="C104" s="90" t="s">
        <v>322</v>
      </c>
      <c r="D104" s="2"/>
      <c r="E104" s="12"/>
      <c r="F104" s="130"/>
      <c r="G104" s="12"/>
      <c r="H104" s="105"/>
      <c r="I104" s="105"/>
      <c r="J104" s="105"/>
      <c r="K104" s="87" t="s">
        <v>321</v>
      </c>
      <c r="L104" s="90" t="s">
        <v>322</v>
      </c>
      <c r="M104" s="2"/>
      <c r="O104" s="84"/>
      <c r="P104" s="12"/>
      <c r="Q104" s="75"/>
      <c r="R104" s="75"/>
    </row>
    <row r="105" spans="2:18" x14ac:dyDescent="0.35">
      <c r="B105" s="87" t="s">
        <v>321</v>
      </c>
      <c r="C105" s="129">
        <f>C56*C99 / (C98+C99)</f>
        <v>30.721675628677634</v>
      </c>
      <c r="D105" s="2" t="s">
        <v>305</v>
      </c>
      <c r="E105" s="12"/>
      <c r="F105" s="12"/>
      <c r="G105" s="12"/>
      <c r="H105" s="105"/>
      <c r="I105" s="105"/>
      <c r="J105" s="105"/>
      <c r="K105" s="87" t="s">
        <v>321</v>
      </c>
      <c r="L105" s="129">
        <f>L89*L99 / (L98+L99)</f>
        <v>98.309362011768414</v>
      </c>
      <c r="M105" s="2" t="s">
        <v>305</v>
      </c>
      <c r="P105" s="12"/>
      <c r="Q105" s="75"/>
      <c r="R105" s="75"/>
    </row>
    <row r="106" spans="2:18" x14ac:dyDescent="0.35">
      <c r="B106" s="87" t="s">
        <v>323</v>
      </c>
      <c r="C106" s="1" t="s">
        <v>324</v>
      </c>
      <c r="D106" s="2"/>
      <c r="E106" s="53"/>
      <c r="F106" s="163"/>
      <c r="G106" s="12"/>
      <c r="H106" s="105"/>
      <c r="I106" s="105"/>
      <c r="J106" s="105"/>
      <c r="K106" s="87" t="s">
        <v>323</v>
      </c>
      <c r="L106" s="1" t="s">
        <v>324</v>
      </c>
      <c r="M106" s="2"/>
      <c r="N106" s="13"/>
      <c r="O106" s="164"/>
      <c r="P106" s="12"/>
      <c r="Q106" s="75"/>
      <c r="R106" s="75"/>
    </row>
    <row r="107" spans="2:18" x14ac:dyDescent="0.35">
      <c r="B107" s="87" t="s">
        <v>323</v>
      </c>
      <c r="C107" s="129">
        <f>C105*C98</f>
        <v>92.165026886032905</v>
      </c>
      <c r="D107" s="2" t="s">
        <v>300</v>
      </c>
      <c r="E107" s="12"/>
      <c r="F107" s="163"/>
      <c r="G107" s="12"/>
      <c r="H107" s="105"/>
      <c r="I107" s="105"/>
      <c r="J107" s="105"/>
      <c r="K107" s="87" t="s">
        <v>323</v>
      </c>
      <c r="L107" s="129">
        <f>L105*L98</f>
        <v>294.92808603530523</v>
      </c>
      <c r="M107" s="2" t="s">
        <v>300</v>
      </c>
      <c r="O107" s="164"/>
      <c r="P107" s="12"/>
      <c r="Q107" s="75"/>
      <c r="R107" s="75"/>
    </row>
    <row r="108" spans="2:18" x14ac:dyDescent="0.35">
      <c r="B108" s="1" t="s">
        <v>632</v>
      </c>
      <c r="C108" s="132"/>
      <c r="E108" s="12"/>
      <c r="F108" s="12"/>
      <c r="G108" s="12"/>
      <c r="H108" s="105"/>
      <c r="I108" s="105"/>
      <c r="J108" s="105"/>
      <c r="K108" s="1" t="s">
        <v>325</v>
      </c>
      <c r="L108" s="132"/>
      <c r="P108" s="12"/>
      <c r="Q108" s="75"/>
      <c r="R108" s="75"/>
    </row>
    <row r="109" spans="2:18" x14ac:dyDescent="0.35">
      <c r="B109" s="87" t="s">
        <v>318</v>
      </c>
      <c r="C109" s="129">
        <v>0</v>
      </c>
      <c r="D109" s="2"/>
      <c r="E109" s="12"/>
      <c r="F109" s="12"/>
      <c r="G109" s="12"/>
      <c r="H109" s="105"/>
      <c r="I109" s="105"/>
      <c r="J109" s="105"/>
      <c r="K109" s="87" t="s">
        <v>318</v>
      </c>
      <c r="L109" s="129">
        <v>0</v>
      </c>
      <c r="M109" s="2"/>
      <c r="P109" s="12"/>
      <c r="Q109" s="75"/>
      <c r="R109" s="75"/>
    </row>
    <row r="110" spans="2:18" x14ac:dyDescent="0.35">
      <c r="B110" s="87" t="s">
        <v>319</v>
      </c>
      <c r="C110" s="90" t="s">
        <v>320</v>
      </c>
      <c r="D110" s="2"/>
      <c r="E110" s="12"/>
      <c r="F110" s="12"/>
      <c r="G110" s="12"/>
      <c r="H110" s="105"/>
      <c r="I110" s="105"/>
      <c r="J110" s="105"/>
      <c r="K110" s="87" t="s">
        <v>319</v>
      </c>
      <c r="L110" s="90" t="s">
        <v>320</v>
      </c>
      <c r="M110" s="2"/>
      <c r="P110" s="12"/>
      <c r="Q110" s="75"/>
      <c r="R110" s="75"/>
    </row>
    <row r="111" spans="2:18" x14ac:dyDescent="0.35">
      <c r="B111" s="87" t="s">
        <v>326</v>
      </c>
      <c r="C111" s="90" t="s">
        <v>327</v>
      </c>
      <c r="D111" s="2"/>
      <c r="E111" s="12"/>
      <c r="F111" s="12"/>
      <c r="G111" s="12"/>
      <c r="H111" s="105"/>
      <c r="I111" s="105"/>
      <c r="J111" s="105"/>
      <c r="K111" s="87" t="s">
        <v>326</v>
      </c>
      <c r="L111" s="90" t="s">
        <v>327</v>
      </c>
      <c r="M111" s="2"/>
      <c r="P111" s="12"/>
      <c r="Q111" s="75"/>
      <c r="R111" s="75"/>
    </row>
    <row r="112" spans="2:18" x14ac:dyDescent="0.35">
      <c r="B112" s="87" t="s">
        <v>326</v>
      </c>
      <c r="C112" s="129">
        <f>C54*C99/(C98+C99)</f>
        <v>84.407142857142858</v>
      </c>
      <c r="D112" s="2" t="s">
        <v>305</v>
      </c>
      <c r="E112" s="12"/>
      <c r="F112" s="12"/>
      <c r="G112" s="12"/>
      <c r="H112" s="105"/>
      <c r="I112" s="105"/>
      <c r="J112" s="105"/>
      <c r="K112" s="87" t="s">
        <v>326</v>
      </c>
      <c r="L112" s="129">
        <f>L87*L99/(L98+L99)</f>
        <v>270.10285714285715</v>
      </c>
      <c r="M112" s="2" t="s">
        <v>305</v>
      </c>
      <c r="P112" s="12"/>
      <c r="Q112" s="75"/>
      <c r="R112" s="75"/>
    </row>
    <row r="113" spans="2:18" x14ac:dyDescent="0.35">
      <c r="B113" s="87" t="s">
        <v>328</v>
      </c>
      <c r="C113" s="1" t="s">
        <v>324</v>
      </c>
      <c r="D113" s="2"/>
      <c r="E113" s="12"/>
      <c r="F113" s="12"/>
      <c r="G113" s="12"/>
      <c r="H113" s="105"/>
      <c r="I113" s="105"/>
      <c r="J113" s="105"/>
      <c r="K113" s="87" t="s">
        <v>328</v>
      </c>
      <c r="L113" s="1" t="s">
        <v>324</v>
      </c>
      <c r="M113" s="2"/>
      <c r="P113" s="12"/>
      <c r="Q113" s="75"/>
      <c r="R113" s="75"/>
    </row>
    <row r="114" spans="2:18" x14ac:dyDescent="0.35">
      <c r="B114" s="87" t="s">
        <v>328</v>
      </c>
      <c r="C114" s="129">
        <f>C112*C98</f>
        <v>253.22142857142859</v>
      </c>
      <c r="D114" s="2" t="s">
        <v>300</v>
      </c>
      <c r="E114" s="12"/>
      <c r="F114" s="12"/>
      <c r="G114" s="12"/>
      <c r="H114" s="105"/>
      <c r="I114" s="105"/>
      <c r="J114" s="105"/>
      <c r="K114" s="87" t="s">
        <v>328</v>
      </c>
      <c r="L114" s="129">
        <f>L112*L98</f>
        <v>810.30857142857144</v>
      </c>
      <c r="M114" s="2" t="s">
        <v>300</v>
      </c>
      <c r="P114" s="12"/>
      <c r="Q114" s="75"/>
      <c r="R114" s="75"/>
    </row>
    <row r="115" spans="2:18" x14ac:dyDescent="0.35">
      <c r="B115" s="1" t="s">
        <v>329</v>
      </c>
      <c r="C115" s="1"/>
      <c r="D115" s="2"/>
      <c r="E115" s="12"/>
      <c r="F115" s="12"/>
      <c r="G115" s="12"/>
      <c r="H115" s="105"/>
      <c r="I115" s="105"/>
      <c r="J115" s="105"/>
      <c r="K115" s="1" t="s">
        <v>329</v>
      </c>
      <c r="L115" s="1"/>
      <c r="M115" s="2"/>
      <c r="P115" s="12"/>
      <c r="Q115" s="75"/>
      <c r="R115" s="75"/>
    </row>
    <row r="116" spans="2:18" x14ac:dyDescent="0.35">
      <c r="B116" s="87" t="s">
        <v>330</v>
      </c>
      <c r="C116" s="1" t="s">
        <v>331</v>
      </c>
      <c r="D116" s="2"/>
      <c r="E116" s="12"/>
      <c r="F116" s="12"/>
      <c r="G116" s="12"/>
      <c r="H116" s="105"/>
      <c r="I116" s="105"/>
      <c r="J116" s="105"/>
      <c r="K116" s="87" t="s">
        <v>330</v>
      </c>
      <c r="L116" s="1" t="s">
        <v>331</v>
      </c>
      <c r="M116" s="2"/>
      <c r="P116" s="12"/>
      <c r="Q116" s="75"/>
      <c r="R116" s="75"/>
    </row>
    <row r="117" spans="2:18" x14ac:dyDescent="0.35">
      <c r="B117" s="87" t="s">
        <v>330</v>
      </c>
      <c r="C117" s="129">
        <f>(C107^2 + C114^2)^0.5</f>
        <v>269.47260355861459</v>
      </c>
      <c r="D117" s="2" t="s">
        <v>300</v>
      </c>
      <c r="E117" s="12"/>
      <c r="F117" s="12"/>
      <c r="G117" s="12"/>
      <c r="H117" s="105"/>
      <c r="I117" s="105"/>
      <c r="J117" s="105"/>
      <c r="K117" s="87" t="s">
        <v>330</v>
      </c>
      <c r="L117" s="129">
        <f>(L107^2 + L114^2)^0.5</f>
        <v>862.3123313875667</v>
      </c>
      <c r="M117" s="2" t="s">
        <v>300</v>
      </c>
      <c r="P117" s="12"/>
      <c r="Q117" s="75"/>
      <c r="R117" s="75"/>
    </row>
    <row r="118" spans="2:18" x14ac:dyDescent="0.35">
      <c r="B118" s="13"/>
      <c r="E118" s="12"/>
      <c r="F118" s="12"/>
      <c r="G118" s="12"/>
      <c r="H118" s="105"/>
      <c r="I118" s="105"/>
      <c r="J118" s="105"/>
      <c r="K118" s="6" t="s">
        <v>627</v>
      </c>
      <c r="L118" s="11"/>
      <c r="P118" s="12"/>
      <c r="Q118" s="75"/>
      <c r="R118" s="75"/>
    </row>
    <row r="119" spans="2:18" x14ac:dyDescent="0.35">
      <c r="B119" s="1" t="s">
        <v>460</v>
      </c>
      <c r="C119" s="135"/>
      <c r="E119" s="12"/>
      <c r="F119" s="12"/>
      <c r="G119" s="12"/>
      <c r="H119" s="105"/>
      <c r="I119" s="105"/>
      <c r="J119" s="105"/>
      <c r="K119" s="1" t="s">
        <v>460</v>
      </c>
      <c r="L119" s="135"/>
      <c r="P119" s="12"/>
      <c r="Q119" s="75"/>
      <c r="R119" s="75"/>
    </row>
    <row r="120" spans="2:18" ht="16" thickBot="1" x14ac:dyDescent="0.4">
      <c r="B120" s="13"/>
      <c r="C120" s="83" t="s">
        <v>165</v>
      </c>
      <c r="E120" s="12"/>
      <c r="F120" s="12"/>
      <c r="G120" s="12"/>
      <c r="H120" s="105"/>
      <c r="I120" s="105"/>
      <c r="J120" s="105"/>
      <c r="K120" s="13"/>
      <c r="L120" s="83" t="s">
        <v>165</v>
      </c>
      <c r="P120" s="12"/>
      <c r="Q120" s="75"/>
      <c r="R120" s="75"/>
    </row>
    <row r="121" spans="2:18" x14ac:dyDescent="0.35">
      <c r="B121" s="60" t="s">
        <v>465</v>
      </c>
      <c r="C121" s="136">
        <v>1080</v>
      </c>
      <c r="D121" s="9" t="s">
        <v>56</v>
      </c>
      <c r="E121" s="12"/>
      <c r="F121" s="12"/>
      <c r="G121" s="12"/>
      <c r="H121" s="12"/>
      <c r="I121" s="105"/>
      <c r="J121" s="105"/>
      <c r="K121" s="60" t="s">
        <v>465</v>
      </c>
      <c r="L121" s="175">
        <v>1080</v>
      </c>
      <c r="M121" s="9" t="s">
        <v>56</v>
      </c>
      <c r="P121" s="12"/>
      <c r="Q121" s="75"/>
      <c r="R121" s="75"/>
    </row>
    <row r="122" spans="2:18" ht="16" thickBot="1" x14ac:dyDescent="0.4">
      <c r="B122" s="13" t="s">
        <v>466</v>
      </c>
      <c r="C122" s="28">
        <v>431</v>
      </c>
      <c r="D122" s="9" t="s">
        <v>56</v>
      </c>
      <c r="I122" s="75"/>
      <c r="J122" s="75"/>
      <c r="K122" s="13" t="s">
        <v>466</v>
      </c>
      <c r="L122" s="176">
        <v>431</v>
      </c>
      <c r="M122" s="9" t="s">
        <v>56</v>
      </c>
      <c r="P122" s="12"/>
      <c r="Q122" s="75"/>
      <c r="R122" s="75"/>
    </row>
    <row r="123" spans="2:18" ht="16" thickBot="1" x14ac:dyDescent="0.4">
      <c r="B123" s="13" t="s">
        <v>442</v>
      </c>
      <c r="C123" s="16">
        <v>5800</v>
      </c>
      <c r="D123" s="9" t="s">
        <v>249</v>
      </c>
      <c r="E123" s="137">
        <f>C123/145.04</f>
        <v>39.988968560397133</v>
      </c>
      <c r="F123" s="9" t="s">
        <v>454</v>
      </c>
      <c r="G123" s="12"/>
      <c r="H123" s="75"/>
      <c r="I123" s="75"/>
      <c r="J123" s="75"/>
      <c r="K123" s="13" t="s">
        <v>442</v>
      </c>
      <c r="L123" s="177">
        <v>5800</v>
      </c>
      <c r="M123" s="9" t="s">
        <v>249</v>
      </c>
      <c r="N123" s="181">
        <f>L123/145.04</f>
        <v>39.988968560397133</v>
      </c>
      <c r="O123" s="9" t="s">
        <v>454</v>
      </c>
      <c r="P123" s="12"/>
      <c r="Q123" s="75"/>
      <c r="R123" s="75"/>
    </row>
    <row r="124" spans="2:18" x14ac:dyDescent="0.35">
      <c r="B124" s="60" t="s">
        <v>461</v>
      </c>
      <c r="C124" s="16" t="s">
        <v>483</v>
      </c>
      <c r="D124" s="9" t="s">
        <v>8</v>
      </c>
      <c r="G124" s="12"/>
      <c r="H124" s="75"/>
      <c r="I124" s="75"/>
      <c r="J124" s="75"/>
      <c r="K124" s="60" t="s">
        <v>461</v>
      </c>
      <c r="L124" s="177" t="s">
        <v>483</v>
      </c>
      <c r="M124" s="9" t="s">
        <v>8</v>
      </c>
      <c r="P124" s="12"/>
      <c r="Q124" s="75"/>
      <c r="R124" s="75"/>
    </row>
    <row r="125" spans="2:18" x14ac:dyDescent="0.35">
      <c r="B125" s="60" t="s">
        <v>633</v>
      </c>
      <c r="C125" s="138">
        <v>1.5</v>
      </c>
      <c r="D125" s="9" t="s">
        <v>8</v>
      </c>
      <c r="G125" s="12"/>
      <c r="H125" s="75"/>
      <c r="I125" s="75"/>
      <c r="J125" s="75"/>
      <c r="K125" s="60" t="s">
        <v>633</v>
      </c>
      <c r="L125" s="178">
        <v>1.5</v>
      </c>
      <c r="M125" s="9" t="s">
        <v>8</v>
      </c>
      <c r="P125" s="12"/>
      <c r="Q125" s="75"/>
      <c r="R125" s="75"/>
    </row>
    <row r="126" spans="2:18" x14ac:dyDescent="0.35">
      <c r="B126" s="60" t="s">
        <v>634</v>
      </c>
      <c r="C126" s="138">
        <v>2</v>
      </c>
      <c r="D126" s="2" t="s">
        <v>8</v>
      </c>
      <c r="G126" s="12"/>
      <c r="H126" s="75"/>
      <c r="J126" s="75"/>
      <c r="K126" s="60" t="s">
        <v>634</v>
      </c>
      <c r="L126" s="178">
        <v>2</v>
      </c>
      <c r="M126" s="2" t="s">
        <v>8</v>
      </c>
      <c r="P126" s="12"/>
      <c r="Q126" s="75"/>
      <c r="R126" s="75"/>
    </row>
    <row r="127" spans="2:18" x14ac:dyDescent="0.35">
      <c r="B127" s="13" t="s">
        <v>459</v>
      </c>
      <c r="C127" s="56">
        <v>2</v>
      </c>
      <c r="D127" s="9" t="s">
        <v>8</v>
      </c>
      <c r="G127" s="12"/>
      <c r="H127" s="75"/>
      <c r="I127" s="75"/>
      <c r="J127" s="75"/>
      <c r="K127" s="13" t="s">
        <v>459</v>
      </c>
      <c r="L127" s="56">
        <v>2</v>
      </c>
      <c r="M127" s="9" t="s">
        <v>8</v>
      </c>
      <c r="P127" s="12"/>
      <c r="Q127" s="75"/>
      <c r="R127" s="75"/>
    </row>
    <row r="128" spans="2:18" x14ac:dyDescent="0.35">
      <c r="B128" s="13" t="s">
        <v>278</v>
      </c>
      <c r="C128" s="139">
        <v>1.237869835588532</v>
      </c>
      <c r="D128" s="9" t="s">
        <v>10</v>
      </c>
      <c r="F128" s="75"/>
      <c r="G128" s="105"/>
      <c r="H128" s="75"/>
      <c r="I128" s="75"/>
      <c r="J128" s="75"/>
      <c r="K128" s="13" t="s">
        <v>278</v>
      </c>
      <c r="L128" s="179">
        <v>1.237869835588532</v>
      </c>
      <c r="M128" s="9" t="s">
        <v>10</v>
      </c>
      <c r="O128" s="75"/>
      <c r="P128" s="12"/>
      <c r="Q128" s="75"/>
      <c r="R128" s="75"/>
    </row>
    <row r="129" spans="2:18" ht="16" thickBot="1" x14ac:dyDescent="0.4">
      <c r="B129" s="13" t="s">
        <v>279</v>
      </c>
      <c r="C129" s="44">
        <v>0</v>
      </c>
      <c r="D129" s="9" t="s">
        <v>10</v>
      </c>
      <c r="E129" s="75"/>
      <c r="G129" s="12"/>
      <c r="I129" s="75"/>
      <c r="J129" s="75"/>
      <c r="K129" s="13" t="s">
        <v>279</v>
      </c>
      <c r="L129" s="180">
        <v>0</v>
      </c>
      <c r="M129" s="9" t="s">
        <v>10</v>
      </c>
      <c r="N129" s="75"/>
      <c r="P129" s="12"/>
      <c r="Q129" s="75"/>
      <c r="R129" s="75"/>
    </row>
    <row r="130" spans="2:18" x14ac:dyDescent="0.35">
      <c r="C130" s="83" t="s">
        <v>298</v>
      </c>
      <c r="G130" s="7" t="s">
        <v>484</v>
      </c>
      <c r="I130" s="75"/>
      <c r="J130" s="75"/>
      <c r="L130" s="83" t="s">
        <v>298</v>
      </c>
      <c r="P130" s="12"/>
      <c r="Q130" s="75"/>
      <c r="R130" s="75"/>
    </row>
    <row r="131" spans="2:18" x14ac:dyDescent="0.35">
      <c r="B131" s="87" t="s">
        <v>625</v>
      </c>
      <c r="C131" s="80">
        <f>C129/C128</f>
        <v>0</v>
      </c>
      <c r="E131" s="7"/>
      <c r="I131" s="75"/>
      <c r="J131" s="75"/>
      <c r="K131" s="87" t="s">
        <v>626</v>
      </c>
      <c r="L131" s="80">
        <f>L129/L128</f>
        <v>0</v>
      </c>
      <c r="N131" s="7"/>
      <c r="P131" s="105"/>
      <c r="Q131" s="75"/>
      <c r="R131" s="75"/>
    </row>
    <row r="132" spans="2:18" x14ac:dyDescent="0.35">
      <c r="B132" s="36" t="s">
        <v>442</v>
      </c>
      <c r="C132" s="103" t="s">
        <v>468</v>
      </c>
      <c r="D132" s="7"/>
      <c r="E132" s="7"/>
      <c r="G132" s="12"/>
      <c r="I132" s="75"/>
      <c r="K132" s="36" t="s">
        <v>442</v>
      </c>
      <c r="L132" s="103" t="s">
        <v>468</v>
      </c>
      <c r="M132" s="7"/>
      <c r="N132" s="7"/>
      <c r="P132" s="12"/>
      <c r="R132" s="75"/>
    </row>
    <row r="133" spans="2:18" ht="16" thickBot="1" x14ac:dyDescent="0.4">
      <c r="B133" s="36" t="s">
        <v>471</v>
      </c>
      <c r="C133" s="103" t="s">
        <v>469</v>
      </c>
      <c r="D133" s="7"/>
      <c r="E133" s="7"/>
      <c r="G133" s="12"/>
      <c r="K133" s="36" t="s">
        <v>471</v>
      </c>
      <c r="L133" s="103" t="s">
        <v>469</v>
      </c>
      <c r="M133" s="7"/>
      <c r="N133" s="7"/>
      <c r="P133" s="12"/>
      <c r="R133" s="75"/>
    </row>
    <row r="134" spans="2:18" ht="16" thickBot="1" x14ac:dyDescent="0.4">
      <c r="B134" s="36" t="s">
        <v>472</v>
      </c>
      <c r="C134" s="140">
        <f>((16/((3.1416*C128^3)*(1-C131^4)))*(((C125*C122+((1*1*C128*(1+C131^2)/8))^2+(C126*C121)^2)^(1/2)))) - C123</f>
        <v>9.9771568784490228E-9</v>
      </c>
      <c r="D134" s="7" t="s">
        <v>249</v>
      </c>
      <c r="E134" s="7"/>
      <c r="G134" s="12"/>
      <c r="K134" s="36" t="s">
        <v>472</v>
      </c>
      <c r="L134" s="140">
        <f>((16/((3.1416*L128^3)*(1-L131^4)))*(((L125*L122+((1*1*L128*(1+L131^2)/8))^2+(L126*L121)^2)^(1/2)))) - L123</f>
        <v>9.9771568784490228E-9</v>
      </c>
      <c r="M134" s="7" t="s">
        <v>249</v>
      </c>
      <c r="N134" s="7"/>
      <c r="P134" s="12"/>
      <c r="R134" s="75"/>
    </row>
    <row r="135" spans="2:18" x14ac:dyDescent="0.35">
      <c r="C135" s="83" t="s">
        <v>165</v>
      </c>
      <c r="E135" s="7"/>
      <c r="G135" s="12"/>
      <c r="L135" s="83" t="s">
        <v>165</v>
      </c>
      <c r="N135" s="7"/>
      <c r="P135" s="12"/>
      <c r="R135" s="75"/>
    </row>
    <row r="136" spans="2:18" x14ac:dyDescent="0.35">
      <c r="B136" s="87" t="s">
        <v>470</v>
      </c>
      <c r="C136" s="68">
        <f>C128</f>
        <v>1.237869835588532</v>
      </c>
      <c r="D136" s="7" t="s">
        <v>10</v>
      </c>
      <c r="E136" s="7"/>
      <c r="G136" s="12"/>
      <c r="K136" s="87" t="s">
        <v>470</v>
      </c>
      <c r="L136" s="68">
        <f>L128</f>
        <v>1.237869835588532</v>
      </c>
      <c r="M136" s="7" t="s">
        <v>10</v>
      </c>
      <c r="N136" s="7"/>
      <c r="P136" s="12"/>
      <c r="R136" s="75"/>
    </row>
    <row r="137" spans="2:18" x14ac:dyDescent="0.35">
      <c r="B137" s="87" t="s">
        <v>467</v>
      </c>
      <c r="C137" s="68">
        <v>1.25</v>
      </c>
      <c r="D137" s="7" t="s">
        <v>10</v>
      </c>
      <c r="G137" s="12"/>
      <c r="K137" s="87" t="s">
        <v>467</v>
      </c>
      <c r="L137" s="68">
        <v>1.25</v>
      </c>
      <c r="M137" s="7" t="s">
        <v>10</v>
      </c>
      <c r="P137" s="12"/>
      <c r="R137" s="75"/>
    </row>
    <row r="138" spans="2:18" x14ac:dyDescent="0.35">
      <c r="G138" s="12"/>
      <c r="K138" s="165"/>
      <c r="L138" s="165"/>
      <c r="M138" s="165"/>
      <c r="P138" s="12"/>
      <c r="R138" s="75"/>
    </row>
    <row r="139" spans="2:18" x14ac:dyDescent="0.35">
      <c r="C139" s="126"/>
      <c r="D139" s="2"/>
      <c r="G139" s="12"/>
      <c r="P139" s="12"/>
      <c r="R139" s="75"/>
    </row>
    <row r="140" spans="2:18" ht="20" x14ac:dyDescent="0.4">
      <c r="C140" s="173" t="s">
        <v>723</v>
      </c>
      <c r="D140" s="169"/>
      <c r="E140" s="169"/>
      <c r="F140" s="84"/>
      <c r="G140" s="12"/>
      <c r="P140" s="12"/>
      <c r="R140" s="75"/>
    </row>
    <row r="141" spans="2:18" x14ac:dyDescent="0.35">
      <c r="B141" s="170"/>
      <c r="C141" s="168"/>
      <c r="D141" s="169"/>
      <c r="E141" s="169"/>
      <c r="G141" s="12"/>
      <c r="P141" s="12"/>
    </row>
    <row r="142" spans="2:18" x14ac:dyDescent="0.35">
      <c r="B142" s="171"/>
      <c r="C142" s="168"/>
      <c r="D142" s="169"/>
      <c r="E142" s="169"/>
      <c r="G142" s="12"/>
      <c r="P142" s="12"/>
    </row>
    <row r="143" spans="2:18" x14ac:dyDescent="0.35">
      <c r="B143" s="170"/>
      <c r="C143" s="168"/>
      <c r="D143" s="169"/>
      <c r="E143" s="169"/>
      <c r="G143" s="12"/>
    </row>
    <row r="144" spans="2:18" x14ac:dyDescent="0.35">
      <c r="B144" s="13"/>
      <c r="C144" s="11" t="s">
        <v>712</v>
      </c>
      <c r="G144" s="12"/>
    </row>
    <row r="145" spans="2:18" x14ac:dyDescent="0.35">
      <c r="B145" s="13"/>
      <c r="G145" s="12"/>
    </row>
    <row r="146" spans="2:18" x14ac:dyDescent="0.35">
      <c r="B146" s="13"/>
      <c r="G146" s="12"/>
    </row>
    <row r="147" spans="2:18" x14ac:dyDescent="0.35">
      <c r="B147" s="13"/>
      <c r="G147" s="12"/>
    </row>
    <row r="148" spans="2:18" x14ac:dyDescent="0.35">
      <c r="B148" s="13"/>
      <c r="G148" s="12"/>
    </row>
    <row r="149" spans="2:18" x14ac:dyDescent="0.35">
      <c r="B149" s="13"/>
      <c r="G149" s="12"/>
    </row>
    <row r="150" spans="2:18" x14ac:dyDescent="0.35">
      <c r="B150" s="13"/>
      <c r="G150" s="12"/>
    </row>
    <row r="151" spans="2:18" x14ac:dyDescent="0.35">
      <c r="B151" s="13"/>
      <c r="G151" s="12"/>
    </row>
    <row r="152" spans="2:18" x14ac:dyDescent="0.35">
      <c r="B152" s="13"/>
      <c r="G152" s="12"/>
      <c r="R152" s="75"/>
    </row>
    <row r="153" spans="2:18" x14ac:dyDescent="0.35">
      <c r="B153" s="13"/>
      <c r="G153" s="12"/>
      <c r="R153" s="75"/>
    </row>
    <row r="154" spans="2:18" x14ac:dyDescent="0.35">
      <c r="B154" s="13"/>
      <c r="G154" s="12"/>
      <c r="R154" s="75"/>
    </row>
    <row r="155" spans="2:18" x14ac:dyDescent="0.35">
      <c r="B155" s="13"/>
      <c r="G155" s="12"/>
      <c r="R155" s="75"/>
    </row>
    <row r="156" spans="2:18" x14ac:dyDescent="0.35">
      <c r="B156" s="13"/>
      <c r="G156" s="12"/>
      <c r="R156" s="75"/>
    </row>
    <row r="157" spans="2:18" x14ac:dyDescent="0.35">
      <c r="B157" s="13"/>
      <c r="G157" s="12"/>
      <c r="R157" s="75"/>
    </row>
    <row r="158" spans="2:18" x14ac:dyDescent="0.35">
      <c r="B158" s="13"/>
      <c r="G158" s="12"/>
      <c r="R158" s="75"/>
    </row>
    <row r="159" spans="2:18" x14ac:dyDescent="0.35">
      <c r="B159" s="13"/>
      <c r="G159" s="12"/>
      <c r="R159" s="75"/>
    </row>
    <row r="160" spans="2:18" x14ac:dyDescent="0.35">
      <c r="B160" s="13"/>
      <c r="G160" s="12"/>
    </row>
    <row r="161" spans="2:7" x14ac:dyDescent="0.35">
      <c r="B161" s="13"/>
      <c r="G161" s="12"/>
    </row>
    <row r="162" spans="2:7" x14ac:dyDescent="0.35">
      <c r="B162" s="13"/>
      <c r="G162" s="12"/>
    </row>
    <row r="163" spans="2:7" x14ac:dyDescent="0.35">
      <c r="B163" s="13"/>
      <c r="G163" s="12"/>
    </row>
    <row r="164" spans="2:7" x14ac:dyDescent="0.35">
      <c r="B164" s="13"/>
      <c r="G164" s="12"/>
    </row>
    <row r="165" spans="2:7" x14ac:dyDescent="0.35">
      <c r="B165" s="13"/>
      <c r="G165" s="12"/>
    </row>
    <row r="166" spans="2:7" x14ac:dyDescent="0.35">
      <c r="B166" s="13"/>
      <c r="G166" s="12"/>
    </row>
    <row r="167" spans="2:7" x14ac:dyDescent="0.35">
      <c r="B167" s="13"/>
      <c r="G167" s="12"/>
    </row>
    <row r="168" spans="2:7" x14ac:dyDescent="0.35">
      <c r="B168" s="13"/>
      <c r="G168" s="12"/>
    </row>
    <row r="169" spans="2:7" x14ac:dyDescent="0.35">
      <c r="B169" s="13"/>
      <c r="G169" s="12"/>
    </row>
    <row r="170" spans="2:7" x14ac:dyDescent="0.35">
      <c r="B170" s="13"/>
      <c r="G170" s="12"/>
    </row>
    <row r="171" spans="2:7" x14ac:dyDescent="0.35">
      <c r="B171" s="13"/>
      <c r="G171" s="12"/>
    </row>
    <row r="172" spans="2:7" x14ac:dyDescent="0.35">
      <c r="B172" s="13"/>
      <c r="G172" s="12"/>
    </row>
    <row r="173" spans="2:7" x14ac:dyDescent="0.35">
      <c r="B173" s="121"/>
      <c r="C173" s="141"/>
      <c r="D173" s="75"/>
      <c r="G173" s="12"/>
    </row>
    <row r="174" spans="2:7" x14ac:dyDescent="0.35">
      <c r="B174" s="121"/>
      <c r="C174" s="166"/>
      <c r="D174" s="75"/>
      <c r="G174" s="12"/>
    </row>
    <row r="175" spans="2:7" x14ac:dyDescent="0.35">
      <c r="B175" s="121"/>
      <c r="C175" s="166"/>
      <c r="D175" s="75"/>
      <c r="G175" s="12"/>
    </row>
    <row r="176" spans="2:7" x14ac:dyDescent="0.35">
      <c r="B176" s="121"/>
      <c r="C176" s="166"/>
      <c r="D176" s="75"/>
      <c r="G176" s="12"/>
    </row>
    <row r="177" spans="2:7" x14ac:dyDescent="0.35">
      <c r="B177" s="121"/>
      <c r="C177" s="166"/>
      <c r="D177" s="75"/>
      <c r="G177" s="12"/>
    </row>
    <row r="178" spans="2:7" x14ac:dyDescent="0.35">
      <c r="B178" s="121"/>
      <c r="C178" s="141"/>
      <c r="D178" s="75"/>
      <c r="G178" s="12"/>
    </row>
    <row r="179" spans="2:7" x14ac:dyDescent="0.35">
      <c r="B179" s="73"/>
      <c r="C179" s="142"/>
      <c r="D179" s="75"/>
      <c r="G179" s="12"/>
    </row>
    <row r="180" spans="2:7" x14ac:dyDescent="0.35">
      <c r="B180" s="73"/>
      <c r="C180" s="143"/>
      <c r="D180" s="75"/>
      <c r="G180" s="12"/>
    </row>
    <row r="181" spans="2:7" x14ac:dyDescent="0.35">
      <c r="B181" s="121"/>
      <c r="C181" s="141"/>
      <c r="D181" s="75"/>
      <c r="G181" s="12"/>
    </row>
    <row r="182" spans="2:7" x14ac:dyDescent="0.35">
      <c r="B182" s="121"/>
      <c r="C182" s="166"/>
      <c r="D182" s="75"/>
      <c r="G182" s="12"/>
    </row>
    <row r="183" spans="2:7" x14ac:dyDescent="0.35">
      <c r="B183" s="121"/>
      <c r="C183" s="141"/>
      <c r="D183" s="75"/>
      <c r="G183" s="12"/>
    </row>
    <row r="184" spans="2:7" x14ac:dyDescent="0.35">
      <c r="B184" s="73"/>
      <c r="C184" s="142"/>
      <c r="D184" s="79"/>
      <c r="G184" s="12"/>
    </row>
    <row r="185" spans="2:7" x14ac:dyDescent="0.35">
      <c r="B185" s="73"/>
      <c r="C185" s="142"/>
      <c r="D185" s="79"/>
      <c r="G185" s="12"/>
    </row>
    <row r="186" spans="2:7" x14ac:dyDescent="0.35">
      <c r="B186" s="75"/>
      <c r="C186" s="167"/>
      <c r="D186" s="75"/>
      <c r="G186" s="12"/>
    </row>
    <row r="187" spans="2:7" x14ac:dyDescent="0.35">
      <c r="B187" s="142"/>
      <c r="C187" s="167"/>
      <c r="D187" s="75"/>
      <c r="G187" s="12"/>
    </row>
    <row r="188" spans="2:7" x14ac:dyDescent="0.35">
      <c r="B188" s="142"/>
      <c r="C188" s="167"/>
      <c r="D188" s="75"/>
      <c r="G188" s="12"/>
    </row>
    <row r="189" spans="2:7" x14ac:dyDescent="0.35">
      <c r="G189" s="12"/>
    </row>
    <row r="190" spans="2:7" x14ac:dyDescent="0.35">
      <c r="G190" s="12"/>
    </row>
    <row r="191" spans="2:7" x14ac:dyDescent="0.35">
      <c r="F191" s="84"/>
      <c r="G191" s="12"/>
    </row>
    <row r="194" spans="2:2" x14ac:dyDescent="0.35">
      <c r="B194" s="13"/>
    </row>
    <row r="195" spans="2:2" x14ac:dyDescent="0.35">
      <c r="B195" s="13"/>
    </row>
    <row r="196" spans="2:2" x14ac:dyDescent="0.35">
      <c r="B196" s="13"/>
    </row>
    <row r="197" spans="2:2" x14ac:dyDescent="0.35">
      <c r="B197" s="13"/>
    </row>
    <row r="230" spans="2:2" x14ac:dyDescent="0.35">
      <c r="B230" s="13"/>
    </row>
    <row r="231" spans="2:2" x14ac:dyDescent="0.35">
      <c r="B231" s="13"/>
    </row>
    <row r="232" spans="2:2" x14ac:dyDescent="0.35">
      <c r="B232" s="13"/>
    </row>
  </sheetData>
  <sheetProtection sheet="1" objects="1" scenarios="1" select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00"/>
  <sheetViews>
    <sheetView zoomScaleNormal="100" workbookViewId="0">
      <selection activeCell="H1" sqref="H1"/>
    </sheetView>
  </sheetViews>
  <sheetFormatPr defaultRowHeight="15.5" x14ac:dyDescent="0.35"/>
  <cols>
    <col min="1" max="1" width="6" style="9" customWidth="1"/>
    <col min="2" max="2" width="49.36328125" style="9" customWidth="1"/>
    <col min="3" max="3" width="12.26953125" style="9" customWidth="1"/>
    <col min="4" max="4" width="12.6328125" style="9" customWidth="1"/>
    <col min="5" max="5" width="12.08984375" style="9" customWidth="1"/>
    <col min="6" max="6" width="13" style="9" customWidth="1"/>
    <col min="7" max="16384" width="8.7265625" style="9"/>
  </cols>
  <sheetData>
    <row r="1" spans="2:14" ht="20" x14ac:dyDescent="0.4">
      <c r="B1" s="91" t="s">
        <v>726</v>
      </c>
      <c r="F1" s="12"/>
      <c r="G1" s="12"/>
      <c r="H1" s="12"/>
      <c r="I1" s="12"/>
      <c r="J1" s="12"/>
      <c r="K1" s="12"/>
      <c r="L1" s="12"/>
      <c r="M1" s="12"/>
      <c r="N1" s="12"/>
    </row>
    <row r="2" spans="2:14" x14ac:dyDescent="0.35">
      <c r="B2" s="10"/>
      <c r="F2" s="12"/>
      <c r="G2" s="12"/>
      <c r="H2" s="12"/>
      <c r="I2" s="12"/>
      <c r="J2" s="12"/>
      <c r="K2" s="12"/>
      <c r="L2" s="12"/>
      <c r="M2" s="12"/>
      <c r="N2" s="12"/>
    </row>
    <row r="3" spans="2:14" ht="18" x14ac:dyDescent="0.4">
      <c r="B3" s="97" t="s">
        <v>440</v>
      </c>
      <c r="F3" s="12"/>
      <c r="G3" s="12"/>
      <c r="H3" s="12"/>
      <c r="I3" s="12"/>
      <c r="J3" s="12"/>
      <c r="K3" s="12"/>
      <c r="L3" s="12"/>
      <c r="M3" s="12"/>
      <c r="N3" s="12"/>
    </row>
    <row r="4" spans="2:14" x14ac:dyDescent="0.35">
      <c r="F4" s="12"/>
      <c r="G4" s="12"/>
      <c r="H4" s="12"/>
      <c r="I4" s="12"/>
      <c r="J4" s="12"/>
      <c r="K4" s="12"/>
      <c r="L4" s="12"/>
      <c r="M4" s="12"/>
      <c r="N4" s="12"/>
    </row>
    <row r="5" spans="2:14" x14ac:dyDescent="0.35">
      <c r="B5" s="10" t="s">
        <v>334</v>
      </c>
      <c r="C5" s="118"/>
      <c r="D5" s="118"/>
      <c r="E5" s="118"/>
      <c r="F5" s="184"/>
      <c r="G5" s="12"/>
      <c r="H5" s="12"/>
      <c r="I5" s="12"/>
      <c r="J5" s="12"/>
      <c r="K5" s="12"/>
      <c r="L5" s="12"/>
      <c r="M5" s="12"/>
      <c r="N5" s="12"/>
    </row>
    <row r="6" spans="2:14" x14ac:dyDescent="0.35">
      <c r="C6" s="118"/>
      <c r="D6" s="118"/>
      <c r="E6" s="118"/>
      <c r="F6" s="184"/>
      <c r="G6" s="12"/>
      <c r="H6" s="12"/>
      <c r="I6" s="12"/>
      <c r="J6" s="12"/>
      <c r="K6" s="12"/>
      <c r="L6" s="12"/>
      <c r="M6" s="12"/>
      <c r="N6" s="12"/>
    </row>
    <row r="7" spans="2:14" x14ac:dyDescent="0.35">
      <c r="B7" s="10" t="s">
        <v>335</v>
      </c>
      <c r="F7" s="12"/>
      <c r="G7" s="12"/>
      <c r="H7" s="12"/>
      <c r="I7" s="12"/>
      <c r="J7" s="12"/>
      <c r="K7" s="12"/>
      <c r="L7" s="12"/>
      <c r="M7" s="12"/>
      <c r="N7" s="12"/>
    </row>
    <row r="8" spans="2:14" x14ac:dyDescent="0.35">
      <c r="B8" s="10"/>
      <c r="F8" s="12"/>
      <c r="G8" s="12"/>
      <c r="H8" s="12"/>
      <c r="I8" s="12"/>
      <c r="J8" s="12"/>
      <c r="K8" s="12"/>
      <c r="L8" s="12"/>
      <c r="M8" s="12"/>
      <c r="N8" s="12"/>
    </row>
    <row r="9" spans="2:14" x14ac:dyDescent="0.35">
      <c r="B9" s="10" t="s">
        <v>336</v>
      </c>
      <c r="C9" s="118"/>
      <c r="D9" s="118"/>
      <c r="E9" s="118"/>
      <c r="F9" s="184"/>
      <c r="G9" s="12"/>
      <c r="H9" s="12"/>
      <c r="I9" s="12"/>
      <c r="J9" s="12"/>
      <c r="K9" s="12"/>
      <c r="L9" s="12"/>
      <c r="M9" s="12"/>
      <c r="N9" s="12"/>
    </row>
    <row r="10" spans="2:14" x14ac:dyDescent="0.35">
      <c r="C10" s="118"/>
      <c r="D10" s="118"/>
      <c r="E10" s="118"/>
      <c r="F10" s="184"/>
      <c r="G10" s="12"/>
      <c r="H10" s="12"/>
      <c r="I10" s="12"/>
      <c r="K10" s="245"/>
      <c r="L10" s="12"/>
      <c r="M10" s="12"/>
      <c r="N10" s="12"/>
    </row>
    <row r="11" spans="2:14" x14ac:dyDescent="0.35">
      <c r="C11" s="118"/>
      <c r="D11" s="118"/>
      <c r="E11" s="118"/>
      <c r="F11" s="184"/>
      <c r="G11" s="12"/>
      <c r="H11" s="12"/>
      <c r="I11" s="12"/>
      <c r="J11" s="12"/>
      <c r="K11" s="12"/>
      <c r="L11" s="12"/>
      <c r="M11" s="12"/>
      <c r="N11" s="12"/>
    </row>
    <row r="12" spans="2:14" ht="18" x14ac:dyDescent="0.4">
      <c r="B12" s="97" t="s">
        <v>337</v>
      </c>
      <c r="C12" s="118"/>
      <c r="D12" s="118"/>
      <c r="E12" s="118"/>
      <c r="F12" s="184"/>
      <c r="G12" s="12"/>
      <c r="H12" s="12"/>
      <c r="I12" s="12"/>
      <c r="J12" s="12"/>
      <c r="K12" s="12"/>
      <c r="L12" s="12"/>
      <c r="M12" s="12"/>
      <c r="N12" s="12"/>
    </row>
    <row r="13" spans="2:14" ht="16" thickBot="1" x14ac:dyDescent="0.4">
      <c r="C13" s="185" t="s">
        <v>165</v>
      </c>
      <c r="D13" s="118"/>
      <c r="E13" s="118"/>
      <c r="F13" s="184"/>
      <c r="G13" s="12"/>
      <c r="H13" s="12"/>
      <c r="I13" s="12"/>
      <c r="J13" s="12"/>
      <c r="K13" s="12"/>
      <c r="L13" s="12"/>
      <c r="M13" s="12"/>
      <c r="N13" s="12"/>
    </row>
    <row r="14" spans="2:14" x14ac:dyDescent="0.35">
      <c r="B14" s="60" t="s">
        <v>338</v>
      </c>
      <c r="C14" s="186">
        <v>100</v>
      </c>
      <c r="D14" s="118" t="s">
        <v>305</v>
      </c>
      <c r="E14" s="118"/>
      <c r="F14" s="184"/>
      <c r="G14" s="12"/>
      <c r="H14" s="12"/>
      <c r="I14" s="12"/>
      <c r="J14" s="12"/>
      <c r="K14" s="12"/>
      <c r="L14" s="12"/>
      <c r="M14" s="12"/>
      <c r="N14" s="12"/>
    </row>
    <row r="15" spans="2:14" x14ac:dyDescent="0.35">
      <c r="B15" s="60" t="s">
        <v>339</v>
      </c>
      <c r="C15" s="61">
        <v>300</v>
      </c>
      <c r="D15" s="118" t="s">
        <v>300</v>
      </c>
      <c r="E15" s="118"/>
      <c r="F15" s="184"/>
      <c r="G15" s="12"/>
      <c r="H15" s="12"/>
      <c r="I15" s="12"/>
      <c r="J15" s="12"/>
      <c r="K15" s="12"/>
      <c r="L15" s="12"/>
      <c r="M15" s="12"/>
      <c r="N15" s="12"/>
    </row>
    <row r="16" spans="2:14" x14ac:dyDescent="0.35">
      <c r="B16" s="60" t="s">
        <v>261</v>
      </c>
      <c r="C16" s="61">
        <v>600</v>
      </c>
      <c r="D16" s="118" t="s">
        <v>333</v>
      </c>
      <c r="E16" s="118"/>
      <c r="F16" s="184"/>
      <c r="G16" s="12"/>
      <c r="H16" s="12"/>
      <c r="I16" s="12"/>
      <c r="J16" s="12"/>
      <c r="K16" s="12"/>
      <c r="L16" s="12"/>
      <c r="M16" s="12"/>
      <c r="N16" s="12"/>
    </row>
    <row r="17" spans="2:14" ht="16" thickBot="1" x14ac:dyDescent="0.4">
      <c r="B17" s="60" t="s">
        <v>340</v>
      </c>
      <c r="C17" s="187">
        <v>1</v>
      </c>
      <c r="D17" s="118" t="s">
        <v>10</v>
      </c>
      <c r="E17" s="118"/>
      <c r="F17" s="184"/>
      <c r="G17" s="12"/>
      <c r="H17" s="12"/>
      <c r="I17" s="12"/>
      <c r="J17" s="12"/>
      <c r="K17" s="12"/>
      <c r="L17" s="12"/>
      <c r="M17" s="12"/>
      <c r="N17" s="12"/>
    </row>
    <row r="18" spans="2:14" x14ac:dyDescent="0.35">
      <c r="B18" s="118"/>
      <c r="C18" s="83" t="s">
        <v>298</v>
      </c>
      <c r="D18" s="118"/>
      <c r="E18" s="118"/>
      <c r="F18" s="184"/>
      <c r="G18" s="12"/>
      <c r="H18" s="12"/>
      <c r="I18" s="12"/>
      <c r="J18" s="12"/>
      <c r="K18" s="12"/>
      <c r="L18" s="12"/>
      <c r="M18" s="12"/>
      <c r="N18" s="12"/>
    </row>
    <row r="19" spans="2:14" x14ac:dyDescent="0.35">
      <c r="B19" s="87" t="s">
        <v>341</v>
      </c>
      <c r="C19" s="142" t="s">
        <v>342</v>
      </c>
      <c r="D19" s="2" t="s">
        <v>343</v>
      </c>
      <c r="E19" s="118"/>
      <c r="F19" s="184"/>
      <c r="G19" s="12"/>
      <c r="H19" s="12"/>
      <c r="I19" s="12"/>
      <c r="J19" s="12"/>
      <c r="K19" s="12"/>
      <c r="L19" s="12"/>
      <c r="M19" s="12"/>
      <c r="N19" s="12"/>
    </row>
    <row r="20" spans="2:14" x14ac:dyDescent="0.35">
      <c r="B20" s="87" t="s">
        <v>341</v>
      </c>
      <c r="C20" s="188">
        <f>3.142*C17^2 / 4</f>
        <v>0.78549999999999998</v>
      </c>
      <c r="D20" s="2" t="s">
        <v>343</v>
      </c>
      <c r="E20" s="118"/>
      <c r="F20" s="184"/>
      <c r="G20" s="12"/>
      <c r="H20" s="12"/>
      <c r="I20" s="12"/>
      <c r="J20" s="12"/>
      <c r="K20" s="12"/>
      <c r="L20" s="12"/>
      <c r="M20" s="12"/>
      <c r="N20" s="12"/>
    </row>
    <row r="21" spans="2:14" x14ac:dyDescent="0.35">
      <c r="B21" s="87" t="s">
        <v>344</v>
      </c>
      <c r="C21" s="142" t="s">
        <v>255</v>
      </c>
      <c r="D21" s="2" t="s">
        <v>256</v>
      </c>
      <c r="E21" s="118"/>
      <c r="F21" s="184"/>
      <c r="G21" s="12"/>
      <c r="H21" s="12"/>
      <c r="I21" s="12"/>
      <c r="J21" s="12"/>
      <c r="K21" s="12"/>
      <c r="L21" s="12"/>
      <c r="M21" s="12"/>
      <c r="N21" s="12"/>
    </row>
    <row r="22" spans="2:14" x14ac:dyDescent="0.35">
      <c r="B22" s="87" t="s">
        <v>345</v>
      </c>
      <c r="C22" s="188">
        <f>3.142*C17^4 / 32</f>
        <v>9.8187499999999997E-2</v>
      </c>
      <c r="D22" s="2"/>
      <c r="E22" s="118"/>
      <c r="F22" s="184"/>
      <c r="G22" s="12"/>
      <c r="H22" s="12"/>
      <c r="I22" s="12"/>
      <c r="J22" s="12"/>
      <c r="K22" s="12"/>
      <c r="L22" s="12"/>
      <c r="M22" s="12"/>
      <c r="N22" s="12"/>
    </row>
    <row r="23" spans="2:14" x14ac:dyDescent="0.35">
      <c r="B23" s="87" t="s">
        <v>346</v>
      </c>
      <c r="C23" s="142" t="s">
        <v>347</v>
      </c>
      <c r="D23" s="2" t="s">
        <v>256</v>
      </c>
      <c r="E23" s="118"/>
      <c r="F23" s="184"/>
      <c r="G23" s="12"/>
      <c r="H23" s="12"/>
      <c r="I23" s="12"/>
      <c r="J23" s="12"/>
      <c r="K23" s="12"/>
      <c r="L23" s="12"/>
      <c r="M23" s="12"/>
      <c r="N23" s="12"/>
    </row>
    <row r="24" spans="2:14" x14ac:dyDescent="0.35">
      <c r="B24" s="87" t="s">
        <v>271</v>
      </c>
      <c r="C24" s="188">
        <f>3.142*C17^4 / 64</f>
        <v>4.9093749999999999E-2</v>
      </c>
      <c r="D24" s="2" t="s">
        <v>256</v>
      </c>
      <c r="E24" s="118"/>
      <c r="F24" s="184"/>
      <c r="G24" s="12"/>
      <c r="H24" s="12"/>
      <c r="I24" s="12"/>
      <c r="J24" s="12"/>
      <c r="K24" s="12"/>
      <c r="L24" s="12"/>
      <c r="M24" s="12"/>
      <c r="N24" s="12"/>
    </row>
    <row r="25" spans="2:14" x14ac:dyDescent="0.35">
      <c r="B25" s="87" t="s">
        <v>348</v>
      </c>
      <c r="C25" s="189" t="s">
        <v>349</v>
      </c>
      <c r="D25" s="190"/>
      <c r="E25" s="118"/>
      <c r="F25" s="184"/>
      <c r="G25" s="12"/>
      <c r="H25" s="12"/>
      <c r="I25" s="12"/>
      <c r="J25" s="12"/>
      <c r="K25" s="12"/>
      <c r="L25" s="12"/>
      <c r="M25" s="12"/>
      <c r="N25" s="12"/>
    </row>
    <row r="26" spans="2:14" x14ac:dyDescent="0.35">
      <c r="B26" s="87" t="s">
        <v>350</v>
      </c>
      <c r="C26" s="129">
        <f>C14 / C20</f>
        <v>127.30744748567791</v>
      </c>
      <c r="D26" s="191" t="s">
        <v>249</v>
      </c>
      <c r="E26" s="118"/>
      <c r="F26" s="184"/>
      <c r="G26" s="12"/>
      <c r="H26" s="12"/>
      <c r="I26" s="12"/>
      <c r="J26" s="12"/>
      <c r="K26" s="12"/>
      <c r="L26" s="12"/>
      <c r="M26" s="12"/>
      <c r="N26" s="12"/>
    </row>
    <row r="27" spans="2:14" x14ac:dyDescent="0.35">
      <c r="B27" s="192" t="s">
        <v>351</v>
      </c>
      <c r="C27" s="1" t="s">
        <v>352</v>
      </c>
      <c r="D27" s="2"/>
      <c r="E27" s="118"/>
      <c r="F27" s="184"/>
      <c r="G27" s="12"/>
      <c r="H27" s="12"/>
      <c r="I27" s="12"/>
      <c r="J27" s="12"/>
      <c r="K27" s="12"/>
      <c r="L27" s="12"/>
      <c r="M27" s="12"/>
      <c r="N27" s="12"/>
    </row>
    <row r="28" spans="2:14" x14ac:dyDescent="0.35">
      <c r="B28" s="192" t="s">
        <v>353</v>
      </c>
      <c r="C28" s="129">
        <f>C15*C17 / (2*C22)</f>
        <v>1527.6893698281349</v>
      </c>
      <c r="D28" s="2" t="s">
        <v>249</v>
      </c>
      <c r="E28" s="118"/>
      <c r="F28" s="184"/>
      <c r="G28" s="12"/>
      <c r="H28" s="12"/>
      <c r="I28" s="12"/>
      <c r="J28" s="12"/>
      <c r="K28" s="12"/>
      <c r="L28" s="12"/>
      <c r="M28" s="12"/>
      <c r="N28" s="12"/>
    </row>
    <row r="29" spans="2:14" x14ac:dyDescent="0.35">
      <c r="B29" s="192" t="s">
        <v>354</v>
      </c>
      <c r="C29" s="1" t="s">
        <v>281</v>
      </c>
      <c r="D29" s="2"/>
      <c r="E29" s="118"/>
      <c r="F29" s="184"/>
      <c r="G29" s="12"/>
      <c r="H29" s="12"/>
      <c r="I29" s="12"/>
      <c r="J29" s="12"/>
      <c r="K29" s="12"/>
      <c r="L29" s="12"/>
      <c r="M29" s="12"/>
      <c r="N29" s="12"/>
    </row>
    <row r="30" spans="2:14" x14ac:dyDescent="0.35">
      <c r="B30" s="192" t="s">
        <v>355</v>
      </c>
      <c r="C30" s="129">
        <f>C16*C17 / (2*C24)</f>
        <v>6110.7574793125395</v>
      </c>
      <c r="D30" s="2" t="s">
        <v>249</v>
      </c>
      <c r="E30" s="118"/>
      <c r="F30" s="184"/>
      <c r="G30" s="12"/>
      <c r="H30" s="12"/>
      <c r="I30" s="12"/>
      <c r="J30" s="12"/>
      <c r="K30" s="12"/>
      <c r="L30" s="12"/>
      <c r="M30" s="12"/>
      <c r="N30" s="12"/>
    </row>
    <row r="31" spans="2:14" x14ac:dyDescent="0.35">
      <c r="B31" s="87" t="s">
        <v>617</v>
      </c>
      <c r="C31" s="1">
        <v>0</v>
      </c>
      <c r="D31" s="118"/>
      <c r="E31" s="118"/>
      <c r="F31" s="184"/>
      <c r="G31" s="12"/>
      <c r="H31" s="12"/>
      <c r="I31" s="12"/>
      <c r="J31" s="12"/>
      <c r="K31" s="12"/>
      <c r="L31" s="12"/>
      <c r="M31" s="12"/>
      <c r="N31" s="12"/>
    </row>
    <row r="32" spans="2:14" x14ac:dyDescent="0.35">
      <c r="B32" s="1" t="s">
        <v>356</v>
      </c>
      <c r="C32" s="118"/>
      <c r="D32" s="118"/>
      <c r="E32" s="118"/>
      <c r="F32" s="184"/>
      <c r="G32" s="12"/>
      <c r="H32" s="12"/>
      <c r="I32" s="12"/>
      <c r="J32" s="12"/>
      <c r="K32" s="12"/>
      <c r="L32" s="12"/>
      <c r="M32" s="12"/>
      <c r="N32" s="12"/>
    </row>
    <row r="33" spans="2:14" ht="16" thickBot="1" x14ac:dyDescent="0.4">
      <c r="B33" s="118"/>
      <c r="C33" s="83" t="s">
        <v>165</v>
      </c>
      <c r="D33" s="118"/>
      <c r="E33" s="118"/>
      <c r="F33" s="184"/>
      <c r="G33" s="12"/>
      <c r="H33" s="12"/>
      <c r="I33" s="12"/>
      <c r="J33" s="12"/>
      <c r="K33" s="12"/>
      <c r="L33" s="12"/>
      <c r="M33" s="12"/>
      <c r="N33" s="12"/>
    </row>
    <row r="34" spans="2:14" ht="18.5" thickBot="1" x14ac:dyDescent="0.45">
      <c r="B34" s="60" t="s">
        <v>357</v>
      </c>
      <c r="C34" s="193">
        <v>36000</v>
      </c>
      <c r="D34" s="118" t="s">
        <v>249</v>
      </c>
      <c r="E34" s="118"/>
      <c r="F34" s="172"/>
      <c r="G34" s="171"/>
      <c r="H34" s="171"/>
      <c r="I34" s="184"/>
      <c r="J34" s="12"/>
      <c r="K34" s="12"/>
      <c r="L34" s="12"/>
      <c r="M34" s="12"/>
      <c r="N34" s="12"/>
    </row>
    <row r="35" spans="2:14" x14ac:dyDescent="0.35">
      <c r="B35" s="118"/>
      <c r="C35" s="83" t="s">
        <v>298</v>
      </c>
      <c r="D35" s="118"/>
      <c r="E35" s="118"/>
      <c r="F35" s="184"/>
      <c r="G35" s="12"/>
      <c r="H35" s="12"/>
      <c r="I35" s="12"/>
      <c r="J35" s="12"/>
      <c r="K35" s="12"/>
      <c r="L35" s="12"/>
      <c r="M35" s="12"/>
      <c r="N35" s="12"/>
    </row>
    <row r="36" spans="2:14" x14ac:dyDescent="0.35">
      <c r="B36" s="87" t="s">
        <v>358</v>
      </c>
      <c r="C36" s="129">
        <f>C26+C28</f>
        <v>1654.9968173138127</v>
      </c>
      <c r="D36" s="2" t="s">
        <v>249</v>
      </c>
      <c r="E36" s="118"/>
      <c r="F36" s="184"/>
      <c r="G36" s="12"/>
      <c r="H36" s="12"/>
      <c r="I36" s="12"/>
      <c r="J36" s="12"/>
      <c r="K36" s="12"/>
      <c r="L36" s="12"/>
      <c r="M36" s="12"/>
      <c r="N36" s="12"/>
    </row>
    <row r="37" spans="2:14" x14ac:dyDescent="0.35">
      <c r="B37" s="87" t="s">
        <v>359</v>
      </c>
      <c r="C37" s="129">
        <v>0</v>
      </c>
      <c r="D37" s="2" t="s">
        <v>249</v>
      </c>
      <c r="E37" s="118"/>
      <c r="F37" s="184"/>
      <c r="G37" s="12"/>
      <c r="H37" s="12"/>
      <c r="I37" s="12"/>
      <c r="J37" s="12"/>
      <c r="K37" s="12"/>
      <c r="L37" s="12"/>
      <c r="M37" s="12"/>
      <c r="N37" s="12"/>
    </row>
    <row r="38" spans="2:14" x14ac:dyDescent="0.35">
      <c r="B38" s="87" t="s">
        <v>360</v>
      </c>
      <c r="C38" s="129">
        <f>C30</f>
        <v>6110.7574793125395</v>
      </c>
      <c r="D38" s="2" t="s">
        <v>249</v>
      </c>
      <c r="E38" s="118"/>
      <c r="F38" s="184"/>
      <c r="G38" s="12"/>
      <c r="H38" s="12"/>
      <c r="I38" s="12"/>
      <c r="J38" s="12"/>
      <c r="K38" s="12"/>
      <c r="L38" s="12"/>
      <c r="M38" s="12"/>
      <c r="N38" s="12"/>
    </row>
    <row r="39" spans="2:14" x14ac:dyDescent="0.35">
      <c r="B39" s="87" t="s">
        <v>361</v>
      </c>
      <c r="C39" s="1" t="s">
        <v>362</v>
      </c>
      <c r="D39" s="118"/>
      <c r="E39" s="118"/>
      <c r="F39" s="184"/>
      <c r="G39" s="12"/>
      <c r="H39" s="12"/>
      <c r="I39" s="12"/>
      <c r="J39" s="12"/>
      <c r="K39" s="12"/>
      <c r="L39" s="12"/>
      <c r="M39" s="12"/>
      <c r="N39" s="12"/>
    </row>
    <row r="40" spans="2:14" x14ac:dyDescent="0.35">
      <c r="B40" s="87" t="s">
        <v>363</v>
      </c>
      <c r="C40" s="129">
        <f>((C36^2+C37^2-C36*C37+3*C38^2)^0.5)</f>
        <v>10712.753398554512</v>
      </c>
      <c r="D40" s="2" t="s">
        <v>249</v>
      </c>
      <c r="E40" s="118"/>
      <c r="F40" s="184"/>
      <c r="G40" s="12"/>
      <c r="H40" s="12"/>
      <c r="I40" s="12"/>
      <c r="J40" s="12"/>
      <c r="K40" s="12"/>
      <c r="L40" s="12"/>
      <c r="M40" s="12"/>
      <c r="N40" s="12"/>
    </row>
    <row r="41" spans="2:14" x14ac:dyDescent="0.35">
      <c r="B41" s="87" t="s">
        <v>364</v>
      </c>
      <c r="C41" s="1" t="s">
        <v>365</v>
      </c>
      <c r="D41" s="118"/>
      <c r="E41" s="118"/>
      <c r="F41" s="184"/>
      <c r="G41" s="12"/>
      <c r="H41" s="12"/>
      <c r="I41" s="12"/>
      <c r="J41" s="12"/>
      <c r="K41" s="12"/>
      <c r="L41" s="12"/>
      <c r="M41" s="12"/>
      <c r="N41" s="12"/>
    </row>
    <row r="42" spans="2:14" x14ac:dyDescent="0.35">
      <c r="B42" s="87" t="s">
        <v>332</v>
      </c>
      <c r="C42" s="90">
        <f>C34 / C40</f>
        <v>3.3604806029472809</v>
      </c>
      <c r="D42" s="118"/>
      <c r="E42" s="118"/>
      <c r="F42" s="184"/>
      <c r="G42" s="12"/>
      <c r="H42" s="12"/>
      <c r="I42" s="12"/>
      <c r="J42" s="12"/>
      <c r="K42" s="12"/>
      <c r="L42" s="12"/>
      <c r="M42" s="12"/>
      <c r="N42" s="12"/>
    </row>
    <row r="43" spans="2:14" x14ac:dyDescent="0.35">
      <c r="L43" s="12"/>
      <c r="M43" s="12"/>
      <c r="N43" s="12"/>
    </row>
    <row r="44" spans="2:14" x14ac:dyDescent="0.35">
      <c r="L44" s="12"/>
      <c r="M44" s="12"/>
      <c r="N44" s="12"/>
    </row>
    <row r="45" spans="2:14" ht="18.5" thickBot="1" x14ac:dyDescent="0.45">
      <c r="B45" s="246" t="s">
        <v>727</v>
      </c>
      <c r="C45" s="118"/>
      <c r="D45" s="118"/>
      <c r="E45" s="118"/>
      <c r="F45" s="184"/>
      <c r="G45" s="12"/>
      <c r="H45" s="12"/>
      <c r="I45" s="12"/>
      <c r="J45" s="12"/>
      <c r="K45" s="12"/>
      <c r="L45" s="12"/>
      <c r="M45" s="12"/>
      <c r="N45" s="12"/>
    </row>
    <row r="46" spans="2:14" ht="16" thickBot="1" x14ac:dyDescent="0.4">
      <c r="C46" s="194" t="s">
        <v>366</v>
      </c>
      <c r="D46" s="195" t="s">
        <v>367</v>
      </c>
      <c r="E46" s="195" t="s">
        <v>368</v>
      </c>
      <c r="F46" s="184"/>
      <c r="G46" s="12"/>
      <c r="H46" s="12"/>
      <c r="I46" s="12"/>
      <c r="J46" s="12"/>
      <c r="K46" s="12"/>
      <c r="L46" s="12"/>
      <c r="M46" s="12"/>
      <c r="N46" s="12"/>
    </row>
    <row r="47" spans="2:14" ht="18" x14ac:dyDescent="0.4">
      <c r="B47" s="247" t="s">
        <v>728</v>
      </c>
      <c r="C47" s="196">
        <v>6</v>
      </c>
      <c r="D47" s="197">
        <v>0.87868000000000002</v>
      </c>
      <c r="E47" s="197">
        <v>-0.33243</v>
      </c>
      <c r="F47" s="184"/>
      <c r="G47" s="12"/>
      <c r="H47" s="12"/>
      <c r="I47" s="12"/>
      <c r="J47" s="12"/>
      <c r="K47" s="12"/>
      <c r="L47" s="12"/>
      <c r="M47" s="12"/>
      <c r="N47" s="12"/>
    </row>
    <row r="48" spans="2:14" x14ac:dyDescent="0.35">
      <c r="B48" s="118"/>
      <c r="C48" s="196">
        <v>3</v>
      </c>
      <c r="D48" s="197">
        <v>0.89334000000000002</v>
      </c>
      <c r="E48" s="197">
        <v>-0.30859999999999999</v>
      </c>
      <c r="F48" s="184"/>
      <c r="G48" s="12"/>
      <c r="H48" s="12"/>
      <c r="I48" s="12"/>
      <c r="J48" s="12"/>
      <c r="K48" s="12"/>
      <c r="L48" s="12"/>
      <c r="M48" s="12"/>
      <c r="N48" s="12"/>
    </row>
    <row r="49" spans="2:14" x14ac:dyDescent="0.35">
      <c r="B49" s="118"/>
      <c r="C49" s="196">
        <v>2</v>
      </c>
      <c r="D49" s="197">
        <v>0.90878999999999999</v>
      </c>
      <c r="E49" s="197">
        <v>-0.28598000000000001</v>
      </c>
      <c r="F49" s="184"/>
      <c r="G49" s="12"/>
      <c r="H49" s="12"/>
      <c r="I49" s="12"/>
      <c r="J49" s="12"/>
      <c r="K49" s="12"/>
      <c r="L49" s="12"/>
      <c r="M49" s="12"/>
      <c r="N49" s="12"/>
    </row>
    <row r="50" spans="2:14" x14ac:dyDescent="0.35">
      <c r="B50" s="118"/>
      <c r="C50" s="196">
        <v>1.5</v>
      </c>
      <c r="D50" s="197">
        <v>0.93835999999999997</v>
      </c>
      <c r="E50" s="197">
        <v>-0.25758999999999999</v>
      </c>
      <c r="F50" s="184"/>
      <c r="G50" s="12"/>
      <c r="H50" s="12"/>
      <c r="I50" s="12"/>
      <c r="J50" s="12"/>
      <c r="K50" s="12"/>
      <c r="L50" s="12"/>
      <c r="M50" s="12"/>
      <c r="N50" s="12"/>
    </row>
    <row r="51" spans="2:14" x14ac:dyDescent="0.35">
      <c r="B51" s="118"/>
      <c r="C51" s="196">
        <v>1.2</v>
      </c>
      <c r="D51" s="197">
        <v>0.97097999999999995</v>
      </c>
      <c r="E51" s="197">
        <v>-0.21795999999999999</v>
      </c>
      <c r="F51" s="184"/>
      <c r="G51" s="12"/>
      <c r="H51" s="12"/>
      <c r="I51" s="12"/>
      <c r="J51" s="12"/>
      <c r="K51" s="12"/>
      <c r="L51" s="12"/>
      <c r="M51" s="12"/>
      <c r="N51" s="12"/>
    </row>
    <row r="52" spans="2:14" x14ac:dyDescent="0.35">
      <c r="B52" s="118"/>
      <c r="C52" s="196">
        <v>1.1000000000000001</v>
      </c>
      <c r="D52" s="197">
        <v>0.95120000000000005</v>
      </c>
      <c r="E52" s="197">
        <v>-0.23757</v>
      </c>
      <c r="F52" s="184"/>
      <c r="G52" s="12"/>
      <c r="H52" s="12"/>
      <c r="I52" s="12"/>
      <c r="J52" s="12"/>
      <c r="K52" s="12"/>
      <c r="L52" s="12"/>
      <c r="M52" s="12"/>
      <c r="N52" s="12"/>
    </row>
    <row r="53" spans="2:14" x14ac:dyDescent="0.35">
      <c r="B53" s="118"/>
      <c r="C53" s="196">
        <v>1.07</v>
      </c>
      <c r="D53" s="197">
        <v>0.97526999999999997</v>
      </c>
      <c r="E53" s="197">
        <v>-0.20957999999999999</v>
      </c>
      <c r="F53" s="184"/>
      <c r="G53" s="12"/>
      <c r="H53" s="12"/>
      <c r="I53" s="12"/>
      <c r="J53" s="12"/>
      <c r="K53" s="12"/>
      <c r="L53" s="12"/>
      <c r="M53" s="12"/>
      <c r="N53" s="12"/>
    </row>
    <row r="54" spans="2:14" x14ac:dyDescent="0.35">
      <c r="B54" s="118"/>
      <c r="C54" s="196">
        <v>1.05</v>
      </c>
      <c r="D54" s="197">
        <v>0.98136999999999996</v>
      </c>
      <c r="E54" s="197">
        <v>-0.19653000000000001</v>
      </c>
      <c r="F54" s="184"/>
      <c r="G54" s="12"/>
      <c r="H54" s="12"/>
      <c r="I54" s="12"/>
      <c r="J54" s="12"/>
      <c r="K54" s="12"/>
      <c r="L54" s="12"/>
      <c r="M54" s="12"/>
      <c r="N54" s="12"/>
    </row>
    <row r="55" spans="2:14" x14ac:dyDescent="0.35">
      <c r="B55" s="118"/>
      <c r="C55" s="196">
        <v>1.03</v>
      </c>
      <c r="D55" s="197">
        <v>0.98060999999999998</v>
      </c>
      <c r="E55" s="197">
        <v>-0.18381</v>
      </c>
      <c r="F55" s="184"/>
      <c r="G55" s="12"/>
      <c r="H55" s="12"/>
      <c r="I55" s="12"/>
      <c r="J55" s="12"/>
      <c r="K55" s="12"/>
      <c r="L55" s="12"/>
      <c r="M55" s="12"/>
      <c r="N55" s="12"/>
    </row>
    <row r="56" spans="2:14" x14ac:dyDescent="0.35">
      <c r="B56" s="118"/>
      <c r="C56" s="196">
        <v>1.02</v>
      </c>
      <c r="D56" s="197">
        <v>0.96048</v>
      </c>
      <c r="E56" s="197">
        <v>-0.17710999999999999</v>
      </c>
      <c r="F56" s="184"/>
      <c r="G56" s="12"/>
      <c r="H56" s="12"/>
      <c r="I56" s="12"/>
      <c r="J56" s="12"/>
      <c r="K56" s="12"/>
      <c r="L56" s="12"/>
      <c r="M56" s="12"/>
      <c r="N56" s="12"/>
    </row>
    <row r="57" spans="2:14" ht="16" thickBot="1" x14ac:dyDescent="0.4">
      <c r="B57" s="118"/>
      <c r="C57" s="196">
        <v>1.01</v>
      </c>
      <c r="D57" s="198">
        <v>0.91937999999999998</v>
      </c>
      <c r="E57" s="198">
        <v>-0.17032</v>
      </c>
      <c r="F57" s="184"/>
      <c r="G57" s="12"/>
      <c r="H57" s="12"/>
      <c r="I57" s="12"/>
      <c r="J57" s="12"/>
      <c r="K57" s="12"/>
      <c r="L57" s="12"/>
      <c r="M57" s="12"/>
      <c r="N57" s="12"/>
    </row>
    <row r="58" spans="2:14" x14ac:dyDescent="0.35">
      <c r="B58" s="118"/>
      <c r="C58" s="118"/>
      <c r="D58" s="118"/>
      <c r="E58" s="87"/>
      <c r="F58" s="184"/>
      <c r="G58" s="12"/>
      <c r="H58" s="12"/>
      <c r="I58" s="12"/>
      <c r="J58" s="12"/>
      <c r="K58" s="12"/>
      <c r="L58" s="12"/>
      <c r="M58" s="12"/>
      <c r="N58" s="12"/>
    </row>
    <row r="59" spans="2:14" x14ac:dyDescent="0.35">
      <c r="B59" s="118"/>
      <c r="C59" s="118"/>
      <c r="D59" s="118"/>
      <c r="E59" s="199"/>
      <c r="F59" s="184"/>
      <c r="G59" s="12"/>
      <c r="H59" s="12"/>
      <c r="I59" s="12"/>
      <c r="J59" s="12"/>
      <c r="K59" s="12"/>
      <c r="L59" s="12"/>
      <c r="M59" s="12"/>
      <c r="N59" s="12"/>
    </row>
    <row r="60" spans="2:14" ht="18" x14ac:dyDescent="0.4">
      <c r="B60" s="246" t="s">
        <v>618</v>
      </c>
      <c r="C60" s="199"/>
      <c r="D60" s="199"/>
      <c r="E60" s="199"/>
      <c r="F60" s="184"/>
      <c r="G60" s="12"/>
      <c r="H60" s="12"/>
      <c r="I60" s="12"/>
      <c r="J60" s="12"/>
      <c r="K60" s="12"/>
      <c r="L60" s="12"/>
      <c r="M60" s="12"/>
      <c r="N60" s="12"/>
    </row>
    <row r="61" spans="2:14" ht="16" thickBot="1" x14ac:dyDescent="0.4">
      <c r="B61" s="200"/>
      <c r="C61" s="185" t="s">
        <v>165</v>
      </c>
      <c r="D61" s="201"/>
      <c r="E61" s="199"/>
      <c r="F61" s="184"/>
      <c r="G61" s="12"/>
      <c r="H61" s="12"/>
      <c r="I61" s="12"/>
      <c r="J61" s="12"/>
      <c r="K61" s="12"/>
      <c r="L61" s="12"/>
      <c r="M61" s="12"/>
      <c r="N61" s="12"/>
    </row>
    <row r="62" spans="2:14" x14ac:dyDescent="0.35">
      <c r="B62" s="202" t="s">
        <v>369</v>
      </c>
      <c r="C62" s="203">
        <v>4</v>
      </c>
      <c r="D62" s="199" t="s">
        <v>10</v>
      </c>
      <c r="E62" s="199"/>
      <c r="F62" s="184"/>
      <c r="G62" s="12"/>
      <c r="H62" s="12"/>
      <c r="I62" s="12"/>
      <c r="J62" s="12"/>
      <c r="K62" s="12"/>
      <c r="L62" s="12"/>
      <c r="M62" s="12"/>
      <c r="N62" s="12"/>
    </row>
    <row r="63" spans="2:14" x14ac:dyDescent="0.35">
      <c r="B63" s="202" t="s">
        <v>370</v>
      </c>
      <c r="C63" s="204">
        <v>3.3305730000000002</v>
      </c>
      <c r="D63" s="199" t="s">
        <v>10</v>
      </c>
      <c r="E63" s="199"/>
      <c r="F63" s="184"/>
      <c r="G63" s="12"/>
      <c r="H63" s="12"/>
      <c r="I63" s="12"/>
      <c r="J63" s="12"/>
      <c r="K63" s="12"/>
      <c r="L63" s="12"/>
      <c r="M63" s="12"/>
      <c r="N63" s="12"/>
    </row>
    <row r="64" spans="2:14" ht="16" thickBot="1" x14ac:dyDescent="0.4">
      <c r="B64" s="200" t="s">
        <v>371</v>
      </c>
      <c r="C64" s="205">
        <v>0.25</v>
      </c>
      <c r="D64" s="199" t="s">
        <v>10</v>
      </c>
      <c r="E64" s="199"/>
      <c r="F64" s="184"/>
      <c r="G64" s="12"/>
      <c r="H64" s="12"/>
      <c r="I64" s="12"/>
      <c r="J64" s="12"/>
      <c r="K64" s="12"/>
      <c r="L64" s="12"/>
      <c r="M64" s="12"/>
      <c r="N64" s="12"/>
    </row>
    <row r="65" spans="2:14" x14ac:dyDescent="0.35">
      <c r="B65" s="200"/>
      <c r="C65" s="206" t="s">
        <v>13</v>
      </c>
      <c r="D65" s="199"/>
      <c r="E65" s="199"/>
      <c r="F65" s="184"/>
      <c r="G65" s="12"/>
      <c r="H65" s="12"/>
      <c r="I65" s="12"/>
      <c r="J65" s="12"/>
      <c r="K65" s="12"/>
      <c r="L65" s="12"/>
      <c r="M65" s="12"/>
      <c r="N65" s="12"/>
    </row>
    <row r="66" spans="2:14" x14ac:dyDescent="0.35">
      <c r="B66" s="194" t="s">
        <v>372</v>
      </c>
      <c r="C66" s="207">
        <f>C62/C63</f>
        <v>1.2009945435815399</v>
      </c>
      <c r="D66" s="199"/>
      <c r="E66" s="199"/>
      <c r="F66" s="184"/>
      <c r="G66" s="12"/>
      <c r="H66" s="12"/>
      <c r="I66" s="12"/>
      <c r="J66" s="12"/>
      <c r="K66" s="12"/>
      <c r="L66" s="12"/>
      <c r="M66" s="12"/>
      <c r="N66" s="12"/>
    </row>
    <row r="67" spans="2:14" ht="16" thickBot="1" x14ac:dyDescent="0.4">
      <c r="B67" s="200"/>
      <c r="C67" s="185" t="s">
        <v>373</v>
      </c>
      <c r="D67" s="199"/>
      <c r="E67" s="199"/>
      <c r="F67" s="184"/>
      <c r="G67" s="12"/>
      <c r="H67" s="12"/>
      <c r="I67" s="12"/>
      <c r="J67" s="12"/>
      <c r="K67" s="12"/>
      <c r="L67" s="12"/>
      <c r="M67" s="12"/>
      <c r="N67" s="12"/>
    </row>
    <row r="68" spans="2:14" x14ac:dyDescent="0.35">
      <c r="B68" s="200" t="s">
        <v>374</v>
      </c>
      <c r="C68" s="208">
        <v>0.97097999999999995</v>
      </c>
      <c r="D68" s="199"/>
      <c r="E68" s="199"/>
      <c r="F68" s="184"/>
      <c r="G68" s="12"/>
      <c r="H68" s="12"/>
      <c r="I68" s="12"/>
      <c r="J68" s="12"/>
      <c r="K68" s="12"/>
      <c r="L68" s="12"/>
      <c r="M68" s="12"/>
      <c r="N68" s="12"/>
    </row>
    <row r="69" spans="2:14" ht="16" thickBot="1" x14ac:dyDescent="0.4">
      <c r="B69" s="200" t="s">
        <v>375</v>
      </c>
      <c r="C69" s="209">
        <v>-0.21795999999999999</v>
      </c>
      <c r="D69" s="199"/>
      <c r="E69" s="118"/>
      <c r="F69" s="184"/>
      <c r="G69" s="12"/>
      <c r="H69" s="12"/>
      <c r="I69" s="12"/>
      <c r="J69" s="12"/>
      <c r="K69" s="12"/>
      <c r="L69" s="12"/>
      <c r="M69" s="12"/>
      <c r="N69" s="12"/>
    </row>
    <row r="70" spans="2:14" x14ac:dyDescent="0.35">
      <c r="B70" s="200"/>
      <c r="C70" s="206" t="s">
        <v>13</v>
      </c>
      <c r="D70" s="199"/>
      <c r="E70" s="199"/>
      <c r="F70" s="184"/>
      <c r="G70" s="12"/>
      <c r="H70" s="12"/>
      <c r="I70" s="12"/>
      <c r="J70" s="12"/>
      <c r="K70" s="12"/>
      <c r="L70" s="12"/>
      <c r="M70" s="12"/>
      <c r="N70" s="12"/>
    </row>
    <row r="71" spans="2:14" x14ac:dyDescent="0.35">
      <c r="B71" s="210" t="s">
        <v>376</v>
      </c>
      <c r="C71" s="211" t="s">
        <v>377</v>
      </c>
      <c r="D71" s="199"/>
      <c r="E71" s="199"/>
      <c r="F71" s="184"/>
      <c r="G71" s="12"/>
      <c r="H71" s="12"/>
      <c r="I71" s="12"/>
      <c r="J71" s="12"/>
      <c r="K71" s="12"/>
      <c r="L71" s="12"/>
      <c r="M71" s="12"/>
      <c r="N71" s="12"/>
    </row>
    <row r="72" spans="2:14" x14ac:dyDescent="0.35">
      <c r="B72" s="210" t="s">
        <v>378</v>
      </c>
      <c r="C72" s="207">
        <f>C68 *(C64/ C63)^C69</f>
        <v>1.7073537473499105</v>
      </c>
      <c r="D72" s="199"/>
      <c r="E72" s="199"/>
      <c r="F72" s="184"/>
      <c r="G72" s="12"/>
      <c r="H72" s="12"/>
      <c r="I72" s="12"/>
      <c r="J72" s="12"/>
      <c r="K72" s="12"/>
      <c r="L72" s="12"/>
      <c r="M72" s="12"/>
      <c r="N72" s="12"/>
    </row>
    <row r="73" spans="2:14" x14ac:dyDescent="0.35">
      <c r="B73" s="126" t="s">
        <v>379</v>
      </c>
      <c r="C73" s="118"/>
      <c r="D73" s="118"/>
      <c r="E73" s="199"/>
      <c r="F73" s="184"/>
      <c r="G73" s="12"/>
      <c r="H73" s="12"/>
      <c r="I73" s="12"/>
      <c r="J73" s="12"/>
      <c r="K73" s="12"/>
      <c r="L73" s="12"/>
      <c r="M73" s="12"/>
      <c r="N73" s="12"/>
    </row>
    <row r="74" spans="2:14" ht="16" thickBot="1" x14ac:dyDescent="0.4">
      <c r="B74" s="118"/>
      <c r="C74" s="185" t="s">
        <v>165</v>
      </c>
      <c r="D74" s="118"/>
      <c r="E74" s="199"/>
      <c r="F74" s="184"/>
      <c r="G74" s="12"/>
      <c r="H74" s="12"/>
      <c r="I74" s="12"/>
      <c r="J74" s="12"/>
      <c r="K74" s="12"/>
      <c r="L74" s="12"/>
      <c r="M74" s="12"/>
      <c r="N74" s="12"/>
    </row>
    <row r="75" spans="2:14" x14ac:dyDescent="0.35">
      <c r="B75" s="60" t="s">
        <v>725</v>
      </c>
      <c r="C75" s="186">
        <v>24000</v>
      </c>
      <c r="D75" s="118" t="s">
        <v>249</v>
      </c>
      <c r="E75" s="199"/>
      <c r="F75" s="184"/>
      <c r="G75" s="12"/>
      <c r="H75" s="12"/>
      <c r="I75" s="12"/>
      <c r="J75" s="12"/>
      <c r="K75" s="12"/>
      <c r="L75" s="12"/>
      <c r="M75" s="12"/>
      <c r="N75" s="12"/>
    </row>
    <row r="76" spans="2:14" ht="16" thickBot="1" x14ac:dyDescent="0.4">
      <c r="B76" s="202" t="s">
        <v>380</v>
      </c>
      <c r="C76" s="212">
        <v>1.98</v>
      </c>
      <c r="D76" s="118"/>
      <c r="E76" s="199"/>
      <c r="F76" s="184"/>
      <c r="G76" s="12"/>
      <c r="H76" s="12"/>
      <c r="I76" s="12"/>
      <c r="J76" s="12"/>
      <c r="K76" s="12"/>
      <c r="L76" s="12"/>
      <c r="M76" s="12"/>
      <c r="N76" s="12"/>
    </row>
    <row r="77" spans="2:14" x14ac:dyDescent="0.35">
      <c r="B77" s="118"/>
      <c r="C77" s="206" t="s">
        <v>13</v>
      </c>
      <c r="D77" s="118"/>
      <c r="E77" s="199"/>
      <c r="F77" s="184"/>
      <c r="G77" s="12"/>
      <c r="H77" s="12"/>
      <c r="I77" s="12"/>
      <c r="J77" s="12"/>
      <c r="K77" s="12"/>
      <c r="L77" s="12"/>
      <c r="M77" s="12"/>
      <c r="N77" s="12"/>
    </row>
    <row r="78" spans="2:14" x14ac:dyDescent="0.35">
      <c r="B78" s="87" t="s">
        <v>381</v>
      </c>
      <c r="C78" s="2" t="s">
        <v>382</v>
      </c>
      <c r="D78" s="190"/>
      <c r="E78" s="199"/>
      <c r="F78" s="184"/>
      <c r="G78" s="12"/>
      <c r="H78" s="12"/>
      <c r="I78" s="12"/>
      <c r="J78" s="12"/>
      <c r="K78" s="12"/>
      <c r="L78" s="12"/>
      <c r="M78" s="12"/>
      <c r="N78" s="12"/>
    </row>
    <row r="79" spans="2:14" x14ac:dyDescent="0.35">
      <c r="B79" s="87" t="s">
        <v>383</v>
      </c>
      <c r="C79" s="1">
        <f>C76*C75</f>
        <v>47520</v>
      </c>
      <c r="D79" s="2" t="s">
        <v>249</v>
      </c>
      <c r="E79" s="194"/>
      <c r="F79" s="184"/>
      <c r="G79" s="12"/>
      <c r="H79" s="12"/>
      <c r="I79" s="12"/>
      <c r="J79" s="12"/>
      <c r="K79" s="12"/>
      <c r="L79" s="12"/>
      <c r="M79" s="12"/>
      <c r="N79" s="12"/>
    </row>
    <row r="80" spans="2:14" x14ac:dyDescent="0.35">
      <c r="F80" s="12"/>
      <c r="G80" s="12"/>
      <c r="H80" s="12"/>
      <c r="I80" s="12"/>
      <c r="J80" s="12"/>
      <c r="K80" s="12"/>
      <c r="L80" s="12"/>
      <c r="M80" s="12"/>
      <c r="N80" s="12"/>
    </row>
    <row r="81" spans="2:14" x14ac:dyDescent="0.35">
      <c r="B81" s="19"/>
      <c r="C81" s="20"/>
      <c r="D81" s="20"/>
      <c r="E81" s="21"/>
      <c r="F81" s="22"/>
      <c r="G81" s="22"/>
      <c r="H81" s="12"/>
      <c r="I81" s="12"/>
      <c r="J81" s="12"/>
      <c r="K81" s="12"/>
      <c r="L81" s="12"/>
      <c r="M81" s="12"/>
      <c r="N81" s="12"/>
    </row>
    <row r="82" spans="2:14" x14ac:dyDescent="0.35">
      <c r="F82" s="12"/>
      <c r="G82" s="12"/>
      <c r="H82" s="12"/>
      <c r="I82" s="12"/>
      <c r="J82" s="12"/>
      <c r="K82" s="12"/>
      <c r="L82" s="12"/>
      <c r="M82" s="12"/>
      <c r="N82" s="12"/>
    </row>
    <row r="83" spans="2:14" ht="18" x14ac:dyDescent="0.4">
      <c r="B83" s="246" t="s">
        <v>384</v>
      </c>
      <c r="C83" s="118"/>
      <c r="D83" s="199"/>
      <c r="E83" s="199"/>
      <c r="F83" s="184"/>
      <c r="G83" s="12"/>
      <c r="H83" s="12"/>
      <c r="I83" s="12"/>
      <c r="J83" s="12"/>
      <c r="K83" s="12"/>
      <c r="L83" s="12"/>
      <c r="M83" s="12"/>
      <c r="N83" s="12"/>
    </row>
    <row r="84" spans="2:14" x14ac:dyDescent="0.35">
      <c r="B84" s="118"/>
      <c r="C84" s="118"/>
      <c r="D84" s="199"/>
      <c r="E84" s="118"/>
      <c r="F84" s="184"/>
      <c r="G84" s="12"/>
      <c r="H84" s="12"/>
      <c r="I84" s="12"/>
      <c r="J84" s="12"/>
      <c r="K84" s="12"/>
      <c r="L84" s="12"/>
      <c r="M84" s="12"/>
      <c r="N84" s="12"/>
    </row>
    <row r="85" spans="2:14" x14ac:dyDescent="0.35">
      <c r="B85" s="118"/>
      <c r="C85" s="199"/>
      <c r="D85" s="199"/>
      <c r="E85" s="199"/>
      <c r="F85" s="184"/>
      <c r="G85" s="12"/>
      <c r="H85" s="12"/>
      <c r="I85" s="12"/>
      <c r="J85" s="12"/>
      <c r="K85" s="12"/>
      <c r="L85" s="12"/>
      <c r="M85" s="12"/>
      <c r="N85" s="12"/>
    </row>
    <row r="86" spans="2:14" x14ac:dyDescent="0.35">
      <c r="B86" s="213"/>
      <c r="C86" s="214"/>
      <c r="D86" s="215"/>
      <c r="E86" s="118"/>
      <c r="F86" s="184"/>
      <c r="G86" s="12"/>
      <c r="H86" s="12"/>
      <c r="I86" s="12"/>
      <c r="J86" s="12"/>
      <c r="K86" s="12"/>
      <c r="L86" s="12"/>
      <c r="M86" s="12"/>
      <c r="N86" s="12"/>
    </row>
    <row r="87" spans="2:14" x14ac:dyDescent="0.35">
      <c r="B87" s="213"/>
      <c r="C87" s="216"/>
      <c r="D87" s="215"/>
      <c r="E87" s="199"/>
      <c r="F87" s="184"/>
      <c r="G87" s="12"/>
      <c r="H87" s="12"/>
      <c r="I87" s="12"/>
      <c r="J87" s="12"/>
      <c r="K87" s="12"/>
      <c r="L87" s="12"/>
      <c r="M87" s="12"/>
      <c r="N87" s="12"/>
    </row>
    <row r="88" spans="2:14" x14ac:dyDescent="0.35">
      <c r="B88" s="213"/>
      <c r="C88" s="217"/>
      <c r="D88" s="215"/>
      <c r="E88" s="199"/>
      <c r="F88" s="184"/>
      <c r="G88" s="12"/>
      <c r="H88" s="12"/>
      <c r="I88" s="12"/>
      <c r="J88" s="12"/>
      <c r="K88" s="12"/>
      <c r="L88" s="12"/>
      <c r="M88" s="12"/>
      <c r="N88" s="12"/>
    </row>
    <row r="89" spans="2:14" x14ac:dyDescent="0.35">
      <c r="B89" s="213"/>
      <c r="C89" s="118"/>
      <c r="D89" s="118"/>
      <c r="E89" s="118"/>
      <c r="F89" s="184"/>
      <c r="G89" s="12"/>
      <c r="H89" s="12"/>
      <c r="I89" s="12"/>
      <c r="J89" s="12"/>
      <c r="K89" s="12"/>
      <c r="L89" s="12"/>
      <c r="M89" s="12"/>
      <c r="N89" s="12"/>
    </row>
    <row r="90" spans="2:14" x14ac:dyDescent="0.35">
      <c r="B90" s="213"/>
      <c r="C90" s="118"/>
      <c r="D90" s="118"/>
      <c r="E90" s="118"/>
      <c r="F90" s="184"/>
      <c r="G90" s="12"/>
      <c r="H90" s="12"/>
      <c r="I90" s="12"/>
      <c r="J90" s="12"/>
      <c r="K90" s="12"/>
      <c r="L90" s="12"/>
      <c r="M90" s="12"/>
      <c r="N90" s="12"/>
    </row>
    <row r="91" spans="2:14" x14ac:dyDescent="0.35">
      <c r="B91" s="118"/>
      <c r="C91" s="118"/>
      <c r="D91" s="118"/>
      <c r="E91" s="118"/>
      <c r="F91" s="184"/>
      <c r="G91" s="12"/>
      <c r="H91" s="12"/>
      <c r="I91" s="12"/>
      <c r="J91" s="12"/>
      <c r="K91" s="12"/>
      <c r="L91" s="12"/>
      <c r="M91" s="12"/>
      <c r="N91" s="12"/>
    </row>
    <row r="92" spans="2:14" x14ac:dyDescent="0.35">
      <c r="B92" s="118"/>
      <c r="C92" s="118"/>
      <c r="D92" s="118"/>
      <c r="E92" s="118"/>
      <c r="F92" s="184"/>
      <c r="G92" s="12"/>
      <c r="H92" s="12"/>
      <c r="I92" s="12"/>
      <c r="J92" s="12"/>
      <c r="K92" s="12"/>
      <c r="L92" s="12"/>
      <c r="M92" s="12"/>
      <c r="N92" s="12"/>
    </row>
    <row r="93" spans="2:14" x14ac:dyDescent="0.35">
      <c r="B93" s="118"/>
      <c r="C93" s="118"/>
      <c r="D93" s="118"/>
      <c r="E93" s="118"/>
      <c r="F93" s="184"/>
      <c r="G93" s="12"/>
      <c r="H93" s="12"/>
      <c r="I93" s="12"/>
      <c r="J93" s="12"/>
      <c r="K93" s="12"/>
      <c r="L93" s="12"/>
      <c r="M93" s="12"/>
      <c r="N93" s="12"/>
    </row>
    <row r="94" spans="2:14" x14ac:dyDescent="0.35">
      <c r="B94" s="118"/>
      <c r="C94" s="118"/>
      <c r="D94" s="118"/>
      <c r="E94" s="118"/>
      <c r="F94" s="184"/>
      <c r="G94" s="12"/>
      <c r="H94" s="12"/>
      <c r="I94" s="12"/>
      <c r="J94" s="12"/>
      <c r="K94" s="12"/>
      <c r="L94" s="12"/>
      <c r="M94" s="12"/>
      <c r="N94" s="12"/>
    </row>
    <row r="95" spans="2:14" x14ac:dyDescent="0.35">
      <c r="B95" s="118"/>
      <c r="C95" s="118"/>
      <c r="D95" s="118"/>
      <c r="E95" s="118"/>
      <c r="F95" s="184"/>
      <c r="G95" s="12"/>
      <c r="H95" s="12"/>
      <c r="I95" s="12"/>
      <c r="J95" s="12"/>
      <c r="K95" s="12"/>
      <c r="L95" s="12"/>
      <c r="M95" s="12"/>
      <c r="N95" s="12"/>
    </row>
    <row r="96" spans="2:14" x14ac:dyDescent="0.35">
      <c r="B96" s="200"/>
      <c r="C96" s="118"/>
      <c r="D96" s="118"/>
      <c r="E96" s="118"/>
      <c r="F96" s="184"/>
      <c r="G96" s="12"/>
      <c r="H96" s="12"/>
      <c r="I96" s="12"/>
      <c r="J96" s="12"/>
      <c r="K96" s="12"/>
      <c r="L96" s="12"/>
      <c r="M96" s="12"/>
      <c r="N96" s="12"/>
    </row>
    <row r="97" spans="2:14" x14ac:dyDescent="0.35">
      <c r="B97" s="200"/>
      <c r="C97" s="118"/>
      <c r="D97" s="118"/>
      <c r="E97" s="118"/>
      <c r="F97" s="184"/>
      <c r="G97" s="12"/>
      <c r="H97" s="12"/>
      <c r="I97" s="12"/>
      <c r="J97" s="12"/>
      <c r="K97" s="12"/>
      <c r="L97" s="12"/>
      <c r="M97" s="12"/>
      <c r="N97" s="12"/>
    </row>
    <row r="98" spans="2:14" x14ac:dyDescent="0.35">
      <c r="B98" s="200"/>
      <c r="C98" s="118"/>
      <c r="D98" s="118"/>
      <c r="E98" s="118"/>
      <c r="F98" s="184"/>
      <c r="G98" s="12"/>
      <c r="H98" s="12"/>
      <c r="I98" s="12"/>
      <c r="J98" s="12"/>
      <c r="K98" s="12"/>
      <c r="L98" s="12"/>
      <c r="M98" s="12"/>
      <c r="N98" s="12"/>
    </row>
    <row r="99" spans="2:14" x14ac:dyDescent="0.35">
      <c r="B99" s="200"/>
      <c r="C99" s="118"/>
      <c r="D99" s="118"/>
      <c r="E99" s="118"/>
      <c r="F99" s="184"/>
      <c r="G99" s="12"/>
      <c r="H99" s="12"/>
      <c r="I99" s="12"/>
      <c r="J99" s="12"/>
      <c r="K99" s="12"/>
      <c r="L99" s="12"/>
      <c r="M99" s="12"/>
      <c r="N99" s="12"/>
    </row>
    <row r="100" spans="2:14" x14ac:dyDescent="0.35">
      <c r="B100" s="200"/>
      <c r="C100" s="199"/>
      <c r="D100" s="199"/>
      <c r="E100" s="199"/>
      <c r="F100" s="184"/>
      <c r="G100" s="12"/>
      <c r="H100" s="12"/>
      <c r="I100" s="12"/>
      <c r="J100" s="12"/>
      <c r="K100" s="12"/>
      <c r="L100" s="12"/>
      <c r="M100" s="12"/>
      <c r="N100" s="12"/>
    </row>
    <row r="101" spans="2:14" ht="16" thickBot="1" x14ac:dyDescent="0.4">
      <c r="B101" s="200"/>
      <c r="C101" s="199"/>
      <c r="D101" s="199"/>
      <c r="E101" s="199"/>
      <c r="F101" s="184"/>
      <c r="G101" s="12"/>
      <c r="H101" s="12"/>
      <c r="I101" s="12"/>
      <c r="J101" s="12"/>
      <c r="K101" s="12"/>
      <c r="L101" s="12"/>
      <c r="M101" s="12"/>
      <c r="N101" s="12"/>
    </row>
    <row r="102" spans="2:14" x14ac:dyDescent="0.35">
      <c r="B102" s="126" t="s">
        <v>0</v>
      </c>
      <c r="C102" s="215"/>
      <c r="D102" s="218" t="s">
        <v>385</v>
      </c>
      <c r="E102" s="219" t="s">
        <v>386</v>
      </c>
      <c r="F102" s="184"/>
      <c r="G102" s="12"/>
      <c r="H102" s="12"/>
      <c r="I102" s="12"/>
      <c r="J102" s="12"/>
      <c r="K102" s="12"/>
      <c r="L102" s="12"/>
      <c r="M102" s="12"/>
      <c r="N102" s="12"/>
    </row>
    <row r="103" spans="2:14" ht="16" thickBot="1" x14ac:dyDescent="0.4">
      <c r="B103" s="200"/>
      <c r="C103" s="194" t="s">
        <v>387</v>
      </c>
      <c r="D103" s="220" t="s">
        <v>388</v>
      </c>
      <c r="E103" s="221" t="s">
        <v>388</v>
      </c>
      <c r="F103" s="184"/>
      <c r="G103" s="12"/>
      <c r="H103" s="12"/>
      <c r="I103" s="12"/>
      <c r="J103" s="12"/>
      <c r="K103" s="12"/>
      <c r="L103" s="12"/>
      <c r="M103" s="12"/>
      <c r="N103" s="12"/>
    </row>
    <row r="104" spans="2:14" x14ac:dyDescent="0.35">
      <c r="B104" s="118"/>
      <c r="C104" s="196">
        <v>0.3</v>
      </c>
      <c r="D104" s="222">
        <v>1.41</v>
      </c>
      <c r="E104" s="222">
        <v>1.35</v>
      </c>
      <c r="F104" s="184"/>
      <c r="G104" s="12"/>
      <c r="H104" s="12"/>
      <c r="I104" s="12"/>
      <c r="J104" s="12"/>
      <c r="K104" s="12"/>
      <c r="L104" s="12"/>
      <c r="M104" s="12"/>
      <c r="N104" s="12"/>
    </row>
    <row r="105" spans="2:14" x14ac:dyDescent="0.35">
      <c r="B105" s="60"/>
      <c r="C105" s="196">
        <v>0.25</v>
      </c>
      <c r="D105" s="222">
        <v>1.48</v>
      </c>
      <c r="E105" s="222">
        <v>1.4</v>
      </c>
      <c r="F105" s="184"/>
      <c r="G105" s="12"/>
      <c r="H105" s="12"/>
      <c r="I105" s="12"/>
      <c r="J105" s="12"/>
      <c r="K105" s="12"/>
      <c r="L105" s="12"/>
      <c r="M105" s="12"/>
      <c r="N105" s="12"/>
    </row>
    <row r="106" spans="2:14" x14ac:dyDescent="0.35">
      <c r="B106" s="60"/>
      <c r="C106" s="196">
        <v>0.2</v>
      </c>
      <c r="D106" s="222">
        <v>1.58</v>
      </c>
      <c r="E106" s="222">
        <v>1.46</v>
      </c>
      <c r="F106" s="184"/>
      <c r="G106" s="12"/>
      <c r="H106" s="12"/>
      <c r="I106" s="12"/>
      <c r="J106" s="12"/>
      <c r="K106" s="12"/>
      <c r="L106" s="12"/>
      <c r="M106" s="12"/>
      <c r="N106" s="12"/>
    </row>
    <row r="107" spans="2:14" x14ac:dyDescent="0.35">
      <c r="B107" s="118"/>
      <c r="C107" s="202">
        <v>0.15</v>
      </c>
      <c r="D107" s="222">
        <v>1.73</v>
      </c>
      <c r="E107" s="222">
        <v>1.52</v>
      </c>
      <c r="F107" s="184"/>
      <c r="G107" s="12"/>
      <c r="H107" s="12"/>
      <c r="I107" s="12"/>
      <c r="J107" s="12"/>
      <c r="K107" s="12"/>
      <c r="L107" s="12"/>
      <c r="M107" s="12"/>
      <c r="N107" s="12"/>
    </row>
    <row r="108" spans="2:14" x14ac:dyDescent="0.35">
      <c r="B108" s="118"/>
      <c r="C108" s="202">
        <v>0.1</v>
      </c>
      <c r="D108" s="222">
        <v>2.5</v>
      </c>
      <c r="E108" s="222">
        <v>1.5</v>
      </c>
      <c r="F108" s="184"/>
      <c r="G108" s="12"/>
      <c r="H108" s="12"/>
      <c r="I108" s="12"/>
      <c r="J108" s="12"/>
      <c r="K108" s="12"/>
      <c r="L108" s="12"/>
      <c r="M108" s="12"/>
      <c r="N108" s="12"/>
    </row>
    <row r="109" spans="2:14" ht="16" thickBot="1" x14ac:dyDescent="0.4">
      <c r="B109" s="196"/>
      <c r="C109" s="196">
        <v>0.05</v>
      </c>
      <c r="D109" s="223">
        <v>2.68</v>
      </c>
      <c r="E109" s="223">
        <v>2.0699999999999998</v>
      </c>
      <c r="F109" s="184"/>
      <c r="G109" s="12"/>
      <c r="H109" s="12"/>
      <c r="I109" s="12"/>
      <c r="J109" s="12"/>
      <c r="K109" s="12"/>
      <c r="L109" s="12"/>
      <c r="M109" s="12"/>
      <c r="N109" s="12"/>
    </row>
    <row r="110" spans="2:14" x14ac:dyDescent="0.35">
      <c r="B110" s="200"/>
      <c r="C110" s="118"/>
      <c r="D110" s="118"/>
      <c r="E110" s="118"/>
      <c r="F110" s="184"/>
      <c r="G110" s="12"/>
      <c r="H110" s="12"/>
      <c r="I110" s="12"/>
      <c r="J110" s="12"/>
      <c r="K110" s="12"/>
      <c r="L110" s="12"/>
      <c r="M110" s="12"/>
      <c r="N110" s="12"/>
    </row>
    <row r="111" spans="2:14" x14ac:dyDescent="0.35">
      <c r="B111" s="118"/>
      <c r="C111" s="118"/>
      <c r="D111" s="118"/>
      <c r="E111" s="87"/>
      <c r="F111" s="184"/>
      <c r="G111" s="12"/>
      <c r="H111" s="12"/>
      <c r="I111" s="12"/>
      <c r="J111" s="12"/>
      <c r="K111" s="12"/>
      <c r="L111" s="12"/>
      <c r="M111" s="12"/>
      <c r="N111" s="12"/>
    </row>
    <row r="112" spans="2:14" ht="18" x14ac:dyDescent="0.4">
      <c r="B112" s="246" t="s">
        <v>379</v>
      </c>
      <c r="C112" s="118"/>
      <c r="D112" s="118"/>
      <c r="E112" s="199"/>
      <c r="F112" s="224"/>
      <c r="G112" s="12"/>
      <c r="H112" s="12"/>
      <c r="I112" s="12"/>
      <c r="J112" s="12"/>
      <c r="K112" s="12"/>
      <c r="L112" s="12"/>
      <c r="M112" s="12"/>
      <c r="N112" s="12"/>
    </row>
    <row r="113" spans="2:14" ht="16" thickBot="1" x14ac:dyDescent="0.4">
      <c r="B113" s="118"/>
      <c r="C113" s="185" t="s">
        <v>165</v>
      </c>
      <c r="D113" s="118"/>
      <c r="E113" s="118"/>
      <c r="F113" s="225"/>
      <c r="G113" s="12"/>
      <c r="H113" s="12"/>
      <c r="I113" s="12"/>
      <c r="J113" s="12"/>
      <c r="K113" s="12"/>
      <c r="L113" s="12"/>
      <c r="M113" s="12"/>
      <c r="N113" s="12"/>
    </row>
    <row r="114" spans="2:14" x14ac:dyDescent="0.35">
      <c r="B114" s="60" t="s">
        <v>371</v>
      </c>
      <c r="C114" s="226">
        <v>0.125</v>
      </c>
      <c r="D114" s="118"/>
      <c r="E114" s="118"/>
      <c r="F114" s="227"/>
      <c r="G114" s="12"/>
      <c r="H114" s="12"/>
      <c r="I114" s="12"/>
      <c r="J114" s="12"/>
      <c r="K114" s="12"/>
      <c r="L114" s="12"/>
      <c r="M114" s="12"/>
      <c r="N114" s="12"/>
    </row>
    <row r="115" spans="2:14" x14ac:dyDescent="0.35">
      <c r="B115" s="60" t="s">
        <v>389</v>
      </c>
      <c r="C115" s="228">
        <v>1.25</v>
      </c>
      <c r="D115" s="118" t="s">
        <v>8</v>
      </c>
      <c r="E115" s="229"/>
      <c r="F115" s="227"/>
      <c r="G115" s="12"/>
      <c r="H115" s="12"/>
      <c r="I115" s="12"/>
      <c r="J115" s="12"/>
      <c r="K115" s="12"/>
      <c r="L115" s="12"/>
      <c r="M115" s="12"/>
      <c r="N115" s="12"/>
    </row>
    <row r="116" spans="2:14" ht="16" thickBot="1" x14ac:dyDescent="0.4">
      <c r="B116" s="60" t="s">
        <v>390</v>
      </c>
      <c r="C116" s="230">
        <v>1.5</v>
      </c>
      <c r="D116" s="118" t="s">
        <v>8</v>
      </c>
      <c r="E116" s="231"/>
      <c r="F116" s="227"/>
      <c r="G116" s="12"/>
      <c r="H116" s="12"/>
      <c r="I116" s="12"/>
      <c r="J116" s="12"/>
      <c r="K116" s="12"/>
      <c r="L116" s="12"/>
      <c r="M116" s="12"/>
      <c r="N116" s="12"/>
    </row>
    <row r="117" spans="2:14" x14ac:dyDescent="0.35">
      <c r="B117" s="118"/>
      <c r="C117" s="206" t="s">
        <v>13</v>
      </c>
      <c r="D117" s="118"/>
      <c r="E117" s="231"/>
      <c r="F117" s="232"/>
      <c r="G117" s="12"/>
      <c r="H117" s="12"/>
      <c r="I117" s="12"/>
      <c r="J117" s="12"/>
      <c r="K117" s="12"/>
      <c r="L117" s="12"/>
      <c r="M117" s="12"/>
      <c r="N117" s="12"/>
    </row>
    <row r="118" spans="2:14" x14ac:dyDescent="0.35">
      <c r="B118" s="87" t="s">
        <v>391</v>
      </c>
      <c r="C118" s="90">
        <f>C114/C115</f>
        <v>0.1</v>
      </c>
      <c r="D118" s="2" t="s">
        <v>8</v>
      </c>
      <c r="E118" s="231"/>
      <c r="F118" s="232"/>
      <c r="G118" s="12"/>
      <c r="H118" s="12"/>
      <c r="I118" s="12"/>
      <c r="J118" s="12"/>
      <c r="K118" s="12"/>
      <c r="L118" s="12"/>
      <c r="M118" s="12"/>
      <c r="N118" s="12"/>
    </row>
    <row r="119" spans="2:14" x14ac:dyDescent="0.35">
      <c r="B119" s="87" t="s">
        <v>372</v>
      </c>
      <c r="C119" s="135">
        <f>C116/C115</f>
        <v>1.2</v>
      </c>
      <c r="D119" s="118"/>
      <c r="E119" s="201"/>
      <c r="F119" s="227"/>
      <c r="G119" s="12"/>
      <c r="H119" s="12"/>
      <c r="I119" s="12"/>
      <c r="J119" s="12"/>
      <c r="K119" s="12"/>
      <c r="L119" s="12"/>
      <c r="M119" s="12"/>
      <c r="N119" s="12"/>
    </row>
    <row r="120" spans="2:14" ht="16" thickBot="1" x14ac:dyDescent="0.4">
      <c r="B120" s="60"/>
      <c r="C120" s="185" t="s">
        <v>165</v>
      </c>
      <c r="D120" s="118"/>
      <c r="E120" s="201"/>
      <c r="F120" s="227"/>
      <c r="G120" s="12"/>
      <c r="H120" s="12"/>
      <c r="I120" s="12"/>
      <c r="J120" s="12"/>
      <c r="K120" s="12"/>
      <c r="L120" s="12"/>
      <c r="M120" s="12"/>
      <c r="N120" s="12"/>
    </row>
    <row r="121" spans="2:14" x14ac:dyDescent="0.35">
      <c r="B121" s="60" t="s">
        <v>725</v>
      </c>
      <c r="C121" s="186">
        <v>30720</v>
      </c>
      <c r="D121" s="118" t="s">
        <v>249</v>
      </c>
      <c r="E121" s="201"/>
      <c r="F121" s="233"/>
      <c r="G121" s="12"/>
      <c r="H121" s="12"/>
      <c r="I121" s="12"/>
      <c r="J121" s="12"/>
      <c r="K121" s="12"/>
      <c r="L121" s="12"/>
      <c r="M121" s="12"/>
      <c r="N121" s="12"/>
    </row>
    <row r="122" spans="2:14" ht="16" thickBot="1" x14ac:dyDescent="0.4">
      <c r="B122" s="202" t="s">
        <v>392</v>
      </c>
      <c r="C122" s="212">
        <v>1.5</v>
      </c>
      <c r="D122" s="118"/>
      <c r="E122" s="201"/>
      <c r="F122" s="234"/>
      <c r="G122" s="12"/>
      <c r="H122" s="12"/>
      <c r="I122" s="12"/>
      <c r="J122" s="12"/>
      <c r="K122" s="12"/>
      <c r="L122" s="12"/>
      <c r="M122" s="12"/>
      <c r="N122" s="12"/>
    </row>
    <row r="123" spans="2:14" x14ac:dyDescent="0.35">
      <c r="B123" s="118"/>
      <c r="C123" s="206" t="s">
        <v>13</v>
      </c>
      <c r="D123" s="118"/>
      <c r="E123" s="201"/>
      <c r="F123" s="235"/>
      <c r="G123" s="12"/>
      <c r="H123" s="12"/>
      <c r="I123" s="12"/>
      <c r="J123" s="12"/>
      <c r="K123" s="12"/>
      <c r="L123" s="12"/>
      <c r="M123" s="12"/>
      <c r="N123" s="12"/>
    </row>
    <row r="124" spans="2:14" x14ac:dyDescent="0.35">
      <c r="B124" s="87" t="s">
        <v>393</v>
      </c>
      <c r="C124" s="2" t="s">
        <v>382</v>
      </c>
      <c r="D124" s="190"/>
      <c r="E124" s="199"/>
      <c r="F124" s="235"/>
      <c r="G124" s="12"/>
      <c r="H124" s="12"/>
      <c r="I124" s="12"/>
      <c r="J124" s="12"/>
      <c r="K124" s="12"/>
      <c r="L124" s="12"/>
      <c r="M124" s="12"/>
      <c r="N124" s="12"/>
    </row>
    <row r="125" spans="2:14" x14ac:dyDescent="0.35">
      <c r="B125" s="87" t="s">
        <v>383</v>
      </c>
      <c r="C125" s="1">
        <f>C122*C121</f>
        <v>46080</v>
      </c>
      <c r="D125" s="2" t="s">
        <v>249</v>
      </c>
      <c r="E125" s="199"/>
      <c r="F125" s="235"/>
      <c r="G125" s="12"/>
      <c r="H125" s="12"/>
      <c r="I125" s="12"/>
      <c r="J125" s="12"/>
      <c r="K125" s="12"/>
      <c r="L125" s="12"/>
      <c r="M125" s="12"/>
      <c r="N125" s="12"/>
    </row>
    <row r="126" spans="2:14" x14ac:dyDescent="0.35">
      <c r="B126" s="118"/>
      <c r="C126" s="118"/>
      <c r="D126" s="118"/>
      <c r="E126" s="199"/>
      <c r="F126" s="233"/>
      <c r="G126" s="12"/>
      <c r="H126" s="12"/>
      <c r="I126" s="12"/>
      <c r="J126" s="12"/>
      <c r="K126" s="12"/>
      <c r="L126" s="12"/>
      <c r="M126" s="12"/>
      <c r="N126" s="12"/>
    </row>
    <row r="127" spans="2:14" x14ac:dyDescent="0.35">
      <c r="B127" s="118"/>
      <c r="C127" s="118"/>
      <c r="D127" s="199"/>
      <c r="E127" s="199"/>
      <c r="F127" s="184"/>
      <c r="G127" s="12"/>
      <c r="H127" s="12"/>
      <c r="I127" s="12"/>
      <c r="J127" s="12"/>
      <c r="K127" s="12"/>
      <c r="L127" s="12"/>
      <c r="M127" s="12"/>
      <c r="N127" s="12"/>
    </row>
    <row r="128" spans="2:14" ht="18" x14ac:dyDescent="0.4">
      <c r="B128" s="246" t="s">
        <v>394</v>
      </c>
      <c r="C128" s="118"/>
      <c r="D128" s="118"/>
      <c r="E128" s="199"/>
      <c r="F128" s="184"/>
      <c r="G128" s="12"/>
      <c r="H128" s="12"/>
      <c r="I128" s="12"/>
      <c r="J128" s="12"/>
      <c r="K128" s="12"/>
      <c r="L128" s="12"/>
      <c r="M128" s="12"/>
      <c r="N128" s="12"/>
    </row>
    <row r="129" spans="2:14" x14ac:dyDescent="0.35">
      <c r="B129" s="118"/>
      <c r="C129" s="118"/>
      <c r="D129" s="118"/>
      <c r="E129" s="118"/>
      <c r="F129" s="184"/>
      <c r="G129" s="12"/>
      <c r="H129" s="12"/>
      <c r="I129" s="12"/>
      <c r="J129" s="12"/>
      <c r="K129" s="12"/>
      <c r="L129" s="12"/>
      <c r="M129" s="12"/>
      <c r="N129" s="12"/>
    </row>
    <row r="130" spans="2:14" x14ac:dyDescent="0.35">
      <c r="B130" s="236" t="s">
        <v>395</v>
      </c>
      <c r="C130" s="199"/>
      <c r="D130" s="118"/>
      <c r="E130" s="118"/>
      <c r="F130" s="184"/>
      <c r="G130" s="12"/>
      <c r="H130" s="12"/>
      <c r="I130" s="12"/>
      <c r="J130" s="12"/>
      <c r="K130" s="12"/>
      <c r="L130" s="12"/>
      <c r="M130" s="12"/>
      <c r="N130" s="12"/>
    </row>
    <row r="131" spans="2:14" x14ac:dyDescent="0.35">
      <c r="B131" s="200" t="s">
        <v>396</v>
      </c>
      <c r="C131" s="199" t="s">
        <v>397</v>
      </c>
      <c r="D131" s="118"/>
      <c r="E131" s="118"/>
      <c r="F131" s="184"/>
      <c r="G131" s="12"/>
      <c r="H131" s="12"/>
      <c r="I131" s="12"/>
      <c r="J131" s="12"/>
      <c r="K131" s="12"/>
      <c r="L131" s="12"/>
      <c r="M131" s="12"/>
      <c r="N131" s="12"/>
    </row>
    <row r="132" spans="2:14" x14ac:dyDescent="0.35">
      <c r="B132" s="200" t="s">
        <v>398</v>
      </c>
      <c r="C132" s="199" t="s">
        <v>399</v>
      </c>
      <c r="D132" s="118"/>
      <c r="E132" s="118"/>
      <c r="F132" s="184"/>
      <c r="G132" s="12"/>
      <c r="H132" s="12"/>
      <c r="I132" s="12"/>
      <c r="J132" s="12"/>
      <c r="K132" s="12"/>
      <c r="L132" s="12"/>
      <c r="M132" s="12"/>
      <c r="N132" s="12"/>
    </row>
    <row r="133" spans="2:14" x14ac:dyDescent="0.35">
      <c r="B133" s="200" t="s">
        <v>400</v>
      </c>
      <c r="C133" s="236" t="s">
        <v>401</v>
      </c>
      <c r="D133" s="118"/>
      <c r="E133" s="118"/>
      <c r="F133" s="184"/>
      <c r="G133" s="12"/>
      <c r="H133" s="12"/>
      <c r="I133" s="12"/>
      <c r="J133" s="12"/>
      <c r="K133" s="12"/>
      <c r="L133" s="12"/>
      <c r="M133" s="12"/>
      <c r="N133" s="12"/>
    </row>
    <row r="134" spans="2:14" x14ac:dyDescent="0.35">
      <c r="B134" s="200" t="s">
        <v>402</v>
      </c>
      <c r="C134" s="199" t="s">
        <v>403</v>
      </c>
      <c r="D134" s="199"/>
      <c r="E134" s="199"/>
      <c r="F134" s="184"/>
      <c r="G134" s="12"/>
      <c r="H134" s="12"/>
      <c r="I134" s="12"/>
      <c r="J134" s="12"/>
      <c r="K134" s="12"/>
      <c r="L134" s="12"/>
      <c r="M134" s="12"/>
      <c r="N134" s="12"/>
    </row>
    <row r="135" spans="2:14" ht="16" thickBot="1" x14ac:dyDescent="0.4">
      <c r="B135" s="118"/>
      <c r="C135" s="118"/>
      <c r="D135" s="199"/>
      <c r="E135" s="199"/>
      <c r="F135" s="184"/>
      <c r="G135" s="12"/>
      <c r="H135" s="12"/>
      <c r="I135" s="12"/>
      <c r="J135" s="12"/>
      <c r="K135" s="12"/>
      <c r="L135" s="12"/>
      <c r="M135" s="12"/>
      <c r="N135" s="12"/>
    </row>
    <row r="136" spans="2:14" ht="16" thickBot="1" x14ac:dyDescent="0.4">
      <c r="B136" s="90" t="s">
        <v>404</v>
      </c>
      <c r="C136" s="118"/>
      <c r="E136" s="237" t="s">
        <v>405</v>
      </c>
      <c r="F136" s="195" t="s">
        <v>406</v>
      </c>
      <c r="G136" s="12"/>
      <c r="H136" s="12"/>
      <c r="I136" s="12"/>
      <c r="J136" s="12"/>
      <c r="K136" s="12"/>
      <c r="L136" s="12"/>
      <c r="M136" s="12"/>
      <c r="N136" s="12"/>
    </row>
    <row r="137" spans="2:14" x14ac:dyDescent="0.35">
      <c r="B137" s="118"/>
      <c r="C137" s="118"/>
      <c r="E137" s="248">
        <v>50</v>
      </c>
      <c r="F137" s="239">
        <v>0.13</v>
      </c>
      <c r="G137" s="12"/>
      <c r="H137" s="12"/>
      <c r="I137" s="12"/>
      <c r="J137" s="12"/>
      <c r="K137" s="12"/>
      <c r="L137" s="12"/>
      <c r="M137" s="12"/>
      <c r="N137" s="12"/>
    </row>
    <row r="138" spans="2:14" x14ac:dyDescent="0.35">
      <c r="B138" s="118"/>
      <c r="C138" s="118"/>
      <c r="E138" s="238">
        <v>55</v>
      </c>
      <c r="F138" s="239">
        <v>0.11799999999999999</v>
      </c>
      <c r="G138" s="12"/>
      <c r="H138" s="12"/>
      <c r="I138" s="12"/>
      <c r="J138" s="12"/>
      <c r="K138" s="12"/>
      <c r="L138" s="12"/>
      <c r="M138" s="12"/>
      <c r="N138" s="12"/>
    </row>
    <row r="139" spans="2:14" x14ac:dyDescent="0.35">
      <c r="B139" s="118" t="s">
        <v>407</v>
      </c>
      <c r="C139" s="118"/>
      <c r="E139" s="238">
        <v>60</v>
      </c>
      <c r="F139" s="239">
        <v>0.108</v>
      </c>
      <c r="G139" s="12"/>
      <c r="H139" s="12"/>
      <c r="I139" s="12"/>
      <c r="J139" s="12"/>
      <c r="K139" s="12"/>
      <c r="L139" s="12"/>
      <c r="M139" s="12"/>
      <c r="N139" s="12"/>
    </row>
    <row r="140" spans="2:14" x14ac:dyDescent="0.35">
      <c r="B140" s="118" t="s">
        <v>408</v>
      </c>
      <c r="C140" s="118"/>
      <c r="E140" s="238">
        <v>70</v>
      </c>
      <c r="F140" s="239">
        <v>9.2999999999999999E-2</v>
      </c>
      <c r="G140" s="12"/>
      <c r="H140" s="12"/>
      <c r="I140" s="12"/>
      <c r="J140" s="12"/>
      <c r="K140" s="12"/>
      <c r="L140" s="12"/>
      <c r="M140" s="12"/>
      <c r="N140" s="12"/>
    </row>
    <row r="141" spans="2:14" x14ac:dyDescent="0.35">
      <c r="B141" s="118"/>
      <c r="C141" s="118"/>
      <c r="E141" s="238">
        <v>80</v>
      </c>
      <c r="F141" s="239">
        <v>0.08</v>
      </c>
      <c r="G141" s="12"/>
      <c r="H141" s="12"/>
      <c r="I141" s="12"/>
      <c r="J141" s="12"/>
      <c r="K141" s="12"/>
      <c r="L141" s="12"/>
      <c r="M141" s="12"/>
      <c r="N141" s="12"/>
    </row>
    <row r="142" spans="2:14" ht="16" thickBot="1" x14ac:dyDescent="0.4">
      <c r="B142" s="200"/>
      <c r="C142" s="185" t="s">
        <v>165</v>
      </c>
      <c r="E142" s="238">
        <v>90</v>
      </c>
      <c r="F142" s="239">
        <v>7.0000000000000007E-2</v>
      </c>
      <c r="G142" s="12"/>
      <c r="H142" s="12"/>
      <c r="I142" s="12"/>
      <c r="J142" s="12"/>
      <c r="K142" s="12"/>
      <c r="L142" s="12"/>
      <c r="M142" s="12"/>
      <c r="N142" s="12"/>
    </row>
    <row r="143" spans="2:14" x14ac:dyDescent="0.35">
      <c r="B143" s="200" t="s">
        <v>409</v>
      </c>
      <c r="C143" s="240">
        <v>80</v>
      </c>
      <c r="E143" s="238">
        <v>100</v>
      </c>
      <c r="F143" s="239">
        <v>6.2E-2</v>
      </c>
      <c r="G143" s="12"/>
      <c r="H143" s="12"/>
      <c r="I143" s="12"/>
      <c r="J143" s="12"/>
      <c r="K143" s="12"/>
      <c r="L143" s="12"/>
      <c r="M143" s="12"/>
      <c r="N143" s="12"/>
    </row>
    <row r="144" spans="2:14" x14ac:dyDescent="0.35">
      <c r="B144" s="200" t="s">
        <v>410</v>
      </c>
      <c r="C144" s="228">
        <v>0.08</v>
      </c>
      <c r="E144" s="241">
        <v>110</v>
      </c>
      <c r="F144" s="239">
        <v>5.5E-2</v>
      </c>
      <c r="G144" s="12"/>
      <c r="H144" s="12"/>
      <c r="I144" s="12"/>
      <c r="J144" s="12"/>
      <c r="K144" s="12"/>
      <c r="L144" s="12"/>
      <c r="M144" s="12"/>
      <c r="N144" s="12"/>
    </row>
    <row r="145" spans="2:14" x14ac:dyDescent="0.35">
      <c r="B145" s="200" t="s">
        <v>411</v>
      </c>
      <c r="C145" s="228">
        <v>0.125</v>
      </c>
      <c r="E145" s="238">
        <v>120</v>
      </c>
      <c r="F145" s="239">
        <v>4.9000000000000002E-2</v>
      </c>
      <c r="G145" s="12"/>
      <c r="H145" s="12"/>
      <c r="I145" s="12"/>
      <c r="J145" s="12"/>
      <c r="K145" s="12"/>
      <c r="L145" s="12"/>
      <c r="M145" s="12"/>
      <c r="N145" s="12"/>
    </row>
    <row r="146" spans="2:14" ht="16" thickBot="1" x14ac:dyDescent="0.4">
      <c r="B146" s="200" t="s">
        <v>412</v>
      </c>
      <c r="C146" s="230">
        <f>C122</f>
        <v>1.5</v>
      </c>
      <c r="E146" s="238">
        <v>130</v>
      </c>
      <c r="F146" s="239">
        <v>4.3999999999999997E-2</v>
      </c>
      <c r="G146" s="12"/>
      <c r="H146" s="12"/>
      <c r="I146" s="12"/>
      <c r="J146" s="12"/>
      <c r="K146" s="12"/>
      <c r="L146" s="12"/>
      <c r="M146" s="12"/>
      <c r="N146" s="12"/>
    </row>
    <row r="147" spans="2:14" x14ac:dyDescent="0.35">
      <c r="B147" s="118"/>
      <c r="C147" s="83" t="s">
        <v>298</v>
      </c>
      <c r="E147" s="238">
        <v>140</v>
      </c>
      <c r="F147" s="239">
        <v>3.9E-2</v>
      </c>
      <c r="G147" s="12"/>
      <c r="H147" s="12"/>
      <c r="I147" s="12"/>
      <c r="J147" s="12"/>
      <c r="K147" s="12"/>
      <c r="L147" s="12"/>
      <c r="M147" s="12"/>
      <c r="N147" s="12"/>
    </row>
    <row r="148" spans="2:14" x14ac:dyDescent="0.35">
      <c r="B148" s="194" t="s">
        <v>396</v>
      </c>
      <c r="C148" s="126" t="s">
        <v>399</v>
      </c>
      <c r="E148" s="238">
        <v>160</v>
      </c>
      <c r="F148" s="239">
        <v>3.1E-2</v>
      </c>
      <c r="G148" s="12"/>
      <c r="H148" s="12"/>
      <c r="I148" s="12"/>
      <c r="J148" s="12"/>
      <c r="K148" s="12"/>
      <c r="L148" s="12"/>
      <c r="M148" s="12"/>
      <c r="N148" s="12"/>
    </row>
    <row r="149" spans="2:14" x14ac:dyDescent="0.35">
      <c r="B149" s="194" t="s">
        <v>413</v>
      </c>
      <c r="C149" s="126">
        <f>1 / (1 +C144 / C145^0.5)</f>
        <v>0.81547832000453702</v>
      </c>
      <c r="E149" s="238">
        <v>180</v>
      </c>
      <c r="F149" s="239">
        <v>2.4E-2</v>
      </c>
      <c r="G149" s="12"/>
      <c r="H149" s="12"/>
      <c r="I149" s="12"/>
      <c r="J149" s="12"/>
      <c r="K149" s="12"/>
      <c r="L149" s="12"/>
      <c r="M149" s="12"/>
      <c r="N149" s="12"/>
    </row>
    <row r="150" spans="2:14" x14ac:dyDescent="0.35">
      <c r="B150" s="118"/>
      <c r="C150" s="118"/>
      <c r="E150" s="238">
        <v>200</v>
      </c>
      <c r="F150" s="239">
        <v>1.7999999999999999E-2</v>
      </c>
      <c r="G150" s="12"/>
      <c r="H150" s="12"/>
      <c r="I150" s="12"/>
      <c r="J150" s="12"/>
      <c r="K150" s="12"/>
      <c r="L150" s="12"/>
      <c r="M150" s="12"/>
      <c r="N150" s="12"/>
    </row>
    <row r="151" spans="2:14" x14ac:dyDescent="0.35">
      <c r="B151" s="210" t="s">
        <v>414</v>
      </c>
      <c r="C151" s="126" t="s">
        <v>415</v>
      </c>
      <c r="E151" s="241">
        <v>220</v>
      </c>
      <c r="F151" s="239">
        <v>1.2999999999999999E-2</v>
      </c>
      <c r="G151" s="12"/>
      <c r="H151" s="12"/>
      <c r="I151" s="12"/>
      <c r="J151" s="12"/>
      <c r="K151" s="12"/>
      <c r="L151" s="12"/>
      <c r="M151" s="12"/>
      <c r="N151" s="12"/>
    </row>
    <row r="152" spans="2:14" ht="16" thickBot="1" x14ac:dyDescent="0.4">
      <c r="B152" s="210" t="s">
        <v>416</v>
      </c>
      <c r="C152" s="126">
        <f>1 + C149 * (C146 - 1)</f>
        <v>1.4077391600022686</v>
      </c>
      <c r="E152" s="242">
        <v>240</v>
      </c>
      <c r="F152" s="243">
        <v>8.9999999999999993E-3</v>
      </c>
      <c r="G152" s="12"/>
      <c r="H152" s="12"/>
      <c r="I152" s="12"/>
      <c r="J152" s="12"/>
      <c r="K152" s="12"/>
      <c r="L152" s="12"/>
      <c r="M152" s="12"/>
      <c r="N152" s="12"/>
    </row>
    <row r="153" spans="2:14" x14ac:dyDescent="0.35">
      <c r="B153" s="200"/>
      <c r="C153" s="199"/>
      <c r="D153" s="118"/>
      <c r="E153" s="118"/>
      <c r="F153" s="184"/>
      <c r="G153" s="12"/>
      <c r="H153" s="12"/>
      <c r="I153" s="12"/>
      <c r="J153" s="12"/>
      <c r="K153" s="12"/>
      <c r="L153" s="12"/>
      <c r="M153" s="12"/>
      <c r="N153" s="12"/>
    </row>
    <row r="154" spans="2:14" x14ac:dyDescent="0.35">
      <c r="B154" s="200"/>
      <c r="C154" s="199"/>
      <c r="D154" s="118"/>
      <c r="E154" s="118"/>
      <c r="F154" s="184"/>
      <c r="G154" s="12"/>
      <c r="H154" s="12"/>
      <c r="I154" s="12"/>
      <c r="J154" s="12"/>
      <c r="K154" s="12"/>
      <c r="L154" s="12"/>
      <c r="M154" s="12"/>
      <c r="N154" s="12"/>
    </row>
    <row r="155" spans="2:14" x14ac:dyDescent="0.35">
      <c r="L155" s="12"/>
      <c r="M155" s="12"/>
      <c r="N155" s="12"/>
    </row>
    <row r="156" spans="2:14" ht="18" x14ac:dyDescent="0.4">
      <c r="B156" s="246" t="s">
        <v>417</v>
      </c>
      <c r="C156" s="118"/>
      <c r="D156" s="118"/>
      <c r="E156" s="118"/>
      <c r="F156" s="184"/>
      <c r="G156" s="12"/>
      <c r="H156" s="12"/>
      <c r="I156" s="12"/>
      <c r="J156" s="12"/>
      <c r="K156" s="12"/>
      <c r="L156" s="12"/>
      <c r="M156" s="12"/>
      <c r="N156" s="12"/>
    </row>
    <row r="157" spans="2:14" ht="16" thickBot="1" x14ac:dyDescent="0.4">
      <c r="B157" s="118"/>
      <c r="C157" s="185" t="s">
        <v>165</v>
      </c>
      <c r="D157" s="118"/>
      <c r="E157" s="118"/>
      <c r="F157" s="184"/>
      <c r="G157" s="12"/>
      <c r="H157" s="12"/>
      <c r="I157" s="12"/>
      <c r="J157" s="12"/>
      <c r="K157" s="12"/>
      <c r="L157" s="12"/>
      <c r="M157" s="12"/>
      <c r="N157" s="12"/>
    </row>
    <row r="158" spans="2:14" x14ac:dyDescent="0.35">
      <c r="B158" s="60" t="s">
        <v>418</v>
      </c>
      <c r="C158" s="186">
        <v>1000</v>
      </c>
      <c r="D158" s="118" t="s">
        <v>305</v>
      </c>
      <c r="E158" s="118"/>
      <c r="F158" s="184"/>
      <c r="G158" s="12"/>
      <c r="H158" s="12"/>
      <c r="I158" s="12"/>
      <c r="J158" s="12"/>
      <c r="K158" s="12"/>
      <c r="L158" s="12"/>
      <c r="M158" s="12"/>
      <c r="N158" s="12"/>
    </row>
    <row r="159" spans="2:14" x14ac:dyDescent="0.35">
      <c r="B159" s="60" t="s">
        <v>419</v>
      </c>
      <c r="C159" s="228">
        <v>4.125</v>
      </c>
      <c r="D159" s="118" t="s">
        <v>343</v>
      </c>
      <c r="E159" s="118"/>
      <c r="F159" s="184"/>
      <c r="G159" s="12"/>
      <c r="H159" s="12"/>
      <c r="I159" s="12"/>
      <c r="J159" s="12"/>
      <c r="K159" s="12"/>
      <c r="L159" s="12"/>
      <c r="M159" s="12"/>
      <c r="N159" s="12"/>
    </row>
    <row r="160" spans="2:14" x14ac:dyDescent="0.35">
      <c r="B160" s="60" t="s">
        <v>420</v>
      </c>
      <c r="C160" s="61">
        <v>6000</v>
      </c>
      <c r="D160" s="118" t="s">
        <v>300</v>
      </c>
      <c r="E160" s="118"/>
      <c r="F160" s="184"/>
      <c r="G160" s="12"/>
      <c r="H160" s="12"/>
      <c r="I160" s="12"/>
      <c r="J160" s="12"/>
      <c r="K160" s="12"/>
      <c r="L160" s="12"/>
      <c r="M160" s="12"/>
      <c r="N160" s="12"/>
    </row>
    <row r="161" spans="2:14" x14ac:dyDescent="0.35">
      <c r="B161" s="60" t="s">
        <v>421</v>
      </c>
      <c r="C161" s="228">
        <v>2.6</v>
      </c>
      <c r="D161" s="118" t="s">
        <v>256</v>
      </c>
      <c r="E161" s="118"/>
      <c r="F161" s="184"/>
      <c r="G161" s="12"/>
      <c r="H161" s="12"/>
      <c r="I161" s="12"/>
      <c r="J161" s="12"/>
      <c r="K161" s="12"/>
      <c r="L161" s="12"/>
      <c r="M161" s="12"/>
      <c r="N161" s="12"/>
    </row>
    <row r="162" spans="2:14" ht="16" thickBot="1" x14ac:dyDescent="0.4">
      <c r="B162" s="60" t="s">
        <v>422</v>
      </c>
      <c r="C162" s="230">
        <v>1.375</v>
      </c>
      <c r="D162" s="118" t="s">
        <v>10</v>
      </c>
      <c r="E162" s="87"/>
      <c r="F162" s="184"/>
      <c r="G162" s="12"/>
      <c r="H162" s="12"/>
      <c r="I162" s="12"/>
      <c r="J162" s="12"/>
      <c r="K162" s="12"/>
      <c r="L162" s="12"/>
      <c r="M162" s="12"/>
      <c r="N162" s="12"/>
    </row>
    <row r="163" spans="2:14" x14ac:dyDescent="0.35">
      <c r="B163" s="118"/>
      <c r="C163" s="83" t="s">
        <v>298</v>
      </c>
      <c r="D163" s="118"/>
      <c r="E163" s="118"/>
      <c r="F163" s="184"/>
      <c r="G163" s="12"/>
      <c r="H163" s="12"/>
      <c r="I163" s="12"/>
      <c r="J163" s="12"/>
      <c r="K163" s="12"/>
      <c r="L163" s="12"/>
      <c r="M163" s="12"/>
      <c r="N163" s="12"/>
    </row>
    <row r="164" spans="2:14" x14ac:dyDescent="0.35">
      <c r="B164" s="194" t="s">
        <v>423</v>
      </c>
      <c r="C164" s="190" t="s">
        <v>424</v>
      </c>
      <c r="D164" s="2"/>
      <c r="E164" s="118"/>
      <c r="F164" s="184"/>
      <c r="G164" s="12"/>
      <c r="H164" s="12"/>
      <c r="I164" s="12"/>
      <c r="J164" s="12"/>
      <c r="K164" s="12"/>
      <c r="L164" s="12"/>
      <c r="M164" s="12"/>
      <c r="N164" s="12"/>
    </row>
    <row r="165" spans="2:14" x14ac:dyDescent="0.35">
      <c r="B165" s="194" t="s">
        <v>423</v>
      </c>
      <c r="C165" s="129">
        <f>C158/C159 + C160*C162/ C161</f>
        <v>3415.5011655011654</v>
      </c>
      <c r="D165" s="2" t="s">
        <v>249</v>
      </c>
      <c r="E165" s="118"/>
      <c r="F165" s="184"/>
      <c r="G165" s="12"/>
      <c r="H165" s="12"/>
      <c r="I165" s="12"/>
      <c r="J165" s="12"/>
      <c r="K165" s="12"/>
      <c r="L165" s="12"/>
      <c r="M165" s="12"/>
      <c r="N165" s="12"/>
    </row>
    <row r="166" spans="2:14" x14ac:dyDescent="0.35">
      <c r="B166" s="118"/>
      <c r="C166" s="118"/>
      <c r="D166" s="118"/>
      <c r="E166" s="118"/>
      <c r="F166" s="184"/>
      <c r="G166" s="12"/>
      <c r="H166" s="12"/>
      <c r="I166" s="12"/>
      <c r="J166" s="12"/>
      <c r="K166" s="12"/>
      <c r="L166" s="12"/>
      <c r="M166" s="12"/>
      <c r="N166" s="12"/>
    </row>
    <row r="167" spans="2:14" x14ac:dyDescent="0.35">
      <c r="B167" s="194" t="s">
        <v>425</v>
      </c>
      <c r="C167" s="190" t="s">
        <v>426</v>
      </c>
      <c r="D167" s="118"/>
      <c r="E167" s="118"/>
      <c r="F167" s="184"/>
      <c r="G167" s="12"/>
      <c r="H167" s="12"/>
      <c r="I167" s="12"/>
      <c r="J167" s="12"/>
      <c r="K167" s="12"/>
      <c r="L167" s="12"/>
      <c r="M167" s="12"/>
      <c r="N167" s="12"/>
    </row>
    <row r="168" spans="2:14" x14ac:dyDescent="0.35">
      <c r="B168" s="194" t="s">
        <v>427</v>
      </c>
      <c r="C168" s="126">
        <f>C152</f>
        <v>1.4077391600022686</v>
      </c>
      <c r="D168" s="118" t="s">
        <v>8</v>
      </c>
      <c r="E168" s="118"/>
      <c r="F168" s="184"/>
      <c r="G168" s="12"/>
      <c r="H168" s="12"/>
      <c r="I168" s="12"/>
      <c r="J168" s="12"/>
      <c r="K168" s="12"/>
      <c r="L168" s="12"/>
      <c r="M168" s="12"/>
      <c r="N168" s="12"/>
    </row>
    <row r="169" spans="2:14" x14ac:dyDescent="0.35">
      <c r="B169" s="194" t="s">
        <v>428</v>
      </c>
      <c r="C169" s="129">
        <f>C168 * C165</f>
        <v>4808.1347417093803</v>
      </c>
      <c r="D169" s="2" t="s">
        <v>249</v>
      </c>
      <c r="E169" s="118"/>
      <c r="F169" s="184"/>
      <c r="G169" s="12"/>
      <c r="H169" s="12"/>
      <c r="I169" s="12"/>
      <c r="J169" s="12"/>
      <c r="K169" s="12"/>
      <c r="L169" s="12"/>
      <c r="M169" s="12"/>
      <c r="N169" s="12"/>
    </row>
    <row r="170" spans="2:14" x14ac:dyDescent="0.35">
      <c r="F170" s="12"/>
      <c r="G170" s="12"/>
      <c r="H170" s="12"/>
      <c r="I170" s="12"/>
      <c r="J170" s="12"/>
      <c r="K170" s="12"/>
      <c r="L170" s="12"/>
      <c r="M170" s="12"/>
      <c r="N170" s="12"/>
    </row>
    <row r="171" spans="2:14" x14ac:dyDescent="0.35">
      <c r="B171" s="19"/>
      <c r="C171" s="20"/>
      <c r="D171" s="20"/>
      <c r="E171" s="21"/>
      <c r="F171" s="22"/>
      <c r="G171" s="22"/>
      <c r="H171" s="12"/>
      <c r="I171" s="12"/>
      <c r="J171" s="12"/>
      <c r="K171" s="12"/>
      <c r="L171" s="12"/>
      <c r="M171" s="12"/>
      <c r="N171" s="12"/>
    </row>
    <row r="172" spans="2:14" x14ac:dyDescent="0.35">
      <c r="F172" s="12"/>
      <c r="G172" s="12"/>
      <c r="H172" s="12"/>
      <c r="I172" s="12"/>
      <c r="J172" s="12"/>
      <c r="K172" s="12"/>
      <c r="L172" s="12"/>
      <c r="M172" s="12"/>
      <c r="N172" s="12"/>
    </row>
    <row r="173" spans="2:14" ht="18.5" thickBot="1" x14ac:dyDescent="0.45">
      <c r="B173" s="246" t="s">
        <v>429</v>
      </c>
      <c r="C173" s="185" t="s">
        <v>165</v>
      </c>
      <c r="D173" s="118"/>
      <c r="E173" s="118"/>
      <c r="F173" s="184"/>
      <c r="G173" s="12"/>
      <c r="H173" s="12"/>
      <c r="I173" s="12"/>
      <c r="J173" s="12"/>
      <c r="K173" s="12"/>
      <c r="L173" s="12"/>
      <c r="M173" s="12"/>
      <c r="N173" s="12"/>
    </row>
    <row r="174" spans="2:14" x14ac:dyDescent="0.35">
      <c r="B174" s="194" t="s">
        <v>430</v>
      </c>
      <c r="C174" s="226">
        <v>0.5</v>
      </c>
      <c r="D174" s="118"/>
      <c r="E174" s="118"/>
      <c r="F174" s="184"/>
      <c r="G174" s="12"/>
      <c r="H174" s="12"/>
      <c r="I174" s="12"/>
      <c r="J174" s="12"/>
      <c r="K174" s="12"/>
      <c r="L174" s="12"/>
      <c r="M174" s="12"/>
      <c r="N174" s="12"/>
    </row>
    <row r="175" spans="2:14" ht="16" thickBot="1" x14ac:dyDescent="0.4">
      <c r="B175" s="194" t="s">
        <v>431</v>
      </c>
      <c r="C175" s="230">
        <v>1.25</v>
      </c>
      <c r="D175" s="118"/>
      <c r="E175" s="118"/>
      <c r="F175" s="184"/>
      <c r="G175" s="12"/>
      <c r="H175" s="12"/>
      <c r="I175" s="12"/>
      <c r="J175" s="12"/>
      <c r="K175" s="12"/>
      <c r="L175" s="12"/>
      <c r="M175" s="12"/>
      <c r="N175" s="12"/>
    </row>
    <row r="176" spans="2:14" x14ac:dyDescent="0.35">
      <c r="B176" s="118"/>
      <c r="C176" s="83" t="s">
        <v>298</v>
      </c>
      <c r="D176" s="118"/>
      <c r="E176" s="118"/>
      <c r="F176" s="184"/>
      <c r="G176" s="12"/>
      <c r="H176" s="12"/>
      <c r="I176" s="12"/>
      <c r="J176" s="12"/>
      <c r="K176" s="12"/>
      <c r="L176" s="12"/>
      <c r="M176" s="12"/>
      <c r="N176" s="12"/>
    </row>
    <row r="177" spans="2:14" x14ac:dyDescent="0.35">
      <c r="B177" s="87" t="s">
        <v>432</v>
      </c>
      <c r="C177" s="2" t="s">
        <v>433</v>
      </c>
      <c r="D177" s="118"/>
      <c r="E177" s="118"/>
      <c r="F177" s="184"/>
      <c r="G177" s="12"/>
      <c r="H177" s="12"/>
      <c r="I177" s="12"/>
      <c r="J177" s="12"/>
      <c r="K177" s="12"/>
      <c r="L177" s="12"/>
      <c r="M177" s="12"/>
      <c r="N177" s="12"/>
    </row>
    <row r="178" spans="2:14" x14ac:dyDescent="0.35">
      <c r="B178" s="87" t="s">
        <v>434</v>
      </c>
      <c r="C178" s="1">
        <f>C174*C175</f>
        <v>0.625</v>
      </c>
      <c r="D178" s="2" t="s">
        <v>343</v>
      </c>
      <c r="E178" s="118"/>
      <c r="F178" s="184"/>
      <c r="G178" s="12"/>
      <c r="H178" s="12"/>
      <c r="I178" s="12"/>
      <c r="J178" s="12"/>
      <c r="K178" s="12"/>
      <c r="L178" s="12"/>
      <c r="M178" s="12"/>
      <c r="N178" s="12"/>
    </row>
    <row r="179" spans="2:14" x14ac:dyDescent="0.35">
      <c r="B179" s="87" t="s">
        <v>435</v>
      </c>
      <c r="C179" s="2" t="s">
        <v>436</v>
      </c>
      <c r="D179" s="118"/>
      <c r="E179" s="118"/>
      <c r="F179" s="184"/>
      <c r="G179" s="12"/>
      <c r="H179" s="12"/>
      <c r="I179" s="12"/>
      <c r="J179" s="12"/>
      <c r="K179" s="12"/>
      <c r="L179" s="12"/>
      <c r="M179" s="12"/>
      <c r="N179" s="12"/>
    </row>
    <row r="180" spans="2:14" x14ac:dyDescent="0.35">
      <c r="B180" s="87" t="s">
        <v>52</v>
      </c>
      <c r="C180" s="126">
        <f>C174*C175^3 / 12</f>
        <v>8.1380208333333329E-2</v>
      </c>
      <c r="D180" s="2" t="s">
        <v>256</v>
      </c>
      <c r="E180" s="118"/>
      <c r="F180" s="184"/>
      <c r="G180" s="12"/>
      <c r="H180" s="12"/>
      <c r="I180" s="12"/>
      <c r="J180" s="12"/>
      <c r="K180" s="12"/>
      <c r="L180" s="12"/>
      <c r="M180" s="12"/>
      <c r="N180" s="12"/>
    </row>
    <row r="181" spans="2:14" x14ac:dyDescent="0.35">
      <c r="B181" s="118"/>
      <c r="C181" s="118"/>
      <c r="D181" s="118"/>
      <c r="E181" s="118"/>
      <c r="F181" s="184"/>
      <c r="G181" s="12"/>
      <c r="H181" s="12"/>
      <c r="I181" s="12"/>
      <c r="J181" s="12"/>
      <c r="K181" s="12"/>
      <c r="L181" s="12"/>
      <c r="M181" s="12"/>
      <c r="N181" s="12"/>
    </row>
    <row r="182" spans="2:14" ht="18.5" thickBot="1" x14ac:dyDescent="0.45">
      <c r="B182" s="246" t="s">
        <v>437</v>
      </c>
      <c r="C182" s="185" t="s">
        <v>165</v>
      </c>
      <c r="D182" s="118"/>
      <c r="E182" s="118"/>
      <c r="F182" s="184"/>
      <c r="G182" s="12"/>
      <c r="H182" s="12"/>
      <c r="I182" s="12"/>
      <c r="J182" s="12"/>
      <c r="K182" s="12"/>
      <c r="L182" s="12"/>
      <c r="M182" s="12"/>
      <c r="N182" s="12"/>
    </row>
    <row r="183" spans="2:14" ht="16" thickBot="1" x14ac:dyDescent="0.4">
      <c r="B183" s="194" t="s">
        <v>438</v>
      </c>
      <c r="C183" s="244">
        <v>1.5</v>
      </c>
      <c r="D183" s="118" t="s">
        <v>49</v>
      </c>
      <c r="E183" s="118"/>
      <c r="F183" s="184"/>
      <c r="G183" s="12"/>
      <c r="H183" s="12"/>
      <c r="I183" s="12"/>
      <c r="J183" s="12"/>
      <c r="K183" s="12"/>
      <c r="L183" s="12"/>
      <c r="M183" s="12"/>
      <c r="N183" s="12"/>
    </row>
    <row r="184" spans="2:14" x14ac:dyDescent="0.35">
      <c r="B184" s="118"/>
      <c r="C184" s="83" t="s">
        <v>298</v>
      </c>
      <c r="D184" s="118"/>
      <c r="E184" s="118"/>
      <c r="F184" s="184"/>
      <c r="G184" s="12"/>
      <c r="H184" s="12"/>
      <c r="I184" s="12"/>
      <c r="J184" s="12"/>
      <c r="K184" s="12"/>
      <c r="L184" s="12"/>
      <c r="M184" s="12"/>
      <c r="N184" s="12"/>
    </row>
    <row r="185" spans="2:14" x14ac:dyDescent="0.35">
      <c r="B185" s="87" t="s">
        <v>432</v>
      </c>
      <c r="C185" s="2" t="s">
        <v>342</v>
      </c>
      <c r="D185" s="118"/>
      <c r="E185" s="118"/>
      <c r="F185" s="184"/>
      <c r="G185" s="12"/>
      <c r="H185" s="12"/>
      <c r="I185" s="12"/>
      <c r="J185" s="12"/>
      <c r="K185" s="12"/>
      <c r="L185" s="12"/>
      <c r="M185" s="12"/>
      <c r="N185" s="12"/>
    </row>
    <row r="186" spans="2:14" x14ac:dyDescent="0.35">
      <c r="B186" s="87" t="s">
        <v>434</v>
      </c>
      <c r="C186" s="126">
        <f>3.1416*C183^2 / 4</f>
        <v>1.76715</v>
      </c>
      <c r="D186" s="2" t="s">
        <v>343</v>
      </c>
      <c r="E186" s="118"/>
      <c r="F186" s="184"/>
      <c r="G186" s="12"/>
      <c r="H186" s="12"/>
      <c r="I186" s="12"/>
      <c r="J186" s="12"/>
      <c r="K186" s="12"/>
      <c r="L186" s="12"/>
      <c r="M186" s="12"/>
      <c r="N186" s="12"/>
    </row>
    <row r="187" spans="2:14" x14ac:dyDescent="0.35">
      <c r="B187" s="87" t="s">
        <v>435</v>
      </c>
      <c r="C187" s="2" t="s">
        <v>347</v>
      </c>
      <c r="D187" s="118"/>
      <c r="E187" s="118"/>
      <c r="F187" s="184"/>
      <c r="G187" s="12"/>
      <c r="H187" s="12"/>
      <c r="I187" s="12"/>
      <c r="J187" s="12"/>
      <c r="K187" s="12"/>
      <c r="L187" s="12"/>
      <c r="M187" s="12"/>
      <c r="N187" s="12"/>
    </row>
    <row r="188" spans="2:14" x14ac:dyDescent="0.35">
      <c r="B188" s="87" t="s">
        <v>52</v>
      </c>
      <c r="C188" s="189">
        <f>3.1416*C183^4 / 64</f>
        <v>0.24850546874999999</v>
      </c>
      <c r="D188" s="2" t="s">
        <v>256</v>
      </c>
      <c r="E188" s="118"/>
      <c r="F188" s="184"/>
      <c r="G188" s="12"/>
      <c r="H188" s="12"/>
      <c r="I188" s="12"/>
      <c r="J188" s="12"/>
      <c r="K188" s="12"/>
      <c r="L188" s="12"/>
      <c r="M188" s="12"/>
      <c r="N188" s="12"/>
    </row>
    <row r="189" spans="2:14" x14ac:dyDescent="0.35">
      <c r="B189" s="87" t="s">
        <v>439</v>
      </c>
      <c r="C189" s="2" t="s">
        <v>255</v>
      </c>
      <c r="D189" s="118"/>
      <c r="E189" s="118"/>
      <c r="F189" s="184"/>
      <c r="G189" s="12"/>
      <c r="H189" s="12"/>
      <c r="I189" s="12"/>
      <c r="J189" s="12"/>
      <c r="K189" s="12"/>
      <c r="L189" s="12"/>
      <c r="M189" s="12"/>
      <c r="N189" s="12"/>
    </row>
    <row r="190" spans="2:14" x14ac:dyDescent="0.35">
      <c r="B190" s="87" t="s">
        <v>271</v>
      </c>
      <c r="C190" s="189">
        <f>3.1416*C183^4 / 32</f>
        <v>0.49701093749999997</v>
      </c>
      <c r="D190" s="2" t="s">
        <v>256</v>
      </c>
      <c r="E190" s="118"/>
      <c r="F190" s="184"/>
      <c r="G190" s="12"/>
      <c r="H190" s="12"/>
      <c r="I190" s="12"/>
      <c r="J190" s="12"/>
      <c r="K190" s="12"/>
      <c r="L190" s="12"/>
      <c r="M190" s="12"/>
      <c r="N190" s="12"/>
    </row>
    <row r="191" spans="2:14" x14ac:dyDescent="0.35">
      <c r="B191" s="118"/>
      <c r="C191" s="118"/>
      <c r="D191" s="118"/>
      <c r="E191" s="118"/>
      <c r="F191" s="184"/>
      <c r="G191" s="12"/>
      <c r="H191" s="12"/>
      <c r="I191" s="12"/>
      <c r="J191" s="12"/>
      <c r="K191" s="12"/>
      <c r="L191" s="12"/>
      <c r="M191" s="12"/>
      <c r="N191" s="12"/>
    </row>
    <row r="192" spans="2:14" x14ac:dyDescent="0.35">
      <c r="C192" s="118"/>
      <c r="D192" s="118"/>
      <c r="E192" s="118"/>
      <c r="F192" s="184"/>
      <c r="G192" s="12"/>
      <c r="H192" s="12"/>
      <c r="I192" s="12"/>
      <c r="J192" s="12"/>
      <c r="K192" s="12"/>
      <c r="L192" s="12"/>
      <c r="M192" s="12"/>
      <c r="N192" s="12"/>
    </row>
    <row r="193" spans="2:14" ht="18" x14ac:dyDescent="0.4">
      <c r="C193" s="172"/>
      <c r="D193" s="171"/>
      <c r="E193" s="171"/>
      <c r="F193" s="184"/>
      <c r="G193" s="12"/>
      <c r="H193" s="12"/>
      <c r="I193" s="12"/>
      <c r="J193" s="12"/>
      <c r="K193" s="12"/>
      <c r="L193" s="12"/>
      <c r="M193" s="12"/>
      <c r="N193" s="12"/>
    </row>
    <row r="194" spans="2:14" x14ac:dyDescent="0.35">
      <c r="B194" s="13" t="s">
        <v>712</v>
      </c>
      <c r="C194" s="171"/>
      <c r="D194" s="171"/>
      <c r="E194" s="171"/>
      <c r="F194" s="184"/>
      <c r="G194" s="12"/>
      <c r="H194" s="12"/>
      <c r="I194" s="12"/>
      <c r="J194" s="12"/>
      <c r="K194" s="12"/>
      <c r="L194" s="12"/>
      <c r="M194" s="12"/>
      <c r="N194" s="12"/>
    </row>
    <row r="195" spans="2:14" x14ac:dyDescent="0.35">
      <c r="C195" s="171"/>
      <c r="D195" s="171"/>
      <c r="E195" s="171"/>
      <c r="F195" s="184"/>
      <c r="G195" s="12"/>
      <c r="H195" s="12"/>
      <c r="I195" s="12"/>
      <c r="J195" s="12"/>
      <c r="K195" s="12"/>
      <c r="L195" s="12"/>
      <c r="M195" s="12"/>
      <c r="N195" s="12"/>
    </row>
    <row r="196" spans="2:14" x14ac:dyDescent="0.35">
      <c r="C196" s="171"/>
      <c r="D196" s="171"/>
      <c r="E196" s="171"/>
      <c r="F196" s="184"/>
      <c r="G196" s="12"/>
      <c r="H196" s="12"/>
      <c r="I196" s="12"/>
      <c r="J196" s="12"/>
      <c r="K196" s="12"/>
      <c r="L196" s="12"/>
      <c r="M196" s="12"/>
      <c r="N196" s="12"/>
    </row>
    <row r="197" spans="2:14" x14ac:dyDescent="0.35">
      <c r="F197" s="184"/>
      <c r="G197" s="12"/>
      <c r="H197" s="12"/>
      <c r="I197" s="12"/>
      <c r="J197" s="12"/>
      <c r="K197" s="12"/>
      <c r="L197" s="12"/>
      <c r="M197" s="12"/>
      <c r="N197" s="12"/>
    </row>
    <row r="198" spans="2:14" x14ac:dyDescent="0.35">
      <c r="F198" s="184"/>
      <c r="G198" s="12"/>
      <c r="H198" s="12"/>
      <c r="I198" s="12"/>
      <c r="J198" s="12"/>
      <c r="K198" s="12"/>
    </row>
    <row r="199" spans="2:14" x14ac:dyDescent="0.35">
      <c r="C199" s="118"/>
      <c r="D199" s="118"/>
      <c r="E199" s="118"/>
      <c r="F199" s="184"/>
      <c r="G199" s="12"/>
      <c r="H199" s="12"/>
      <c r="I199" s="12"/>
      <c r="J199" s="12"/>
      <c r="K199" s="12"/>
    </row>
    <row r="200" spans="2:14" x14ac:dyDescent="0.35">
      <c r="F200" s="12"/>
      <c r="G200" s="12"/>
      <c r="H200" s="12"/>
      <c r="I200" s="12"/>
      <c r="J200" s="12"/>
      <c r="K200" s="12"/>
    </row>
  </sheetData>
  <sheetProtection sheet="1" objects="1" scenarios="1" select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608"/>
  <sheetViews>
    <sheetView zoomScaleNormal="100" workbookViewId="0">
      <selection activeCell="J17" sqref="J17"/>
    </sheetView>
  </sheetViews>
  <sheetFormatPr defaultRowHeight="15.5" x14ac:dyDescent="0.35"/>
  <cols>
    <col min="1" max="1" width="4.453125" style="9" customWidth="1"/>
    <col min="2" max="2" width="48.453125" style="9" customWidth="1"/>
    <col min="3" max="3" width="18.26953125" style="9" customWidth="1"/>
    <col min="4" max="4" width="9.7265625" style="11" customWidth="1"/>
    <col min="5" max="5" width="10" style="9" customWidth="1"/>
    <col min="6" max="6" width="7.1796875" style="9" customWidth="1"/>
    <col min="7" max="7" width="16" style="9" customWidth="1"/>
    <col min="8" max="8" width="18" style="9" customWidth="1"/>
    <col min="9" max="9" width="17.26953125" style="9" customWidth="1"/>
    <col min="10" max="10" width="19.453125" style="9" customWidth="1"/>
    <col min="11" max="16384" width="8.7265625" style="9"/>
  </cols>
  <sheetData>
    <row r="1" spans="2:14" ht="20" x14ac:dyDescent="0.4">
      <c r="B1" s="91" t="s">
        <v>202</v>
      </c>
      <c r="E1" s="12"/>
      <c r="F1" s="12"/>
      <c r="G1" s="12"/>
      <c r="H1" s="12"/>
      <c r="I1" s="12"/>
      <c r="J1" s="12"/>
      <c r="K1" s="12"/>
      <c r="L1" s="12"/>
      <c r="M1" s="12"/>
    </row>
    <row r="2" spans="2:14" x14ac:dyDescent="0.35">
      <c r="B2" s="10"/>
      <c r="E2" s="12"/>
      <c r="F2" s="12"/>
      <c r="G2" s="12"/>
      <c r="H2" s="12"/>
      <c r="I2" s="12"/>
      <c r="J2" s="12"/>
      <c r="K2" s="12"/>
      <c r="L2" s="12"/>
      <c r="M2" s="12"/>
    </row>
    <row r="3" spans="2:14" x14ac:dyDescent="0.35">
      <c r="D3" s="1"/>
      <c r="E3" s="292"/>
      <c r="F3" s="12"/>
      <c r="G3" s="249"/>
      <c r="H3" s="53"/>
      <c r="I3" s="34"/>
      <c r="J3" s="12"/>
      <c r="K3" s="12"/>
      <c r="L3" s="12"/>
      <c r="M3" s="12"/>
      <c r="N3" s="12"/>
    </row>
    <row r="4" spans="2:14" x14ac:dyDescent="0.35">
      <c r="E4" s="11"/>
      <c r="G4" s="293"/>
      <c r="H4" s="53"/>
      <c r="I4" s="34"/>
      <c r="J4" s="12"/>
      <c r="K4" s="12"/>
      <c r="L4" s="12"/>
      <c r="M4" s="12"/>
      <c r="N4" s="12"/>
    </row>
    <row r="5" spans="2:14" x14ac:dyDescent="0.35">
      <c r="B5" s="1" t="s">
        <v>729</v>
      </c>
      <c r="E5" s="11"/>
      <c r="G5" s="293"/>
      <c r="H5" s="53"/>
      <c r="I5" s="34"/>
      <c r="J5" s="12"/>
      <c r="K5" s="12"/>
      <c r="L5" s="12"/>
      <c r="M5" s="12"/>
      <c r="N5" s="12"/>
    </row>
    <row r="6" spans="2:14" x14ac:dyDescent="0.35">
      <c r="B6" s="11" t="s">
        <v>1</v>
      </c>
      <c r="C6" s="112"/>
      <c r="E6" s="11"/>
      <c r="G6" s="294"/>
      <c r="H6" s="53"/>
      <c r="I6" s="34"/>
      <c r="J6" s="12"/>
      <c r="K6" s="12"/>
      <c r="L6" s="12"/>
      <c r="M6" s="12"/>
      <c r="N6" s="12"/>
    </row>
    <row r="7" spans="2:14" x14ac:dyDescent="0.35">
      <c r="B7" s="11" t="s">
        <v>2</v>
      </c>
      <c r="C7" s="112"/>
      <c r="E7" s="11"/>
      <c r="G7" s="294"/>
      <c r="H7" s="53"/>
      <c r="I7" s="34"/>
      <c r="J7" s="12"/>
      <c r="K7" s="12"/>
      <c r="L7" s="12"/>
      <c r="M7" s="12"/>
      <c r="N7" s="12"/>
    </row>
    <row r="8" spans="2:14" x14ac:dyDescent="0.35">
      <c r="C8" s="112"/>
      <c r="E8" s="11"/>
      <c r="G8" s="294"/>
      <c r="H8" s="53"/>
      <c r="I8" s="34"/>
      <c r="J8" s="12"/>
      <c r="K8" s="12"/>
      <c r="L8" s="12"/>
      <c r="M8" s="12"/>
      <c r="N8" s="12"/>
    </row>
    <row r="9" spans="2:14" x14ac:dyDescent="0.35">
      <c r="C9" s="112"/>
      <c r="E9" s="11"/>
      <c r="G9" s="294"/>
      <c r="H9" s="53"/>
      <c r="I9" s="34"/>
      <c r="J9" s="12"/>
      <c r="K9" s="12"/>
      <c r="L9" s="12"/>
      <c r="M9" s="12"/>
      <c r="N9" s="12"/>
    </row>
    <row r="10" spans="2:14" x14ac:dyDescent="0.35">
      <c r="B10" s="1" t="s">
        <v>730</v>
      </c>
      <c r="C10" s="112"/>
      <c r="E10" s="11"/>
      <c r="G10" s="294"/>
      <c r="H10" s="53"/>
      <c r="I10" s="34"/>
      <c r="J10" s="12"/>
      <c r="K10" s="12"/>
      <c r="L10" s="12"/>
      <c r="M10" s="12"/>
      <c r="N10" s="12"/>
    </row>
    <row r="11" spans="2:14" x14ac:dyDescent="0.35">
      <c r="B11" s="9" t="s">
        <v>3</v>
      </c>
      <c r="C11" s="112"/>
      <c r="E11" s="11"/>
      <c r="G11" s="294"/>
      <c r="H11" s="53"/>
      <c r="I11" s="34"/>
      <c r="J11" s="12"/>
      <c r="K11" s="12"/>
      <c r="L11" s="12"/>
      <c r="M11" s="12"/>
      <c r="N11" s="12"/>
    </row>
    <row r="12" spans="2:14" x14ac:dyDescent="0.35">
      <c r="C12" s="112"/>
      <c r="E12" s="11"/>
      <c r="G12" s="294"/>
      <c r="H12" s="53"/>
      <c r="I12" s="34" t="s">
        <v>0</v>
      </c>
      <c r="J12" s="12"/>
      <c r="K12" s="12"/>
      <c r="L12" s="12"/>
      <c r="M12" s="12"/>
      <c r="N12" s="12"/>
    </row>
    <row r="13" spans="2:14" x14ac:dyDescent="0.35">
      <c r="B13" s="118" t="s">
        <v>731</v>
      </c>
      <c r="C13" s="112"/>
      <c r="E13" s="11"/>
      <c r="G13" s="294"/>
      <c r="H13" s="53"/>
      <c r="I13" s="34"/>
      <c r="J13" s="12"/>
      <c r="K13" s="12"/>
      <c r="L13" s="12"/>
      <c r="M13" s="12"/>
      <c r="N13" s="12"/>
    </row>
    <row r="14" spans="2:14" ht="31" x14ac:dyDescent="0.35">
      <c r="B14" s="32" t="s">
        <v>203</v>
      </c>
      <c r="C14" s="112"/>
      <c r="E14" s="11"/>
      <c r="G14" s="294"/>
      <c r="H14" s="53"/>
      <c r="I14" s="34"/>
      <c r="J14" s="12"/>
      <c r="K14" s="12"/>
      <c r="L14" s="12"/>
      <c r="M14" s="12"/>
      <c r="N14" s="12"/>
    </row>
    <row r="15" spans="2:14" x14ac:dyDescent="0.35">
      <c r="B15" s="118" t="s">
        <v>732</v>
      </c>
      <c r="C15" s="112"/>
      <c r="E15" s="11"/>
      <c r="G15" s="294"/>
      <c r="I15" s="3" t="s">
        <v>207</v>
      </c>
      <c r="J15" s="12"/>
      <c r="K15" s="12"/>
      <c r="L15" s="12"/>
      <c r="M15" s="12"/>
      <c r="N15" s="12"/>
    </row>
    <row r="16" spans="2:14" ht="46.5" x14ac:dyDescent="0.35">
      <c r="B16" s="32" t="s">
        <v>700</v>
      </c>
      <c r="C16" s="112"/>
      <c r="D16" s="34"/>
      <c r="E16" s="34"/>
      <c r="F16" s="12"/>
      <c r="G16" s="50"/>
      <c r="H16" s="295"/>
      <c r="I16" s="296" t="s">
        <v>205</v>
      </c>
      <c r="N16" s="12"/>
    </row>
    <row r="17" spans="2:16" x14ac:dyDescent="0.35">
      <c r="B17" s="250" t="s">
        <v>204</v>
      </c>
      <c r="C17" s="112"/>
      <c r="D17" s="34"/>
      <c r="E17" s="34"/>
      <c r="F17" s="12"/>
      <c r="G17" s="50"/>
      <c r="J17" s="12"/>
      <c r="K17" s="12"/>
      <c r="L17" s="12"/>
      <c r="M17" s="12"/>
      <c r="N17" s="12"/>
    </row>
    <row r="18" spans="2:16" x14ac:dyDescent="0.35">
      <c r="B18" s="144" t="s">
        <v>693</v>
      </c>
      <c r="D18" s="34"/>
      <c r="E18" s="12"/>
      <c r="F18" s="12"/>
      <c r="G18" s="12"/>
    </row>
    <row r="19" spans="2:16" x14ac:dyDescent="0.35">
      <c r="C19" s="112"/>
      <c r="D19" s="34"/>
      <c r="E19" s="34"/>
      <c r="F19" s="12"/>
      <c r="G19" s="50"/>
    </row>
    <row r="20" spans="2:16" x14ac:dyDescent="0.35">
      <c r="C20" s="112"/>
      <c r="D20" s="34"/>
      <c r="E20" s="34"/>
      <c r="F20" s="12"/>
      <c r="G20" s="50"/>
      <c r="H20" s="53"/>
      <c r="I20" s="34"/>
      <c r="J20" s="12"/>
      <c r="K20" s="12"/>
      <c r="L20" s="12"/>
      <c r="M20" s="12"/>
      <c r="N20" s="12"/>
    </row>
    <row r="21" spans="2:16" ht="18" x14ac:dyDescent="0.4">
      <c r="D21" s="34"/>
      <c r="E21" s="34"/>
      <c r="F21" s="12"/>
      <c r="G21" s="50"/>
      <c r="H21" s="318" t="s">
        <v>627</v>
      </c>
      <c r="I21" s="34"/>
      <c r="J21" s="12"/>
      <c r="K21" s="12"/>
      <c r="L21" s="12"/>
      <c r="M21" s="12"/>
      <c r="N21" s="12"/>
      <c r="P21" s="5"/>
    </row>
    <row r="22" spans="2:16" ht="18" x14ac:dyDescent="0.4">
      <c r="B22" s="247" t="s">
        <v>239</v>
      </c>
      <c r="D22" s="34"/>
      <c r="E22" s="34"/>
      <c r="F22" s="12"/>
      <c r="G22" s="12"/>
      <c r="H22" s="247" t="s">
        <v>240</v>
      </c>
      <c r="J22" s="11"/>
      <c r="K22" s="11"/>
      <c r="M22" s="294"/>
      <c r="N22" s="12"/>
    </row>
    <row r="23" spans="2:16" ht="16" thickBot="1" x14ac:dyDescent="0.4">
      <c r="C23" s="252"/>
      <c r="D23" s="141" t="s">
        <v>4</v>
      </c>
      <c r="E23" s="10"/>
      <c r="F23" s="12"/>
      <c r="G23" s="12"/>
      <c r="J23" s="252"/>
      <c r="K23" s="141" t="s">
        <v>4</v>
      </c>
      <c r="L23" s="10"/>
      <c r="M23" s="294"/>
      <c r="N23" s="12"/>
    </row>
    <row r="24" spans="2:16" x14ac:dyDescent="0.35">
      <c r="B24" s="120" t="s">
        <v>733</v>
      </c>
      <c r="C24" s="84" t="s">
        <v>5</v>
      </c>
      <c r="D24" s="253">
        <v>20</v>
      </c>
      <c r="E24" s="1" t="s">
        <v>6</v>
      </c>
      <c r="F24" s="12"/>
      <c r="G24" s="12"/>
      <c r="I24" s="120" t="s">
        <v>733</v>
      </c>
      <c r="J24" s="84" t="s">
        <v>5</v>
      </c>
      <c r="K24" s="253">
        <v>20</v>
      </c>
      <c r="L24" s="1" t="s">
        <v>6</v>
      </c>
      <c r="M24" s="294"/>
      <c r="N24" s="12"/>
    </row>
    <row r="25" spans="2:16" x14ac:dyDescent="0.35">
      <c r="B25" s="120" t="s">
        <v>738</v>
      </c>
      <c r="C25" s="84" t="s">
        <v>7</v>
      </c>
      <c r="D25" s="254">
        <v>5</v>
      </c>
      <c r="E25" s="1" t="s">
        <v>8</v>
      </c>
      <c r="F25" s="12"/>
      <c r="G25" s="12"/>
      <c r="I25" s="120" t="s">
        <v>738</v>
      </c>
      <c r="J25" s="84" t="s">
        <v>7</v>
      </c>
      <c r="K25" s="254">
        <v>4</v>
      </c>
      <c r="L25" s="1" t="s">
        <v>8</v>
      </c>
      <c r="M25" s="294"/>
      <c r="N25" s="12"/>
    </row>
    <row r="26" spans="2:16" x14ac:dyDescent="0.35">
      <c r="B26" s="120" t="s">
        <v>739</v>
      </c>
      <c r="C26" s="84" t="s">
        <v>8</v>
      </c>
      <c r="D26" s="255">
        <v>60</v>
      </c>
      <c r="E26" s="1" t="s">
        <v>8</v>
      </c>
      <c r="F26" s="12"/>
      <c r="G26" s="12"/>
      <c r="I26" s="120" t="s">
        <v>739</v>
      </c>
      <c r="J26" s="84" t="s">
        <v>8</v>
      </c>
      <c r="K26" s="255">
        <v>40</v>
      </c>
      <c r="L26" s="1" t="s">
        <v>8</v>
      </c>
      <c r="M26" s="294"/>
      <c r="N26" s="12"/>
    </row>
    <row r="27" spans="2:16" x14ac:dyDescent="0.35">
      <c r="B27" s="120" t="s">
        <v>9</v>
      </c>
      <c r="C27" s="84" t="s">
        <v>8</v>
      </c>
      <c r="D27" s="256"/>
      <c r="E27" s="1" t="s">
        <v>10</v>
      </c>
      <c r="F27" s="12"/>
      <c r="G27" s="12"/>
      <c r="I27" s="120" t="s">
        <v>9</v>
      </c>
      <c r="J27" s="84" t="s">
        <v>8</v>
      </c>
      <c r="K27" s="256"/>
      <c r="L27" s="1" t="s">
        <v>10</v>
      </c>
      <c r="M27" s="294"/>
      <c r="N27" s="12"/>
    </row>
    <row r="28" spans="2:16" x14ac:dyDescent="0.35">
      <c r="B28" s="120" t="s">
        <v>11</v>
      </c>
      <c r="C28" s="84" t="s">
        <v>8</v>
      </c>
      <c r="D28" s="256"/>
      <c r="E28" s="1" t="s">
        <v>10</v>
      </c>
      <c r="F28" s="12"/>
      <c r="G28" s="12"/>
      <c r="I28" s="120" t="s">
        <v>11</v>
      </c>
      <c r="J28" s="84" t="s">
        <v>8</v>
      </c>
      <c r="K28" s="256"/>
      <c r="L28" s="1" t="s">
        <v>10</v>
      </c>
      <c r="M28" s="294"/>
      <c r="N28" s="12"/>
    </row>
    <row r="29" spans="2:16" ht="16" thickBot="1" x14ac:dyDescent="0.4">
      <c r="B29" s="120" t="s">
        <v>12</v>
      </c>
      <c r="C29" s="84" t="s">
        <v>8</v>
      </c>
      <c r="D29" s="257"/>
      <c r="E29" s="1" t="s">
        <v>10</v>
      </c>
      <c r="F29" s="12"/>
      <c r="G29" s="12"/>
      <c r="I29" s="120" t="s">
        <v>12</v>
      </c>
      <c r="J29" s="84" t="s">
        <v>8</v>
      </c>
      <c r="K29" s="257"/>
      <c r="L29" s="1" t="s">
        <v>10</v>
      </c>
      <c r="M29" s="294"/>
      <c r="N29" s="12"/>
    </row>
    <row r="30" spans="2:16" ht="16" thickBot="1" x14ac:dyDescent="0.4">
      <c r="C30" s="252" t="s">
        <v>0</v>
      </c>
      <c r="D30" s="141" t="s">
        <v>13</v>
      </c>
      <c r="E30" s="10"/>
      <c r="F30" s="12"/>
      <c r="G30" s="12"/>
      <c r="J30" s="252" t="s">
        <v>0</v>
      </c>
      <c r="K30" s="141" t="s">
        <v>13</v>
      </c>
      <c r="L30" s="10"/>
      <c r="M30" s="294"/>
      <c r="N30" s="12"/>
    </row>
    <row r="31" spans="2:16" ht="16" thickBot="1" x14ac:dyDescent="0.4">
      <c r="B31" s="120" t="s">
        <v>734</v>
      </c>
      <c r="C31" s="84" t="s">
        <v>635</v>
      </c>
      <c r="D31" s="258">
        <f>D26/D25</f>
        <v>12</v>
      </c>
      <c r="E31" s="1" t="s">
        <v>10</v>
      </c>
      <c r="F31" s="12"/>
      <c r="G31" s="12"/>
      <c r="I31" s="120" t="s">
        <v>734</v>
      </c>
      <c r="J31" s="84" t="s">
        <v>635</v>
      </c>
      <c r="K31" s="258">
        <f>K26/K25</f>
        <v>10</v>
      </c>
      <c r="L31" s="1" t="s">
        <v>10</v>
      </c>
      <c r="M31" s="294"/>
      <c r="N31" s="12"/>
    </row>
    <row r="32" spans="2:16" x14ac:dyDescent="0.35">
      <c r="B32" s="120" t="s">
        <v>740</v>
      </c>
      <c r="C32" s="84" t="s">
        <v>636</v>
      </c>
      <c r="D32" s="259">
        <f>1/D25</f>
        <v>0.2</v>
      </c>
      <c r="E32" s="1" t="s">
        <v>10</v>
      </c>
      <c r="F32" s="12"/>
      <c r="G32" s="12"/>
      <c r="I32" s="120" t="s">
        <v>740</v>
      </c>
      <c r="J32" s="84" t="s">
        <v>636</v>
      </c>
      <c r="K32" s="259">
        <f>1/K25</f>
        <v>0.25</v>
      </c>
      <c r="L32" s="1" t="s">
        <v>10</v>
      </c>
      <c r="M32" s="294"/>
      <c r="N32" s="12"/>
    </row>
    <row r="33" spans="2:14" x14ac:dyDescent="0.35">
      <c r="B33" s="120" t="s">
        <v>741</v>
      </c>
      <c r="C33" s="84" t="s">
        <v>637</v>
      </c>
      <c r="D33" s="259">
        <f>1.157/D25</f>
        <v>0.23139999999999999</v>
      </c>
      <c r="E33" s="1" t="s">
        <v>10</v>
      </c>
      <c r="F33" s="12"/>
      <c r="G33" s="12"/>
      <c r="I33" s="120" t="s">
        <v>741</v>
      </c>
      <c r="J33" s="84" t="s">
        <v>637</v>
      </c>
      <c r="K33" s="259">
        <f>1.157/K25</f>
        <v>0.28925000000000001</v>
      </c>
      <c r="L33" s="1" t="s">
        <v>10</v>
      </c>
      <c r="M33" s="294"/>
      <c r="N33" s="12"/>
    </row>
    <row r="34" spans="2:14" x14ac:dyDescent="0.35">
      <c r="B34" s="120" t="s">
        <v>742</v>
      </c>
      <c r="C34" s="84" t="s">
        <v>638</v>
      </c>
      <c r="D34" s="259">
        <f>2.157/D25</f>
        <v>0.43140000000000001</v>
      </c>
      <c r="E34" s="1" t="s">
        <v>10</v>
      </c>
      <c r="F34" s="12"/>
      <c r="G34" s="12"/>
      <c r="I34" s="120" t="s">
        <v>742</v>
      </c>
      <c r="J34" s="84" t="s">
        <v>638</v>
      </c>
      <c r="K34" s="259">
        <f>2.157/K25</f>
        <v>0.53925000000000001</v>
      </c>
      <c r="L34" s="1" t="s">
        <v>10</v>
      </c>
      <c r="M34" s="294"/>
      <c r="N34" s="12"/>
    </row>
    <row r="35" spans="2:14" x14ac:dyDescent="0.35">
      <c r="B35" s="120" t="s">
        <v>743</v>
      </c>
      <c r="C35" s="84" t="s">
        <v>639</v>
      </c>
      <c r="D35" s="259">
        <f>0.157/D25</f>
        <v>3.1399999999999997E-2</v>
      </c>
      <c r="E35" s="1" t="s">
        <v>10</v>
      </c>
      <c r="F35" s="12"/>
      <c r="G35" s="12"/>
      <c r="I35" s="120" t="s">
        <v>743</v>
      </c>
      <c r="J35" s="84" t="s">
        <v>639</v>
      </c>
      <c r="K35" s="259">
        <f>0.157/K25</f>
        <v>3.925E-2</v>
      </c>
      <c r="L35" s="1" t="s">
        <v>10</v>
      </c>
      <c r="M35" s="294"/>
      <c r="N35" s="12"/>
    </row>
    <row r="36" spans="2:14" x14ac:dyDescent="0.35">
      <c r="B36" s="120" t="s">
        <v>744</v>
      </c>
      <c r="C36" s="84" t="s">
        <v>19</v>
      </c>
      <c r="D36" s="259">
        <f>D31+(2*D32)</f>
        <v>12.4</v>
      </c>
      <c r="E36" s="1" t="s">
        <v>10</v>
      </c>
      <c r="F36" s="12"/>
      <c r="G36" s="12"/>
      <c r="I36" s="120" t="s">
        <v>744</v>
      </c>
      <c r="J36" s="84" t="s">
        <v>19</v>
      </c>
      <c r="K36" s="259">
        <f>K31+(2*K32)</f>
        <v>10.5</v>
      </c>
      <c r="L36" s="1" t="s">
        <v>10</v>
      </c>
      <c r="N36" s="12"/>
    </row>
    <row r="37" spans="2:14" x14ac:dyDescent="0.35">
      <c r="B37" s="120" t="s">
        <v>745</v>
      </c>
      <c r="C37" s="84" t="s">
        <v>20</v>
      </c>
      <c r="D37" s="259">
        <f>D31-(2*D33)</f>
        <v>11.5372</v>
      </c>
      <c r="E37" s="1" t="s">
        <v>10</v>
      </c>
      <c r="F37" s="12"/>
      <c r="G37" s="12"/>
      <c r="I37" s="120" t="s">
        <v>745</v>
      </c>
      <c r="J37" s="84" t="s">
        <v>20</v>
      </c>
      <c r="K37" s="259">
        <f>K31-(2*K33)</f>
        <v>9.4215</v>
      </c>
      <c r="L37" s="1" t="s">
        <v>10</v>
      </c>
      <c r="N37" s="12"/>
    </row>
    <row r="38" spans="2:14" x14ac:dyDescent="0.35">
      <c r="B38" s="120" t="s">
        <v>746</v>
      </c>
      <c r="C38" s="84" t="s">
        <v>21</v>
      </c>
      <c r="D38" s="126">
        <f>D31*COS(D24/57.3)</f>
        <v>11.276416968971279</v>
      </c>
      <c r="E38" s="1" t="s">
        <v>10</v>
      </c>
      <c r="F38" s="12"/>
      <c r="G38" s="12"/>
      <c r="I38" s="120" t="s">
        <v>746</v>
      </c>
      <c r="J38" s="84" t="s">
        <v>21</v>
      </c>
      <c r="K38" s="126">
        <f>K31*COS(K24/57.3)</f>
        <v>9.3970141408093983</v>
      </c>
      <c r="L38" s="1" t="s">
        <v>10</v>
      </c>
      <c r="M38" s="294"/>
      <c r="N38" s="12"/>
    </row>
    <row r="39" spans="2:14" x14ac:dyDescent="0.35">
      <c r="B39" s="120" t="s">
        <v>747</v>
      </c>
      <c r="C39" s="84" t="s">
        <v>22</v>
      </c>
      <c r="D39" s="259">
        <f>(3.1416*D31)/D26</f>
        <v>0.62831999999999999</v>
      </c>
      <c r="E39" s="1" t="s">
        <v>10</v>
      </c>
      <c r="F39" s="12"/>
      <c r="G39" s="12"/>
      <c r="I39" s="120" t="s">
        <v>747</v>
      </c>
      <c r="J39" s="84" t="s">
        <v>22</v>
      </c>
      <c r="K39" s="259">
        <f>(3.1416*K31)/K26</f>
        <v>0.78539999999999999</v>
      </c>
      <c r="L39" s="1" t="s">
        <v>10</v>
      </c>
      <c r="M39" s="50"/>
      <c r="N39" s="12"/>
    </row>
    <row r="40" spans="2:14" x14ac:dyDescent="0.35">
      <c r="B40" s="120" t="s">
        <v>748</v>
      </c>
      <c r="C40" s="84" t="s">
        <v>23</v>
      </c>
      <c r="D40" s="126">
        <f>D39/2</f>
        <v>0.31415999999999999</v>
      </c>
      <c r="E40" s="1" t="s">
        <v>10</v>
      </c>
      <c r="F40" s="12"/>
      <c r="G40" s="12"/>
      <c r="I40" s="120" t="s">
        <v>748</v>
      </c>
      <c r="J40" s="84" t="s">
        <v>23</v>
      </c>
      <c r="K40" s="126">
        <f>K39/2</f>
        <v>0.39269999999999999</v>
      </c>
      <c r="L40" s="1" t="s">
        <v>10</v>
      </c>
      <c r="M40" s="50"/>
      <c r="N40" s="12"/>
    </row>
    <row r="41" spans="2:14" x14ac:dyDescent="0.35">
      <c r="B41" s="120" t="s">
        <v>749</v>
      </c>
      <c r="C41" s="84" t="s">
        <v>24</v>
      </c>
      <c r="D41" s="126">
        <f>D31*SIN(90/57.3)/D26</f>
        <v>0.19999999866138518</v>
      </c>
      <c r="E41" s="1" t="s">
        <v>10</v>
      </c>
      <c r="F41" s="297"/>
      <c r="G41" s="12"/>
      <c r="I41" s="120" t="s">
        <v>749</v>
      </c>
      <c r="J41" s="84" t="s">
        <v>24</v>
      </c>
      <c r="K41" s="126">
        <f>K31*SIN(90/57.3)/K26</f>
        <v>0.24999999832673145</v>
      </c>
      <c r="L41" s="1" t="s">
        <v>10</v>
      </c>
      <c r="M41" s="50"/>
      <c r="N41" s="12"/>
    </row>
    <row r="42" spans="2:14" x14ac:dyDescent="0.35">
      <c r="B42" s="260" t="s">
        <v>233</v>
      </c>
      <c r="C42" s="84" t="s">
        <v>234</v>
      </c>
      <c r="D42" s="126">
        <f>D32+(D40^2/(4*D31))</f>
        <v>0.20205617720000002</v>
      </c>
      <c r="F42" s="12"/>
      <c r="G42" s="12"/>
      <c r="I42" s="260" t="s">
        <v>233</v>
      </c>
      <c r="J42" s="84" t="s">
        <v>234</v>
      </c>
      <c r="K42" s="126">
        <f>K32+(K40^2/(4*K31))</f>
        <v>0.25385533225000001</v>
      </c>
      <c r="M42" s="50"/>
    </row>
    <row r="43" spans="2:14" x14ac:dyDescent="0.35">
      <c r="B43" s="120" t="s">
        <v>750</v>
      </c>
      <c r="C43" s="84" t="s">
        <v>25</v>
      </c>
      <c r="D43" s="259">
        <f>D32*2</f>
        <v>0.4</v>
      </c>
      <c r="E43" s="1" t="s">
        <v>10</v>
      </c>
      <c r="F43" s="12"/>
      <c r="G43" s="12"/>
      <c r="I43" s="120" t="s">
        <v>750</v>
      </c>
      <c r="J43" s="84" t="s">
        <v>25</v>
      </c>
      <c r="K43" s="259">
        <f>K32*2</f>
        <v>0.5</v>
      </c>
      <c r="L43" s="1" t="s">
        <v>10</v>
      </c>
      <c r="M43" s="50"/>
      <c r="N43" s="12"/>
    </row>
    <row r="44" spans="2:14" x14ac:dyDescent="0.35">
      <c r="B44" s="260" t="s">
        <v>208</v>
      </c>
      <c r="C44" s="84" t="s">
        <v>640</v>
      </c>
      <c r="D44" s="68">
        <f>0.35/D25</f>
        <v>6.9999999999999993E-2</v>
      </c>
      <c r="E44" s="1" t="s">
        <v>10</v>
      </c>
      <c r="F44" s="12"/>
      <c r="G44" s="12"/>
      <c r="I44" s="260" t="s">
        <v>208</v>
      </c>
      <c r="J44" s="84" t="s">
        <v>640</v>
      </c>
      <c r="K44" s="68">
        <f>0.35/K25</f>
        <v>8.7499999999999994E-2</v>
      </c>
      <c r="L44" s="1" t="s">
        <v>10</v>
      </c>
      <c r="M44" s="298"/>
      <c r="N44" s="12"/>
    </row>
    <row r="45" spans="2:14" ht="18" customHeight="1" x14ac:dyDescent="0.35">
      <c r="B45" s="167" t="s">
        <v>26</v>
      </c>
      <c r="C45" s="112"/>
      <c r="E45" s="11"/>
      <c r="F45" s="12"/>
      <c r="G45" s="12"/>
      <c r="H45" s="167"/>
      <c r="I45" s="112"/>
      <c r="J45" s="11"/>
      <c r="K45" s="11"/>
      <c r="M45" s="50"/>
      <c r="N45" s="12"/>
    </row>
    <row r="46" spans="2:14" x14ac:dyDescent="0.35">
      <c r="B46" s="13"/>
      <c r="C46" s="11"/>
      <c r="E46" s="11"/>
      <c r="F46" s="12"/>
      <c r="G46" s="12"/>
      <c r="H46" s="13"/>
      <c r="I46" s="11"/>
      <c r="J46" s="11"/>
      <c r="K46" s="11"/>
      <c r="M46" s="12"/>
    </row>
    <row r="47" spans="2:14" x14ac:dyDescent="0.35">
      <c r="B47" s="1" t="s">
        <v>28</v>
      </c>
      <c r="C47" s="112"/>
      <c r="E47" s="11"/>
      <c r="F47" s="12"/>
      <c r="G47" s="12"/>
      <c r="H47" s="1" t="s">
        <v>641</v>
      </c>
      <c r="I47" s="112"/>
      <c r="J47" s="11"/>
    </row>
    <row r="48" spans="2:14" x14ac:dyDescent="0.35">
      <c r="F48" s="12"/>
      <c r="G48" s="12"/>
      <c r="J48" s="11"/>
    </row>
    <row r="49" spans="2:13" x14ac:dyDescent="0.35">
      <c r="B49" s="299"/>
      <c r="C49" s="299"/>
      <c r="D49" s="300"/>
      <c r="E49" s="300"/>
      <c r="F49" s="22"/>
      <c r="G49" s="12"/>
      <c r="H49" s="299"/>
      <c r="I49" s="299"/>
      <c r="J49" s="300"/>
      <c r="K49" s="300"/>
      <c r="L49" s="299"/>
      <c r="M49" s="12"/>
    </row>
    <row r="50" spans="2:13" x14ac:dyDescent="0.35">
      <c r="F50" s="12"/>
      <c r="G50" s="12"/>
      <c r="H50" s="12"/>
      <c r="I50" s="12"/>
    </row>
    <row r="51" spans="2:13" ht="18" x14ac:dyDescent="0.4">
      <c r="B51" s="97" t="s">
        <v>32</v>
      </c>
      <c r="E51" s="11"/>
      <c r="F51" s="12"/>
      <c r="G51" s="12"/>
      <c r="H51" s="12"/>
      <c r="I51" s="12"/>
    </row>
    <row r="52" spans="2:13" ht="16" thickBot="1" x14ac:dyDescent="0.4">
      <c r="B52" s="1" t="s">
        <v>33</v>
      </c>
      <c r="C52" s="261" t="s">
        <v>4</v>
      </c>
      <c r="E52" s="11"/>
      <c r="F52" s="12"/>
      <c r="G52" s="12"/>
      <c r="H52" s="12"/>
      <c r="I52" s="12"/>
    </row>
    <row r="53" spans="2:13" x14ac:dyDescent="0.35">
      <c r="B53" s="120" t="s">
        <v>751</v>
      </c>
      <c r="C53" s="301">
        <v>12</v>
      </c>
      <c r="D53" s="11" t="s">
        <v>10</v>
      </c>
      <c r="E53" s="11"/>
      <c r="F53" s="12"/>
      <c r="G53" s="12"/>
    </row>
    <row r="54" spans="2:13" x14ac:dyDescent="0.35">
      <c r="B54" s="120" t="s">
        <v>752</v>
      </c>
      <c r="C54" s="49">
        <v>4</v>
      </c>
      <c r="D54" s="11" t="s">
        <v>10</v>
      </c>
      <c r="E54" s="11"/>
    </row>
    <row r="55" spans="2:13" x14ac:dyDescent="0.35">
      <c r="B55" s="120" t="s">
        <v>753</v>
      </c>
      <c r="C55" s="49">
        <v>0.2</v>
      </c>
      <c r="D55" s="11" t="s">
        <v>10</v>
      </c>
      <c r="E55" s="11"/>
    </row>
    <row r="56" spans="2:13" ht="16" thickBot="1" x14ac:dyDescent="0.4">
      <c r="B56" s="120" t="s">
        <v>754</v>
      </c>
      <c r="C56" s="17">
        <v>20</v>
      </c>
      <c r="D56" s="11" t="s">
        <v>6</v>
      </c>
    </row>
    <row r="57" spans="2:13" x14ac:dyDescent="0.35">
      <c r="C57" s="261" t="s">
        <v>13</v>
      </c>
      <c r="E57" s="11"/>
    </row>
    <row r="58" spans="2:13" x14ac:dyDescent="0.35">
      <c r="B58" s="87" t="s">
        <v>213</v>
      </c>
      <c r="C58" s="1" t="s">
        <v>215</v>
      </c>
      <c r="D58" s="1"/>
      <c r="E58" s="11"/>
    </row>
    <row r="59" spans="2:13" ht="15.75" customHeight="1" x14ac:dyDescent="0.35">
      <c r="B59" s="36" t="s">
        <v>30</v>
      </c>
      <c r="C59" s="68">
        <f>C53/2</f>
        <v>6</v>
      </c>
      <c r="D59" s="302" t="s">
        <v>10</v>
      </c>
    </row>
    <row r="60" spans="2:13" x14ac:dyDescent="0.35">
      <c r="B60" s="36" t="s">
        <v>217</v>
      </c>
      <c r="C60" s="6" t="s">
        <v>755</v>
      </c>
      <c r="D60" s="6"/>
    </row>
    <row r="61" spans="2:13" x14ac:dyDescent="0.35">
      <c r="B61" s="36" t="s">
        <v>30</v>
      </c>
      <c r="C61" s="71">
        <f>C59*SIN(C56/57.3)</f>
        <v>2.051975897878469</v>
      </c>
      <c r="D61" s="6"/>
    </row>
    <row r="62" spans="2:13" x14ac:dyDescent="0.35">
      <c r="B62" s="87" t="s">
        <v>214</v>
      </c>
      <c r="C62" s="6" t="s">
        <v>216</v>
      </c>
      <c r="D62" s="6"/>
    </row>
    <row r="63" spans="2:13" ht="13.5" customHeight="1" x14ac:dyDescent="0.35">
      <c r="B63" s="36" t="s">
        <v>30</v>
      </c>
      <c r="C63" s="68">
        <f>C54/2</f>
        <v>2</v>
      </c>
      <c r="D63" s="302" t="s">
        <v>10</v>
      </c>
    </row>
    <row r="64" spans="2:13" x14ac:dyDescent="0.35">
      <c r="B64" s="36" t="s">
        <v>218</v>
      </c>
      <c r="C64" s="6" t="s">
        <v>756</v>
      </c>
      <c r="D64" s="6"/>
    </row>
    <row r="65" spans="2:23" x14ac:dyDescent="0.35">
      <c r="B65" s="36" t="s">
        <v>30</v>
      </c>
      <c r="C65" s="71">
        <f>C63*SIN(C56/57.3)</f>
        <v>0.68399196595948974</v>
      </c>
      <c r="D65" s="6" t="s">
        <v>10</v>
      </c>
    </row>
    <row r="66" spans="2:23" x14ac:dyDescent="0.35">
      <c r="B66" s="36" t="s">
        <v>212</v>
      </c>
      <c r="C66" s="6" t="s">
        <v>220</v>
      </c>
      <c r="D66" s="6"/>
    </row>
    <row r="67" spans="2:23" x14ac:dyDescent="0.35">
      <c r="B67" s="36" t="s">
        <v>30</v>
      </c>
      <c r="C67" s="71">
        <f>C61+C65</f>
        <v>2.735967863837959</v>
      </c>
      <c r="D67" s="6" t="s">
        <v>10</v>
      </c>
      <c r="F67" s="12"/>
      <c r="G67" s="12"/>
    </row>
    <row r="68" spans="2:23" x14ac:dyDescent="0.35">
      <c r="B68" s="87" t="s">
        <v>219</v>
      </c>
      <c r="C68" s="90" t="s">
        <v>211</v>
      </c>
      <c r="D68" s="1"/>
      <c r="E68" s="11"/>
      <c r="F68" s="12"/>
      <c r="G68" s="12"/>
    </row>
    <row r="69" spans="2:23" x14ac:dyDescent="0.35">
      <c r="B69" s="36" t="s">
        <v>30</v>
      </c>
      <c r="C69" s="126">
        <f>(C59^2 + C67^2)^0.5</f>
        <v>6.5943551733246855</v>
      </c>
      <c r="D69" s="6" t="s">
        <v>10</v>
      </c>
      <c r="F69" s="12"/>
      <c r="G69" s="12"/>
    </row>
    <row r="70" spans="2:23" x14ac:dyDescent="0.35">
      <c r="B70" s="87" t="s">
        <v>219</v>
      </c>
      <c r="C70" s="1" t="s">
        <v>221</v>
      </c>
      <c r="E70" s="167"/>
      <c r="F70" s="12"/>
      <c r="G70" s="12"/>
    </row>
    <row r="71" spans="2:23" x14ac:dyDescent="0.35">
      <c r="B71" s="303" t="s">
        <v>30</v>
      </c>
      <c r="C71" s="68">
        <f>C59+C55</f>
        <v>6.2</v>
      </c>
      <c r="D71" s="6" t="s">
        <v>10</v>
      </c>
      <c r="E71" s="262" t="str">
        <f>IF(C71&lt;C69,"&lt;&lt;No interference","&lt;&lt;Interference")</f>
        <v>&lt;&lt;No interference</v>
      </c>
    </row>
    <row r="73" spans="2:23" x14ac:dyDescent="0.35">
      <c r="B73" s="299"/>
      <c r="C73" s="299"/>
      <c r="D73" s="300"/>
      <c r="E73" s="300"/>
      <c r="F73" s="299"/>
    </row>
    <row r="74" spans="2:23" x14ac:dyDescent="0.35">
      <c r="E74" s="11"/>
      <c r="K74" s="144"/>
      <c r="M74" s="12"/>
      <c r="N74" s="12"/>
    </row>
    <row r="75" spans="2:23" ht="18" x14ac:dyDescent="0.4">
      <c r="B75" s="319" t="s">
        <v>206</v>
      </c>
      <c r="M75" s="12"/>
      <c r="N75" s="12"/>
    </row>
    <row r="76" spans="2:23" x14ac:dyDescent="0.35">
      <c r="E76" s="11"/>
      <c r="M76" s="12"/>
      <c r="N76" s="12"/>
    </row>
    <row r="77" spans="2:23" x14ac:dyDescent="0.35">
      <c r="G77" s="293"/>
    </row>
    <row r="78" spans="2:23" x14ac:dyDescent="0.35">
      <c r="G78" s="293"/>
      <c r="H78" s="13"/>
      <c r="I78" s="11"/>
    </row>
    <row r="79" spans="2:23" x14ac:dyDescent="0.35">
      <c r="G79" s="293"/>
      <c r="H79" s="13"/>
      <c r="I79" s="10"/>
      <c r="W79" s="11"/>
    </row>
    <row r="80" spans="2:23" x14ac:dyDescent="0.35">
      <c r="G80" s="293"/>
      <c r="H80" s="13"/>
      <c r="I80" s="11"/>
      <c r="W80" s="11"/>
    </row>
    <row r="81" spans="5:23" x14ac:dyDescent="0.35">
      <c r="G81" s="298"/>
      <c r="H81" s="53"/>
      <c r="I81" s="34"/>
      <c r="J81" s="12"/>
      <c r="K81" s="12"/>
      <c r="L81" s="12"/>
      <c r="M81" s="12"/>
      <c r="W81" s="11"/>
    </row>
    <row r="82" spans="5:23" x14ac:dyDescent="0.35">
      <c r="G82" s="298"/>
      <c r="H82" s="53"/>
      <c r="I82" s="34"/>
      <c r="J82" s="12"/>
      <c r="K82" s="12"/>
      <c r="L82" s="12"/>
      <c r="M82" s="12"/>
      <c r="W82" s="11"/>
    </row>
    <row r="83" spans="5:23" x14ac:dyDescent="0.35">
      <c r="G83" s="298"/>
      <c r="H83" s="53"/>
      <c r="I83" s="34"/>
      <c r="J83" s="12"/>
      <c r="K83" s="12"/>
      <c r="L83" s="12"/>
      <c r="M83" s="12"/>
      <c r="W83" s="11"/>
    </row>
    <row r="84" spans="5:23" x14ac:dyDescent="0.35">
      <c r="G84" s="298"/>
      <c r="H84" s="53"/>
      <c r="I84" s="34"/>
      <c r="J84" s="12"/>
      <c r="K84" s="12"/>
      <c r="L84" s="12"/>
      <c r="M84" s="12"/>
      <c r="W84" s="11"/>
    </row>
    <row r="85" spans="5:23" x14ac:dyDescent="0.35">
      <c r="G85" s="298"/>
      <c r="H85" s="53"/>
      <c r="I85" s="34"/>
      <c r="J85" s="12"/>
      <c r="K85" s="12"/>
      <c r="L85" s="12"/>
      <c r="M85" s="12"/>
      <c r="W85" s="11"/>
    </row>
    <row r="86" spans="5:23" x14ac:dyDescent="0.35">
      <c r="E86" s="11"/>
      <c r="G86" s="298"/>
      <c r="H86" s="53"/>
      <c r="I86" s="34"/>
      <c r="J86" s="12"/>
      <c r="K86" s="12"/>
      <c r="L86" s="12"/>
      <c r="M86" s="12"/>
      <c r="W86" s="34"/>
    </row>
    <row r="87" spans="5:23" x14ac:dyDescent="0.35">
      <c r="G87" s="12"/>
      <c r="H87" s="53"/>
      <c r="I87" s="34"/>
      <c r="J87" s="12"/>
      <c r="K87" s="12"/>
      <c r="L87" s="12"/>
      <c r="M87" s="12"/>
      <c r="W87" s="34"/>
    </row>
    <row r="88" spans="5:23" x14ac:dyDescent="0.35">
      <c r="G88" s="12"/>
      <c r="H88" s="53"/>
      <c r="I88" s="34"/>
      <c r="J88" s="12"/>
      <c r="K88" s="12"/>
      <c r="L88" s="12"/>
      <c r="M88" s="12"/>
      <c r="W88" s="34"/>
    </row>
    <row r="89" spans="5:23" x14ac:dyDescent="0.35">
      <c r="G89" s="12"/>
      <c r="H89" s="53"/>
      <c r="I89" s="34"/>
      <c r="J89" s="12"/>
      <c r="K89" s="12"/>
      <c r="L89" s="12"/>
      <c r="M89" s="12"/>
      <c r="W89" s="34"/>
    </row>
    <row r="90" spans="5:23" x14ac:dyDescent="0.35">
      <c r="G90" s="12"/>
      <c r="H90" s="53"/>
      <c r="I90" s="34"/>
      <c r="J90" s="12"/>
      <c r="K90" s="12"/>
      <c r="L90" s="12"/>
      <c r="M90" s="12"/>
      <c r="W90" s="34"/>
    </row>
    <row r="91" spans="5:23" x14ac:dyDescent="0.35">
      <c r="E91" s="11"/>
      <c r="G91" s="298"/>
      <c r="H91" s="53"/>
      <c r="I91" s="12"/>
      <c r="J91" s="12"/>
      <c r="K91" s="12"/>
      <c r="L91" s="12"/>
      <c r="M91" s="12"/>
      <c r="W91" s="34"/>
    </row>
    <row r="92" spans="5:23" x14ac:dyDescent="0.35">
      <c r="E92" s="11"/>
      <c r="G92" s="298"/>
      <c r="H92" s="53"/>
      <c r="I92" s="12"/>
      <c r="J92" s="12"/>
      <c r="K92" s="12"/>
      <c r="L92" s="12"/>
      <c r="M92" s="12"/>
      <c r="W92" s="34"/>
    </row>
    <row r="93" spans="5:23" x14ac:dyDescent="0.35">
      <c r="G93" s="298"/>
      <c r="H93" s="12"/>
      <c r="I93" s="12"/>
      <c r="J93" s="12"/>
      <c r="K93" s="12"/>
      <c r="L93" s="12"/>
      <c r="M93" s="12"/>
      <c r="W93" s="34"/>
    </row>
    <row r="94" spans="5:23" x14ac:dyDescent="0.35">
      <c r="G94" s="298"/>
      <c r="H94" s="53"/>
      <c r="I94" s="12"/>
      <c r="J94" s="12"/>
      <c r="K94" s="12"/>
      <c r="L94" s="12"/>
      <c r="M94" s="12"/>
      <c r="W94" s="34"/>
    </row>
    <row r="95" spans="5:23" x14ac:dyDescent="0.35">
      <c r="G95" s="298"/>
      <c r="H95" s="53"/>
      <c r="I95" s="12"/>
      <c r="J95" s="12"/>
      <c r="K95" s="12"/>
      <c r="L95" s="12"/>
      <c r="M95" s="12"/>
      <c r="W95" s="34"/>
    </row>
    <row r="96" spans="5:23" x14ac:dyDescent="0.35">
      <c r="G96" s="12"/>
      <c r="H96" s="53"/>
      <c r="I96" s="12"/>
      <c r="J96" s="12"/>
      <c r="K96" s="12"/>
      <c r="L96" s="12"/>
      <c r="M96" s="12"/>
      <c r="W96" s="34"/>
    </row>
    <row r="97" spans="3:28" ht="16" thickBot="1" x14ac:dyDescent="0.4">
      <c r="C97" s="60"/>
      <c r="D97" s="141" t="s">
        <v>4</v>
      </c>
      <c r="E97" s="141"/>
      <c r="G97" s="298"/>
      <c r="H97" s="34"/>
      <c r="I97" s="12"/>
      <c r="J97" s="12"/>
      <c r="K97" s="12"/>
      <c r="L97" s="12"/>
      <c r="M97" s="12"/>
      <c r="W97" s="34"/>
      <c r="X97" s="12"/>
      <c r="AA97" s="12"/>
      <c r="AB97" s="12"/>
    </row>
    <row r="98" spans="3:28" x14ac:dyDescent="0.35">
      <c r="C98" s="120" t="s">
        <v>222</v>
      </c>
      <c r="D98" s="15">
        <v>500</v>
      </c>
      <c r="E98" s="9" t="s">
        <v>88</v>
      </c>
      <c r="F98" s="105"/>
      <c r="G98" s="298"/>
      <c r="H98" s="4" t="s">
        <v>235</v>
      </c>
      <c r="K98" s="12"/>
      <c r="L98" s="12"/>
      <c r="M98" s="12"/>
      <c r="AA98" s="12"/>
      <c r="AB98" s="12"/>
    </row>
    <row r="99" spans="3:28" x14ac:dyDescent="0.35">
      <c r="C99" s="120" t="s">
        <v>223</v>
      </c>
      <c r="D99" s="16">
        <v>200</v>
      </c>
      <c r="E99" s="9" t="s">
        <v>88</v>
      </c>
      <c r="F99" s="105"/>
      <c r="G99" s="298"/>
      <c r="H99" s="11"/>
      <c r="K99" s="12"/>
      <c r="L99" s="12"/>
      <c r="M99" s="12"/>
    </row>
    <row r="100" spans="3:28" x14ac:dyDescent="0.35">
      <c r="C100" s="120" t="s">
        <v>646</v>
      </c>
      <c r="D100" s="228">
        <v>5</v>
      </c>
      <c r="E100" s="259" t="s">
        <v>10</v>
      </c>
      <c r="G100" s="12"/>
      <c r="H100" s="11"/>
      <c r="K100" s="12"/>
      <c r="L100" s="12"/>
      <c r="M100" s="12"/>
    </row>
    <row r="101" spans="3:28" ht="16" thickBot="1" x14ac:dyDescent="0.4">
      <c r="C101" s="120" t="s">
        <v>757</v>
      </c>
      <c r="D101" s="263">
        <v>6</v>
      </c>
      <c r="E101" s="264" t="s">
        <v>224</v>
      </c>
      <c r="F101" s="1"/>
      <c r="G101" s="12"/>
      <c r="H101" s="11"/>
      <c r="K101" s="12"/>
      <c r="L101" s="12"/>
      <c r="M101" s="12"/>
    </row>
    <row r="102" spans="3:28" x14ac:dyDescent="0.35">
      <c r="D102" s="141" t="s">
        <v>13</v>
      </c>
      <c r="G102" s="12"/>
      <c r="H102" s="11"/>
      <c r="K102" s="12"/>
      <c r="L102" s="12"/>
      <c r="M102" s="12"/>
    </row>
    <row r="103" spans="3:28" x14ac:dyDescent="0.35">
      <c r="C103" s="73" t="s">
        <v>225</v>
      </c>
      <c r="D103" s="1" t="s">
        <v>644</v>
      </c>
      <c r="G103" s="12"/>
      <c r="H103" s="11"/>
      <c r="K103" s="12"/>
      <c r="L103" s="12"/>
      <c r="M103" s="12"/>
    </row>
    <row r="104" spans="3:28" x14ac:dyDescent="0.35">
      <c r="C104" s="192" t="s">
        <v>30</v>
      </c>
      <c r="D104" s="1">
        <f>D100*D101</f>
        <v>30</v>
      </c>
      <c r="E104" s="233" t="s">
        <v>8</v>
      </c>
      <c r="F104" s="105"/>
      <c r="G104" s="304"/>
      <c r="H104" s="11"/>
      <c r="J104" s="12"/>
      <c r="K104" s="12"/>
      <c r="L104" s="12"/>
      <c r="M104" s="12"/>
    </row>
    <row r="105" spans="3:28" x14ac:dyDescent="0.35">
      <c r="C105" s="87" t="s">
        <v>29</v>
      </c>
      <c r="D105" s="1" t="s">
        <v>226</v>
      </c>
      <c r="G105" s="298"/>
      <c r="H105" s="11"/>
      <c r="J105" s="12"/>
      <c r="K105" s="12"/>
      <c r="L105" s="12"/>
      <c r="M105" s="12"/>
    </row>
    <row r="106" spans="3:28" x14ac:dyDescent="0.35">
      <c r="C106" s="87" t="s">
        <v>30</v>
      </c>
      <c r="D106" s="126">
        <f>D98/D99</f>
        <v>2.5</v>
      </c>
      <c r="E106" s="141"/>
      <c r="G106" s="298"/>
      <c r="H106" s="11"/>
      <c r="J106" s="12"/>
      <c r="K106" s="12"/>
      <c r="L106" s="12"/>
      <c r="M106" s="12"/>
    </row>
    <row r="107" spans="3:28" ht="16" thickBot="1" x14ac:dyDescent="0.4">
      <c r="C107" s="73" t="s">
        <v>227</v>
      </c>
      <c r="D107" s="1" t="s">
        <v>228</v>
      </c>
      <c r="E107" s="141"/>
      <c r="G107" s="298"/>
      <c r="H107" s="34"/>
      <c r="J107" s="12"/>
      <c r="K107" s="12"/>
      <c r="L107" s="12"/>
      <c r="M107" s="12"/>
    </row>
    <row r="108" spans="3:28" ht="16" thickBot="1" x14ac:dyDescent="0.4">
      <c r="C108" s="192" t="s">
        <v>30</v>
      </c>
      <c r="D108" s="265">
        <f>D106*D104</f>
        <v>75</v>
      </c>
      <c r="E108" s="266"/>
      <c r="F108" s="105"/>
      <c r="G108" s="298"/>
      <c r="H108" s="34"/>
      <c r="J108" s="12"/>
      <c r="K108" s="12"/>
      <c r="L108" s="12"/>
      <c r="M108" s="12"/>
    </row>
    <row r="109" spans="3:28" x14ac:dyDescent="0.35">
      <c r="C109" s="73" t="s">
        <v>229</v>
      </c>
      <c r="D109" s="1" t="s">
        <v>645</v>
      </c>
      <c r="E109" s="75"/>
      <c r="F109" s="105"/>
      <c r="G109" s="12"/>
      <c r="H109" s="34"/>
      <c r="J109" s="12"/>
      <c r="K109" s="12"/>
      <c r="L109" s="12"/>
      <c r="M109" s="12"/>
    </row>
    <row r="110" spans="3:28" x14ac:dyDescent="0.35">
      <c r="C110" s="192" t="s">
        <v>30</v>
      </c>
      <c r="D110" s="126">
        <f>D108/D101</f>
        <v>12.5</v>
      </c>
      <c r="E110" s="9" t="s">
        <v>10</v>
      </c>
      <c r="G110" s="12"/>
      <c r="H110" s="34"/>
      <c r="J110" s="12"/>
      <c r="K110" s="12"/>
      <c r="L110" s="12"/>
      <c r="M110" s="12"/>
      <c r="Q110" s="12"/>
    </row>
    <row r="111" spans="3:28" x14ac:dyDescent="0.35">
      <c r="C111" s="73" t="s">
        <v>230</v>
      </c>
      <c r="D111" s="1" t="s">
        <v>231</v>
      </c>
      <c r="E111" s="267"/>
      <c r="F111" s="105"/>
      <c r="G111" s="50"/>
      <c r="H111" s="34"/>
      <c r="J111" s="12"/>
      <c r="K111" s="12"/>
      <c r="L111" s="12"/>
      <c r="M111" s="12"/>
    </row>
    <row r="112" spans="3:28" x14ac:dyDescent="0.35">
      <c r="C112" s="192" t="s">
        <v>30</v>
      </c>
      <c r="D112" s="135">
        <f>D98/D106</f>
        <v>200</v>
      </c>
      <c r="E112" s="224" t="s">
        <v>88</v>
      </c>
      <c r="F112" s="105"/>
      <c r="G112" s="12"/>
      <c r="H112" s="34"/>
      <c r="J112" s="12"/>
      <c r="K112" s="12"/>
      <c r="L112" s="12"/>
      <c r="M112" s="12"/>
      <c r="N112" s="12"/>
      <c r="O112" s="12"/>
      <c r="P112" s="12"/>
    </row>
    <row r="113" spans="2:15" ht="16" thickBot="1" x14ac:dyDescent="0.4">
      <c r="C113" s="268" t="s">
        <v>31</v>
      </c>
      <c r="D113" s="3" t="s">
        <v>232</v>
      </c>
      <c r="G113" s="12"/>
      <c r="H113" s="34"/>
      <c r="J113" s="12"/>
      <c r="K113" s="12"/>
      <c r="L113" s="12"/>
      <c r="M113" s="12"/>
    </row>
    <row r="114" spans="2:15" ht="16" thickBot="1" x14ac:dyDescent="0.4">
      <c r="C114" s="268" t="s">
        <v>30</v>
      </c>
      <c r="D114" s="258">
        <f>(D100 + D110) / 2</f>
        <v>8.75</v>
      </c>
      <c r="E114" s="9" t="s">
        <v>10</v>
      </c>
      <c r="G114" s="12"/>
      <c r="H114" s="34"/>
      <c r="I114" s="12"/>
      <c r="J114" s="12"/>
      <c r="K114" s="12"/>
      <c r="L114" s="12"/>
      <c r="M114" s="12"/>
    </row>
    <row r="115" spans="2:15" x14ac:dyDescent="0.35">
      <c r="G115" s="12"/>
      <c r="H115" s="12"/>
      <c r="I115" s="12"/>
      <c r="J115" s="12"/>
      <c r="K115" s="12"/>
      <c r="L115" s="12"/>
      <c r="M115" s="12"/>
    </row>
    <row r="116" spans="2:15" x14ac:dyDescent="0.35">
      <c r="B116" s="299"/>
      <c r="C116" s="305"/>
      <c r="D116" s="300"/>
      <c r="E116" s="300"/>
      <c r="F116" s="299"/>
      <c r="G116" s="298"/>
      <c r="H116" s="12"/>
      <c r="I116" s="12"/>
      <c r="J116" s="12"/>
      <c r="K116" s="12"/>
      <c r="L116" s="12"/>
      <c r="M116" s="12"/>
    </row>
    <row r="117" spans="2:15" x14ac:dyDescent="0.35">
      <c r="G117" s="12"/>
      <c r="H117" s="53"/>
      <c r="I117" s="12"/>
      <c r="J117" s="12"/>
      <c r="K117" s="12"/>
      <c r="L117" s="12"/>
      <c r="M117" s="12"/>
    </row>
    <row r="118" spans="2:15" ht="18" x14ac:dyDescent="0.4">
      <c r="B118" s="97" t="s">
        <v>34</v>
      </c>
      <c r="C118" s="112"/>
      <c r="G118" s="50"/>
      <c r="H118" s="53"/>
      <c r="I118" s="12"/>
      <c r="J118" s="12"/>
      <c r="K118" s="12"/>
      <c r="L118" s="12"/>
      <c r="M118" s="12"/>
    </row>
    <row r="119" spans="2:15" x14ac:dyDescent="0.35">
      <c r="B119" s="13"/>
      <c r="C119" s="112"/>
      <c r="E119" s="11"/>
      <c r="G119" s="50"/>
      <c r="H119" s="53"/>
      <c r="I119" s="12"/>
      <c r="J119" s="12"/>
      <c r="K119" s="12"/>
      <c r="L119" s="12"/>
      <c r="M119" s="12"/>
    </row>
    <row r="120" spans="2:15" x14ac:dyDescent="0.35">
      <c r="B120" s="13"/>
      <c r="C120" s="112"/>
      <c r="E120" s="11"/>
      <c r="G120" s="50"/>
      <c r="H120" s="53"/>
      <c r="I120" s="12"/>
      <c r="J120" s="12"/>
      <c r="K120" s="12"/>
      <c r="L120" s="12"/>
      <c r="M120" s="12"/>
    </row>
    <row r="121" spans="2:15" x14ac:dyDescent="0.35">
      <c r="B121" s="13"/>
      <c r="C121" s="112"/>
      <c r="E121" s="11"/>
      <c r="G121" s="50"/>
      <c r="H121" s="53"/>
      <c r="I121" s="12"/>
      <c r="J121" s="50"/>
      <c r="K121" s="268"/>
      <c r="L121" s="34"/>
      <c r="M121" s="12"/>
    </row>
    <row r="122" spans="2:15" x14ac:dyDescent="0.35">
      <c r="B122" s="13"/>
      <c r="C122" s="112"/>
      <c r="E122" s="11"/>
      <c r="G122" s="50"/>
      <c r="H122" s="53"/>
      <c r="I122" s="34"/>
      <c r="J122" s="12"/>
      <c r="K122" s="12"/>
      <c r="L122" s="12"/>
      <c r="M122" s="12"/>
      <c r="N122" s="12"/>
      <c r="O122" s="12"/>
    </row>
    <row r="123" spans="2:15" x14ac:dyDescent="0.35">
      <c r="B123" s="13"/>
      <c r="C123" s="112"/>
      <c r="E123" s="11"/>
      <c r="G123" s="50"/>
      <c r="H123" s="53"/>
      <c r="I123" s="34"/>
      <c r="J123" s="12"/>
      <c r="K123" s="12"/>
      <c r="L123" s="12"/>
      <c r="M123" s="12"/>
      <c r="N123" s="12"/>
      <c r="O123" s="12"/>
    </row>
    <row r="124" spans="2:15" x14ac:dyDescent="0.35">
      <c r="B124" s="13"/>
      <c r="C124" s="112"/>
      <c r="E124" s="11"/>
      <c r="G124" s="50"/>
      <c r="H124" s="53"/>
      <c r="I124" s="34"/>
      <c r="J124" s="12"/>
      <c r="K124" s="12"/>
      <c r="L124" s="12"/>
      <c r="M124" s="12"/>
      <c r="N124" s="12"/>
      <c r="O124" s="12"/>
    </row>
    <row r="125" spans="2:15" x14ac:dyDescent="0.35">
      <c r="B125" s="13"/>
      <c r="C125" s="112"/>
      <c r="E125" s="11"/>
      <c r="G125" s="50"/>
      <c r="H125" s="53"/>
      <c r="I125" s="34"/>
      <c r="J125" s="12"/>
      <c r="K125" s="12"/>
      <c r="L125" s="12"/>
      <c r="M125" s="12"/>
      <c r="N125" s="12"/>
      <c r="O125" s="12"/>
    </row>
    <row r="126" spans="2:15" x14ac:dyDescent="0.35">
      <c r="B126" s="13"/>
      <c r="C126" s="112"/>
      <c r="E126" s="11"/>
      <c r="G126" s="50"/>
      <c r="H126" s="53"/>
      <c r="I126" s="34"/>
      <c r="J126" s="12"/>
      <c r="K126" s="12"/>
      <c r="L126" s="12"/>
      <c r="M126" s="12"/>
      <c r="N126" s="12"/>
      <c r="O126" s="12"/>
    </row>
    <row r="127" spans="2:15" x14ac:dyDescent="0.35">
      <c r="B127" s="13"/>
      <c r="C127" s="112"/>
      <c r="E127" s="11"/>
      <c r="G127" s="50"/>
      <c r="H127" s="53"/>
      <c r="I127" s="34"/>
      <c r="J127" s="12"/>
      <c r="K127" s="12"/>
      <c r="L127" s="12"/>
      <c r="M127" s="12"/>
      <c r="N127" s="12"/>
      <c r="O127" s="12"/>
    </row>
    <row r="128" spans="2:15" x14ac:dyDescent="0.35">
      <c r="B128" s="13"/>
      <c r="C128" s="112"/>
      <c r="E128" s="11"/>
      <c r="G128" s="50"/>
      <c r="H128" s="103" t="s">
        <v>210</v>
      </c>
      <c r="I128" s="12"/>
      <c r="J128" s="12"/>
      <c r="K128" s="12"/>
      <c r="L128" s="12"/>
      <c r="M128" s="12"/>
      <c r="N128" s="12"/>
      <c r="O128" s="12"/>
    </row>
    <row r="129" spans="2:15" x14ac:dyDescent="0.35">
      <c r="B129" s="13"/>
      <c r="C129" s="112"/>
      <c r="E129" s="11"/>
      <c r="G129" s="50"/>
      <c r="H129" s="103" t="s">
        <v>209</v>
      </c>
      <c r="I129" s="34"/>
      <c r="J129" s="12"/>
      <c r="K129" s="12"/>
      <c r="L129" s="12"/>
      <c r="M129" s="12"/>
      <c r="N129" s="12"/>
      <c r="O129" s="12"/>
    </row>
    <row r="130" spans="2:15" x14ac:dyDescent="0.35">
      <c r="B130" s="13"/>
      <c r="C130" s="112"/>
      <c r="E130" s="11"/>
      <c r="G130" s="50"/>
      <c r="H130" s="53"/>
      <c r="I130" s="34"/>
      <c r="J130" s="12"/>
      <c r="K130" s="12"/>
      <c r="L130" s="12"/>
      <c r="M130" s="12"/>
      <c r="N130" s="12"/>
      <c r="O130" s="12"/>
    </row>
    <row r="131" spans="2:15" x14ac:dyDescent="0.35">
      <c r="B131" s="13"/>
      <c r="C131" s="112"/>
      <c r="E131" s="11"/>
      <c r="G131" s="50"/>
      <c r="N131" s="34"/>
      <c r="O131" s="12"/>
    </row>
    <row r="132" spans="2:15" ht="18" x14ac:dyDescent="0.4">
      <c r="B132" s="247" t="s">
        <v>35</v>
      </c>
      <c r="C132" s="83"/>
      <c r="E132" s="11"/>
      <c r="G132" s="50"/>
    </row>
    <row r="133" spans="2:15" ht="16" thickBot="1" x14ac:dyDescent="0.4">
      <c r="B133" s="306"/>
      <c r="C133" s="83" t="s">
        <v>36</v>
      </c>
      <c r="D133" s="34"/>
      <c r="E133" s="12"/>
      <c r="G133" s="298"/>
      <c r="H133" s="53"/>
      <c r="I133" s="12"/>
      <c r="J133" s="12"/>
      <c r="K133" s="12"/>
      <c r="L133" s="12"/>
      <c r="N133" s="12"/>
      <c r="O133" s="12"/>
    </row>
    <row r="134" spans="2:15" x14ac:dyDescent="0.35">
      <c r="B134" s="60" t="s">
        <v>37</v>
      </c>
      <c r="C134" s="307">
        <v>1000</v>
      </c>
      <c r="D134" s="11" t="s">
        <v>38</v>
      </c>
      <c r="E134" s="12"/>
      <c r="G134" s="298"/>
      <c r="H134" s="53"/>
      <c r="I134" s="12"/>
      <c r="J134" s="12"/>
      <c r="K134" s="12"/>
      <c r="L134" s="12"/>
      <c r="N134" s="12"/>
      <c r="O134" s="12"/>
    </row>
    <row r="135" spans="2:15" x14ac:dyDescent="0.35">
      <c r="B135" s="60" t="s">
        <v>39</v>
      </c>
      <c r="C135" s="49">
        <v>0.5</v>
      </c>
      <c r="D135" s="11" t="s">
        <v>10</v>
      </c>
      <c r="E135" s="12"/>
      <c r="G135" s="50"/>
      <c r="H135" s="53"/>
      <c r="I135" s="12"/>
      <c r="J135" s="12"/>
      <c r="K135" s="12"/>
      <c r="L135" s="12"/>
      <c r="N135" s="12"/>
      <c r="O135" s="12"/>
    </row>
    <row r="136" spans="2:15" x14ac:dyDescent="0.35">
      <c r="B136" s="60" t="s">
        <v>40</v>
      </c>
      <c r="C136" s="49">
        <v>1</v>
      </c>
      <c r="D136" s="11" t="s">
        <v>10</v>
      </c>
      <c r="G136" s="50"/>
      <c r="H136" s="53"/>
      <c r="I136" s="12"/>
      <c r="J136" s="12"/>
      <c r="K136" s="12"/>
      <c r="L136" s="12"/>
      <c r="N136" s="12"/>
      <c r="O136" s="12"/>
    </row>
    <row r="137" spans="2:15" x14ac:dyDescent="0.35">
      <c r="B137" s="120" t="s">
        <v>41</v>
      </c>
      <c r="C137" s="16">
        <v>20</v>
      </c>
      <c r="D137" s="269" t="s">
        <v>42</v>
      </c>
      <c r="E137" s="12"/>
      <c r="G137" s="50"/>
      <c r="H137" s="53"/>
      <c r="I137" s="12"/>
      <c r="J137" s="12"/>
      <c r="K137" s="12"/>
      <c r="L137" s="12"/>
      <c r="N137" s="12"/>
      <c r="O137" s="12"/>
    </row>
    <row r="138" spans="2:15" x14ac:dyDescent="0.35">
      <c r="B138" s="120" t="s">
        <v>758</v>
      </c>
      <c r="C138" s="16">
        <v>4</v>
      </c>
      <c r="D138" s="269" t="s">
        <v>8</v>
      </c>
      <c r="E138" s="12"/>
      <c r="G138" s="270"/>
      <c r="H138" s="53"/>
      <c r="I138" s="12"/>
      <c r="J138" s="12"/>
      <c r="K138" s="12"/>
      <c r="L138" s="12"/>
      <c r="N138" s="12"/>
      <c r="O138" s="12"/>
    </row>
    <row r="139" spans="2:15" ht="16" thickBot="1" x14ac:dyDescent="0.4">
      <c r="B139" s="121" t="s">
        <v>759</v>
      </c>
      <c r="C139" s="308">
        <v>32</v>
      </c>
      <c r="D139" s="269" t="s">
        <v>8</v>
      </c>
      <c r="E139" s="12"/>
      <c r="G139" s="50"/>
      <c r="H139" s="53"/>
      <c r="I139" s="12"/>
      <c r="J139" s="12"/>
      <c r="K139" s="12"/>
      <c r="L139" s="12"/>
      <c r="O139" s="12"/>
    </row>
    <row r="140" spans="2:15" x14ac:dyDescent="0.35">
      <c r="C140" s="83" t="s">
        <v>13</v>
      </c>
      <c r="E140" s="12"/>
      <c r="G140" s="50"/>
      <c r="H140" s="53"/>
      <c r="I140" s="12"/>
      <c r="J140" s="12"/>
      <c r="K140" s="12"/>
      <c r="L140" s="12"/>
      <c r="N140" s="12"/>
    </row>
    <row r="141" spans="2:15" x14ac:dyDescent="0.35">
      <c r="B141" s="73" t="s">
        <v>43</v>
      </c>
      <c r="C141" s="1" t="s">
        <v>14</v>
      </c>
      <c r="D141" s="3"/>
      <c r="E141" s="12"/>
      <c r="G141" s="249" t="s">
        <v>0</v>
      </c>
      <c r="H141" s="53"/>
      <c r="I141" s="12"/>
      <c r="J141" s="12"/>
      <c r="K141" s="12"/>
      <c r="L141" s="12"/>
      <c r="N141" s="12"/>
    </row>
    <row r="142" spans="2:15" x14ac:dyDescent="0.35">
      <c r="B142" s="87" t="s">
        <v>30</v>
      </c>
      <c r="C142" s="126">
        <f>C139 / C138</f>
        <v>8</v>
      </c>
      <c r="D142" s="1"/>
      <c r="E142" s="12"/>
      <c r="G142" s="50"/>
      <c r="H142" s="53"/>
      <c r="I142" s="12"/>
      <c r="J142" s="12"/>
      <c r="K142" s="12"/>
      <c r="L142" s="12"/>
      <c r="N142" s="12"/>
    </row>
    <row r="143" spans="2:15" x14ac:dyDescent="0.35">
      <c r="B143" s="73" t="s">
        <v>746</v>
      </c>
      <c r="C143" s="1" t="s">
        <v>21</v>
      </c>
      <c r="D143" s="3"/>
      <c r="E143" s="12"/>
      <c r="G143" s="50"/>
      <c r="H143" s="53"/>
      <c r="I143" s="12"/>
      <c r="J143" s="12"/>
      <c r="K143" s="12"/>
      <c r="L143" s="12"/>
      <c r="N143" s="12"/>
    </row>
    <row r="144" spans="2:15" x14ac:dyDescent="0.35">
      <c r="B144" s="87" t="s">
        <v>30</v>
      </c>
      <c r="C144" s="126">
        <f>C142*COS(C137/57.3)</f>
        <v>7.517611312647519</v>
      </c>
      <c r="D144" s="3" t="s">
        <v>642</v>
      </c>
      <c r="E144" s="103"/>
      <c r="G144" s="50"/>
      <c r="H144" s="53"/>
      <c r="I144" s="12"/>
      <c r="J144" s="12"/>
      <c r="K144" s="12"/>
      <c r="L144" s="12"/>
      <c r="N144" s="12"/>
    </row>
    <row r="145" spans="2:14" x14ac:dyDescent="0.35">
      <c r="B145" s="87" t="s">
        <v>44</v>
      </c>
      <c r="C145" s="3" t="s">
        <v>45</v>
      </c>
      <c r="D145" s="3"/>
      <c r="G145" s="298"/>
      <c r="H145" s="53"/>
      <c r="I145" s="12"/>
      <c r="J145" s="12"/>
      <c r="K145" s="12"/>
      <c r="L145" s="12"/>
      <c r="N145" s="12"/>
    </row>
    <row r="146" spans="2:14" x14ac:dyDescent="0.35">
      <c r="B146" s="268" t="s">
        <v>30</v>
      </c>
      <c r="C146" s="271">
        <f>(C142 - C144)/2</f>
        <v>0.24119434367624049</v>
      </c>
      <c r="D146" s="3" t="s">
        <v>10</v>
      </c>
      <c r="G146" s="50"/>
      <c r="H146" s="53"/>
      <c r="I146" s="12"/>
      <c r="J146" s="12"/>
      <c r="K146" s="12"/>
      <c r="L146" s="12"/>
      <c r="N146" s="12"/>
    </row>
    <row r="147" spans="2:14" x14ac:dyDescent="0.35">
      <c r="B147" s="87" t="s">
        <v>46</v>
      </c>
      <c r="C147" s="1" t="s">
        <v>47</v>
      </c>
      <c r="E147" s="11"/>
      <c r="G147" s="50"/>
      <c r="H147" s="53"/>
      <c r="I147" s="12"/>
      <c r="J147" s="12"/>
      <c r="K147" s="12"/>
      <c r="L147" s="12"/>
      <c r="N147" s="12"/>
    </row>
    <row r="148" spans="2:14" x14ac:dyDescent="0.35">
      <c r="B148" s="87" t="s">
        <v>48</v>
      </c>
      <c r="C148" s="126">
        <f>C135/2</f>
        <v>0.25</v>
      </c>
      <c r="D148" s="1" t="s">
        <v>49</v>
      </c>
      <c r="E148" s="11"/>
      <c r="G148" s="50"/>
      <c r="H148" s="53"/>
      <c r="I148" s="12"/>
      <c r="J148" s="12"/>
      <c r="K148" s="12"/>
      <c r="L148" s="12"/>
      <c r="N148" s="12"/>
    </row>
    <row r="149" spans="2:14" x14ac:dyDescent="0.35">
      <c r="B149" s="87" t="s">
        <v>50</v>
      </c>
      <c r="C149" s="1" t="s">
        <v>51</v>
      </c>
      <c r="D149" s="1"/>
      <c r="E149" s="11"/>
      <c r="G149" s="50"/>
      <c r="H149" s="53"/>
      <c r="I149" s="34"/>
      <c r="J149" s="12"/>
      <c r="K149" s="12"/>
      <c r="L149" s="12"/>
      <c r="M149" s="12"/>
      <c r="N149" s="12"/>
    </row>
    <row r="150" spans="2:14" x14ac:dyDescent="0.35">
      <c r="B150" s="87" t="s">
        <v>52</v>
      </c>
      <c r="C150" s="1">
        <f>C136*C135^3 / 12</f>
        <v>1.0416666666666666E-2</v>
      </c>
      <c r="D150" s="1" t="s">
        <v>53</v>
      </c>
      <c r="E150" s="11"/>
      <c r="G150" s="50"/>
      <c r="H150" s="53"/>
      <c r="I150" s="34"/>
      <c r="J150" s="12"/>
      <c r="K150" s="12"/>
      <c r="L150" s="12"/>
      <c r="M150" s="12"/>
      <c r="N150" s="12"/>
    </row>
    <row r="151" spans="2:14" x14ac:dyDescent="0.35">
      <c r="B151" s="87" t="s">
        <v>54</v>
      </c>
      <c r="C151" s="1" t="s">
        <v>55</v>
      </c>
      <c r="G151" s="50"/>
      <c r="H151" s="53"/>
      <c r="I151" s="34"/>
      <c r="J151" s="12"/>
      <c r="K151" s="12"/>
      <c r="L151" s="12"/>
      <c r="M151" s="12"/>
      <c r="N151" s="12"/>
    </row>
    <row r="152" spans="2:14" x14ac:dyDescent="0.35">
      <c r="B152" s="87" t="s">
        <v>30</v>
      </c>
      <c r="C152" s="129">
        <f>C134*C146</f>
        <v>241.19434367624049</v>
      </c>
      <c r="D152" s="1" t="s">
        <v>56</v>
      </c>
      <c r="G152" s="50"/>
      <c r="H152" s="53"/>
      <c r="I152" s="34"/>
      <c r="J152" s="12"/>
      <c r="K152" s="12"/>
      <c r="L152" s="12"/>
      <c r="M152" s="12"/>
      <c r="N152" s="12"/>
    </row>
    <row r="153" spans="2:14" x14ac:dyDescent="0.35">
      <c r="B153" s="87" t="s">
        <v>57</v>
      </c>
      <c r="C153" s="1" t="s">
        <v>58</v>
      </c>
      <c r="D153" s="1"/>
      <c r="E153" s="11"/>
      <c r="G153" s="50"/>
      <c r="H153" s="53"/>
      <c r="I153" s="34"/>
      <c r="J153" s="12"/>
      <c r="K153" s="12"/>
      <c r="L153" s="12"/>
      <c r="M153" s="12"/>
      <c r="N153" s="12"/>
    </row>
    <row r="154" spans="2:14" x14ac:dyDescent="0.35">
      <c r="B154" s="87" t="s">
        <v>59</v>
      </c>
      <c r="C154" s="272">
        <f>C152*C148 / C150</f>
        <v>5788.6642482297721</v>
      </c>
      <c r="D154" s="1" t="s">
        <v>60</v>
      </c>
      <c r="E154" s="11"/>
      <c r="G154" s="50"/>
      <c r="H154" s="53"/>
      <c r="I154" s="34"/>
      <c r="J154" s="12"/>
      <c r="K154" s="12"/>
      <c r="L154" s="12"/>
      <c r="M154" s="12"/>
      <c r="N154" s="12"/>
    </row>
    <row r="155" spans="2:14" x14ac:dyDescent="0.35">
      <c r="B155" s="1" t="s">
        <v>61</v>
      </c>
      <c r="C155" s="112"/>
      <c r="E155" s="11"/>
      <c r="G155" s="50"/>
      <c r="H155" s="53"/>
      <c r="I155" s="34"/>
      <c r="J155" s="12"/>
      <c r="K155" s="12"/>
      <c r="L155" s="12"/>
      <c r="M155" s="12"/>
      <c r="N155" s="12"/>
    </row>
    <row r="156" spans="2:14" x14ac:dyDescent="0.35">
      <c r="E156" s="11"/>
      <c r="G156" s="50"/>
      <c r="H156" s="53"/>
      <c r="I156" s="34"/>
      <c r="J156" s="12"/>
      <c r="K156" s="12"/>
      <c r="L156" s="12"/>
      <c r="M156" s="12"/>
      <c r="N156" s="12"/>
    </row>
    <row r="157" spans="2:14" x14ac:dyDescent="0.35">
      <c r="B157" s="273" t="s">
        <v>0</v>
      </c>
      <c r="C157" s="305"/>
      <c r="D157" s="300"/>
      <c r="E157" s="300"/>
      <c r="F157" s="299"/>
      <c r="G157" s="50"/>
      <c r="H157" s="53"/>
      <c r="I157" s="34"/>
      <c r="J157" s="12"/>
      <c r="K157" s="12"/>
      <c r="L157" s="12"/>
      <c r="M157" s="12"/>
      <c r="N157" s="12"/>
    </row>
    <row r="158" spans="2:14" x14ac:dyDescent="0.35">
      <c r="E158" s="11"/>
      <c r="G158" s="50"/>
      <c r="H158" s="53"/>
      <c r="I158" s="34"/>
      <c r="J158" s="12"/>
      <c r="K158" s="12"/>
      <c r="L158" s="12"/>
      <c r="M158" s="12"/>
      <c r="N158" s="12"/>
    </row>
    <row r="159" spans="2:14" ht="18.5" thickBot="1" x14ac:dyDescent="0.45">
      <c r="B159" s="97" t="s">
        <v>62</v>
      </c>
      <c r="C159" s="83" t="s">
        <v>4</v>
      </c>
      <c r="E159" s="11"/>
      <c r="G159" s="50"/>
      <c r="H159" s="53"/>
      <c r="I159" s="34"/>
      <c r="J159" s="12"/>
      <c r="K159" s="12"/>
      <c r="L159" s="12"/>
      <c r="M159" s="12"/>
      <c r="N159" s="12"/>
    </row>
    <row r="160" spans="2:14" x14ac:dyDescent="0.35">
      <c r="B160" s="13" t="s">
        <v>63</v>
      </c>
      <c r="C160" s="15">
        <v>100</v>
      </c>
      <c r="D160" s="11" t="s">
        <v>64</v>
      </c>
      <c r="E160" s="11"/>
      <c r="G160" s="50"/>
      <c r="H160" s="53"/>
      <c r="I160" s="34"/>
      <c r="J160" s="12"/>
      <c r="K160" s="12"/>
      <c r="L160" s="12"/>
      <c r="M160" s="12"/>
      <c r="N160" s="12"/>
    </row>
    <row r="161" spans="2:14" x14ac:dyDescent="0.35">
      <c r="B161" s="13" t="s">
        <v>65</v>
      </c>
      <c r="C161" s="56">
        <v>3.125</v>
      </c>
      <c r="D161" s="11" t="s">
        <v>10</v>
      </c>
      <c r="E161" s="11"/>
      <c r="G161" s="50"/>
      <c r="H161" s="53"/>
      <c r="I161" s="34"/>
      <c r="J161" s="12"/>
      <c r="K161" s="12"/>
      <c r="L161" s="12"/>
      <c r="M161" s="12"/>
      <c r="N161" s="12"/>
    </row>
    <row r="162" spans="2:14" x14ac:dyDescent="0.35">
      <c r="B162" s="13" t="s">
        <v>66</v>
      </c>
      <c r="C162" s="16">
        <v>1836</v>
      </c>
      <c r="D162" s="11" t="s">
        <v>67</v>
      </c>
      <c r="E162" s="11"/>
      <c r="G162" s="50"/>
      <c r="H162" s="53"/>
      <c r="I162" s="34"/>
      <c r="J162" s="12"/>
      <c r="K162" s="12"/>
      <c r="L162" s="12"/>
      <c r="M162" s="12"/>
      <c r="N162" s="12"/>
    </row>
    <row r="163" spans="2:14" x14ac:dyDescent="0.35">
      <c r="B163" s="13" t="s">
        <v>68</v>
      </c>
      <c r="C163" s="56">
        <v>3</v>
      </c>
      <c r="D163" s="11" t="s">
        <v>10</v>
      </c>
      <c r="E163" s="11"/>
      <c r="G163" s="50"/>
      <c r="H163" s="53"/>
      <c r="I163" s="34"/>
      <c r="J163" s="12"/>
      <c r="K163" s="12"/>
      <c r="L163" s="12"/>
      <c r="M163" s="12"/>
      <c r="N163" s="12"/>
    </row>
    <row r="164" spans="2:14" ht="16" thickBot="1" x14ac:dyDescent="0.4">
      <c r="B164" s="13" t="s">
        <v>69</v>
      </c>
      <c r="C164" s="17">
        <v>2950</v>
      </c>
      <c r="D164" s="11" t="s">
        <v>8</v>
      </c>
      <c r="E164" s="11">
        <v>4980</v>
      </c>
      <c r="G164" s="50"/>
      <c r="K164" s="12"/>
      <c r="L164" s="12"/>
      <c r="M164" s="12"/>
      <c r="N164" s="12"/>
    </row>
    <row r="165" spans="2:14" x14ac:dyDescent="0.35">
      <c r="B165" s="274" t="s">
        <v>0</v>
      </c>
      <c r="C165" s="83" t="s">
        <v>13</v>
      </c>
      <c r="E165" s="11"/>
      <c r="G165" s="50"/>
      <c r="K165" s="12"/>
      <c r="L165" s="12"/>
      <c r="M165" s="12"/>
      <c r="N165" s="12"/>
    </row>
    <row r="166" spans="2:14" x14ac:dyDescent="0.35">
      <c r="B166" s="87" t="s">
        <v>70</v>
      </c>
      <c r="C166" s="1" t="s">
        <v>71</v>
      </c>
      <c r="D166" s="1"/>
      <c r="E166" s="1"/>
      <c r="G166" s="50"/>
      <c r="H166" s="53"/>
      <c r="I166" s="34"/>
      <c r="J166" s="12"/>
      <c r="K166" s="12"/>
      <c r="L166" s="12"/>
      <c r="M166" s="12"/>
      <c r="N166" s="12"/>
    </row>
    <row r="167" spans="2:14" x14ac:dyDescent="0.35">
      <c r="B167" s="87" t="s">
        <v>72</v>
      </c>
      <c r="C167" s="272">
        <f>2*C162/C163</f>
        <v>1224</v>
      </c>
      <c r="D167" s="1" t="s">
        <v>38</v>
      </c>
      <c r="E167" s="1"/>
      <c r="G167" s="50"/>
      <c r="H167" s="53"/>
      <c r="I167" s="34"/>
      <c r="J167" s="12"/>
      <c r="K167" s="12"/>
      <c r="L167" s="12"/>
      <c r="M167" s="12"/>
      <c r="N167" s="12"/>
    </row>
    <row r="168" spans="2:14" x14ac:dyDescent="0.35">
      <c r="B168" s="87" t="s">
        <v>73</v>
      </c>
      <c r="C168" s="1" t="s">
        <v>74</v>
      </c>
      <c r="D168" s="1"/>
      <c r="E168" s="1"/>
      <c r="G168" s="50"/>
      <c r="H168" s="53"/>
      <c r="I168" s="34"/>
      <c r="J168" s="12"/>
      <c r="K168" s="12"/>
      <c r="L168" s="12"/>
      <c r="M168" s="12"/>
      <c r="N168" s="12"/>
    </row>
    <row r="169" spans="2:14" x14ac:dyDescent="0.35">
      <c r="B169" s="87" t="s">
        <v>75</v>
      </c>
      <c r="C169" s="272">
        <f>((0.05*C160*(C161*C164+C167))/(0.05*C160+(C161*C164+C167)^0.5))+C167</f>
        <v>1711.1150282106496</v>
      </c>
      <c r="D169" s="1" t="s">
        <v>38</v>
      </c>
      <c r="E169" s="1"/>
      <c r="G169" s="50"/>
      <c r="M169" s="12"/>
      <c r="N169" s="12"/>
    </row>
    <row r="170" spans="2:14" x14ac:dyDescent="0.35">
      <c r="B170" s="13"/>
      <c r="C170" s="112"/>
      <c r="E170" s="11"/>
      <c r="G170" s="50"/>
      <c r="M170" s="12"/>
      <c r="N170" s="12"/>
    </row>
    <row r="171" spans="2:14" x14ac:dyDescent="0.35">
      <c r="B171" s="13"/>
      <c r="C171" s="112"/>
      <c r="E171" s="11"/>
      <c r="G171" s="50"/>
      <c r="M171" s="12"/>
      <c r="N171" s="12"/>
    </row>
    <row r="172" spans="2:14" x14ac:dyDescent="0.35">
      <c r="B172" s="13"/>
      <c r="C172" s="112"/>
      <c r="E172" s="11"/>
      <c r="G172" s="249" t="s">
        <v>0</v>
      </c>
      <c r="M172" s="12"/>
      <c r="N172" s="12"/>
    </row>
    <row r="173" spans="2:14" x14ac:dyDescent="0.35">
      <c r="B173" s="13"/>
      <c r="C173" s="112"/>
      <c r="E173" s="11"/>
      <c r="G173" s="50"/>
      <c r="M173" s="12"/>
      <c r="N173" s="12"/>
    </row>
    <row r="174" spans="2:14" x14ac:dyDescent="0.35">
      <c r="B174" s="13"/>
      <c r="C174" s="112"/>
      <c r="E174" s="11"/>
      <c r="G174" s="50"/>
      <c r="M174" s="12"/>
      <c r="N174" s="12"/>
    </row>
    <row r="175" spans="2:14" x14ac:dyDescent="0.35">
      <c r="B175" s="13"/>
      <c r="C175" s="112"/>
      <c r="E175" s="11"/>
      <c r="G175" s="50"/>
      <c r="M175" s="12"/>
      <c r="N175" s="12"/>
    </row>
    <row r="176" spans="2:14" x14ac:dyDescent="0.35">
      <c r="B176" s="13"/>
      <c r="C176" s="112"/>
      <c r="E176" s="11"/>
      <c r="G176" s="50"/>
      <c r="M176" s="12"/>
      <c r="N176" s="12"/>
    </row>
    <row r="177" spans="2:14" x14ac:dyDescent="0.35">
      <c r="B177" s="13"/>
      <c r="C177" s="112"/>
      <c r="E177" s="11"/>
      <c r="G177" s="50"/>
      <c r="M177" s="12"/>
      <c r="N177" s="12"/>
    </row>
    <row r="178" spans="2:14" x14ac:dyDescent="0.35">
      <c r="B178" s="13"/>
      <c r="C178" s="112"/>
      <c r="E178" s="11"/>
      <c r="G178" s="50"/>
      <c r="M178" s="12"/>
      <c r="N178" s="12"/>
    </row>
    <row r="179" spans="2:14" x14ac:dyDescent="0.35">
      <c r="B179" s="13"/>
      <c r="C179" s="112"/>
      <c r="E179" s="11"/>
      <c r="G179" s="50"/>
      <c r="H179" s="34"/>
      <c r="J179" s="34"/>
      <c r="M179" s="12"/>
      <c r="N179" s="12"/>
    </row>
    <row r="180" spans="2:14" ht="18" x14ac:dyDescent="0.4">
      <c r="B180" s="247" t="s">
        <v>80</v>
      </c>
      <c r="E180" s="11"/>
      <c r="G180" s="50"/>
      <c r="H180" s="4" t="s">
        <v>766</v>
      </c>
      <c r="I180" s="34"/>
      <c r="J180" s="34"/>
      <c r="M180" s="12"/>
      <c r="N180" s="12"/>
    </row>
    <row r="181" spans="2:14" x14ac:dyDescent="0.35">
      <c r="B181" s="1" t="s">
        <v>81</v>
      </c>
      <c r="C181" s="112"/>
      <c r="E181" s="11"/>
      <c r="G181" s="50"/>
      <c r="M181" s="12"/>
      <c r="N181" s="12"/>
    </row>
    <row r="182" spans="2:14" ht="16" thickBot="1" x14ac:dyDescent="0.4">
      <c r="C182" s="83" t="s">
        <v>4</v>
      </c>
      <c r="E182" s="11"/>
      <c r="G182" s="50"/>
      <c r="M182" s="12"/>
      <c r="N182" s="12"/>
    </row>
    <row r="183" spans="2:14" ht="18.5" thickBot="1" x14ac:dyDescent="0.45">
      <c r="B183" s="13" t="s">
        <v>681</v>
      </c>
      <c r="C183" s="307">
        <v>20000</v>
      </c>
      <c r="D183" s="11" t="s">
        <v>60</v>
      </c>
      <c r="E183" s="11"/>
      <c r="G183" s="326" t="s">
        <v>765</v>
      </c>
      <c r="H183" s="327"/>
      <c r="I183" s="328"/>
      <c r="M183" s="12"/>
      <c r="N183" s="12"/>
    </row>
    <row r="184" spans="2:14" x14ac:dyDescent="0.35">
      <c r="B184" s="13" t="s">
        <v>85</v>
      </c>
      <c r="C184" s="16">
        <v>100</v>
      </c>
      <c r="E184" s="11"/>
      <c r="G184" s="148" t="s">
        <v>660</v>
      </c>
      <c r="H184" s="275" t="s">
        <v>76</v>
      </c>
      <c r="I184" s="276" t="s">
        <v>76</v>
      </c>
      <c r="J184" s="12"/>
      <c r="K184" s="12"/>
      <c r="L184" s="12"/>
      <c r="M184" s="12"/>
      <c r="N184" s="12"/>
    </row>
    <row r="185" spans="2:14" ht="16" thickBot="1" x14ac:dyDescent="0.4">
      <c r="B185" s="120" t="s">
        <v>41</v>
      </c>
      <c r="C185" s="16">
        <v>20</v>
      </c>
      <c r="D185" s="11" t="s">
        <v>42</v>
      </c>
      <c r="E185" s="11"/>
      <c r="G185" s="277" t="s">
        <v>657</v>
      </c>
      <c r="H185" s="277" t="s">
        <v>77</v>
      </c>
      <c r="I185" s="278" t="s">
        <v>78</v>
      </c>
      <c r="J185" s="12"/>
      <c r="K185" s="266"/>
      <c r="L185" s="266"/>
      <c r="M185" s="105"/>
      <c r="N185" s="12"/>
    </row>
    <row r="186" spans="2:14" x14ac:dyDescent="0.35">
      <c r="B186" s="13" t="s">
        <v>82</v>
      </c>
      <c r="C186" s="49">
        <v>1</v>
      </c>
      <c r="D186" s="11" t="s">
        <v>10</v>
      </c>
      <c r="E186" s="11"/>
      <c r="G186" s="148">
        <v>10</v>
      </c>
      <c r="H186" s="218">
        <v>0.17599999999999999</v>
      </c>
      <c r="I186" s="218">
        <v>0.20100000000000001</v>
      </c>
      <c r="J186" s="12"/>
      <c r="K186" s="266"/>
      <c r="L186" s="279"/>
      <c r="M186" s="105"/>
      <c r="N186" s="12"/>
    </row>
    <row r="187" spans="2:14" x14ac:dyDescent="0.35">
      <c r="B187" s="13" t="s">
        <v>643</v>
      </c>
      <c r="C187" s="28">
        <v>4</v>
      </c>
      <c r="D187" s="11" t="s">
        <v>679</v>
      </c>
      <c r="E187" s="11"/>
      <c r="G187" s="277">
        <v>12</v>
      </c>
      <c r="H187" s="280">
        <v>0.21</v>
      </c>
      <c r="I187" s="280">
        <v>0.245</v>
      </c>
      <c r="J187" s="12"/>
      <c r="K187" s="266"/>
      <c r="L187" s="279"/>
      <c r="M187" s="105"/>
      <c r="N187" s="12"/>
    </row>
    <row r="188" spans="2:14" ht="16" thickBot="1" x14ac:dyDescent="0.4">
      <c r="B188" s="13" t="s">
        <v>83</v>
      </c>
      <c r="C188" s="17">
        <v>0.44600000000000001</v>
      </c>
      <c r="D188" s="11" t="s">
        <v>8</v>
      </c>
      <c r="E188" s="34"/>
      <c r="G188" s="277">
        <v>14</v>
      </c>
      <c r="H188" s="280">
        <v>0.23599999999999999</v>
      </c>
      <c r="I188" s="280">
        <v>0.27600000000000002</v>
      </c>
      <c r="J188" s="12"/>
      <c r="K188" s="266"/>
      <c r="L188" s="279"/>
      <c r="M188" s="105"/>
      <c r="N188" s="12"/>
    </row>
    <row r="189" spans="2:14" x14ac:dyDescent="0.35">
      <c r="C189" s="83" t="s">
        <v>13</v>
      </c>
      <c r="E189" s="34"/>
      <c r="G189" s="277">
        <v>16</v>
      </c>
      <c r="H189" s="280">
        <v>0.255</v>
      </c>
      <c r="I189" s="280">
        <v>0.29499999999999998</v>
      </c>
      <c r="J189" s="12"/>
      <c r="K189" s="266"/>
      <c r="L189" s="279"/>
      <c r="M189" s="105"/>
      <c r="N189" s="12"/>
    </row>
    <row r="190" spans="2:14" x14ac:dyDescent="0.35">
      <c r="B190" s="87" t="s">
        <v>678</v>
      </c>
      <c r="C190" s="7" t="s">
        <v>680</v>
      </c>
      <c r="D190" s="1"/>
      <c r="E190" s="12"/>
      <c r="F190" s="9" t="s">
        <v>0</v>
      </c>
      <c r="G190" s="277">
        <v>18</v>
      </c>
      <c r="H190" s="280">
        <v>0.27</v>
      </c>
      <c r="I190" s="280">
        <v>0.308</v>
      </c>
      <c r="J190" s="12"/>
      <c r="K190" s="266"/>
      <c r="L190" s="279"/>
      <c r="M190" s="105"/>
      <c r="N190" s="12"/>
    </row>
    <row r="191" spans="2:14" x14ac:dyDescent="0.35">
      <c r="B191" s="87" t="s">
        <v>250</v>
      </c>
      <c r="C191" s="6">
        <f>C183*C186*C188 / C187</f>
        <v>2230</v>
      </c>
      <c r="D191" s="1" t="s">
        <v>38</v>
      </c>
      <c r="E191" s="12"/>
      <c r="G191" s="277">
        <v>20</v>
      </c>
      <c r="H191" s="280">
        <v>0.28299999999999997</v>
      </c>
      <c r="I191" s="280">
        <v>0.32</v>
      </c>
      <c r="J191" s="12"/>
      <c r="K191" s="266"/>
      <c r="L191" s="279"/>
      <c r="M191" s="105"/>
      <c r="N191" s="12"/>
    </row>
    <row r="192" spans="2:14" x14ac:dyDescent="0.35">
      <c r="B192" s="13"/>
      <c r="E192" s="12"/>
      <c r="G192" s="277">
        <v>25</v>
      </c>
      <c r="H192" s="280">
        <v>0.30499999999999999</v>
      </c>
      <c r="I192" s="280">
        <v>0.34050000000000002</v>
      </c>
      <c r="J192" s="12"/>
      <c r="K192" s="266"/>
      <c r="L192" s="279"/>
      <c r="M192" s="105"/>
      <c r="N192" s="12"/>
    </row>
    <row r="193" spans="2:14" ht="18" x14ac:dyDescent="0.4">
      <c r="B193" s="96" t="s">
        <v>663</v>
      </c>
      <c r="E193" s="34"/>
      <c r="G193" s="277">
        <v>30</v>
      </c>
      <c r="H193" s="281">
        <v>0.318</v>
      </c>
      <c r="I193" s="281">
        <v>0.35799999999999998</v>
      </c>
      <c r="J193" s="12"/>
      <c r="K193" s="266"/>
      <c r="L193" s="279"/>
      <c r="M193" s="105"/>
      <c r="N193" s="12"/>
    </row>
    <row r="194" spans="2:14" x14ac:dyDescent="0.35">
      <c r="B194" s="1" t="s">
        <v>664</v>
      </c>
      <c r="C194" s="112"/>
      <c r="E194" s="34"/>
      <c r="G194" s="282">
        <v>35</v>
      </c>
      <c r="H194" s="281">
        <v>0.32700000000000001</v>
      </c>
      <c r="I194" s="281">
        <v>0.3735</v>
      </c>
      <c r="J194" s="12"/>
      <c r="K194" s="266"/>
      <c r="L194" s="279"/>
      <c r="M194" s="105"/>
      <c r="N194" s="12"/>
    </row>
    <row r="195" spans="2:14" ht="16" thickBot="1" x14ac:dyDescent="0.4">
      <c r="C195" s="83" t="s">
        <v>4</v>
      </c>
      <c r="E195" s="34"/>
      <c r="G195" s="282">
        <v>40</v>
      </c>
      <c r="H195" s="280">
        <v>0.33600000000000002</v>
      </c>
      <c r="I195" s="280">
        <v>0.38900000000000001</v>
      </c>
      <c r="J195" s="12"/>
      <c r="K195" s="266"/>
      <c r="L195" s="279"/>
      <c r="M195" s="105"/>
      <c r="N195" s="12"/>
    </row>
    <row r="196" spans="2:14" x14ac:dyDescent="0.35">
      <c r="B196" s="13" t="s">
        <v>650</v>
      </c>
      <c r="C196" s="161">
        <v>7.5</v>
      </c>
      <c r="D196" s="11" t="s">
        <v>89</v>
      </c>
      <c r="E196" s="12"/>
      <c r="G196" s="277">
        <v>50</v>
      </c>
      <c r="H196" s="281">
        <v>0.34599999999999997</v>
      </c>
      <c r="I196" s="281">
        <v>0.40799999999999997</v>
      </c>
      <c r="J196" s="12"/>
      <c r="K196" s="266"/>
      <c r="L196" s="279"/>
      <c r="M196" s="105"/>
      <c r="N196" s="12"/>
    </row>
    <row r="197" spans="2:14" x14ac:dyDescent="0.35">
      <c r="B197" s="13" t="s">
        <v>647</v>
      </c>
      <c r="C197" s="16">
        <v>1750</v>
      </c>
      <c r="D197" s="11" t="s">
        <v>88</v>
      </c>
      <c r="E197" s="12"/>
      <c r="G197" s="282">
        <v>55</v>
      </c>
      <c r="H197" s="280">
        <v>0.35199999999999998</v>
      </c>
      <c r="I197" s="280">
        <v>0.41499999999999998</v>
      </c>
      <c r="J197" s="12"/>
      <c r="K197" s="266"/>
      <c r="L197" s="279"/>
      <c r="M197" s="105"/>
      <c r="N197" s="12"/>
    </row>
    <row r="198" spans="2:14" x14ac:dyDescent="0.35">
      <c r="B198" s="13" t="s">
        <v>643</v>
      </c>
      <c r="C198" s="56">
        <v>6</v>
      </c>
      <c r="D198" s="11" t="s">
        <v>49</v>
      </c>
      <c r="E198" s="34"/>
      <c r="G198" s="277">
        <v>60</v>
      </c>
      <c r="H198" s="281">
        <v>0.35499999999999998</v>
      </c>
      <c r="I198" s="281">
        <v>0.42099999999999999</v>
      </c>
      <c r="J198" s="12"/>
      <c r="K198" s="266"/>
      <c r="L198" s="279"/>
      <c r="M198" s="105"/>
      <c r="N198" s="12"/>
    </row>
    <row r="199" spans="2:14" x14ac:dyDescent="0.35">
      <c r="B199" s="120" t="s">
        <v>41</v>
      </c>
      <c r="C199" s="16">
        <v>20</v>
      </c>
      <c r="D199" s="269" t="s">
        <v>42</v>
      </c>
      <c r="E199" s="34"/>
      <c r="G199" s="282">
        <v>65</v>
      </c>
      <c r="H199" s="281">
        <v>0.35799999999999998</v>
      </c>
      <c r="I199" s="281">
        <v>0.42499999999999999</v>
      </c>
      <c r="J199" s="12"/>
      <c r="K199" s="105"/>
      <c r="L199" s="279"/>
      <c r="M199" s="105"/>
      <c r="N199" s="12"/>
    </row>
    <row r="200" spans="2:14" x14ac:dyDescent="0.35">
      <c r="B200" s="120" t="s">
        <v>760</v>
      </c>
      <c r="C200" s="62">
        <v>25</v>
      </c>
      <c r="E200" s="34"/>
      <c r="G200" s="282">
        <v>70</v>
      </c>
      <c r="H200" s="281">
        <v>0.36</v>
      </c>
      <c r="I200" s="281">
        <v>0.42899999999999999</v>
      </c>
      <c r="J200" s="12"/>
      <c r="K200" s="105"/>
      <c r="L200" s="105"/>
      <c r="M200" s="105"/>
      <c r="N200" s="12"/>
    </row>
    <row r="201" spans="2:14" x14ac:dyDescent="0.35">
      <c r="B201" s="13" t="s">
        <v>85</v>
      </c>
      <c r="C201" s="16">
        <v>100</v>
      </c>
      <c r="E201" s="34"/>
      <c r="G201" s="282">
        <v>75</v>
      </c>
      <c r="H201" s="281">
        <v>0.36099999999999999</v>
      </c>
      <c r="I201" s="281">
        <v>0.433</v>
      </c>
      <c r="J201" s="12"/>
      <c r="K201" s="105"/>
      <c r="L201" s="105"/>
      <c r="M201" s="105"/>
      <c r="N201" s="12"/>
    </row>
    <row r="202" spans="2:14" x14ac:dyDescent="0.35">
      <c r="B202" s="13" t="s">
        <v>658</v>
      </c>
      <c r="C202" s="16">
        <v>0.34100000000000003</v>
      </c>
      <c r="E202" s="34"/>
      <c r="G202" s="282">
        <v>80</v>
      </c>
      <c r="H202" s="281">
        <v>0.36299999999999999</v>
      </c>
      <c r="I202" s="281">
        <v>0.436</v>
      </c>
      <c r="J202" s="12"/>
      <c r="K202" s="12"/>
      <c r="L202" s="12"/>
      <c r="M202" s="12"/>
      <c r="N202" s="12"/>
    </row>
    <row r="203" spans="2:14" x14ac:dyDescent="0.35">
      <c r="B203" s="13" t="s">
        <v>659</v>
      </c>
      <c r="C203" s="309">
        <v>0.44600000000000001</v>
      </c>
      <c r="E203" s="12"/>
      <c r="G203" s="282">
        <v>90</v>
      </c>
      <c r="H203" s="281">
        <v>0.36599999999999999</v>
      </c>
      <c r="I203" s="281">
        <v>0.442</v>
      </c>
      <c r="J203" s="12"/>
      <c r="K203" s="12"/>
      <c r="L203" s="12"/>
      <c r="M203" s="12"/>
      <c r="N203" s="12"/>
    </row>
    <row r="204" spans="2:14" x14ac:dyDescent="0.35">
      <c r="B204" s="60" t="s">
        <v>40</v>
      </c>
      <c r="C204" s="49">
        <v>1</v>
      </c>
      <c r="D204" s="11" t="s">
        <v>10</v>
      </c>
      <c r="E204" s="12"/>
      <c r="G204" s="282">
        <v>100</v>
      </c>
      <c r="H204" s="281">
        <v>0.36799999999999999</v>
      </c>
      <c r="I204" s="281">
        <v>0.44600000000000001</v>
      </c>
      <c r="J204" s="12"/>
      <c r="K204" s="12"/>
      <c r="L204" s="12"/>
      <c r="M204" s="12"/>
      <c r="N204" s="12"/>
    </row>
    <row r="205" spans="2:14" ht="16" thickBot="1" x14ac:dyDescent="0.4">
      <c r="B205" s="13" t="s">
        <v>701</v>
      </c>
      <c r="C205" s="310">
        <v>25000</v>
      </c>
      <c r="D205" s="11" t="s">
        <v>249</v>
      </c>
      <c r="E205" s="12"/>
      <c r="G205" s="282">
        <v>150</v>
      </c>
      <c r="H205" s="281">
        <v>0.375</v>
      </c>
      <c r="I205" s="281">
        <v>0.45800000000000002</v>
      </c>
      <c r="J205" s="12"/>
      <c r="K205" s="12"/>
      <c r="L205" s="12"/>
      <c r="M205" s="12"/>
      <c r="N205" s="12"/>
    </row>
    <row r="206" spans="2:14" x14ac:dyDescent="0.35">
      <c r="C206" s="14" t="s">
        <v>13</v>
      </c>
      <c r="D206" s="10"/>
      <c r="E206" s="12"/>
      <c r="G206" s="282">
        <v>200</v>
      </c>
      <c r="H206" s="281">
        <v>0.378</v>
      </c>
      <c r="I206" s="281">
        <v>0.46300000000000002</v>
      </c>
      <c r="J206" s="12"/>
      <c r="K206" s="12"/>
      <c r="L206" s="12"/>
      <c r="M206" s="12"/>
      <c r="N206" s="12"/>
    </row>
    <row r="207" spans="2:14" x14ac:dyDescent="0.35">
      <c r="B207" s="192" t="s">
        <v>648</v>
      </c>
      <c r="C207" s="24" t="s">
        <v>649</v>
      </c>
      <c r="E207" s="12"/>
      <c r="G207" s="282">
        <v>300</v>
      </c>
      <c r="H207" s="281">
        <v>0.38200000000000001</v>
      </c>
      <c r="I207" s="281">
        <v>0.47099999999999997</v>
      </c>
      <c r="J207" s="12"/>
      <c r="K207" s="12"/>
      <c r="L207" s="12"/>
      <c r="M207" s="12"/>
      <c r="N207" s="12"/>
    </row>
    <row r="208" spans="2:14" ht="16" thickBot="1" x14ac:dyDescent="0.4">
      <c r="B208" s="192" t="s">
        <v>30</v>
      </c>
      <c r="C208" s="35">
        <f>12*5252*C196 / C197</f>
        <v>270.10285714285715</v>
      </c>
      <c r="D208" s="6" t="s">
        <v>300</v>
      </c>
      <c r="E208" s="34"/>
      <c r="G208" s="149" t="s">
        <v>79</v>
      </c>
      <c r="H208" s="283">
        <v>0.39</v>
      </c>
      <c r="I208" s="283">
        <v>0.48399999999999999</v>
      </c>
      <c r="J208" s="12"/>
      <c r="K208" s="12"/>
      <c r="L208" s="12"/>
      <c r="M208" s="12"/>
      <c r="N208" s="12"/>
    </row>
    <row r="209" spans="2:14" x14ac:dyDescent="0.35">
      <c r="B209" s="73" t="s">
        <v>653</v>
      </c>
      <c r="C209" s="1" t="s">
        <v>652</v>
      </c>
      <c r="N209" s="12"/>
    </row>
    <row r="210" spans="2:14" x14ac:dyDescent="0.35">
      <c r="C210" s="68">
        <f>C200/C198</f>
        <v>4.166666666666667</v>
      </c>
      <c r="D210" s="6" t="s">
        <v>10</v>
      </c>
      <c r="E210" s="12"/>
      <c r="F210" s="36" t="s">
        <v>674</v>
      </c>
      <c r="G210" s="311" t="s">
        <v>661</v>
      </c>
      <c r="H210" s="143"/>
      <c r="I210" s="143"/>
      <c r="K210" s="12"/>
      <c r="L210" s="12"/>
      <c r="M210" s="12"/>
      <c r="N210" s="12"/>
    </row>
    <row r="211" spans="2:14" x14ac:dyDescent="0.35">
      <c r="B211" s="73" t="s">
        <v>229</v>
      </c>
      <c r="C211" s="1" t="s">
        <v>635</v>
      </c>
      <c r="D211" s="3"/>
      <c r="E211" s="12"/>
      <c r="G211" s="284"/>
      <c r="H211" s="229"/>
      <c r="I211" s="229"/>
      <c r="K211" s="12"/>
      <c r="L211" s="12"/>
      <c r="M211" s="12"/>
      <c r="N211" s="12"/>
    </row>
    <row r="212" spans="2:14" x14ac:dyDescent="0.35">
      <c r="B212" s="87" t="s">
        <v>30</v>
      </c>
      <c r="C212" s="126">
        <f>C201 / C198</f>
        <v>16.666666666666668</v>
      </c>
      <c r="D212" s="1" t="s">
        <v>10</v>
      </c>
      <c r="E212" s="12"/>
      <c r="G212" s="284"/>
      <c r="H212" s="229"/>
      <c r="I212" s="229"/>
      <c r="K212" s="12"/>
      <c r="L212" s="12"/>
      <c r="M212" s="12"/>
      <c r="N212" s="12"/>
    </row>
    <row r="213" spans="2:14" x14ac:dyDescent="0.35">
      <c r="B213" s="87" t="s">
        <v>672</v>
      </c>
      <c r="C213" s="9" t="s">
        <v>673</v>
      </c>
      <c r="E213" s="12"/>
      <c r="G213" s="284"/>
      <c r="H213" s="229"/>
      <c r="I213" s="229"/>
      <c r="K213" s="12"/>
      <c r="L213" s="12"/>
      <c r="M213" s="12"/>
      <c r="N213" s="12"/>
    </row>
    <row r="214" spans="2:14" x14ac:dyDescent="0.35">
      <c r="B214" s="87" t="s">
        <v>30</v>
      </c>
      <c r="C214" s="11">
        <f>C197*C200/C201</f>
        <v>437.5</v>
      </c>
      <c r="D214" s="11" t="s">
        <v>88</v>
      </c>
      <c r="E214" s="12"/>
      <c r="G214" s="284"/>
      <c r="H214" s="229"/>
      <c r="I214" s="229"/>
      <c r="K214" s="12"/>
      <c r="L214" s="12"/>
      <c r="M214" s="12"/>
      <c r="N214" s="12"/>
    </row>
    <row r="215" spans="2:14" x14ac:dyDescent="0.35">
      <c r="B215" s="36" t="s">
        <v>675</v>
      </c>
      <c r="C215" s="7" t="s">
        <v>761</v>
      </c>
      <c r="E215" s="12"/>
      <c r="K215" s="12"/>
      <c r="L215" s="12"/>
      <c r="M215" s="12"/>
      <c r="N215" s="12"/>
    </row>
    <row r="216" spans="2:14" x14ac:dyDescent="0.35">
      <c r="B216" s="87" t="s">
        <v>30</v>
      </c>
      <c r="C216" s="70">
        <f>C197*C210*3.1416 / 12</f>
        <v>1908.9583333333333</v>
      </c>
      <c r="D216" s="6" t="s">
        <v>64</v>
      </c>
      <c r="E216" s="12"/>
      <c r="K216" s="12"/>
      <c r="L216" s="12"/>
      <c r="M216" s="12"/>
      <c r="N216" s="12"/>
    </row>
    <row r="217" spans="2:14" x14ac:dyDescent="0.35">
      <c r="B217" s="87" t="s">
        <v>702</v>
      </c>
      <c r="C217" s="7" t="s">
        <v>662</v>
      </c>
      <c r="E217" s="12"/>
      <c r="K217" s="12"/>
      <c r="L217" s="12"/>
      <c r="M217" s="12"/>
      <c r="N217" s="12"/>
    </row>
    <row r="218" spans="2:14" x14ac:dyDescent="0.35">
      <c r="B218" s="87" t="s">
        <v>30</v>
      </c>
      <c r="C218" s="71">
        <f>600 / (600 + C216)</f>
        <v>0.23914307066345597</v>
      </c>
      <c r="E218" s="12"/>
      <c r="K218" s="12"/>
      <c r="L218" s="12"/>
      <c r="M218" s="12"/>
      <c r="N218" s="12"/>
    </row>
    <row r="219" spans="2:14" x14ac:dyDescent="0.35">
      <c r="B219" s="87" t="s">
        <v>682</v>
      </c>
      <c r="C219" s="7" t="s">
        <v>676</v>
      </c>
      <c r="D219" s="6"/>
      <c r="E219" s="12"/>
      <c r="K219" s="12"/>
      <c r="L219" s="12"/>
      <c r="M219" s="12"/>
      <c r="N219" s="12"/>
    </row>
    <row r="220" spans="2:14" x14ac:dyDescent="0.35">
      <c r="B220" s="87" t="s">
        <v>30</v>
      </c>
      <c r="C220" s="70">
        <f>C208/(C210/2)</f>
        <v>129.64937142857141</v>
      </c>
      <c r="D220" s="6" t="s">
        <v>38</v>
      </c>
      <c r="E220" s="12"/>
      <c r="K220" s="12"/>
      <c r="L220" s="12"/>
      <c r="M220" s="12"/>
      <c r="N220" s="12"/>
    </row>
    <row r="221" spans="2:14" x14ac:dyDescent="0.35">
      <c r="B221" s="87" t="s">
        <v>683</v>
      </c>
      <c r="C221" s="7" t="s">
        <v>654</v>
      </c>
      <c r="E221" s="12" t="s">
        <v>0</v>
      </c>
      <c r="K221" s="12"/>
      <c r="L221" s="12"/>
      <c r="M221" s="12"/>
      <c r="N221" s="12"/>
    </row>
    <row r="222" spans="2:14" x14ac:dyDescent="0.35">
      <c r="B222" s="87" t="s">
        <v>30</v>
      </c>
      <c r="C222" s="70">
        <f>C208 / (C212/2)</f>
        <v>32.412342857142853</v>
      </c>
      <c r="D222" s="6" t="s">
        <v>38</v>
      </c>
      <c r="E222" s="12"/>
      <c r="K222" s="12"/>
      <c r="L222" s="12"/>
      <c r="M222" s="12"/>
      <c r="N222" s="12"/>
    </row>
    <row r="223" spans="2:14" ht="18" x14ac:dyDescent="0.4">
      <c r="B223" s="97" t="s">
        <v>665</v>
      </c>
      <c r="E223" s="12"/>
      <c r="K223" s="12"/>
      <c r="L223" s="12"/>
      <c r="M223" s="12"/>
      <c r="N223" s="12"/>
    </row>
    <row r="224" spans="2:14" ht="17.5" x14ac:dyDescent="0.45">
      <c r="B224" s="87" t="s">
        <v>735</v>
      </c>
      <c r="C224" s="7" t="s">
        <v>684</v>
      </c>
      <c r="E224" s="12"/>
      <c r="I224" s="112"/>
      <c r="J224" s="11"/>
      <c r="K224" s="12"/>
      <c r="L224" s="12"/>
      <c r="M224" s="12"/>
      <c r="N224" s="12"/>
    </row>
    <row r="225" spans="2:14" x14ac:dyDescent="0.35">
      <c r="B225" s="87" t="s">
        <v>30</v>
      </c>
      <c r="C225" s="72">
        <f>(C198*C220 /( C204*C202)) / C218</f>
        <v>9539.1457729367376</v>
      </c>
      <c r="D225" s="6" t="s">
        <v>249</v>
      </c>
      <c r="E225" s="12"/>
      <c r="I225" s="12"/>
      <c r="J225" s="12"/>
      <c r="K225" s="12"/>
      <c r="L225" s="12"/>
      <c r="M225" s="12"/>
      <c r="N225" s="12"/>
    </row>
    <row r="226" spans="2:14" ht="17.5" x14ac:dyDescent="0.45">
      <c r="B226" s="87" t="s">
        <v>736</v>
      </c>
      <c r="C226" s="7" t="s">
        <v>685</v>
      </c>
      <c r="E226" s="12"/>
      <c r="I226" s="12"/>
      <c r="J226" s="12"/>
      <c r="K226" s="12"/>
      <c r="L226" s="12"/>
      <c r="M226" s="12"/>
      <c r="N226" s="12"/>
    </row>
    <row r="227" spans="2:14" x14ac:dyDescent="0.35">
      <c r="B227" s="87" t="s">
        <v>30</v>
      </c>
      <c r="C227" s="72">
        <f>(C198*C222/( C204*C203)) / C218</f>
        <v>1823.3456886611143</v>
      </c>
      <c r="D227" s="6" t="s">
        <v>249</v>
      </c>
      <c r="E227" s="12"/>
      <c r="I227" s="12"/>
      <c r="J227" s="12"/>
      <c r="K227" s="12"/>
      <c r="L227" s="12"/>
      <c r="M227" s="12"/>
      <c r="N227" s="12"/>
    </row>
    <row r="228" spans="2:14" ht="17.5" x14ac:dyDescent="0.45">
      <c r="B228" s="87" t="s">
        <v>669</v>
      </c>
      <c r="C228" s="7" t="s">
        <v>737</v>
      </c>
      <c r="D228" s="6"/>
      <c r="E228" s="12"/>
      <c r="H228" s="75"/>
      <c r="I228" s="105"/>
      <c r="J228" s="105"/>
      <c r="K228" s="12"/>
      <c r="L228" s="12"/>
      <c r="M228" s="12"/>
      <c r="N228" s="12"/>
    </row>
    <row r="229" spans="2:14" x14ac:dyDescent="0.35">
      <c r="B229" s="87" t="s">
        <v>30</v>
      </c>
      <c r="C229" s="80">
        <f>C205/C225</f>
        <v>2.6207797422413703</v>
      </c>
      <c r="D229" s="6"/>
      <c r="E229" s="12"/>
      <c r="H229" s="75"/>
      <c r="I229" s="285"/>
      <c r="J229" s="166"/>
      <c r="K229" s="12"/>
      <c r="L229" s="12"/>
      <c r="M229" s="12"/>
      <c r="N229" s="12"/>
    </row>
    <row r="230" spans="2:14" ht="18" x14ac:dyDescent="0.4">
      <c r="B230" s="97" t="s">
        <v>666</v>
      </c>
      <c r="E230" s="12"/>
      <c r="H230" s="121"/>
      <c r="I230" s="312"/>
      <c r="J230" s="166"/>
      <c r="K230" s="12"/>
      <c r="L230" s="12"/>
      <c r="M230" s="12"/>
      <c r="N230" s="12"/>
    </row>
    <row r="231" spans="2:14" x14ac:dyDescent="0.35">
      <c r="B231" s="73" t="s">
        <v>762</v>
      </c>
      <c r="C231" s="1" t="s">
        <v>21</v>
      </c>
      <c r="D231" s="3"/>
      <c r="E231" s="12"/>
      <c r="H231" s="121"/>
      <c r="I231" s="313"/>
      <c r="J231" s="166"/>
      <c r="K231" s="12"/>
      <c r="L231" s="12"/>
      <c r="M231" s="12"/>
      <c r="N231" s="12"/>
    </row>
    <row r="232" spans="2:14" x14ac:dyDescent="0.35">
      <c r="B232" s="87" t="s">
        <v>30</v>
      </c>
      <c r="C232" s="126">
        <f>C212*COS(C199/57.3)</f>
        <v>15.661690234682332</v>
      </c>
      <c r="D232" s="3" t="s">
        <v>642</v>
      </c>
      <c r="E232" s="12"/>
      <c r="H232" s="121"/>
      <c r="I232" s="166"/>
      <c r="J232" s="166"/>
      <c r="K232" s="12"/>
      <c r="L232" s="12"/>
      <c r="M232" s="12"/>
      <c r="N232" s="12"/>
    </row>
    <row r="233" spans="2:14" x14ac:dyDescent="0.35">
      <c r="B233" s="73" t="s">
        <v>763</v>
      </c>
      <c r="C233" s="1" t="s">
        <v>636</v>
      </c>
      <c r="E233" s="12"/>
      <c r="H233" s="121"/>
      <c r="I233" s="166"/>
      <c r="J233" s="166"/>
      <c r="K233" s="12"/>
      <c r="L233" s="12"/>
      <c r="M233" s="12"/>
      <c r="N233" s="12"/>
    </row>
    <row r="234" spans="2:14" x14ac:dyDescent="0.35">
      <c r="B234" s="60" t="s">
        <v>30</v>
      </c>
      <c r="C234" s="18">
        <f>1/C198</f>
        <v>0.16666666666666666</v>
      </c>
      <c r="D234" s="6" t="s">
        <v>10</v>
      </c>
      <c r="E234" s="12"/>
      <c r="H234" s="121"/>
      <c r="I234" s="166"/>
      <c r="J234" s="166"/>
      <c r="K234" s="12"/>
      <c r="L234" s="12"/>
      <c r="M234" s="12"/>
      <c r="N234" s="12"/>
    </row>
    <row r="235" spans="2:14" x14ac:dyDescent="0.35">
      <c r="B235" s="87" t="s">
        <v>668</v>
      </c>
      <c r="C235" s="3" t="s">
        <v>670</v>
      </c>
      <c r="D235" s="3"/>
      <c r="E235" s="12"/>
      <c r="H235" s="75"/>
      <c r="I235" s="285"/>
      <c r="J235" s="166"/>
      <c r="K235" s="12"/>
      <c r="L235" s="12"/>
      <c r="M235" s="12"/>
      <c r="N235" s="12"/>
    </row>
    <row r="236" spans="2:14" x14ac:dyDescent="0.35">
      <c r="B236" s="268" t="s">
        <v>30</v>
      </c>
      <c r="C236" s="271">
        <f>C234+(C212 - C232)/2</f>
        <v>0.66915488265883438</v>
      </c>
      <c r="D236" s="3" t="s">
        <v>10</v>
      </c>
      <c r="E236" s="12"/>
      <c r="H236" s="73"/>
      <c r="I236" s="267"/>
      <c r="J236" s="267"/>
      <c r="K236" s="12"/>
      <c r="L236" s="12"/>
      <c r="M236" s="12"/>
      <c r="N236" s="12"/>
    </row>
    <row r="237" spans="2:14" x14ac:dyDescent="0.35">
      <c r="B237" s="87" t="s">
        <v>667</v>
      </c>
      <c r="C237" s="1" t="s">
        <v>656</v>
      </c>
      <c r="H237" s="73"/>
      <c r="I237" s="286"/>
      <c r="J237" s="267"/>
      <c r="K237" s="12"/>
      <c r="L237" s="12"/>
      <c r="M237" s="12"/>
      <c r="N237" s="12"/>
    </row>
    <row r="238" spans="2:14" x14ac:dyDescent="0.35">
      <c r="B238" s="87" t="s">
        <v>30</v>
      </c>
      <c r="C238" s="126">
        <f>3.1416*C212 / (2*C201)</f>
        <v>0.26179999999999998</v>
      </c>
      <c r="D238" s="1" t="s">
        <v>49</v>
      </c>
      <c r="F238" s="36"/>
      <c r="G238" s="314"/>
      <c r="H238" s="121"/>
      <c r="I238" s="315"/>
      <c r="J238" s="167"/>
      <c r="K238" s="12"/>
      <c r="L238" s="12"/>
      <c r="M238" s="12"/>
      <c r="N238" s="12"/>
    </row>
    <row r="239" spans="2:14" ht="18" x14ac:dyDescent="0.4">
      <c r="B239" s="87" t="s">
        <v>50</v>
      </c>
      <c r="C239" s="1" t="s">
        <v>51</v>
      </c>
      <c r="D239" s="1"/>
      <c r="G239" s="96" t="s">
        <v>677</v>
      </c>
      <c r="H239" s="320"/>
      <c r="I239" s="321"/>
      <c r="J239" s="322"/>
      <c r="K239" s="298"/>
      <c r="L239" s="12"/>
      <c r="M239" s="12"/>
      <c r="N239" s="12"/>
    </row>
    <row r="240" spans="2:14" ht="20" x14ac:dyDescent="0.5">
      <c r="B240" s="87" t="s">
        <v>52</v>
      </c>
      <c r="C240" s="287">
        <f>C204*C238^3 / 12</f>
        <v>1.4952977526666662E-3</v>
      </c>
      <c r="D240" s="1" t="s">
        <v>53</v>
      </c>
      <c r="G240" s="96" t="s">
        <v>764</v>
      </c>
      <c r="H240" s="323"/>
      <c r="I240" s="324"/>
      <c r="J240" s="322"/>
      <c r="K240" s="12"/>
      <c r="L240" s="12"/>
      <c r="M240" s="12"/>
      <c r="N240" s="12"/>
    </row>
    <row r="241" spans="2:14" ht="18" x14ac:dyDescent="0.4">
      <c r="B241" s="87" t="s">
        <v>54</v>
      </c>
      <c r="C241" s="1" t="s">
        <v>55</v>
      </c>
      <c r="D241" s="10"/>
      <c r="E241" s="12"/>
      <c r="F241" s="12"/>
      <c r="G241" s="104"/>
      <c r="H241" s="325"/>
      <c r="I241" s="324"/>
      <c r="J241" s="324"/>
      <c r="K241" s="12"/>
      <c r="L241" s="12"/>
      <c r="M241" s="12"/>
      <c r="N241" s="12"/>
    </row>
    <row r="242" spans="2:14" x14ac:dyDescent="0.35">
      <c r="B242" s="87" t="s">
        <v>30</v>
      </c>
      <c r="C242" s="129">
        <f>C220*C236</f>
        <v>86.755509925077334</v>
      </c>
      <c r="D242" s="1" t="s">
        <v>56</v>
      </c>
      <c r="E242" s="12"/>
      <c r="F242" s="12"/>
      <c r="G242" s="12"/>
      <c r="H242" s="288"/>
      <c r="I242" s="289"/>
      <c r="J242" s="166"/>
      <c r="K242" s="12"/>
      <c r="L242" s="12"/>
      <c r="M242" s="12"/>
      <c r="N242" s="12"/>
    </row>
    <row r="243" spans="2:14" x14ac:dyDescent="0.35">
      <c r="B243" s="87" t="s">
        <v>671</v>
      </c>
      <c r="C243" s="1" t="s">
        <v>655</v>
      </c>
      <c r="D243" s="1"/>
      <c r="E243" s="12"/>
      <c r="F243" s="12"/>
      <c r="G243" s="12"/>
      <c r="H243" s="316"/>
      <c r="I243" s="317"/>
      <c r="J243" s="166"/>
      <c r="K243" s="12"/>
      <c r="L243" s="12"/>
      <c r="M243" s="12"/>
      <c r="N243" s="12"/>
    </row>
    <row r="244" spans="2:14" x14ac:dyDescent="0.35">
      <c r="B244" s="87" t="s">
        <v>250</v>
      </c>
      <c r="C244" s="272">
        <f>C242*(C238/2) / C240</f>
        <v>7594.6721841453764</v>
      </c>
      <c r="D244" s="1" t="s">
        <v>249</v>
      </c>
      <c r="E244" s="12"/>
      <c r="F244" s="12"/>
      <c r="G244" s="12"/>
      <c r="H244" s="288"/>
      <c r="I244" s="166"/>
      <c r="J244" s="166"/>
      <c r="K244" s="12"/>
      <c r="L244" s="12"/>
      <c r="M244" s="12"/>
      <c r="N244" s="12"/>
    </row>
    <row r="245" spans="2:14" x14ac:dyDescent="0.35">
      <c r="C245" s="129"/>
      <c r="D245" s="6"/>
      <c r="E245" s="12"/>
      <c r="F245" s="12"/>
      <c r="G245" s="12"/>
      <c r="H245" s="288"/>
      <c r="I245" s="166"/>
      <c r="J245" s="166"/>
      <c r="K245" s="12"/>
      <c r="L245" s="12"/>
      <c r="M245" s="12"/>
      <c r="N245" s="12"/>
    </row>
    <row r="246" spans="2:14" ht="18" x14ac:dyDescent="0.4">
      <c r="B246" s="97" t="s">
        <v>61</v>
      </c>
      <c r="H246" s="73"/>
      <c r="I246" s="261"/>
      <c r="J246" s="167"/>
      <c r="K246" s="12"/>
      <c r="L246" s="12"/>
      <c r="M246" s="12"/>
      <c r="N246" s="12"/>
    </row>
    <row r="247" spans="2:14" x14ac:dyDescent="0.35">
      <c r="H247" s="73"/>
      <c r="I247" s="142"/>
      <c r="J247" s="142"/>
      <c r="K247" s="12"/>
      <c r="L247" s="12"/>
      <c r="M247" s="12"/>
      <c r="N247" s="12"/>
    </row>
    <row r="248" spans="2:14" x14ac:dyDescent="0.35">
      <c r="B248" s="1"/>
      <c r="H248" s="73"/>
      <c r="I248" s="78"/>
      <c r="J248" s="142"/>
      <c r="K248" s="12"/>
      <c r="L248" s="12"/>
      <c r="M248" s="12"/>
      <c r="N248" s="12"/>
    </row>
    <row r="249" spans="2:14" x14ac:dyDescent="0.35">
      <c r="C249" s="9" t="s">
        <v>712</v>
      </c>
      <c r="H249" s="75"/>
      <c r="I249" s="75"/>
      <c r="J249" s="167"/>
      <c r="K249" s="12"/>
      <c r="L249" s="12"/>
      <c r="M249" s="12"/>
      <c r="N249" s="12"/>
    </row>
    <row r="250" spans="2:14" x14ac:dyDescent="0.35">
      <c r="H250" s="1"/>
      <c r="I250" s="84"/>
      <c r="J250" s="11"/>
      <c r="K250" s="12"/>
      <c r="L250" s="12"/>
      <c r="M250" s="12"/>
      <c r="N250" s="12"/>
    </row>
    <row r="251" spans="2:14" x14ac:dyDescent="0.35">
      <c r="H251" s="1"/>
      <c r="I251" s="84"/>
      <c r="J251" s="11"/>
      <c r="K251" s="12"/>
      <c r="L251" s="12"/>
      <c r="M251" s="12"/>
      <c r="N251" s="12"/>
    </row>
    <row r="252" spans="2:14" x14ac:dyDescent="0.35">
      <c r="H252" s="11"/>
      <c r="I252" s="290"/>
      <c r="J252" s="11"/>
      <c r="K252" s="12"/>
      <c r="L252" s="12"/>
      <c r="M252" s="12"/>
      <c r="N252" s="12"/>
    </row>
    <row r="253" spans="2:14" x14ac:dyDescent="0.35">
      <c r="J253" s="12"/>
      <c r="K253" s="12"/>
      <c r="L253" s="12"/>
      <c r="M253" s="12"/>
      <c r="N253" s="12"/>
    </row>
    <row r="254" spans="2:14" x14ac:dyDescent="0.35">
      <c r="J254" s="12"/>
      <c r="K254" s="12"/>
      <c r="L254" s="12"/>
      <c r="M254" s="12"/>
      <c r="N254" s="12"/>
    </row>
    <row r="255" spans="2:14" x14ac:dyDescent="0.35">
      <c r="J255" s="12"/>
      <c r="K255" s="12"/>
      <c r="L255" s="12"/>
      <c r="M255" s="12"/>
      <c r="N255" s="12"/>
    </row>
    <row r="256" spans="2:14" x14ac:dyDescent="0.35">
      <c r="J256" s="40"/>
      <c r="K256" s="12"/>
      <c r="L256" s="12"/>
      <c r="M256" s="12"/>
      <c r="N256" s="12"/>
    </row>
    <row r="257" spans="2:14" x14ac:dyDescent="0.35">
      <c r="B257" s="75"/>
      <c r="C257" s="261"/>
      <c r="D257" s="167"/>
      <c r="E257" s="167"/>
      <c r="F257" s="75"/>
      <c r="K257" s="12"/>
      <c r="L257" s="12"/>
      <c r="M257" s="12"/>
      <c r="N257" s="12"/>
    </row>
    <row r="258" spans="2:14" x14ac:dyDescent="0.35">
      <c r="B258" s="73"/>
      <c r="C258" s="142"/>
      <c r="D258" s="142"/>
      <c r="E258" s="167"/>
      <c r="F258" s="75"/>
      <c r="K258" s="12"/>
      <c r="L258" s="12"/>
      <c r="M258" s="12"/>
      <c r="N258" s="12"/>
    </row>
    <row r="259" spans="2:14" x14ac:dyDescent="0.35">
      <c r="B259" s="73"/>
      <c r="C259" s="291"/>
      <c r="D259" s="142"/>
      <c r="E259" s="167"/>
      <c r="F259" s="75"/>
      <c r="K259" s="12"/>
      <c r="L259" s="12"/>
      <c r="M259" s="12"/>
      <c r="N259" s="12"/>
    </row>
    <row r="260" spans="2:14" x14ac:dyDescent="0.35">
      <c r="B260" s="121"/>
      <c r="C260" s="315"/>
      <c r="D260" s="167"/>
      <c r="E260" s="167"/>
      <c r="F260" s="75"/>
      <c r="K260" s="12"/>
      <c r="L260" s="12"/>
      <c r="M260" s="12"/>
      <c r="N260" s="12"/>
    </row>
    <row r="261" spans="2:14" x14ac:dyDescent="0.35">
      <c r="B261" s="73"/>
      <c r="C261" s="261"/>
      <c r="D261" s="167"/>
      <c r="E261" s="167"/>
      <c r="F261" s="75"/>
      <c r="K261" s="12"/>
      <c r="L261" s="12"/>
      <c r="M261" s="12"/>
      <c r="N261" s="12"/>
    </row>
    <row r="262" spans="2:14" x14ac:dyDescent="0.35">
      <c r="B262" s="121"/>
      <c r="C262" s="166"/>
      <c r="D262" s="167"/>
      <c r="E262" s="167"/>
      <c r="F262" s="75"/>
      <c r="K262" s="12"/>
      <c r="L262" s="12"/>
      <c r="M262" s="12"/>
      <c r="N262" s="12"/>
    </row>
    <row r="263" spans="2:14" x14ac:dyDescent="0.35">
      <c r="B263" s="121"/>
      <c r="C263" s="166"/>
      <c r="D263" s="167"/>
      <c r="E263" s="167"/>
      <c r="F263" s="75"/>
      <c r="J263" s="40"/>
      <c r="K263" s="12"/>
      <c r="L263" s="12"/>
      <c r="M263" s="12"/>
      <c r="N263" s="12"/>
    </row>
    <row r="264" spans="2:14" x14ac:dyDescent="0.35">
      <c r="B264" s="120"/>
      <c r="C264" s="289"/>
      <c r="D264" s="167"/>
      <c r="E264" s="167"/>
      <c r="F264" s="75"/>
      <c r="J264" s="40"/>
      <c r="K264" s="12"/>
      <c r="L264" s="12"/>
      <c r="M264" s="12"/>
      <c r="N264" s="12"/>
    </row>
    <row r="265" spans="2:14" x14ac:dyDescent="0.35">
      <c r="B265" s="121"/>
      <c r="C265" s="317"/>
      <c r="D265" s="167"/>
      <c r="E265" s="167"/>
      <c r="F265" s="75"/>
      <c r="J265" s="40"/>
      <c r="K265" s="12"/>
      <c r="L265" s="12"/>
      <c r="M265" s="12"/>
      <c r="N265" s="12"/>
    </row>
    <row r="266" spans="2:14" x14ac:dyDescent="0.35">
      <c r="B266" s="120"/>
      <c r="C266" s="167"/>
      <c r="D266" s="167"/>
      <c r="E266" s="167"/>
      <c r="F266" s="75"/>
      <c r="J266" s="12"/>
      <c r="K266" s="12"/>
      <c r="L266" s="12"/>
      <c r="M266" s="12"/>
      <c r="N266" s="12"/>
    </row>
    <row r="267" spans="2:14" x14ac:dyDescent="0.35">
      <c r="B267" s="120"/>
      <c r="C267" s="167"/>
      <c r="D267" s="167"/>
      <c r="E267" s="167"/>
      <c r="F267" s="75"/>
      <c r="J267" s="12"/>
      <c r="K267" s="12"/>
      <c r="L267" s="12"/>
      <c r="M267" s="12"/>
      <c r="N267" s="12"/>
    </row>
    <row r="268" spans="2:14" x14ac:dyDescent="0.35">
      <c r="B268" s="73"/>
      <c r="C268" s="261"/>
      <c r="D268" s="167"/>
      <c r="E268" s="75"/>
      <c r="F268" s="75"/>
      <c r="J268" s="12"/>
      <c r="K268" s="12"/>
      <c r="L268" s="12"/>
      <c r="M268" s="12"/>
      <c r="N268" s="12"/>
    </row>
    <row r="269" spans="2:14" x14ac:dyDescent="0.35">
      <c r="B269" s="73"/>
      <c r="C269" s="142"/>
      <c r="D269" s="142"/>
      <c r="E269" s="75"/>
      <c r="F269" s="75"/>
      <c r="J269" s="12"/>
      <c r="K269" s="12"/>
      <c r="L269" s="12"/>
      <c r="M269" s="12"/>
      <c r="N269" s="12"/>
    </row>
    <row r="270" spans="2:14" x14ac:dyDescent="0.35">
      <c r="B270" s="73"/>
      <c r="C270" s="78"/>
      <c r="D270" s="142"/>
      <c r="E270" s="75"/>
      <c r="F270" s="75"/>
      <c r="J270" s="12"/>
      <c r="K270" s="12"/>
      <c r="L270" s="12"/>
      <c r="M270" s="12"/>
      <c r="N270" s="12"/>
    </row>
    <row r="271" spans="2:14" x14ac:dyDescent="0.35">
      <c r="B271" s="75"/>
      <c r="C271" s="75"/>
      <c r="D271" s="167"/>
      <c r="E271" s="167"/>
      <c r="F271" s="75"/>
      <c r="J271" s="12"/>
      <c r="K271" s="12"/>
      <c r="L271" s="12"/>
      <c r="M271" s="12"/>
      <c r="N271" s="12"/>
    </row>
    <row r="272" spans="2:14" x14ac:dyDescent="0.35">
      <c r="B272" s="1"/>
      <c r="C272" s="84"/>
      <c r="K272" s="12"/>
      <c r="L272" s="12"/>
      <c r="M272" s="12"/>
      <c r="N272" s="12"/>
    </row>
    <row r="273" spans="2:14" x14ac:dyDescent="0.35">
      <c r="B273" s="1"/>
      <c r="C273" s="84"/>
      <c r="K273" s="12"/>
      <c r="L273" s="12"/>
      <c r="M273" s="12"/>
      <c r="N273" s="12"/>
    </row>
    <row r="274" spans="2:14" x14ac:dyDescent="0.35">
      <c r="B274" s="11"/>
      <c r="C274" s="290"/>
      <c r="K274" s="12"/>
      <c r="L274" s="12"/>
      <c r="M274" s="12"/>
      <c r="N274" s="12"/>
    </row>
    <row r="275" spans="2:14" x14ac:dyDescent="0.35">
      <c r="K275" s="12"/>
      <c r="L275" s="12"/>
      <c r="M275" s="12"/>
      <c r="N275" s="12"/>
    </row>
    <row r="276" spans="2:14" x14ac:dyDescent="0.35">
      <c r="K276" s="12"/>
      <c r="L276" s="12"/>
      <c r="M276" s="12"/>
      <c r="N276" s="12"/>
    </row>
    <row r="277" spans="2:14" x14ac:dyDescent="0.35">
      <c r="K277" s="12"/>
      <c r="L277" s="12"/>
      <c r="M277" s="12"/>
      <c r="N277" s="12"/>
    </row>
    <row r="278" spans="2:14" x14ac:dyDescent="0.35">
      <c r="K278" s="12"/>
      <c r="L278" s="12"/>
      <c r="M278" s="12"/>
      <c r="N278" s="12"/>
    </row>
    <row r="279" spans="2:14" x14ac:dyDescent="0.35">
      <c r="K279" s="12"/>
      <c r="L279" s="12"/>
      <c r="M279" s="12"/>
      <c r="N279" s="12"/>
    </row>
    <row r="280" spans="2:14" x14ac:dyDescent="0.35">
      <c r="K280" s="12"/>
      <c r="L280" s="12"/>
      <c r="M280" s="12"/>
      <c r="N280" s="12"/>
    </row>
    <row r="281" spans="2:14" x14ac:dyDescent="0.35">
      <c r="K281" s="12"/>
      <c r="L281" s="12"/>
      <c r="M281" s="12"/>
      <c r="N281" s="12"/>
    </row>
    <row r="282" spans="2:14" x14ac:dyDescent="0.35">
      <c r="K282" s="12"/>
      <c r="L282" s="12"/>
      <c r="M282" s="12"/>
      <c r="N282" s="12"/>
    </row>
    <row r="283" spans="2:14" x14ac:dyDescent="0.35">
      <c r="K283" s="12"/>
      <c r="L283" s="12"/>
      <c r="M283" s="12"/>
      <c r="N283" s="12"/>
    </row>
    <row r="284" spans="2:14" x14ac:dyDescent="0.35">
      <c r="K284" s="12"/>
      <c r="L284" s="12"/>
      <c r="M284" s="12"/>
      <c r="N284" s="12"/>
    </row>
    <row r="285" spans="2:14" x14ac:dyDescent="0.35">
      <c r="K285" s="12"/>
      <c r="L285" s="12"/>
      <c r="M285" s="12"/>
      <c r="N285" s="12"/>
    </row>
    <row r="286" spans="2:14" x14ac:dyDescent="0.35">
      <c r="K286" s="12"/>
      <c r="L286" s="12"/>
      <c r="M286" s="12"/>
      <c r="N286" s="12"/>
    </row>
    <row r="287" spans="2:14" x14ac:dyDescent="0.35">
      <c r="J287" s="12"/>
      <c r="K287" s="12"/>
      <c r="L287" s="12"/>
      <c r="M287" s="12"/>
      <c r="N287" s="12"/>
    </row>
    <row r="288" spans="2:14" x14ac:dyDescent="0.35">
      <c r="J288" s="12"/>
      <c r="K288" s="12"/>
      <c r="L288" s="12"/>
      <c r="M288" s="12"/>
      <c r="N288" s="12"/>
    </row>
    <row r="289" spans="10:14" x14ac:dyDescent="0.35">
      <c r="J289" s="12"/>
      <c r="K289" s="12"/>
      <c r="L289" s="12"/>
      <c r="M289" s="12"/>
      <c r="N289" s="12"/>
    </row>
    <row r="290" spans="10:14" x14ac:dyDescent="0.35">
      <c r="J290" s="12"/>
      <c r="K290" s="12"/>
      <c r="L290" s="12"/>
      <c r="M290" s="12"/>
      <c r="N290" s="12"/>
    </row>
    <row r="291" spans="10:14" x14ac:dyDescent="0.35">
      <c r="J291" s="12"/>
      <c r="K291" s="12"/>
      <c r="L291" s="12"/>
      <c r="M291" s="12"/>
      <c r="N291" s="12"/>
    </row>
    <row r="292" spans="10:14" x14ac:dyDescent="0.35">
      <c r="J292" s="12"/>
      <c r="K292" s="12"/>
      <c r="L292" s="12"/>
      <c r="M292" s="12"/>
      <c r="N292" s="12"/>
    </row>
    <row r="293" spans="10:14" x14ac:dyDescent="0.35">
      <c r="J293" s="12"/>
      <c r="K293" s="12"/>
      <c r="L293" s="12"/>
      <c r="M293" s="12"/>
      <c r="N293" s="12"/>
    </row>
    <row r="294" spans="10:14" x14ac:dyDescent="0.35">
      <c r="J294" s="12"/>
      <c r="K294" s="12"/>
      <c r="L294" s="12"/>
      <c r="M294" s="12"/>
      <c r="N294" s="12"/>
    </row>
    <row r="295" spans="10:14" x14ac:dyDescent="0.35">
      <c r="J295" s="12"/>
      <c r="K295" s="12"/>
      <c r="L295" s="12"/>
      <c r="M295" s="12"/>
      <c r="N295" s="12"/>
    </row>
    <row r="296" spans="10:14" x14ac:dyDescent="0.35">
      <c r="J296" s="12"/>
      <c r="K296" s="12"/>
      <c r="L296" s="12"/>
      <c r="M296" s="12"/>
      <c r="N296" s="12"/>
    </row>
    <row r="297" spans="10:14" x14ac:dyDescent="0.35">
      <c r="J297" s="12"/>
      <c r="K297" s="12"/>
      <c r="L297" s="12"/>
      <c r="M297" s="12"/>
      <c r="N297" s="12"/>
    </row>
    <row r="298" spans="10:14" x14ac:dyDescent="0.35">
      <c r="J298" s="12"/>
      <c r="K298" s="12"/>
      <c r="L298" s="12"/>
      <c r="M298" s="12"/>
      <c r="N298" s="12"/>
    </row>
    <row r="299" spans="10:14" x14ac:dyDescent="0.35">
      <c r="J299" s="12"/>
      <c r="K299" s="12"/>
      <c r="L299" s="12"/>
      <c r="M299" s="12"/>
      <c r="N299" s="12"/>
    </row>
    <row r="300" spans="10:14" x14ac:dyDescent="0.35">
      <c r="J300" s="12"/>
      <c r="K300" s="12"/>
      <c r="L300" s="12"/>
      <c r="M300" s="12"/>
      <c r="N300" s="12"/>
    </row>
    <row r="301" spans="10:14" x14ac:dyDescent="0.35">
      <c r="J301" s="12"/>
      <c r="K301" s="12"/>
      <c r="L301" s="12"/>
      <c r="M301" s="12"/>
      <c r="N301" s="12"/>
    </row>
    <row r="302" spans="10:14" x14ac:dyDescent="0.35">
      <c r="J302" s="12"/>
      <c r="K302" s="12"/>
      <c r="L302" s="12"/>
      <c r="M302" s="12"/>
      <c r="N302" s="12"/>
    </row>
    <row r="303" spans="10:14" x14ac:dyDescent="0.35">
      <c r="J303" s="12"/>
      <c r="K303" s="12"/>
      <c r="L303" s="12"/>
      <c r="M303" s="12"/>
      <c r="N303" s="12"/>
    </row>
    <row r="304" spans="10:14" x14ac:dyDescent="0.35">
      <c r="J304" s="12"/>
      <c r="K304" s="12"/>
      <c r="L304" s="12"/>
      <c r="M304" s="12"/>
      <c r="N304" s="12"/>
    </row>
    <row r="305" spans="10:14" x14ac:dyDescent="0.35">
      <c r="J305" s="12"/>
      <c r="K305" s="12"/>
      <c r="L305" s="12"/>
      <c r="M305" s="12"/>
      <c r="N305" s="12"/>
    </row>
    <row r="306" spans="10:14" x14ac:dyDescent="0.35">
      <c r="J306" s="12"/>
      <c r="K306" s="12"/>
      <c r="L306" s="12"/>
      <c r="M306" s="12"/>
      <c r="N306" s="12"/>
    </row>
    <row r="307" spans="10:14" x14ac:dyDescent="0.35">
      <c r="J307" s="12"/>
      <c r="K307" s="12"/>
      <c r="L307" s="12"/>
      <c r="M307" s="12"/>
      <c r="N307" s="12"/>
    </row>
    <row r="308" spans="10:14" x14ac:dyDescent="0.35">
      <c r="J308" s="12"/>
      <c r="K308" s="12"/>
      <c r="L308" s="12"/>
      <c r="M308" s="12"/>
      <c r="N308" s="12"/>
    </row>
    <row r="309" spans="10:14" x14ac:dyDescent="0.35">
      <c r="J309" s="12"/>
      <c r="K309" s="12"/>
      <c r="L309" s="12"/>
      <c r="M309" s="12"/>
      <c r="N309" s="12"/>
    </row>
    <row r="310" spans="10:14" x14ac:dyDescent="0.35">
      <c r="J310" s="12"/>
      <c r="K310" s="12"/>
      <c r="L310" s="12"/>
      <c r="M310" s="12"/>
      <c r="N310" s="12"/>
    </row>
    <row r="311" spans="10:14" x14ac:dyDescent="0.35">
      <c r="J311" s="12"/>
      <c r="K311" s="12"/>
      <c r="L311" s="12"/>
      <c r="M311" s="12"/>
      <c r="N311" s="12"/>
    </row>
    <row r="312" spans="10:14" x14ac:dyDescent="0.35">
      <c r="J312" s="12"/>
      <c r="K312" s="12"/>
      <c r="L312" s="12"/>
      <c r="M312" s="12"/>
      <c r="N312" s="12"/>
    </row>
    <row r="313" spans="10:14" x14ac:dyDescent="0.35">
      <c r="J313" s="12"/>
      <c r="K313" s="12"/>
      <c r="L313" s="12"/>
      <c r="M313" s="12"/>
      <c r="N313" s="12"/>
    </row>
    <row r="314" spans="10:14" x14ac:dyDescent="0.35">
      <c r="J314" s="12"/>
      <c r="K314" s="12"/>
      <c r="L314" s="12"/>
      <c r="M314" s="12"/>
      <c r="N314" s="12"/>
    </row>
    <row r="315" spans="10:14" x14ac:dyDescent="0.35">
      <c r="J315" s="12"/>
      <c r="K315" s="12"/>
      <c r="L315" s="12"/>
      <c r="M315" s="12"/>
      <c r="N315" s="12"/>
    </row>
    <row r="316" spans="10:14" x14ac:dyDescent="0.35">
      <c r="J316" s="12"/>
      <c r="K316" s="12"/>
      <c r="L316" s="12"/>
      <c r="M316" s="12"/>
      <c r="N316" s="12"/>
    </row>
    <row r="317" spans="10:14" x14ac:dyDescent="0.35">
      <c r="J317" s="12"/>
      <c r="K317" s="12"/>
      <c r="L317" s="12"/>
      <c r="M317" s="12"/>
      <c r="N317" s="12"/>
    </row>
    <row r="318" spans="10:14" x14ac:dyDescent="0.35">
      <c r="J318" s="12"/>
      <c r="K318" s="12"/>
      <c r="L318" s="12"/>
      <c r="M318" s="12"/>
      <c r="N318" s="12"/>
    </row>
    <row r="319" spans="10:14" x14ac:dyDescent="0.35">
      <c r="J319" s="12"/>
      <c r="K319" s="12"/>
      <c r="L319" s="12"/>
      <c r="M319" s="12"/>
      <c r="N319" s="12"/>
    </row>
    <row r="320" spans="10:14" x14ac:dyDescent="0.35">
      <c r="J320" s="12"/>
      <c r="K320" s="12"/>
      <c r="L320" s="12"/>
      <c r="M320" s="12"/>
      <c r="N320" s="12"/>
    </row>
    <row r="321" spans="10:14" x14ac:dyDescent="0.35">
      <c r="J321" s="12"/>
      <c r="K321" s="12"/>
      <c r="L321" s="12"/>
      <c r="M321" s="12"/>
      <c r="N321" s="12"/>
    </row>
    <row r="322" spans="10:14" x14ac:dyDescent="0.35">
      <c r="J322" s="12"/>
      <c r="K322" s="12"/>
      <c r="L322" s="12"/>
      <c r="M322" s="12"/>
      <c r="N322" s="12"/>
    </row>
    <row r="323" spans="10:14" x14ac:dyDescent="0.35">
      <c r="J323" s="12"/>
      <c r="K323" s="12"/>
      <c r="L323" s="12"/>
      <c r="M323" s="12"/>
      <c r="N323" s="12"/>
    </row>
    <row r="324" spans="10:14" x14ac:dyDescent="0.35">
      <c r="J324" s="12"/>
      <c r="K324" s="12"/>
      <c r="L324" s="12"/>
      <c r="M324" s="12"/>
      <c r="N324" s="12"/>
    </row>
    <row r="325" spans="10:14" x14ac:dyDescent="0.35">
      <c r="J325" s="12"/>
      <c r="K325" s="12"/>
      <c r="L325" s="12"/>
      <c r="M325" s="12"/>
      <c r="N325" s="12"/>
    </row>
    <row r="326" spans="10:14" x14ac:dyDescent="0.35">
      <c r="J326" s="12"/>
      <c r="K326" s="12"/>
      <c r="L326" s="12"/>
      <c r="M326" s="12"/>
      <c r="N326" s="12"/>
    </row>
    <row r="327" spans="10:14" x14ac:dyDescent="0.35">
      <c r="J327" s="12"/>
      <c r="K327" s="12"/>
      <c r="L327" s="12"/>
      <c r="M327" s="12"/>
      <c r="N327" s="12"/>
    </row>
    <row r="328" spans="10:14" x14ac:dyDescent="0.35">
      <c r="J328" s="12"/>
      <c r="K328" s="12"/>
      <c r="L328" s="12"/>
      <c r="M328" s="12"/>
      <c r="N328" s="12"/>
    </row>
    <row r="329" spans="10:14" x14ac:dyDescent="0.35">
      <c r="J329" s="12"/>
      <c r="K329" s="12"/>
      <c r="L329" s="12"/>
      <c r="M329" s="12"/>
      <c r="N329" s="12"/>
    </row>
    <row r="330" spans="10:14" x14ac:dyDescent="0.35">
      <c r="J330" s="12"/>
      <c r="K330" s="12"/>
      <c r="L330" s="12"/>
      <c r="M330" s="12"/>
      <c r="N330" s="12"/>
    </row>
    <row r="331" spans="10:14" x14ac:dyDescent="0.35">
      <c r="J331" s="12"/>
      <c r="K331" s="12"/>
      <c r="L331" s="12"/>
      <c r="M331" s="12"/>
      <c r="N331" s="12"/>
    </row>
    <row r="332" spans="10:14" x14ac:dyDescent="0.35">
      <c r="J332" s="12"/>
      <c r="K332" s="12"/>
      <c r="L332" s="12"/>
      <c r="M332" s="12"/>
      <c r="N332" s="12"/>
    </row>
    <row r="333" spans="10:14" x14ac:dyDescent="0.35">
      <c r="J333" s="12"/>
      <c r="K333" s="12"/>
      <c r="L333" s="12"/>
      <c r="M333" s="12"/>
      <c r="N333" s="12"/>
    </row>
    <row r="334" spans="10:14" x14ac:dyDescent="0.35">
      <c r="J334" s="12"/>
      <c r="K334" s="12"/>
      <c r="L334" s="12"/>
      <c r="M334" s="12"/>
      <c r="N334" s="12"/>
    </row>
    <row r="335" spans="10:14" x14ac:dyDescent="0.35">
      <c r="J335" s="12"/>
      <c r="K335" s="12"/>
      <c r="L335" s="12"/>
      <c r="M335" s="12"/>
      <c r="N335" s="12"/>
    </row>
    <row r="336" spans="10:14" x14ac:dyDescent="0.35">
      <c r="J336" s="12"/>
      <c r="K336" s="12"/>
      <c r="L336" s="12"/>
      <c r="M336" s="12"/>
      <c r="N336" s="12"/>
    </row>
    <row r="337" spans="10:14" x14ac:dyDescent="0.35">
      <c r="J337" s="12"/>
      <c r="K337" s="12"/>
      <c r="L337" s="12"/>
      <c r="M337" s="12"/>
      <c r="N337" s="12"/>
    </row>
    <row r="338" spans="10:14" x14ac:dyDescent="0.35">
      <c r="J338" s="12"/>
      <c r="K338" s="12"/>
      <c r="L338" s="12"/>
      <c r="M338" s="12"/>
      <c r="N338" s="12"/>
    </row>
    <row r="339" spans="10:14" x14ac:dyDescent="0.35">
      <c r="J339" s="12"/>
      <c r="K339" s="12"/>
      <c r="L339" s="12"/>
      <c r="M339" s="12"/>
      <c r="N339" s="12"/>
    </row>
    <row r="340" spans="10:14" x14ac:dyDescent="0.35">
      <c r="J340" s="12"/>
      <c r="K340" s="12"/>
      <c r="L340" s="12"/>
      <c r="M340" s="12"/>
      <c r="N340" s="12"/>
    </row>
    <row r="341" spans="10:14" x14ac:dyDescent="0.35">
      <c r="J341" s="12"/>
      <c r="K341" s="12"/>
      <c r="L341" s="12"/>
      <c r="M341" s="12"/>
      <c r="N341" s="12"/>
    </row>
    <row r="342" spans="10:14" x14ac:dyDescent="0.35">
      <c r="J342" s="12"/>
      <c r="K342" s="12"/>
      <c r="L342" s="12"/>
      <c r="M342" s="12"/>
      <c r="N342" s="12"/>
    </row>
    <row r="343" spans="10:14" x14ac:dyDescent="0.35">
      <c r="J343" s="12"/>
      <c r="K343" s="12"/>
      <c r="L343" s="12"/>
      <c r="M343" s="12"/>
      <c r="N343" s="12"/>
    </row>
    <row r="344" spans="10:14" x14ac:dyDescent="0.35">
      <c r="J344" s="12"/>
      <c r="K344" s="12"/>
      <c r="L344" s="12"/>
      <c r="M344" s="12"/>
      <c r="N344" s="12"/>
    </row>
    <row r="345" spans="10:14" x14ac:dyDescent="0.35">
      <c r="J345" s="12"/>
      <c r="K345" s="12"/>
      <c r="L345" s="12"/>
      <c r="M345" s="12"/>
      <c r="N345" s="12"/>
    </row>
    <row r="346" spans="10:14" x14ac:dyDescent="0.35">
      <c r="J346" s="12"/>
      <c r="K346" s="12"/>
      <c r="L346" s="12"/>
      <c r="M346" s="12"/>
      <c r="N346" s="12"/>
    </row>
    <row r="347" spans="10:14" x14ac:dyDescent="0.35">
      <c r="J347" s="12"/>
      <c r="K347" s="12"/>
      <c r="L347" s="12"/>
      <c r="M347" s="12"/>
      <c r="N347" s="12"/>
    </row>
    <row r="348" spans="10:14" x14ac:dyDescent="0.35">
      <c r="J348" s="12"/>
      <c r="K348" s="12"/>
      <c r="L348" s="12"/>
      <c r="M348" s="12"/>
      <c r="N348" s="12"/>
    </row>
    <row r="349" spans="10:14" x14ac:dyDescent="0.35">
      <c r="J349" s="12"/>
      <c r="K349" s="12"/>
      <c r="L349" s="12"/>
      <c r="M349" s="12"/>
      <c r="N349" s="12"/>
    </row>
    <row r="350" spans="10:14" x14ac:dyDescent="0.35">
      <c r="J350" s="12"/>
      <c r="K350" s="12"/>
      <c r="L350" s="12"/>
      <c r="M350" s="12"/>
      <c r="N350" s="12"/>
    </row>
    <row r="351" spans="10:14" x14ac:dyDescent="0.35">
      <c r="J351" s="12"/>
      <c r="K351" s="12"/>
      <c r="L351" s="12"/>
      <c r="M351" s="12"/>
      <c r="N351" s="12"/>
    </row>
    <row r="352" spans="10:14" x14ac:dyDescent="0.35">
      <c r="J352" s="12"/>
      <c r="K352" s="12"/>
      <c r="L352" s="12"/>
      <c r="M352" s="12"/>
      <c r="N352" s="12"/>
    </row>
    <row r="353" spans="10:14" x14ac:dyDescent="0.35">
      <c r="J353" s="12"/>
      <c r="K353" s="12"/>
      <c r="L353" s="12"/>
      <c r="M353" s="12"/>
      <c r="N353" s="12"/>
    </row>
    <row r="354" spans="10:14" x14ac:dyDescent="0.35">
      <c r="J354" s="12"/>
      <c r="K354" s="12"/>
      <c r="L354" s="12"/>
      <c r="M354" s="12"/>
      <c r="N354" s="12"/>
    </row>
    <row r="355" spans="10:14" x14ac:dyDescent="0.35">
      <c r="J355" s="12"/>
      <c r="K355" s="12"/>
      <c r="L355" s="12"/>
      <c r="M355" s="12"/>
      <c r="N355" s="12"/>
    </row>
    <row r="356" spans="10:14" x14ac:dyDescent="0.35">
      <c r="J356" s="12"/>
      <c r="K356" s="12"/>
      <c r="L356" s="12"/>
      <c r="M356" s="12"/>
      <c r="N356" s="12"/>
    </row>
    <row r="357" spans="10:14" x14ac:dyDescent="0.35">
      <c r="J357" s="12"/>
      <c r="K357" s="12"/>
      <c r="L357" s="12"/>
      <c r="M357" s="12"/>
      <c r="N357" s="12"/>
    </row>
    <row r="358" spans="10:14" x14ac:dyDescent="0.35">
      <c r="J358" s="12"/>
      <c r="K358" s="12"/>
      <c r="L358" s="12"/>
      <c r="M358" s="12"/>
      <c r="N358" s="12"/>
    </row>
    <row r="359" spans="10:14" x14ac:dyDescent="0.35">
      <c r="J359" s="12"/>
      <c r="K359" s="12"/>
      <c r="L359" s="12"/>
      <c r="M359" s="12"/>
      <c r="N359" s="12"/>
    </row>
    <row r="360" spans="10:14" x14ac:dyDescent="0.35">
      <c r="J360" s="12"/>
      <c r="K360" s="12"/>
      <c r="L360" s="12"/>
      <c r="M360" s="12"/>
      <c r="N360" s="12"/>
    </row>
    <row r="361" spans="10:14" x14ac:dyDescent="0.35">
      <c r="J361" s="12"/>
      <c r="K361" s="12"/>
      <c r="L361" s="12"/>
      <c r="M361" s="12"/>
      <c r="N361" s="12"/>
    </row>
    <row r="362" spans="10:14" x14ac:dyDescent="0.35">
      <c r="J362" s="12"/>
      <c r="K362" s="12"/>
      <c r="L362" s="12"/>
      <c r="M362" s="12"/>
      <c r="N362" s="12"/>
    </row>
    <row r="363" spans="10:14" x14ac:dyDescent="0.35">
      <c r="J363" s="12"/>
      <c r="K363" s="12"/>
      <c r="L363" s="12"/>
      <c r="M363" s="12"/>
      <c r="N363" s="12"/>
    </row>
    <row r="364" spans="10:14" x14ac:dyDescent="0.35">
      <c r="J364" s="12"/>
      <c r="K364" s="12"/>
      <c r="L364" s="12"/>
      <c r="M364" s="12"/>
      <c r="N364" s="12"/>
    </row>
    <row r="365" spans="10:14" x14ac:dyDescent="0.35">
      <c r="J365" s="12"/>
      <c r="K365" s="12"/>
      <c r="L365" s="12"/>
      <c r="M365" s="12"/>
      <c r="N365" s="12"/>
    </row>
    <row r="366" spans="10:14" x14ac:dyDescent="0.35">
      <c r="J366" s="12"/>
      <c r="K366" s="12"/>
      <c r="L366" s="12"/>
      <c r="M366" s="12"/>
      <c r="N366" s="12"/>
    </row>
    <row r="367" spans="10:14" x14ac:dyDescent="0.35">
      <c r="J367" s="12"/>
      <c r="K367" s="12"/>
      <c r="L367" s="12"/>
      <c r="M367" s="12"/>
      <c r="N367" s="12"/>
    </row>
    <row r="368" spans="10:14" x14ac:dyDescent="0.35">
      <c r="J368" s="12"/>
      <c r="K368" s="12"/>
      <c r="L368" s="12"/>
      <c r="M368" s="12"/>
      <c r="N368" s="12"/>
    </row>
    <row r="369" spans="9:14" x14ac:dyDescent="0.35">
      <c r="J369" s="12"/>
      <c r="K369" s="12"/>
      <c r="L369" s="12"/>
      <c r="M369" s="12"/>
      <c r="N369" s="12"/>
    </row>
    <row r="370" spans="9:14" x14ac:dyDescent="0.35">
      <c r="J370" s="12"/>
      <c r="K370" s="12"/>
      <c r="L370" s="12"/>
      <c r="M370" s="12"/>
      <c r="N370" s="12"/>
    </row>
    <row r="371" spans="9:14" x14ac:dyDescent="0.35">
      <c r="J371" s="12"/>
      <c r="K371" s="12"/>
      <c r="L371" s="12"/>
      <c r="M371" s="12"/>
      <c r="N371" s="12"/>
    </row>
    <row r="372" spans="9:14" x14ac:dyDescent="0.35">
      <c r="J372" s="12"/>
      <c r="K372" s="12"/>
      <c r="L372" s="12"/>
      <c r="M372" s="12"/>
      <c r="N372" s="12"/>
    </row>
    <row r="373" spans="9:14" x14ac:dyDescent="0.35">
      <c r="I373" s="34"/>
      <c r="J373" s="12"/>
      <c r="K373" s="12"/>
      <c r="L373" s="12"/>
      <c r="M373" s="12"/>
      <c r="N373" s="12"/>
    </row>
    <row r="374" spans="9:14" x14ac:dyDescent="0.35">
      <c r="I374" s="34"/>
      <c r="J374" s="12"/>
      <c r="K374" s="12"/>
      <c r="L374" s="12"/>
      <c r="M374" s="12"/>
      <c r="N374" s="12"/>
    </row>
    <row r="375" spans="9:14" x14ac:dyDescent="0.35">
      <c r="I375" s="34"/>
      <c r="J375" s="12"/>
      <c r="K375" s="12"/>
      <c r="L375" s="12"/>
      <c r="M375" s="12"/>
      <c r="N375" s="12"/>
    </row>
    <row r="376" spans="9:14" x14ac:dyDescent="0.35">
      <c r="I376" s="34"/>
      <c r="J376" s="12"/>
      <c r="K376" s="12"/>
      <c r="L376" s="12"/>
      <c r="M376" s="12"/>
      <c r="N376" s="12"/>
    </row>
    <row r="377" spans="9:14" x14ac:dyDescent="0.35">
      <c r="I377" s="34"/>
      <c r="J377" s="12"/>
      <c r="K377" s="12"/>
      <c r="L377" s="12"/>
      <c r="M377" s="12"/>
      <c r="N377" s="12"/>
    </row>
    <row r="378" spans="9:14" x14ac:dyDescent="0.35">
      <c r="I378" s="34"/>
      <c r="J378" s="12"/>
      <c r="K378" s="12"/>
      <c r="L378" s="12"/>
      <c r="M378" s="12"/>
      <c r="N378" s="12"/>
    </row>
    <row r="379" spans="9:14" x14ac:dyDescent="0.35">
      <c r="I379" s="34"/>
      <c r="J379" s="12"/>
      <c r="K379" s="12"/>
      <c r="L379" s="12"/>
      <c r="M379" s="12"/>
      <c r="N379" s="12"/>
    </row>
    <row r="380" spans="9:14" x14ac:dyDescent="0.35">
      <c r="I380" s="34"/>
      <c r="J380" s="12"/>
      <c r="K380" s="12"/>
      <c r="L380" s="12"/>
      <c r="M380" s="12"/>
      <c r="N380" s="12"/>
    </row>
    <row r="381" spans="9:14" x14ac:dyDescent="0.35">
      <c r="I381" s="34"/>
      <c r="J381" s="12"/>
      <c r="K381" s="12"/>
      <c r="L381" s="12"/>
      <c r="M381" s="12"/>
      <c r="N381" s="12"/>
    </row>
    <row r="382" spans="9:14" x14ac:dyDescent="0.35">
      <c r="I382" s="34"/>
      <c r="J382" s="12"/>
      <c r="K382" s="12"/>
      <c r="L382" s="12"/>
      <c r="M382" s="12"/>
      <c r="N382" s="12"/>
    </row>
    <row r="383" spans="9:14" x14ac:dyDescent="0.35">
      <c r="I383" s="34"/>
      <c r="J383" s="12"/>
      <c r="K383" s="12"/>
      <c r="L383" s="12"/>
      <c r="M383" s="12"/>
      <c r="N383" s="12"/>
    </row>
    <row r="384" spans="9:14" x14ac:dyDescent="0.35">
      <c r="I384" s="34"/>
      <c r="J384" s="12"/>
      <c r="K384" s="12"/>
      <c r="L384" s="12"/>
      <c r="M384" s="12"/>
      <c r="N384" s="12"/>
    </row>
    <row r="385" spans="9:14" x14ac:dyDescent="0.35">
      <c r="I385" s="34"/>
      <c r="J385" s="12"/>
      <c r="K385" s="12"/>
      <c r="L385" s="12"/>
      <c r="M385" s="12"/>
      <c r="N385" s="12"/>
    </row>
    <row r="386" spans="9:14" x14ac:dyDescent="0.35">
      <c r="I386" s="34"/>
      <c r="J386" s="12"/>
      <c r="K386" s="12"/>
      <c r="L386" s="12"/>
      <c r="M386" s="12"/>
      <c r="N386" s="12"/>
    </row>
    <row r="387" spans="9:14" x14ac:dyDescent="0.35">
      <c r="I387" s="34"/>
      <c r="J387" s="12"/>
      <c r="K387" s="12"/>
      <c r="L387" s="12"/>
      <c r="M387" s="12"/>
      <c r="N387" s="12"/>
    </row>
    <row r="388" spans="9:14" x14ac:dyDescent="0.35">
      <c r="I388" s="34"/>
      <c r="J388" s="12"/>
      <c r="K388" s="12"/>
      <c r="L388" s="12"/>
      <c r="M388" s="12"/>
      <c r="N388" s="12"/>
    </row>
    <row r="389" spans="9:14" x14ac:dyDescent="0.35">
      <c r="I389" s="34"/>
      <c r="J389" s="12"/>
      <c r="K389" s="12"/>
      <c r="L389" s="12"/>
      <c r="N389" s="12"/>
    </row>
    <row r="390" spans="9:14" x14ac:dyDescent="0.35">
      <c r="I390" s="34"/>
      <c r="J390" s="12"/>
      <c r="K390" s="12"/>
      <c r="L390" s="12"/>
      <c r="N390" s="12"/>
    </row>
    <row r="391" spans="9:14" x14ac:dyDescent="0.35">
      <c r="I391" s="34"/>
      <c r="J391" s="12"/>
      <c r="M391" s="12"/>
      <c r="N391" s="12"/>
    </row>
    <row r="392" spans="9:14" x14ac:dyDescent="0.35">
      <c r="I392" s="34"/>
      <c r="J392" s="12"/>
      <c r="M392" s="12"/>
      <c r="N392" s="12"/>
    </row>
    <row r="393" spans="9:14" x14ac:dyDescent="0.35">
      <c r="I393" s="34"/>
      <c r="J393" s="12"/>
      <c r="K393" s="12"/>
      <c r="L393" s="12"/>
      <c r="M393" s="12"/>
      <c r="N393" s="12"/>
    </row>
    <row r="394" spans="9:14" x14ac:dyDescent="0.35">
      <c r="I394" s="34"/>
      <c r="J394" s="12"/>
      <c r="K394" s="12"/>
      <c r="L394" s="12"/>
      <c r="M394" s="12"/>
      <c r="N394" s="12"/>
    </row>
    <row r="395" spans="9:14" x14ac:dyDescent="0.35">
      <c r="I395" s="34"/>
      <c r="J395" s="12"/>
      <c r="K395" s="12"/>
      <c r="L395" s="12"/>
      <c r="M395" s="12"/>
      <c r="N395" s="12"/>
    </row>
    <row r="396" spans="9:14" x14ac:dyDescent="0.35">
      <c r="I396" s="34"/>
      <c r="J396" s="12"/>
      <c r="K396" s="12"/>
      <c r="L396" s="12"/>
      <c r="M396" s="12"/>
      <c r="N396" s="12"/>
    </row>
    <row r="397" spans="9:14" x14ac:dyDescent="0.35">
      <c r="I397" s="34"/>
      <c r="J397" s="12"/>
      <c r="K397" s="12"/>
      <c r="L397" s="12"/>
      <c r="M397" s="12"/>
      <c r="N397" s="12"/>
    </row>
    <row r="398" spans="9:14" x14ac:dyDescent="0.35">
      <c r="I398" s="34"/>
      <c r="J398" s="12"/>
      <c r="K398" s="12"/>
      <c r="L398" s="12"/>
      <c r="M398" s="12"/>
      <c r="N398" s="12"/>
    </row>
    <row r="399" spans="9:14" x14ac:dyDescent="0.35">
      <c r="I399" s="34"/>
      <c r="J399" s="12"/>
      <c r="K399" s="12"/>
      <c r="L399" s="12"/>
      <c r="M399" s="12"/>
      <c r="N399" s="12"/>
    </row>
    <row r="400" spans="9:14" x14ac:dyDescent="0.35">
      <c r="I400" s="34"/>
      <c r="J400" s="12"/>
      <c r="K400" s="12"/>
      <c r="L400" s="12"/>
      <c r="M400" s="12"/>
      <c r="N400" s="12"/>
    </row>
    <row r="401" spans="9:14" x14ac:dyDescent="0.35">
      <c r="I401" s="34"/>
      <c r="J401" s="12"/>
      <c r="K401" s="12"/>
      <c r="L401" s="12"/>
      <c r="M401" s="12"/>
      <c r="N401" s="12"/>
    </row>
    <row r="402" spans="9:14" x14ac:dyDescent="0.35">
      <c r="I402" s="11"/>
      <c r="J402" s="12"/>
      <c r="K402" s="12"/>
      <c r="L402" s="12"/>
      <c r="M402" s="12"/>
      <c r="N402" s="12"/>
    </row>
    <row r="403" spans="9:14" x14ac:dyDescent="0.35">
      <c r="I403" s="34"/>
      <c r="J403" s="12"/>
      <c r="K403" s="12"/>
      <c r="L403" s="12"/>
      <c r="M403" s="12"/>
      <c r="N403" s="12"/>
    </row>
    <row r="404" spans="9:14" x14ac:dyDescent="0.35">
      <c r="I404" s="34"/>
      <c r="J404" s="12"/>
      <c r="K404" s="12"/>
      <c r="L404" s="12"/>
      <c r="M404" s="12"/>
      <c r="N404" s="12"/>
    </row>
    <row r="405" spans="9:14" x14ac:dyDescent="0.35">
      <c r="I405" s="34"/>
      <c r="J405" s="12"/>
      <c r="K405" s="12"/>
      <c r="L405" s="12"/>
      <c r="M405" s="12"/>
      <c r="N405" s="12"/>
    </row>
    <row r="406" spans="9:14" x14ac:dyDescent="0.35">
      <c r="I406" s="34"/>
      <c r="J406" s="12"/>
      <c r="K406" s="12"/>
      <c r="L406" s="12"/>
      <c r="M406" s="12"/>
      <c r="N406" s="12"/>
    </row>
    <row r="407" spans="9:14" x14ac:dyDescent="0.35">
      <c r="I407" s="34"/>
      <c r="J407" s="12"/>
      <c r="K407" s="12"/>
      <c r="L407" s="12"/>
      <c r="M407" s="12"/>
      <c r="N407" s="12"/>
    </row>
    <row r="408" spans="9:14" x14ac:dyDescent="0.35">
      <c r="I408" s="34"/>
      <c r="J408" s="12"/>
      <c r="K408" s="12"/>
      <c r="L408" s="12"/>
      <c r="M408" s="12"/>
      <c r="N408" s="12"/>
    </row>
    <row r="409" spans="9:14" x14ac:dyDescent="0.35">
      <c r="I409" s="34"/>
      <c r="J409" s="12"/>
      <c r="K409" s="12"/>
      <c r="L409" s="12"/>
      <c r="M409" s="12"/>
      <c r="N409" s="12"/>
    </row>
    <row r="410" spans="9:14" x14ac:dyDescent="0.35">
      <c r="I410" s="34"/>
      <c r="J410" s="12"/>
      <c r="K410" s="12"/>
      <c r="L410" s="12"/>
      <c r="M410" s="12"/>
      <c r="N410" s="12"/>
    </row>
    <row r="411" spans="9:14" x14ac:dyDescent="0.35">
      <c r="I411" s="34"/>
      <c r="J411" s="12"/>
      <c r="K411" s="12"/>
      <c r="L411" s="12"/>
      <c r="M411" s="12"/>
      <c r="N411" s="12"/>
    </row>
    <row r="412" spans="9:14" x14ac:dyDescent="0.35">
      <c r="I412" s="34"/>
      <c r="J412" s="12"/>
      <c r="K412" s="12"/>
      <c r="L412" s="12"/>
      <c r="M412" s="12"/>
      <c r="N412" s="12"/>
    </row>
    <row r="413" spans="9:14" x14ac:dyDescent="0.35">
      <c r="I413" s="34"/>
      <c r="J413" s="12"/>
      <c r="K413" s="12"/>
      <c r="L413" s="12"/>
      <c r="M413" s="12"/>
      <c r="N413" s="12"/>
    </row>
    <row r="414" spans="9:14" x14ac:dyDescent="0.35">
      <c r="I414" s="34"/>
      <c r="J414" s="12"/>
      <c r="K414" s="12"/>
      <c r="L414" s="12"/>
      <c r="M414" s="12"/>
      <c r="N414" s="12"/>
    </row>
    <row r="415" spans="9:14" x14ac:dyDescent="0.35">
      <c r="I415" s="34"/>
      <c r="J415" s="12"/>
      <c r="K415" s="12"/>
      <c r="L415" s="12"/>
      <c r="M415" s="12"/>
      <c r="N415" s="12"/>
    </row>
    <row r="416" spans="9:14" x14ac:dyDescent="0.35">
      <c r="I416" s="34"/>
      <c r="J416" s="12"/>
      <c r="K416" s="12"/>
      <c r="L416" s="12"/>
      <c r="M416" s="12"/>
      <c r="N416" s="12"/>
    </row>
    <row r="417" spans="9:14" x14ac:dyDescent="0.35">
      <c r="I417" s="34"/>
      <c r="J417" s="12"/>
      <c r="K417" s="12"/>
      <c r="L417" s="12"/>
      <c r="M417" s="12"/>
      <c r="N417" s="12"/>
    </row>
    <row r="418" spans="9:14" x14ac:dyDescent="0.35">
      <c r="I418" s="34"/>
      <c r="J418" s="12"/>
      <c r="K418" s="12"/>
      <c r="L418" s="12"/>
      <c r="M418" s="12"/>
      <c r="N418" s="12"/>
    </row>
    <row r="419" spans="9:14" x14ac:dyDescent="0.35">
      <c r="I419" s="34"/>
      <c r="J419" s="12"/>
      <c r="K419" s="12"/>
      <c r="L419" s="12"/>
      <c r="M419" s="12"/>
      <c r="N419" s="12"/>
    </row>
    <row r="420" spans="9:14" x14ac:dyDescent="0.35">
      <c r="I420" s="34"/>
      <c r="J420" s="12"/>
      <c r="K420" s="12"/>
      <c r="L420" s="12"/>
      <c r="M420" s="12"/>
      <c r="N420" s="12"/>
    </row>
    <row r="421" spans="9:14" x14ac:dyDescent="0.35">
      <c r="I421" s="34"/>
      <c r="J421" s="12"/>
      <c r="K421" s="12"/>
      <c r="L421" s="12"/>
      <c r="M421" s="12"/>
      <c r="N421" s="12"/>
    </row>
    <row r="422" spans="9:14" x14ac:dyDescent="0.35">
      <c r="I422" s="34"/>
      <c r="J422" s="12"/>
      <c r="K422" s="12"/>
      <c r="L422" s="12"/>
      <c r="M422" s="12"/>
      <c r="N422" s="12"/>
    </row>
    <row r="423" spans="9:14" x14ac:dyDescent="0.35">
      <c r="I423" s="34"/>
      <c r="J423" s="12"/>
      <c r="K423" s="12"/>
      <c r="L423" s="12"/>
      <c r="M423" s="12"/>
      <c r="N423" s="12"/>
    </row>
    <row r="424" spans="9:14" x14ac:dyDescent="0.35">
      <c r="I424" s="34"/>
      <c r="J424" s="12"/>
      <c r="K424" s="12"/>
      <c r="L424" s="12"/>
      <c r="M424" s="12"/>
      <c r="N424" s="12"/>
    </row>
    <row r="425" spans="9:14" x14ac:dyDescent="0.35">
      <c r="I425" s="34"/>
      <c r="J425" s="12"/>
      <c r="K425" s="12"/>
      <c r="L425" s="12"/>
      <c r="M425" s="12"/>
      <c r="N425" s="12"/>
    </row>
    <row r="426" spans="9:14" x14ac:dyDescent="0.35">
      <c r="I426" s="34"/>
      <c r="J426" s="12"/>
      <c r="K426" s="12"/>
      <c r="L426" s="12"/>
      <c r="M426" s="12"/>
      <c r="N426" s="12"/>
    </row>
    <row r="427" spans="9:14" x14ac:dyDescent="0.35">
      <c r="I427" s="34"/>
      <c r="J427" s="12"/>
      <c r="K427" s="12"/>
      <c r="L427" s="12"/>
      <c r="M427" s="12"/>
      <c r="N427" s="12"/>
    </row>
    <row r="428" spans="9:14" x14ac:dyDescent="0.35">
      <c r="I428" s="34"/>
      <c r="J428" s="12"/>
      <c r="K428" s="12"/>
      <c r="L428" s="12"/>
      <c r="M428" s="12"/>
      <c r="N428" s="12"/>
    </row>
    <row r="429" spans="9:14" x14ac:dyDescent="0.35">
      <c r="I429" s="34"/>
      <c r="J429" s="12"/>
      <c r="K429" s="12"/>
      <c r="L429" s="12"/>
      <c r="M429" s="12"/>
      <c r="N429" s="12"/>
    </row>
    <row r="430" spans="9:14" x14ac:dyDescent="0.35">
      <c r="I430" s="34"/>
      <c r="J430" s="12"/>
      <c r="K430" s="12"/>
      <c r="L430" s="12"/>
      <c r="M430" s="12"/>
      <c r="N430" s="12"/>
    </row>
    <row r="431" spans="9:14" x14ac:dyDescent="0.35">
      <c r="I431" s="34"/>
      <c r="J431" s="12"/>
      <c r="K431" s="12"/>
      <c r="L431" s="12"/>
      <c r="M431" s="12"/>
      <c r="N431" s="12"/>
    </row>
    <row r="432" spans="9:14" x14ac:dyDescent="0.35">
      <c r="I432" s="34"/>
      <c r="J432" s="12"/>
      <c r="K432" s="12"/>
      <c r="L432" s="12"/>
      <c r="M432" s="12"/>
      <c r="N432" s="12"/>
    </row>
    <row r="433" spans="9:14" x14ac:dyDescent="0.35">
      <c r="I433" s="34"/>
      <c r="J433" s="12"/>
      <c r="K433" s="12"/>
      <c r="L433" s="12"/>
      <c r="M433" s="12"/>
      <c r="N433" s="12"/>
    </row>
    <row r="434" spans="9:14" x14ac:dyDescent="0.35">
      <c r="I434" s="34"/>
      <c r="J434" s="12"/>
      <c r="K434" s="12"/>
      <c r="L434" s="12"/>
      <c r="M434" s="12"/>
      <c r="N434" s="12"/>
    </row>
    <row r="435" spans="9:14" x14ac:dyDescent="0.35">
      <c r="I435" s="34"/>
      <c r="J435" s="12"/>
      <c r="K435" s="12"/>
      <c r="L435" s="12"/>
      <c r="M435" s="12"/>
      <c r="N435" s="12"/>
    </row>
    <row r="436" spans="9:14" x14ac:dyDescent="0.35">
      <c r="I436" s="34"/>
      <c r="J436" s="12"/>
      <c r="K436" s="12"/>
      <c r="L436" s="12"/>
      <c r="M436" s="12"/>
      <c r="N436" s="12"/>
    </row>
    <row r="437" spans="9:14" x14ac:dyDescent="0.35">
      <c r="I437" s="34"/>
      <c r="J437" s="12"/>
      <c r="K437" s="12"/>
      <c r="L437" s="12"/>
      <c r="M437" s="12"/>
      <c r="N437" s="12"/>
    </row>
    <row r="438" spans="9:14" x14ac:dyDescent="0.35">
      <c r="I438" s="34"/>
      <c r="J438" s="12"/>
      <c r="K438" s="12"/>
      <c r="L438" s="12"/>
      <c r="M438" s="12"/>
      <c r="N438" s="12"/>
    </row>
    <row r="439" spans="9:14" x14ac:dyDescent="0.35">
      <c r="I439" s="34"/>
      <c r="J439" s="12"/>
      <c r="K439" s="12"/>
      <c r="L439" s="12"/>
      <c r="M439" s="12"/>
      <c r="N439" s="12"/>
    </row>
    <row r="440" spans="9:14" x14ac:dyDescent="0.35">
      <c r="I440" s="34"/>
      <c r="J440" s="12"/>
      <c r="K440" s="12"/>
      <c r="L440" s="12"/>
      <c r="M440" s="12"/>
      <c r="N440" s="12"/>
    </row>
    <row r="441" spans="9:14" x14ac:dyDescent="0.35">
      <c r="I441" s="34"/>
      <c r="J441" s="12"/>
      <c r="K441" s="12"/>
      <c r="L441" s="12"/>
      <c r="M441" s="12"/>
      <c r="N441" s="12"/>
    </row>
    <row r="442" spans="9:14" x14ac:dyDescent="0.35">
      <c r="I442" s="34"/>
      <c r="J442" s="12"/>
      <c r="K442" s="12"/>
      <c r="L442" s="12"/>
      <c r="M442" s="12"/>
      <c r="N442" s="12"/>
    </row>
    <row r="443" spans="9:14" x14ac:dyDescent="0.35">
      <c r="I443" s="34"/>
      <c r="J443" s="12"/>
      <c r="K443" s="12"/>
      <c r="L443" s="12"/>
      <c r="M443" s="12"/>
      <c r="N443" s="12"/>
    </row>
    <row r="444" spans="9:14" x14ac:dyDescent="0.35">
      <c r="I444" s="34"/>
      <c r="J444" s="12"/>
      <c r="K444" s="12"/>
      <c r="L444" s="12"/>
      <c r="M444" s="12"/>
      <c r="N444" s="12"/>
    </row>
    <row r="445" spans="9:14" x14ac:dyDescent="0.35">
      <c r="I445" s="34"/>
      <c r="J445" s="12"/>
      <c r="K445" s="12"/>
      <c r="L445" s="12"/>
      <c r="M445" s="12"/>
      <c r="N445" s="12"/>
    </row>
    <row r="446" spans="9:14" x14ac:dyDescent="0.35">
      <c r="I446" s="34"/>
      <c r="J446" s="12"/>
      <c r="K446" s="12"/>
      <c r="L446" s="12"/>
      <c r="M446" s="12"/>
      <c r="N446" s="12"/>
    </row>
    <row r="447" spans="9:14" x14ac:dyDescent="0.35">
      <c r="I447" s="34"/>
      <c r="J447" s="12"/>
      <c r="K447" s="12"/>
      <c r="L447" s="12"/>
      <c r="M447" s="12"/>
      <c r="N447" s="12"/>
    </row>
    <row r="448" spans="9:14" x14ac:dyDescent="0.35">
      <c r="I448" s="34"/>
      <c r="J448" s="12"/>
      <c r="K448" s="12"/>
      <c r="L448" s="12"/>
      <c r="M448" s="12"/>
      <c r="N448" s="12"/>
    </row>
    <row r="449" spans="9:14" x14ac:dyDescent="0.35">
      <c r="I449" s="34"/>
      <c r="J449" s="12"/>
      <c r="K449" s="12"/>
      <c r="L449" s="12"/>
      <c r="M449" s="12"/>
      <c r="N449" s="12"/>
    </row>
    <row r="450" spans="9:14" x14ac:dyDescent="0.35">
      <c r="I450" s="34"/>
      <c r="J450" s="12"/>
      <c r="K450" s="12"/>
      <c r="L450" s="12"/>
      <c r="M450" s="12"/>
      <c r="N450" s="12"/>
    </row>
    <row r="451" spans="9:14" x14ac:dyDescent="0.35">
      <c r="I451" s="34"/>
      <c r="J451" s="12"/>
      <c r="K451" s="12"/>
      <c r="L451" s="12"/>
      <c r="M451" s="12"/>
      <c r="N451" s="12"/>
    </row>
    <row r="452" spans="9:14" x14ac:dyDescent="0.35">
      <c r="I452" s="34"/>
      <c r="J452" s="12"/>
      <c r="K452" s="12"/>
      <c r="L452" s="12"/>
      <c r="M452" s="12"/>
      <c r="N452" s="12"/>
    </row>
    <row r="453" spans="9:14" x14ac:dyDescent="0.35">
      <c r="I453" s="34"/>
      <c r="J453" s="12"/>
      <c r="K453" s="12"/>
      <c r="L453" s="12"/>
      <c r="M453" s="12"/>
      <c r="N453" s="12"/>
    </row>
    <row r="454" spans="9:14" x14ac:dyDescent="0.35">
      <c r="I454" s="34"/>
      <c r="J454" s="12"/>
      <c r="K454" s="12"/>
      <c r="L454" s="12"/>
      <c r="M454" s="12"/>
      <c r="N454" s="12"/>
    </row>
    <row r="455" spans="9:14" x14ac:dyDescent="0.35">
      <c r="I455" s="34"/>
      <c r="J455" s="12"/>
      <c r="K455" s="12"/>
      <c r="L455" s="12"/>
      <c r="M455" s="12"/>
      <c r="N455" s="12"/>
    </row>
    <row r="456" spans="9:14" x14ac:dyDescent="0.35">
      <c r="I456" s="34"/>
      <c r="J456" s="12"/>
      <c r="K456" s="12"/>
      <c r="L456" s="12"/>
      <c r="M456" s="12"/>
      <c r="N456" s="12"/>
    </row>
    <row r="457" spans="9:14" x14ac:dyDescent="0.35">
      <c r="I457" s="34"/>
      <c r="J457" s="12"/>
      <c r="K457" s="12"/>
      <c r="L457" s="12"/>
      <c r="M457" s="12"/>
      <c r="N457" s="12"/>
    </row>
    <row r="458" spans="9:14" x14ac:dyDescent="0.35">
      <c r="I458" s="34"/>
      <c r="J458" s="12"/>
      <c r="K458" s="12"/>
      <c r="L458" s="12"/>
      <c r="M458" s="12"/>
      <c r="N458" s="12"/>
    </row>
    <row r="459" spans="9:14" x14ac:dyDescent="0.35">
      <c r="I459" s="34"/>
      <c r="J459" s="12"/>
      <c r="K459" s="12"/>
      <c r="L459" s="12"/>
      <c r="M459" s="12"/>
      <c r="N459" s="12"/>
    </row>
    <row r="460" spans="9:14" x14ac:dyDescent="0.35">
      <c r="I460" s="34"/>
      <c r="J460" s="12"/>
      <c r="K460" s="12"/>
      <c r="L460" s="12"/>
      <c r="M460" s="12"/>
      <c r="N460" s="12"/>
    </row>
    <row r="461" spans="9:14" x14ac:dyDescent="0.35">
      <c r="I461" s="34"/>
      <c r="J461" s="12"/>
      <c r="K461" s="12"/>
      <c r="L461" s="12"/>
      <c r="M461" s="12"/>
      <c r="N461" s="12"/>
    </row>
    <row r="462" spans="9:14" x14ac:dyDescent="0.35">
      <c r="I462" s="34"/>
      <c r="J462" s="12"/>
      <c r="K462" s="12"/>
      <c r="L462" s="12"/>
      <c r="M462" s="12"/>
      <c r="N462" s="12"/>
    </row>
    <row r="463" spans="9:14" x14ac:dyDescent="0.35">
      <c r="I463" s="34"/>
      <c r="J463" s="12"/>
      <c r="K463" s="12"/>
      <c r="L463" s="12"/>
      <c r="M463" s="12"/>
      <c r="N463" s="12"/>
    </row>
    <row r="464" spans="9:14" x14ac:dyDescent="0.35">
      <c r="I464" s="34"/>
      <c r="J464" s="12"/>
      <c r="K464" s="12"/>
      <c r="L464" s="12"/>
      <c r="M464" s="12"/>
      <c r="N464" s="12"/>
    </row>
    <row r="465" spans="9:14" x14ac:dyDescent="0.35">
      <c r="I465" s="34"/>
      <c r="J465" s="12"/>
      <c r="K465" s="12"/>
      <c r="L465" s="12"/>
      <c r="M465" s="12"/>
      <c r="N465" s="12"/>
    </row>
    <row r="466" spans="9:14" x14ac:dyDescent="0.35">
      <c r="I466" s="34"/>
      <c r="J466" s="12"/>
      <c r="K466" s="12"/>
      <c r="L466" s="12"/>
      <c r="M466" s="12"/>
      <c r="N466" s="12"/>
    </row>
    <row r="467" spans="9:14" x14ac:dyDescent="0.35">
      <c r="I467" s="34"/>
      <c r="J467" s="12"/>
      <c r="K467" s="12"/>
      <c r="L467" s="12"/>
      <c r="M467" s="12"/>
      <c r="N467" s="12"/>
    </row>
    <row r="468" spans="9:14" x14ac:dyDescent="0.35">
      <c r="I468" s="34"/>
      <c r="J468" s="12"/>
      <c r="K468" s="12"/>
      <c r="L468" s="12"/>
      <c r="M468" s="12"/>
      <c r="N468" s="12"/>
    </row>
    <row r="469" spans="9:14" x14ac:dyDescent="0.35">
      <c r="I469" s="34"/>
      <c r="J469" s="12"/>
      <c r="K469" s="12"/>
      <c r="L469" s="12"/>
      <c r="M469" s="12"/>
      <c r="N469" s="12"/>
    </row>
    <row r="470" spans="9:14" x14ac:dyDescent="0.35">
      <c r="I470" s="34"/>
      <c r="J470" s="12"/>
      <c r="K470" s="12"/>
      <c r="L470" s="12"/>
      <c r="M470" s="12"/>
      <c r="N470" s="12"/>
    </row>
    <row r="471" spans="9:14" x14ac:dyDescent="0.35">
      <c r="I471" s="34"/>
      <c r="J471" s="12"/>
      <c r="K471" s="12"/>
      <c r="L471" s="12"/>
      <c r="M471" s="12"/>
      <c r="N471" s="12"/>
    </row>
    <row r="472" spans="9:14" x14ac:dyDescent="0.35">
      <c r="I472" s="34"/>
      <c r="J472" s="12"/>
      <c r="K472" s="12"/>
      <c r="L472" s="12"/>
      <c r="M472" s="12"/>
      <c r="N472" s="12"/>
    </row>
    <row r="473" spans="9:14" x14ac:dyDescent="0.35">
      <c r="I473" s="34"/>
      <c r="J473" s="12"/>
      <c r="K473" s="12"/>
      <c r="L473" s="12"/>
      <c r="M473" s="12"/>
      <c r="N473" s="12"/>
    </row>
    <row r="474" spans="9:14" x14ac:dyDescent="0.35">
      <c r="I474" s="34"/>
      <c r="J474" s="12"/>
      <c r="K474" s="12"/>
      <c r="L474" s="12"/>
      <c r="M474" s="12"/>
      <c r="N474" s="12"/>
    </row>
    <row r="475" spans="9:14" x14ac:dyDescent="0.35">
      <c r="I475" s="34"/>
      <c r="J475" s="12"/>
      <c r="K475" s="12"/>
      <c r="L475" s="12"/>
      <c r="M475" s="12"/>
      <c r="N475" s="12"/>
    </row>
    <row r="476" spans="9:14" x14ac:dyDescent="0.35">
      <c r="I476" s="34"/>
      <c r="J476" s="12"/>
      <c r="K476" s="12"/>
      <c r="L476" s="12"/>
      <c r="M476" s="12"/>
      <c r="N476" s="12"/>
    </row>
    <row r="477" spans="9:14" x14ac:dyDescent="0.35">
      <c r="I477" s="34"/>
      <c r="J477" s="12"/>
      <c r="K477" s="12"/>
      <c r="L477" s="12"/>
      <c r="M477" s="12"/>
      <c r="N477" s="12"/>
    </row>
    <row r="478" spans="9:14" x14ac:dyDescent="0.35">
      <c r="I478" s="34"/>
      <c r="J478" s="12"/>
      <c r="K478" s="12"/>
      <c r="L478" s="12"/>
      <c r="M478" s="12"/>
      <c r="N478" s="12"/>
    </row>
    <row r="479" spans="9:14" x14ac:dyDescent="0.35">
      <c r="I479" s="34"/>
      <c r="J479" s="12"/>
      <c r="K479" s="12"/>
      <c r="L479" s="12"/>
      <c r="M479" s="12"/>
      <c r="N479" s="12"/>
    </row>
    <row r="480" spans="9:14" x14ac:dyDescent="0.35">
      <c r="I480" s="34"/>
      <c r="J480" s="12"/>
      <c r="K480" s="12"/>
      <c r="L480" s="12"/>
      <c r="M480" s="12"/>
      <c r="N480" s="12"/>
    </row>
    <row r="481" spans="4:14" x14ac:dyDescent="0.35">
      <c r="E481" s="11"/>
      <c r="G481" s="298"/>
      <c r="H481" s="53"/>
      <c r="I481" s="34"/>
      <c r="J481" s="12"/>
      <c r="K481" s="12"/>
      <c r="L481" s="12"/>
      <c r="M481" s="12"/>
      <c r="N481" s="12"/>
    </row>
    <row r="482" spans="4:14" x14ac:dyDescent="0.35">
      <c r="E482" s="11"/>
      <c r="G482" s="293"/>
      <c r="H482" s="13"/>
      <c r="I482" s="11"/>
      <c r="L482" s="12"/>
      <c r="M482" s="12"/>
      <c r="N482" s="12"/>
    </row>
    <row r="483" spans="4:14" x14ac:dyDescent="0.35">
      <c r="E483" s="11"/>
      <c r="G483" s="293"/>
      <c r="H483" s="13"/>
      <c r="I483" s="11"/>
      <c r="L483" s="12"/>
      <c r="M483" s="12"/>
      <c r="N483" s="12"/>
    </row>
    <row r="484" spans="4:14" x14ac:dyDescent="0.35">
      <c r="E484" s="11"/>
      <c r="G484" s="293"/>
      <c r="H484" s="13"/>
      <c r="I484" s="11"/>
      <c r="L484" s="12"/>
      <c r="M484" s="12"/>
      <c r="N484" s="12"/>
    </row>
    <row r="485" spans="4:14" x14ac:dyDescent="0.35">
      <c r="E485" s="11"/>
      <c r="G485" s="293"/>
      <c r="H485" s="13"/>
      <c r="I485" s="11"/>
      <c r="L485" s="12"/>
      <c r="M485" s="12"/>
      <c r="N485" s="12"/>
    </row>
    <row r="486" spans="4:14" x14ac:dyDescent="0.35">
      <c r="E486" s="11"/>
      <c r="G486" s="293"/>
      <c r="H486" s="13"/>
      <c r="I486" s="11"/>
      <c r="L486" s="12"/>
      <c r="M486" s="12"/>
      <c r="N486" s="12"/>
    </row>
    <row r="487" spans="4:14" x14ac:dyDescent="0.35">
      <c r="E487" s="11"/>
      <c r="G487" s="293"/>
      <c r="H487" s="13"/>
      <c r="I487" s="11"/>
      <c r="L487" s="12"/>
      <c r="M487" s="12"/>
      <c r="N487" s="12"/>
    </row>
    <row r="488" spans="4:14" x14ac:dyDescent="0.35">
      <c r="E488" s="11"/>
      <c r="G488" s="293"/>
      <c r="H488" s="13"/>
      <c r="I488" s="11"/>
      <c r="L488" s="12"/>
      <c r="M488" s="12"/>
      <c r="N488" s="12"/>
    </row>
    <row r="489" spans="4:14" x14ac:dyDescent="0.35">
      <c r="E489" s="11"/>
      <c r="G489" s="293"/>
      <c r="H489" s="13"/>
      <c r="I489" s="11"/>
      <c r="L489" s="12"/>
      <c r="M489" s="12"/>
      <c r="N489" s="12"/>
    </row>
    <row r="490" spans="4:14" x14ac:dyDescent="0.35">
      <c r="E490" s="11"/>
      <c r="G490" s="298"/>
      <c r="H490" s="53"/>
      <c r="I490" s="34"/>
      <c r="J490" s="12"/>
      <c r="K490" s="12"/>
      <c r="L490" s="12"/>
      <c r="M490" s="12"/>
      <c r="N490" s="12"/>
    </row>
    <row r="491" spans="4:14" x14ac:dyDescent="0.35">
      <c r="E491" s="11"/>
      <c r="G491" s="298"/>
      <c r="H491" s="53"/>
      <c r="I491" s="34"/>
      <c r="J491" s="12"/>
      <c r="K491" s="12"/>
      <c r="L491" s="12"/>
      <c r="M491" s="12"/>
      <c r="N491" s="12"/>
    </row>
    <row r="492" spans="4:14" x14ac:dyDescent="0.35">
      <c r="D492" s="9"/>
      <c r="E492" s="11"/>
      <c r="G492" s="298"/>
      <c r="H492" s="53"/>
      <c r="I492" s="34"/>
      <c r="J492" s="12"/>
      <c r="K492" s="12"/>
      <c r="L492" s="12"/>
      <c r="M492" s="12"/>
      <c r="N492" s="12"/>
    </row>
    <row r="493" spans="4:14" x14ac:dyDescent="0.35">
      <c r="D493" s="9"/>
      <c r="E493" s="11"/>
      <c r="G493" s="298"/>
      <c r="H493" s="53"/>
      <c r="I493" s="34"/>
      <c r="J493" s="12"/>
      <c r="K493" s="12"/>
      <c r="L493" s="12"/>
      <c r="M493" s="12"/>
      <c r="N493" s="12"/>
    </row>
    <row r="494" spans="4:14" x14ac:dyDescent="0.35">
      <c r="D494" s="9"/>
      <c r="E494" s="11"/>
      <c r="G494" s="298"/>
      <c r="H494" s="53"/>
      <c r="I494" s="34"/>
      <c r="J494" s="12"/>
      <c r="K494" s="12"/>
      <c r="L494" s="12"/>
      <c r="M494" s="12"/>
      <c r="N494" s="12"/>
    </row>
    <row r="495" spans="4:14" x14ac:dyDescent="0.35">
      <c r="D495" s="9"/>
      <c r="E495" s="11"/>
      <c r="G495" s="298"/>
      <c r="H495" s="53"/>
      <c r="I495" s="34"/>
      <c r="J495" s="12"/>
      <c r="K495" s="12"/>
      <c r="L495" s="12"/>
      <c r="M495" s="12"/>
      <c r="N495" s="12"/>
    </row>
    <row r="496" spans="4:14" x14ac:dyDescent="0.35">
      <c r="D496" s="9"/>
      <c r="E496" s="11"/>
      <c r="G496" s="298"/>
      <c r="H496" s="53"/>
      <c r="I496" s="34"/>
      <c r="J496" s="12"/>
      <c r="K496" s="12"/>
      <c r="L496" s="12"/>
      <c r="M496" s="12"/>
      <c r="N496" s="12"/>
    </row>
    <row r="497" spans="5:14" s="9" customFormat="1" x14ac:dyDescent="0.35">
      <c r="E497" s="11"/>
      <c r="G497" s="298"/>
      <c r="H497" s="53"/>
      <c r="I497" s="34"/>
      <c r="J497" s="12"/>
      <c r="K497" s="12"/>
      <c r="L497" s="12"/>
      <c r="M497" s="12"/>
      <c r="N497" s="12"/>
    </row>
    <row r="498" spans="5:14" s="9" customFormat="1" x14ac:dyDescent="0.35">
      <c r="E498" s="11"/>
      <c r="G498" s="298"/>
      <c r="H498" s="53"/>
      <c r="I498" s="34"/>
      <c r="J498" s="12"/>
      <c r="K498" s="12"/>
      <c r="L498" s="12"/>
      <c r="M498" s="12"/>
      <c r="N498" s="12"/>
    </row>
    <row r="499" spans="5:14" s="9" customFormat="1" x14ac:dyDescent="0.35">
      <c r="E499" s="11"/>
      <c r="G499" s="298"/>
      <c r="H499" s="53"/>
      <c r="I499" s="34"/>
      <c r="J499" s="12"/>
      <c r="K499" s="12"/>
      <c r="L499" s="12"/>
      <c r="M499" s="12"/>
      <c r="N499" s="12"/>
    </row>
    <row r="500" spans="5:14" s="9" customFormat="1" x14ac:dyDescent="0.35">
      <c r="E500" s="11"/>
      <c r="G500" s="298"/>
      <c r="H500" s="53"/>
      <c r="I500" s="34"/>
      <c r="J500" s="12"/>
      <c r="K500" s="12"/>
      <c r="L500" s="12"/>
      <c r="M500" s="12"/>
      <c r="N500" s="12"/>
    </row>
    <row r="501" spans="5:14" s="9" customFormat="1" x14ac:dyDescent="0.35">
      <c r="E501" s="11"/>
      <c r="G501" s="298"/>
      <c r="H501" s="53"/>
      <c r="I501" s="34"/>
      <c r="J501" s="12"/>
      <c r="K501" s="12"/>
      <c r="L501" s="12"/>
      <c r="M501" s="12"/>
      <c r="N501" s="12"/>
    </row>
    <row r="502" spans="5:14" s="9" customFormat="1" x14ac:dyDescent="0.35">
      <c r="E502" s="11"/>
      <c r="G502" s="298"/>
      <c r="H502" s="53"/>
      <c r="I502" s="34"/>
      <c r="J502" s="12"/>
      <c r="K502" s="12"/>
      <c r="L502" s="12"/>
      <c r="M502" s="12"/>
      <c r="N502" s="12"/>
    </row>
    <row r="503" spans="5:14" s="9" customFormat="1" x14ac:dyDescent="0.35">
      <c r="E503" s="11"/>
      <c r="G503" s="298"/>
      <c r="H503" s="53"/>
      <c r="I503" s="34"/>
      <c r="J503" s="12"/>
      <c r="K503" s="12"/>
      <c r="L503" s="12"/>
      <c r="M503" s="12"/>
      <c r="N503" s="12"/>
    </row>
    <row r="504" spans="5:14" s="9" customFormat="1" x14ac:dyDescent="0.35">
      <c r="E504" s="11"/>
      <c r="G504" s="298"/>
      <c r="H504" s="53"/>
      <c r="I504" s="34"/>
      <c r="J504" s="12"/>
      <c r="K504" s="12"/>
      <c r="L504" s="12"/>
      <c r="M504" s="12"/>
      <c r="N504" s="12"/>
    </row>
    <row r="505" spans="5:14" s="9" customFormat="1" x14ac:dyDescent="0.35">
      <c r="E505" s="11"/>
      <c r="G505" s="298"/>
      <c r="H505" s="53"/>
      <c r="I505" s="34"/>
      <c r="J505" s="12"/>
      <c r="K505" s="12"/>
      <c r="L505" s="12"/>
      <c r="M505" s="12"/>
      <c r="N505" s="12"/>
    </row>
    <row r="506" spans="5:14" s="9" customFormat="1" x14ac:dyDescent="0.35">
      <c r="N506" s="12"/>
    </row>
    <row r="507" spans="5:14" s="9" customFormat="1" x14ac:dyDescent="0.35">
      <c r="N507" s="12"/>
    </row>
    <row r="508" spans="5:14" s="9" customFormat="1" x14ac:dyDescent="0.35">
      <c r="N508" s="12"/>
    </row>
    <row r="509" spans="5:14" s="9" customFormat="1" x14ac:dyDescent="0.35">
      <c r="N509" s="12"/>
    </row>
    <row r="510" spans="5:14" s="9" customFormat="1" x14ac:dyDescent="0.35">
      <c r="N510" s="12"/>
    </row>
    <row r="511" spans="5:14" s="9" customFormat="1" x14ac:dyDescent="0.35">
      <c r="N511" s="12"/>
    </row>
    <row r="512" spans="5:14" s="9" customFormat="1" x14ac:dyDescent="0.35">
      <c r="N512" s="12"/>
    </row>
    <row r="513" spans="5:14" s="9" customFormat="1" x14ac:dyDescent="0.35">
      <c r="N513" s="12"/>
    </row>
    <row r="514" spans="5:14" s="9" customFormat="1" x14ac:dyDescent="0.35">
      <c r="N514" s="12"/>
    </row>
    <row r="515" spans="5:14" s="9" customFormat="1" x14ac:dyDescent="0.35">
      <c r="N515" s="12"/>
    </row>
    <row r="516" spans="5:14" s="9" customFormat="1" x14ac:dyDescent="0.35">
      <c r="E516" s="11"/>
      <c r="G516" s="298"/>
      <c r="H516" s="53"/>
      <c r="I516" s="34"/>
      <c r="J516" s="12"/>
      <c r="K516" s="12"/>
      <c r="L516" s="12"/>
      <c r="M516" s="12"/>
      <c r="N516" s="12"/>
    </row>
    <row r="517" spans="5:14" s="9" customFormat="1" x14ac:dyDescent="0.35">
      <c r="E517" s="11"/>
      <c r="G517" s="298"/>
      <c r="H517" s="53"/>
      <c r="I517" s="34"/>
      <c r="J517" s="12"/>
      <c r="K517" s="12"/>
      <c r="L517" s="12"/>
      <c r="M517" s="12"/>
      <c r="N517" s="12"/>
    </row>
    <row r="518" spans="5:14" s="9" customFormat="1" x14ac:dyDescent="0.35">
      <c r="E518" s="11"/>
      <c r="G518" s="298"/>
      <c r="H518" s="53"/>
      <c r="I518" s="34"/>
      <c r="J518" s="12"/>
      <c r="K518" s="12"/>
      <c r="L518" s="12"/>
      <c r="M518" s="12"/>
      <c r="N518" s="12"/>
    </row>
    <row r="519" spans="5:14" s="9" customFormat="1" x14ac:dyDescent="0.35">
      <c r="E519" s="11"/>
      <c r="G519" s="298"/>
      <c r="H519" s="53"/>
      <c r="I519" s="34"/>
      <c r="J519" s="12"/>
      <c r="K519" s="12"/>
      <c r="L519" s="12"/>
      <c r="M519" s="12"/>
      <c r="N519" s="12"/>
    </row>
    <row r="520" spans="5:14" s="9" customFormat="1" x14ac:dyDescent="0.35">
      <c r="E520" s="11"/>
      <c r="G520" s="298"/>
      <c r="H520" s="53"/>
      <c r="I520" s="34"/>
      <c r="J520" s="12"/>
      <c r="K520" s="12"/>
      <c r="L520" s="12"/>
      <c r="M520" s="12"/>
      <c r="N520" s="12"/>
    </row>
    <row r="521" spans="5:14" s="9" customFormat="1" x14ac:dyDescent="0.35">
      <c r="E521" s="11"/>
      <c r="G521" s="298"/>
      <c r="H521" s="53"/>
      <c r="I521" s="34"/>
      <c r="J521" s="12"/>
      <c r="K521" s="12"/>
      <c r="L521" s="12"/>
      <c r="M521" s="12"/>
      <c r="N521" s="12"/>
    </row>
    <row r="522" spans="5:14" s="9" customFormat="1" x14ac:dyDescent="0.35">
      <c r="E522" s="11"/>
      <c r="G522" s="298"/>
      <c r="H522" s="53"/>
      <c r="I522" s="34"/>
      <c r="J522" s="12"/>
      <c r="K522" s="12"/>
      <c r="L522" s="12"/>
      <c r="M522" s="12"/>
      <c r="N522" s="12"/>
    </row>
    <row r="523" spans="5:14" s="9" customFormat="1" x14ac:dyDescent="0.35">
      <c r="E523" s="11"/>
      <c r="G523" s="298"/>
      <c r="H523" s="53"/>
      <c r="I523" s="34"/>
      <c r="J523" s="12"/>
      <c r="K523" s="12"/>
      <c r="L523" s="12"/>
      <c r="M523" s="12"/>
      <c r="N523" s="12"/>
    </row>
    <row r="524" spans="5:14" s="9" customFormat="1" x14ac:dyDescent="0.35">
      <c r="E524" s="11"/>
      <c r="G524" s="298"/>
      <c r="H524" s="53"/>
      <c r="I524" s="34"/>
      <c r="J524" s="12"/>
      <c r="K524" s="12"/>
      <c r="L524" s="12"/>
      <c r="M524" s="12"/>
      <c r="N524" s="12"/>
    </row>
    <row r="525" spans="5:14" s="9" customFormat="1" x14ac:dyDescent="0.35">
      <c r="E525" s="11"/>
      <c r="G525" s="298"/>
      <c r="H525" s="53"/>
      <c r="I525" s="34"/>
      <c r="J525" s="12"/>
      <c r="K525" s="12"/>
      <c r="L525" s="12"/>
      <c r="M525" s="12"/>
      <c r="N525" s="12"/>
    </row>
    <row r="526" spans="5:14" s="9" customFormat="1" x14ac:dyDescent="0.35">
      <c r="E526" s="11"/>
      <c r="G526" s="298"/>
      <c r="H526" s="53"/>
      <c r="I526" s="34"/>
      <c r="J526" s="12"/>
      <c r="K526" s="12"/>
      <c r="L526" s="12"/>
      <c r="M526" s="12"/>
      <c r="N526" s="12"/>
    </row>
    <row r="527" spans="5:14" s="9" customFormat="1" x14ac:dyDescent="0.35">
      <c r="E527" s="11"/>
      <c r="G527" s="298"/>
      <c r="H527" s="53"/>
      <c r="I527" s="34"/>
      <c r="J527" s="12"/>
      <c r="K527" s="12"/>
      <c r="L527" s="12"/>
      <c r="M527" s="12"/>
      <c r="N527" s="12"/>
    </row>
    <row r="528" spans="5:14" s="9" customFormat="1" x14ac:dyDescent="0.35">
      <c r="E528" s="11"/>
      <c r="G528" s="298"/>
      <c r="H528" s="53"/>
      <c r="I528" s="34"/>
      <c r="J528" s="12"/>
      <c r="K528" s="12"/>
      <c r="L528" s="12"/>
      <c r="M528" s="12"/>
      <c r="N528" s="12"/>
    </row>
    <row r="529" spans="5:14" s="9" customFormat="1" x14ac:dyDescent="0.35">
      <c r="E529" s="11"/>
      <c r="G529" s="298"/>
      <c r="H529" s="53"/>
      <c r="I529" s="34"/>
      <c r="J529" s="12"/>
      <c r="K529" s="12"/>
      <c r="L529" s="12"/>
      <c r="M529" s="12"/>
      <c r="N529" s="12"/>
    </row>
    <row r="530" spans="5:14" s="9" customFormat="1" x14ac:dyDescent="0.35">
      <c r="E530" s="11"/>
      <c r="G530" s="298"/>
      <c r="H530" s="53"/>
      <c r="I530" s="34"/>
      <c r="J530" s="12"/>
      <c r="K530" s="12"/>
      <c r="L530" s="12"/>
      <c r="M530" s="12"/>
      <c r="N530" s="12"/>
    </row>
    <row r="531" spans="5:14" s="9" customFormat="1" x14ac:dyDescent="0.35">
      <c r="E531" s="11"/>
      <c r="G531" s="298"/>
      <c r="H531" s="53"/>
      <c r="I531" s="34"/>
      <c r="J531" s="12"/>
      <c r="K531" s="12"/>
      <c r="L531" s="12"/>
      <c r="M531" s="12"/>
      <c r="N531" s="12"/>
    </row>
    <row r="532" spans="5:14" s="9" customFormat="1" x14ac:dyDescent="0.35">
      <c r="E532" s="11"/>
      <c r="G532" s="298"/>
      <c r="H532" s="53"/>
      <c r="I532" s="34"/>
      <c r="J532" s="12"/>
      <c r="K532" s="12"/>
      <c r="L532" s="12"/>
      <c r="M532" s="12"/>
      <c r="N532" s="12"/>
    </row>
    <row r="533" spans="5:14" s="9" customFormat="1" x14ac:dyDescent="0.35">
      <c r="E533" s="11"/>
      <c r="G533" s="298"/>
      <c r="H533" s="53"/>
      <c r="I533" s="34"/>
      <c r="J533" s="12"/>
      <c r="K533" s="12"/>
      <c r="L533" s="12"/>
      <c r="M533" s="12"/>
      <c r="N533" s="12"/>
    </row>
    <row r="534" spans="5:14" s="9" customFormat="1" x14ac:dyDescent="0.35">
      <c r="E534" s="11"/>
      <c r="G534" s="298"/>
      <c r="H534" s="53"/>
      <c r="I534" s="34"/>
      <c r="J534" s="12"/>
      <c r="K534" s="12"/>
      <c r="L534" s="12"/>
      <c r="M534" s="12"/>
      <c r="N534" s="12"/>
    </row>
    <row r="535" spans="5:14" s="9" customFormat="1" x14ac:dyDescent="0.35">
      <c r="E535" s="11"/>
      <c r="G535" s="298"/>
      <c r="H535" s="53"/>
      <c r="I535" s="34"/>
      <c r="J535" s="12"/>
      <c r="K535" s="12"/>
      <c r="L535" s="12"/>
      <c r="M535" s="12"/>
      <c r="N535" s="12"/>
    </row>
    <row r="536" spans="5:14" s="9" customFormat="1" x14ac:dyDescent="0.35">
      <c r="E536" s="11"/>
      <c r="G536" s="298"/>
      <c r="H536" s="53"/>
      <c r="I536" s="34"/>
      <c r="J536" s="12"/>
      <c r="K536" s="12"/>
      <c r="L536" s="12"/>
      <c r="M536" s="12"/>
      <c r="N536" s="12"/>
    </row>
    <row r="537" spans="5:14" s="9" customFormat="1" x14ac:dyDescent="0.35">
      <c r="E537" s="11"/>
      <c r="G537" s="298"/>
      <c r="H537" s="53"/>
      <c r="I537" s="34"/>
      <c r="J537" s="12"/>
      <c r="K537" s="12"/>
      <c r="L537" s="12"/>
      <c r="M537" s="12"/>
      <c r="N537" s="12"/>
    </row>
    <row r="538" spans="5:14" s="9" customFormat="1" x14ac:dyDescent="0.35">
      <c r="E538" s="11"/>
      <c r="G538" s="298"/>
      <c r="H538" s="53"/>
      <c r="I538" s="34"/>
      <c r="J538" s="12"/>
      <c r="K538" s="12"/>
      <c r="L538" s="12"/>
      <c r="M538" s="12"/>
      <c r="N538" s="12"/>
    </row>
    <row r="539" spans="5:14" s="9" customFormat="1" x14ac:dyDescent="0.35">
      <c r="E539" s="11"/>
      <c r="G539" s="298"/>
      <c r="H539" s="53"/>
      <c r="I539" s="34"/>
      <c r="J539" s="12"/>
      <c r="K539" s="12"/>
      <c r="L539" s="12"/>
      <c r="M539" s="12"/>
      <c r="N539" s="12"/>
    </row>
    <row r="540" spans="5:14" s="9" customFormat="1" x14ac:dyDescent="0.35">
      <c r="E540" s="11"/>
      <c r="G540" s="298"/>
      <c r="H540" s="53"/>
      <c r="I540" s="34"/>
      <c r="J540" s="12"/>
      <c r="K540" s="12"/>
      <c r="L540" s="12"/>
      <c r="M540" s="12"/>
      <c r="N540" s="12"/>
    </row>
    <row r="541" spans="5:14" s="9" customFormat="1" x14ac:dyDescent="0.35">
      <c r="E541" s="11"/>
      <c r="G541" s="298"/>
      <c r="H541" s="53"/>
      <c r="I541" s="34"/>
      <c r="J541" s="12"/>
      <c r="K541" s="12"/>
      <c r="L541" s="12"/>
      <c r="M541" s="12"/>
      <c r="N541" s="12"/>
    </row>
    <row r="542" spans="5:14" s="9" customFormat="1" x14ac:dyDescent="0.35">
      <c r="E542" s="11"/>
      <c r="G542" s="298"/>
      <c r="H542" s="53"/>
      <c r="I542" s="34"/>
      <c r="J542" s="12"/>
      <c r="K542" s="12"/>
      <c r="L542" s="12"/>
      <c r="M542" s="12"/>
      <c r="N542" s="12"/>
    </row>
    <row r="543" spans="5:14" s="9" customFormat="1" x14ac:dyDescent="0.35">
      <c r="E543" s="11"/>
      <c r="G543" s="298"/>
      <c r="H543" s="53"/>
      <c r="I543" s="34"/>
      <c r="J543" s="12"/>
      <c r="K543" s="12"/>
      <c r="L543" s="12"/>
      <c r="M543" s="12"/>
      <c r="N543" s="12"/>
    </row>
    <row r="544" spans="5:14" s="9" customFormat="1" x14ac:dyDescent="0.35">
      <c r="E544" s="11"/>
      <c r="G544" s="298"/>
      <c r="H544" s="53"/>
      <c r="I544" s="34"/>
      <c r="J544" s="12"/>
      <c r="K544" s="12"/>
      <c r="L544" s="12"/>
      <c r="M544" s="12"/>
      <c r="N544" s="12"/>
    </row>
    <row r="545" spans="5:14" s="9" customFormat="1" x14ac:dyDescent="0.35">
      <c r="E545" s="11"/>
      <c r="G545" s="298"/>
      <c r="H545" s="53"/>
      <c r="I545" s="34"/>
      <c r="J545" s="12"/>
      <c r="K545" s="12"/>
      <c r="L545" s="12"/>
      <c r="M545" s="12"/>
      <c r="N545" s="12"/>
    </row>
    <row r="546" spans="5:14" s="9" customFormat="1" x14ac:dyDescent="0.35">
      <c r="E546" s="11"/>
      <c r="G546" s="298"/>
      <c r="H546" s="53"/>
      <c r="I546" s="34"/>
      <c r="J546" s="12"/>
      <c r="K546" s="12"/>
      <c r="L546" s="12"/>
      <c r="M546" s="12"/>
      <c r="N546" s="12"/>
    </row>
    <row r="547" spans="5:14" s="9" customFormat="1" x14ac:dyDescent="0.35">
      <c r="E547" s="11"/>
      <c r="G547" s="298"/>
      <c r="H547" s="53"/>
      <c r="I547" s="34"/>
      <c r="J547" s="12"/>
      <c r="K547" s="12"/>
      <c r="L547" s="12"/>
      <c r="M547" s="12"/>
      <c r="N547" s="12"/>
    </row>
    <row r="548" spans="5:14" s="9" customFormat="1" x14ac:dyDescent="0.35">
      <c r="E548" s="11"/>
      <c r="G548" s="298"/>
      <c r="H548" s="53"/>
      <c r="I548" s="34"/>
      <c r="J548" s="12"/>
      <c r="K548" s="12"/>
      <c r="L548" s="12"/>
      <c r="M548" s="12"/>
      <c r="N548" s="12"/>
    </row>
    <row r="549" spans="5:14" s="9" customFormat="1" x14ac:dyDescent="0.35">
      <c r="E549" s="11"/>
      <c r="G549" s="298"/>
      <c r="H549" s="53"/>
      <c r="I549" s="34"/>
      <c r="J549" s="12"/>
      <c r="K549" s="12"/>
      <c r="L549" s="12"/>
      <c r="M549" s="12"/>
      <c r="N549" s="12"/>
    </row>
    <row r="550" spans="5:14" s="9" customFormat="1" x14ac:dyDescent="0.35">
      <c r="E550" s="11"/>
      <c r="G550" s="298"/>
      <c r="H550" s="53"/>
      <c r="I550" s="34"/>
      <c r="J550" s="12"/>
      <c r="K550" s="12"/>
      <c r="L550" s="12"/>
      <c r="M550" s="12"/>
      <c r="N550" s="12"/>
    </row>
    <row r="551" spans="5:14" s="9" customFormat="1" x14ac:dyDescent="0.35">
      <c r="E551" s="11"/>
      <c r="G551" s="298"/>
      <c r="H551" s="53"/>
      <c r="I551" s="34"/>
      <c r="J551" s="12"/>
      <c r="K551" s="12"/>
      <c r="L551" s="12"/>
      <c r="M551" s="12"/>
      <c r="N551" s="12"/>
    </row>
    <row r="552" spans="5:14" s="9" customFormat="1" x14ac:dyDescent="0.35">
      <c r="E552" s="11"/>
      <c r="G552" s="298"/>
      <c r="H552" s="53"/>
      <c r="I552" s="34"/>
      <c r="J552" s="12"/>
      <c r="K552" s="12"/>
      <c r="L552" s="12"/>
      <c r="M552" s="12"/>
      <c r="N552" s="12"/>
    </row>
    <row r="553" spans="5:14" s="9" customFormat="1" x14ac:dyDescent="0.35">
      <c r="E553" s="11"/>
      <c r="G553" s="298"/>
      <c r="H553" s="53"/>
      <c r="I553" s="34"/>
      <c r="J553" s="12"/>
      <c r="K553" s="12"/>
      <c r="L553" s="12"/>
      <c r="M553" s="12"/>
      <c r="N553" s="12"/>
    </row>
    <row r="554" spans="5:14" s="9" customFormat="1" x14ac:dyDescent="0.35">
      <c r="E554" s="11"/>
      <c r="G554" s="298"/>
      <c r="H554" s="53"/>
      <c r="I554" s="34"/>
      <c r="J554" s="12"/>
      <c r="K554" s="12"/>
      <c r="L554" s="12"/>
      <c r="M554" s="12"/>
      <c r="N554" s="12"/>
    </row>
    <row r="555" spans="5:14" s="9" customFormat="1" x14ac:dyDescent="0.35">
      <c r="E555" s="11"/>
      <c r="G555" s="298"/>
      <c r="H555" s="53"/>
      <c r="I555" s="34"/>
      <c r="J555" s="12"/>
      <c r="K555" s="12"/>
      <c r="L555" s="12"/>
      <c r="M555" s="12"/>
      <c r="N555" s="12"/>
    </row>
    <row r="556" spans="5:14" s="9" customFormat="1" x14ac:dyDescent="0.35">
      <c r="E556" s="11"/>
      <c r="G556" s="298"/>
      <c r="H556" s="53"/>
      <c r="I556" s="34"/>
      <c r="J556" s="12"/>
      <c r="K556" s="12"/>
      <c r="L556" s="12"/>
      <c r="M556" s="12"/>
      <c r="N556" s="12"/>
    </row>
    <row r="557" spans="5:14" s="9" customFormat="1" x14ac:dyDescent="0.35">
      <c r="E557" s="11"/>
      <c r="G557" s="298"/>
      <c r="H557" s="53"/>
      <c r="I557" s="34"/>
      <c r="J557" s="12"/>
      <c r="K557" s="12"/>
      <c r="L557" s="12"/>
      <c r="M557" s="12"/>
      <c r="N557" s="12"/>
    </row>
    <row r="558" spans="5:14" s="9" customFormat="1" x14ac:dyDescent="0.35">
      <c r="E558" s="11"/>
      <c r="G558" s="298"/>
      <c r="H558" s="53"/>
      <c r="I558" s="34"/>
      <c r="J558" s="12"/>
      <c r="K558" s="12"/>
      <c r="L558" s="12"/>
      <c r="M558" s="12"/>
      <c r="N558" s="12"/>
    </row>
    <row r="559" spans="5:14" s="9" customFormat="1" x14ac:dyDescent="0.35">
      <c r="E559" s="11"/>
      <c r="G559" s="298"/>
      <c r="H559" s="53"/>
      <c r="I559" s="34"/>
      <c r="J559" s="12"/>
      <c r="K559" s="12"/>
      <c r="L559" s="12"/>
      <c r="M559" s="12"/>
      <c r="N559" s="12"/>
    </row>
    <row r="560" spans="5:14" s="9" customFormat="1" x14ac:dyDescent="0.35">
      <c r="N560" s="12"/>
    </row>
    <row r="561" spans="14:14" s="9" customFormat="1" x14ac:dyDescent="0.35">
      <c r="N561" s="12"/>
    </row>
    <row r="562" spans="14:14" s="9" customFormat="1" x14ac:dyDescent="0.35">
      <c r="N562" s="12"/>
    </row>
    <row r="563" spans="14:14" s="9" customFormat="1" x14ac:dyDescent="0.35">
      <c r="N563" s="12"/>
    </row>
    <row r="564" spans="14:14" s="9" customFormat="1" x14ac:dyDescent="0.35">
      <c r="N564" s="12"/>
    </row>
    <row r="565" spans="14:14" s="9" customFormat="1" x14ac:dyDescent="0.35">
      <c r="N565" s="12"/>
    </row>
    <row r="566" spans="14:14" s="9" customFormat="1" x14ac:dyDescent="0.35">
      <c r="N566" s="12"/>
    </row>
    <row r="567" spans="14:14" s="9" customFormat="1" x14ac:dyDescent="0.35"/>
    <row r="568" spans="14:14" s="9" customFormat="1" x14ac:dyDescent="0.35"/>
    <row r="569" spans="14:14" s="9" customFormat="1" x14ac:dyDescent="0.35"/>
    <row r="570" spans="14:14" s="9" customFormat="1" x14ac:dyDescent="0.35"/>
    <row r="571" spans="14:14" s="9" customFormat="1" x14ac:dyDescent="0.35"/>
    <row r="572" spans="14:14" s="9" customFormat="1" x14ac:dyDescent="0.35"/>
    <row r="573" spans="14:14" s="9" customFormat="1" x14ac:dyDescent="0.35"/>
    <row r="574" spans="14:14" s="9" customFormat="1" x14ac:dyDescent="0.35"/>
    <row r="575" spans="14:14" s="9" customFormat="1" x14ac:dyDescent="0.35"/>
    <row r="576" spans="14:14" s="9" customFormat="1" x14ac:dyDescent="0.35"/>
    <row r="577" s="9" customFormat="1" x14ac:dyDescent="0.35"/>
    <row r="578" s="9" customFormat="1" x14ac:dyDescent="0.35"/>
    <row r="586" s="9" customFormat="1" x14ac:dyDescent="0.35"/>
    <row r="587" s="9" customFormat="1" x14ac:dyDescent="0.35"/>
    <row r="588" s="9" customFormat="1" x14ac:dyDescent="0.35"/>
    <row r="589" s="9" customFormat="1" x14ac:dyDescent="0.35"/>
    <row r="590" s="9" customFormat="1" x14ac:dyDescent="0.35"/>
    <row r="591" s="9" customFormat="1" x14ac:dyDescent="0.35"/>
    <row r="592" s="9" customFormat="1" x14ac:dyDescent="0.35"/>
    <row r="593" s="9" customFormat="1" x14ac:dyDescent="0.35"/>
    <row r="594" s="9" customFormat="1" x14ac:dyDescent="0.35"/>
    <row r="595" s="9" customFormat="1" x14ac:dyDescent="0.35"/>
    <row r="596" s="9" customFormat="1" x14ac:dyDescent="0.35"/>
    <row r="597" s="9" customFormat="1" x14ac:dyDescent="0.35"/>
    <row r="598" s="9" customFormat="1" x14ac:dyDescent="0.35"/>
    <row r="599" s="9" customFormat="1" x14ac:dyDescent="0.35"/>
    <row r="600" s="9" customFormat="1" x14ac:dyDescent="0.35"/>
    <row r="601" s="9" customFormat="1" x14ac:dyDescent="0.35"/>
    <row r="602" s="9" customFormat="1" x14ac:dyDescent="0.35"/>
    <row r="603" s="9" customFormat="1" x14ac:dyDescent="0.35"/>
    <row r="604" s="9" customFormat="1" x14ac:dyDescent="0.35"/>
    <row r="605" s="9" customFormat="1" x14ac:dyDescent="0.35"/>
    <row r="606" s="9" customFormat="1" x14ac:dyDescent="0.35"/>
    <row r="607" s="9" customFormat="1" x14ac:dyDescent="0.35"/>
    <row r="608" s="9" customFormat="1" x14ac:dyDescent="0.35"/>
  </sheetData>
  <sheetProtection sheet="1" objects="1" scenarios="1" selectLockedCells="1"/>
  <conditionalFormatting sqref="D100 D24 K24">
    <cfRule type="cellIs" priority="2" stopIfTrue="1" operator="between">
      <formula>14.5</formula>
      <formula>20</formula>
    </cfRule>
  </conditionalFormatting>
  <hyperlinks>
    <hyperlink ref="B18" r:id="rId1" xr:uid="{00000000-0004-0000-0300-000000000000}"/>
    <hyperlink ref="I16" r:id="rId2" display="http://en.wikipedia.org/wiki/Involute_gear" xr:uid="{00000000-0004-0000-0300-000001000000}"/>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3"/>
  <sheetViews>
    <sheetView zoomScaleNormal="100" workbookViewId="0">
      <selection activeCell="H1" sqref="H1"/>
    </sheetView>
  </sheetViews>
  <sheetFormatPr defaultRowHeight="15.5" x14ac:dyDescent="0.35"/>
  <cols>
    <col min="1" max="1" width="4.26953125" style="9" customWidth="1"/>
    <col min="2" max="2" width="51.453125" style="9" customWidth="1"/>
    <col min="3" max="3" width="17" style="9" customWidth="1"/>
    <col min="4" max="4" width="12" style="9" customWidth="1"/>
    <col min="5" max="5" width="8.7265625" style="9"/>
    <col min="6" max="6" width="6.7265625" style="9" customWidth="1"/>
    <col min="7" max="7" width="14.453125" style="9" customWidth="1"/>
    <col min="8" max="8" width="18" style="9" customWidth="1"/>
    <col min="9" max="9" width="15.7265625" style="9" customWidth="1"/>
    <col min="10" max="10" width="17.54296875" style="9" customWidth="1"/>
    <col min="11" max="16384" width="8.7265625" style="9"/>
  </cols>
  <sheetData>
    <row r="1" spans="1:13" ht="20" x14ac:dyDescent="0.4">
      <c r="B1" s="91" t="s">
        <v>241</v>
      </c>
      <c r="F1" s="12"/>
      <c r="G1" s="12"/>
      <c r="H1" s="12"/>
      <c r="I1" s="12"/>
      <c r="J1" s="12"/>
      <c r="K1" s="12"/>
      <c r="L1" s="12"/>
      <c r="M1" s="12"/>
    </row>
    <row r="2" spans="1:13" x14ac:dyDescent="0.35">
      <c r="B2" s="10"/>
      <c r="F2" s="12"/>
      <c r="G2" s="12"/>
      <c r="H2" s="12"/>
      <c r="I2" s="12"/>
      <c r="J2" s="12"/>
      <c r="K2" s="12"/>
      <c r="L2" s="12"/>
      <c r="M2" s="12"/>
    </row>
    <row r="3" spans="1:13" x14ac:dyDescent="0.35">
      <c r="B3" s="9" t="s">
        <v>695</v>
      </c>
      <c r="F3" s="12"/>
      <c r="G3" s="12"/>
      <c r="H3" s="12"/>
      <c r="I3" s="12"/>
      <c r="J3" s="12"/>
      <c r="K3" s="12"/>
      <c r="L3" s="12"/>
      <c r="M3" s="12"/>
    </row>
    <row r="4" spans="1:13" x14ac:dyDescent="0.35">
      <c r="B4" s="59" t="s">
        <v>694</v>
      </c>
      <c r="F4" s="12"/>
      <c r="G4" s="12"/>
      <c r="H4" s="12"/>
      <c r="I4" s="12"/>
      <c r="J4" s="12"/>
      <c r="K4" s="12"/>
      <c r="L4" s="12"/>
      <c r="M4" s="12"/>
    </row>
    <row r="5" spans="1:13" x14ac:dyDescent="0.35">
      <c r="F5" s="12"/>
      <c r="G5" s="12"/>
      <c r="H5" s="12"/>
      <c r="I5" s="12"/>
      <c r="J5" s="12"/>
      <c r="K5" s="12"/>
      <c r="L5" s="12"/>
      <c r="M5" s="12"/>
    </row>
    <row r="6" spans="1:13" x14ac:dyDescent="0.35">
      <c r="F6" s="12"/>
      <c r="G6" s="12"/>
      <c r="H6" s="12"/>
      <c r="I6" s="12"/>
      <c r="J6" s="12"/>
      <c r="K6" s="12"/>
      <c r="L6" s="12"/>
      <c r="M6" s="12"/>
    </row>
    <row r="7" spans="1:13" x14ac:dyDescent="0.35">
      <c r="F7" s="12"/>
      <c r="G7" s="12"/>
      <c r="H7" s="12"/>
      <c r="I7" s="12"/>
      <c r="J7" s="12"/>
      <c r="K7" s="12"/>
      <c r="L7" s="12"/>
      <c r="M7" s="12"/>
    </row>
    <row r="8" spans="1:13" x14ac:dyDescent="0.35">
      <c r="A8" s="293"/>
      <c r="B8" s="293"/>
      <c r="C8" s="346"/>
      <c r="D8" s="347"/>
      <c r="E8" s="347"/>
      <c r="F8" s="298"/>
      <c r="G8" s="50"/>
      <c r="H8" s="53"/>
      <c r="I8" s="34"/>
      <c r="J8" s="12"/>
      <c r="K8" s="12"/>
      <c r="L8" s="12"/>
      <c r="M8" s="12"/>
    </row>
    <row r="9" spans="1:13" x14ac:dyDescent="0.35">
      <c r="B9" s="13"/>
      <c r="C9" s="112"/>
      <c r="D9" s="11"/>
      <c r="E9" s="11"/>
      <c r="F9" s="12"/>
      <c r="G9" s="50"/>
      <c r="H9" s="53"/>
      <c r="I9" s="34"/>
      <c r="J9" s="12"/>
      <c r="K9" s="12"/>
      <c r="L9" s="12"/>
      <c r="M9" s="12"/>
    </row>
    <row r="10" spans="1:13" x14ac:dyDescent="0.35">
      <c r="B10" s="1"/>
      <c r="C10" s="112"/>
      <c r="D10" s="11"/>
      <c r="E10" s="11"/>
      <c r="F10" s="12"/>
      <c r="G10" s="50"/>
      <c r="H10" s="53"/>
      <c r="I10" s="34"/>
      <c r="J10" s="12"/>
      <c r="K10" s="12"/>
      <c r="L10" s="12"/>
      <c r="M10" s="12"/>
    </row>
    <row r="11" spans="1:13" x14ac:dyDescent="0.35">
      <c r="B11" s="13"/>
      <c r="C11" s="112"/>
      <c r="D11" s="11"/>
      <c r="E11" s="11"/>
      <c r="F11" s="12"/>
      <c r="G11" s="298"/>
      <c r="H11" s="53"/>
      <c r="I11" s="34"/>
      <c r="J11" s="12"/>
      <c r="K11" s="12"/>
      <c r="L11" s="12"/>
      <c r="M11" s="12"/>
    </row>
    <row r="12" spans="1:13" x14ac:dyDescent="0.35">
      <c r="B12" s="1" t="s">
        <v>0</v>
      </c>
      <c r="C12" s="112"/>
      <c r="D12" s="11"/>
      <c r="E12" s="11"/>
      <c r="F12" s="12"/>
      <c r="G12" s="298"/>
      <c r="H12" s="53"/>
      <c r="I12" s="34"/>
      <c r="J12" s="12"/>
      <c r="K12" s="12"/>
      <c r="L12" s="12"/>
      <c r="M12" s="12"/>
    </row>
    <row r="13" spans="1:13" x14ac:dyDescent="0.35">
      <c r="B13" s="13"/>
      <c r="C13" s="112"/>
      <c r="D13" s="11"/>
      <c r="E13" s="11"/>
      <c r="F13" s="12"/>
      <c r="G13" s="298"/>
      <c r="H13" s="53"/>
      <c r="I13" s="34"/>
      <c r="J13" s="12"/>
      <c r="K13" s="12"/>
      <c r="L13" s="12"/>
      <c r="M13" s="12"/>
    </row>
    <row r="14" spans="1:13" x14ac:dyDescent="0.35">
      <c r="B14" s="13"/>
      <c r="C14" s="112"/>
      <c r="D14" s="11"/>
      <c r="E14" s="11"/>
      <c r="F14" s="12"/>
      <c r="G14" s="298"/>
      <c r="H14" s="53"/>
      <c r="I14" s="34"/>
      <c r="J14" s="12"/>
      <c r="K14" s="12"/>
      <c r="L14" s="12"/>
      <c r="M14" s="12"/>
    </row>
    <row r="15" spans="1:13" x14ac:dyDescent="0.35">
      <c r="B15" s="13"/>
      <c r="C15" s="112"/>
      <c r="D15" s="11"/>
      <c r="E15" s="11"/>
      <c r="F15" s="12"/>
      <c r="G15" s="50"/>
      <c r="H15" s="53"/>
      <c r="I15" s="34"/>
      <c r="J15" s="12"/>
      <c r="K15" s="12"/>
      <c r="L15" s="12"/>
      <c r="M15" s="12"/>
    </row>
    <row r="16" spans="1:13" x14ac:dyDescent="0.35">
      <c r="B16" s="13"/>
      <c r="C16" s="112"/>
      <c r="D16" s="11"/>
      <c r="E16" s="11"/>
      <c r="F16" s="12"/>
      <c r="G16" s="50"/>
      <c r="H16" s="53"/>
      <c r="I16" s="34"/>
      <c r="J16" s="12"/>
      <c r="K16" s="12"/>
      <c r="L16" s="12"/>
      <c r="M16" s="12"/>
    </row>
    <row r="17" spans="2:13" x14ac:dyDescent="0.35">
      <c r="B17" s="13"/>
      <c r="C17" s="112"/>
      <c r="D17" s="11"/>
      <c r="E17" s="11"/>
      <c r="F17" s="12"/>
      <c r="G17" s="249" t="s">
        <v>0</v>
      </c>
      <c r="H17" s="53"/>
      <c r="I17" s="34"/>
      <c r="J17" s="12"/>
      <c r="K17" s="12"/>
      <c r="L17" s="12"/>
      <c r="M17" s="12"/>
    </row>
    <row r="18" spans="2:13" x14ac:dyDescent="0.35">
      <c r="B18" s="13"/>
      <c r="C18" s="112"/>
      <c r="D18" s="11"/>
      <c r="E18" s="11"/>
      <c r="F18" s="12"/>
      <c r="G18" s="298"/>
      <c r="H18" s="53"/>
      <c r="I18" s="34"/>
      <c r="J18" s="12"/>
      <c r="K18" s="12"/>
      <c r="L18" s="12"/>
      <c r="M18" s="12"/>
    </row>
    <row r="19" spans="2:13" x14ac:dyDescent="0.35">
      <c r="B19" s="13"/>
      <c r="C19" s="112"/>
      <c r="D19" s="11"/>
      <c r="E19" s="11"/>
      <c r="F19" s="12"/>
      <c r="G19" s="298"/>
      <c r="H19" s="53"/>
      <c r="I19" s="34"/>
      <c r="J19" s="12"/>
      <c r="K19" s="12"/>
      <c r="L19" s="12"/>
      <c r="M19" s="12"/>
    </row>
    <row r="20" spans="2:13" x14ac:dyDescent="0.35">
      <c r="B20" s="293"/>
      <c r="C20" s="293"/>
      <c r="D20" s="347"/>
      <c r="E20" s="347"/>
      <c r="F20" s="298"/>
      <c r="G20" s="298"/>
      <c r="H20" s="53"/>
      <c r="I20" s="34"/>
      <c r="J20" s="12"/>
      <c r="K20" s="12"/>
      <c r="L20" s="12"/>
      <c r="M20" s="12"/>
    </row>
    <row r="21" spans="2:13" x14ac:dyDescent="0.35">
      <c r="D21" s="11"/>
      <c r="E21" s="11"/>
      <c r="F21" s="12"/>
      <c r="G21" s="298"/>
      <c r="H21" s="53"/>
      <c r="I21" s="34"/>
      <c r="J21" s="12"/>
      <c r="K21" s="12"/>
      <c r="L21" s="12"/>
      <c r="M21" s="12"/>
    </row>
    <row r="22" spans="2:13" x14ac:dyDescent="0.35">
      <c r="D22" s="11"/>
      <c r="E22" s="11"/>
      <c r="F22" s="12"/>
      <c r="G22" s="298"/>
      <c r="H22" s="53"/>
      <c r="I22" s="34"/>
      <c r="J22" s="12"/>
      <c r="K22" s="12"/>
      <c r="L22" s="12"/>
      <c r="M22" s="12"/>
    </row>
    <row r="23" spans="2:13" x14ac:dyDescent="0.35">
      <c r="D23" s="11"/>
      <c r="E23" s="11"/>
      <c r="F23" s="12"/>
      <c r="G23" s="50"/>
      <c r="H23" s="53"/>
      <c r="I23" s="34"/>
      <c r="J23" s="12"/>
      <c r="K23" s="12"/>
      <c r="L23" s="12"/>
      <c r="M23" s="12"/>
    </row>
    <row r="24" spans="2:13" x14ac:dyDescent="0.35">
      <c r="D24" s="11"/>
      <c r="E24" s="11"/>
      <c r="F24" s="12"/>
      <c r="G24" s="50"/>
      <c r="H24" s="53"/>
      <c r="I24" s="34"/>
      <c r="J24" s="12"/>
      <c r="K24" s="12"/>
      <c r="L24" s="12"/>
      <c r="M24" s="12"/>
    </row>
    <row r="25" spans="2:13" x14ac:dyDescent="0.35">
      <c r="B25" s="13"/>
      <c r="C25" s="112"/>
      <c r="D25" s="11"/>
      <c r="E25" s="11"/>
      <c r="F25" s="12"/>
      <c r="G25" s="50"/>
      <c r="H25" s="53"/>
      <c r="I25" s="34"/>
      <c r="J25" s="12"/>
      <c r="K25" s="12"/>
      <c r="L25" s="12"/>
      <c r="M25" s="12"/>
    </row>
    <row r="26" spans="2:13" x14ac:dyDescent="0.35">
      <c r="B26" s="13"/>
      <c r="C26" s="112"/>
      <c r="D26" s="11"/>
      <c r="E26" s="11"/>
      <c r="F26" s="12"/>
      <c r="G26" s="50"/>
      <c r="H26" s="53"/>
      <c r="I26" s="34"/>
      <c r="J26" s="12"/>
      <c r="K26" s="12"/>
      <c r="L26" s="12"/>
      <c r="M26" s="12"/>
    </row>
    <row r="27" spans="2:13" x14ac:dyDescent="0.35">
      <c r="B27" s="13"/>
      <c r="C27" s="112"/>
      <c r="D27" s="11"/>
      <c r="E27" s="11"/>
      <c r="F27" s="12"/>
      <c r="G27" s="50"/>
      <c r="H27" s="53"/>
      <c r="I27" s="34"/>
      <c r="J27" s="12"/>
      <c r="K27" s="12"/>
      <c r="L27" s="12"/>
      <c r="M27" s="12"/>
    </row>
    <row r="28" spans="2:13" x14ac:dyDescent="0.35">
      <c r="D28" s="11"/>
      <c r="E28" s="11"/>
      <c r="F28" s="12"/>
      <c r="G28" s="50"/>
      <c r="H28" s="53"/>
      <c r="I28" s="34"/>
      <c r="J28" s="12"/>
      <c r="K28" s="12"/>
      <c r="L28" s="12"/>
      <c r="M28" s="12"/>
    </row>
    <row r="29" spans="2:13" x14ac:dyDescent="0.35">
      <c r="D29" s="11"/>
      <c r="E29" s="11"/>
      <c r="F29" s="12"/>
      <c r="G29" s="50"/>
      <c r="H29" s="53"/>
      <c r="I29" s="34"/>
      <c r="J29" s="12"/>
      <c r="K29" s="12"/>
      <c r="L29" s="12"/>
      <c r="M29" s="12"/>
    </row>
    <row r="30" spans="2:13" x14ac:dyDescent="0.35">
      <c r="D30" s="11"/>
      <c r="E30" s="11"/>
      <c r="F30" s="12"/>
      <c r="G30" s="50"/>
      <c r="H30" s="53"/>
      <c r="I30" s="34"/>
      <c r="J30" s="12"/>
      <c r="K30" s="12"/>
      <c r="L30" s="12"/>
      <c r="M30" s="12"/>
    </row>
    <row r="31" spans="2:13" x14ac:dyDescent="0.35">
      <c r="D31" s="11"/>
      <c r="E31" s="11"/>
      <c r="F31" s="12"/>
      <c r="G31" s="50"/>
      <c r="H31" s="53"/>
      <c r="I31" s="34"/>
      <c r="J31" s="12"/>
      <c r="K31" s="12"/>
      <c r="L31" s="12"/>
      <c r="M31" s="12"/>
    </row>
    <row r="32" spans="2:13" x14ac:dyDescent="0.35">
      <c r="D32" s="11"/>
      <c r="E32" s="11"/>
      <c r="F32" s="12"/>
      <c r="G32" s="298"/>
      <c r="H32" s="53"/>
      <c r="I32" s="34"/>
      <c r="J32" s="12"/>
      <c r="K32" s="12"/>
      <c r="L32" s="12"/>
      <c r="M32" s="12"/>
    </row>
    <row r="33" spans="2:13" x14ac:dyDescent="0.35">
      <c r="D33" s="11"/>
      <c r="E33" s="11"/>
      <c r="F33" s="12"/>
      <c r="G33" s="298"/>
      <c r="H33" s="53"/>
      <c r="I33" s="34"/>
      <c r="J33" s="12"/>
      <c r="K33" s="12"/>
      <c r="L33" s="12"/>
      <c r="M33" s="12"/>
    </row>
    <row r="34" spans="2:13" x14ac:dyDescent="0.35">
      <c r="D34" s="11"/>
      <c r="E34" s="11"/>
      <c r="F34" s="12"/>
      <c r="G34" s="298"/>
      <c r="H34" s="53"/>
      <c r="I34" s="34"/>
      <c r="J34" s="12"/>
      <c r="K34" s="12"/>
      <c r="L34" s="12"/>
      <c r="M34" s="12"/>
    </row>
    <row r="35" spans="2:13" x14ac:dyDescent="0.35">
      <c r="D35" s="11"/>
      <c r="E35" s="11"/>
      <c r="F35" s="12"/>
      <c r="G35" s="298"/>
      <c r="H35" s="53"/>
      <c r="I35" s="34"/>
      <c r="J35" s="12"/>
      <c r="K35" s="12"/>
      <c r="L35" s="12"/>
      <c r="M35" s="12"/>
    </row>
    <row r="36" spans="2:13" x14ac:dyDescent="0.35">
      <c r="D36" s="11"/>
      <c r="E36" s="11"/>
      <c r="F36" s="12"/>
      <c r="G36" s="298"/>
      <c r="H36" s="53"/>
      <c r="I36" s="34"/>
      <c r="J36" s="12"/>
      <c r="K36" s="12"/>
      <c r="L36" s="12"/>
      <c r="M36" s="12"/>
    </row>
    <row r="37" spans="2:13" x14ac:dyDescent="0.35">
      <c r="D37" s="11"/>
      <c r="E37" s="11"/>
      <c r="F37" s="12"/>
      <c r="G37" s="298"/>
      <c r="H37" s="53"/>
      <c r="I37" s="34"/>
      <c r="J37" s="12"/>
      <c r="K37" s="12"/>
      <c r="L37" s="12"/>
      <c r="M37" s="12"/>
    </row>
    <row r="38" spans="2:13" x14ac:dyDescent="0.35">
      <c r="D38" s="11"/>
      <c r="E38" s="11"/>
      <c r="F38" s="12"/>
      <c r="G38" s="298"/>
      <c r="H38" s="53"/>
      <c r="I38" s="34"/>
      <c r="J38" s="12"/>
      <c r="K38" s="12"/>
      <c r="L38" s="12"/>
      <c r="M38" s="12"/>
    </row>
    <row r="39" spans="2:13" x14ac:dyDescent="0.35">
      <c r="D39" s="11"/>
      <c r="E39" s="11"/>
      <c r="F39" s="12"/>
      <c r="G39" s="298"/>
      <c r="H39" s="53"/>
      <c r="I39" s="34"/>
      <c r="J39" s="12"/>
      <c r="K39" s="12"/>
      <c r="L39" s="12"/>
      <c r="M39" s="12"/>
    </row>
    <row r="40" spans="2:13" x14ac:dyDescent="0.35">
      <c r="B40" s="1" t="s">
        <v>90</v>
      </c>
      <c r="D40" s="11"/>
      <c r="E40" s="11"/>
      <c r="F40" s="12"/>
      <c r="G40" s="298"/>
      <c r="H40" s="53"/>
      <c r="I40" s="34"/>
      <c r="J40" s="12"/>
      <c r="K40" s="12"/>
      <c r="L40" s="12"/>
      <c r="M40" s="12"/>
    </row>
    <row r="41" spans="2:13" x14ac:dyDescent="0.35">
      <c r="B41" s="87" t="s">
        <v>91</v>
      </c>
      <c r="C41" s="1" t="s">
        <v>92</v>
      </c>
      <c r="D41" s="11"/>
      <c r="E41" s="11"/>
      <c r="F41" s="12"/>
      <c r="G41" s="298"/>
      <c r="H41" s="53"/>
      <c r="I41" s="34"/>
      <c r="J41" s="12"/>
      <c r="K41" s="12"/>
      <c r="L41" s="12"/>
      <c r="M41" s="12"/>
    </row>
    <row r="42" spans="2:13" x14ac:dyDescent="0.35">
      <c r="B42" s="87" t="s">
        <v>93</v>
      </c>
      <c r="C42" s="2" t="s">
        <v>94</v>
      </c>
      <c r="D42" s="11"/>
      <c r="E42" s="11"/>
      <c r="F42" s="12"/>
      <c r="G42" s="298"/>
      <c r="H42" s="53"/>
      <c r="I42" s="34"/>
      <c r="J42" s="12"/>
      <c r="K42" s="12"/>
      <c r="L42" s="12"/>
      <c r="M42" s="12"/>
    </row>
    <row r="43" spans="2:13" x14ac:dyDescent="0.35">
      <c r="D43" s="11"/>
      <c r="E43" s="11"/>
      <c r="F43" s="12"/>
      <c r="G43" s="298"/>
      <c r="H43" s="53"/>
      <c r="I43" s="34"/>
      <c r="J43" s="12"/>
      <c r="K43" s="12"/>
      <c r="L43" s="12"/>
      <c r="M43" s="12"/>
    </row>
    <row r="44" spans="2:13" x14ac:dyDescent="0.35">
      <c r="B44" s="2" t="s">
        <v>687</v>
      </c>
      <c r="C44" s="252"/>
      <c r="D44" s="11"/>
      <c r="E44" s="10"/>
      <c r="F44" s="12"/>
      <c r="G44" s="298"/>
      <c r="H44" s="53"/>
      <c r="I44" s="34"/>
      <c r="J44" s="12"/>
      <c r="K44" s="12"/>
      <c r="L44" s="12"/>
      <c r="M44" s="12"/>
    </row>
    <row r="45" spans="2:13" ht="16" thickBot="1" x14ac:dyDescent="0.4">
      <c r="B45" s="87"/>
      <c r="C45" s="261" t="s">
        <v>4</v>
      </c>
      <c r="D45" s="1"/>
      <c r="F45" s="12"/>
      <c r="G45" s="298"/>
      <c r="H45" s="53"/>
      <c r="I45" s="34"/>
      <c r="J45" s="12"/>
      <c r="K45" s="12"/>
      <c r="L45" s="12"/>
      <c r="M45" s="12"/>
    </row>
    <row r="46" spans="2:13" x14ac:dyDescent="0.35">
      <c r="B46" s="120" t="s">
        <v>542</v>
      </c>
      <c r="C46" s="348">
        <v>20</v>
      </c>
      <c r="D46" s="9" t="s">
        <v>8</v>
      </c>
      <c r="F46" s="12"/>
      <c r="G46" s="12"/>
      <c r="H46" s="12"/>
      <c r="I46" s="12"/>
      <c r="J46" s="12"/>
      <c r="K46" s="12"/>
      <c r="L46" s="12"/>
      <c r="M46" s="12"/>
    </row>
    <row r="47" spans="2:13" x14ac:dyDescent="0.35">
      <c r="B47" s="120" t="s">
        <v>781</v>
      </c>
      <c r="C47" s="329">
        <v>6</v>
      </c>
      <c r="D47" s="1" t="s">
        <v>8</v>
      </c>
      <c r="F47" s="12"/>
      <c r="G47" s="298"/>
      <c r="H47" s="53"/>
      <c r="I47" s="34"/>
      <c r="J47" s="12"/>
      <c r="K47" s="12"/>
      <c r="L47" s="12"/>
      <c r="M47" s="12"/>
    </row>
    <row r="48" spans="2:13" ht="16" thickBot="1" x14ac:dyDescent="0.4">
      <c r="B48" s="60" t="s">
        <v>530</v>
      </c>
      <c r="C48" s="330">
        <v>2</v>
      </c>
      <c r="D48" s="11"/>
      <c r="F48" s="12"/>
      <c r="G48" s="298" t="s">
        <v>95</v>
      </c>
      <c r="H48" s="53"/>
      <c r="I48" s="34"/>
      <c r="J48" s="12"/>
      <c r="K48" s="12"/>
      <c r="L48" s="12"/>
    </row>
    <row r="49" spans="2:13" ht="16" thickBot="1" x14ac:dyDescent="0.4">
      <c r="B49" s="60" t="s">
        <v>96</v>
      </c>
      <c r="C49" s="330">
        <v>0.375</v>
      </c>
      <c r="D49" s="1" t="s">
        <v>10</v>
      </c>
      <c r="G49" s="331" t="s">
        <v>97</v>
      </c>
      <c r="H49" s="332"/>
      <c r="I49" s="333"/>
      <c r="J49" s="349"/>
    </row>
    <row r="50" spans="2:13" ht="16" thickBot="1" x14ac:dyDescent="0.4">
      <c r="B50" s="60" t="s">
        <v>98</v>
      </c>
      <c r="C50" s="334">
        <v>3.5</v>
      </c>
      <c r="D50" s="1" t="s">
        <v>10</v>
      </c>
      <c r="G50" s="335" t="s">
        <v>99</v>
      </c>
      <c r="H50" s="336" t="s">
        <v>100</v>
      </c>
      <c r="I50" s="336" t="s">
        <v>101</v>
      </c>
      <c r="J50" s="336" t="s">
        <v>102</v>
      </c>
    </row>
    <row r="51" spans="2:13" x14ac:dyDescent="0.35">
      <c r="B51" s="120" t="s">
        <v>103</v>
      </c>
      <c r="C51" s="337">
        <v>0.318</v>
      </c>
      <c r="D51" s="11" t="s">
        <v>8</v>
      </c>
      <c r="G51" s="350">
        <v>1</v>
      </c>
      <c r="H51" s="351">
        <v>0.318</v>
      </c>
      <c r="I51" s="351">
        <v>0.68600000000000005</v>
      </c>
      <c r="J51" s="351">
        <v>0.47749999999999998</v>
      </c>
    </row>
    <row r="52" spans="2:13" x14ac:dyDescent="0.35">
      <c r="B52" s="120" t="s">
        <v>104</v>
      </c>
      <c r="C52" s="337">
        <v>0.68600000000000005</v>
      </c>
      <c r="D52" s="11" t="s">
        <v>8</v>
      </c>
      <c r="G52" s="352">
        <v>2</v>
      </c>
      <c r="H52" s="353">
        <v>0.318</v>
      </c>
      <c r="I52" s="353">
        <v>0.68600000000000005</v>
      </c>
      <c r="J52" s="353">
        <v>0.47749999999999998</v>
      </c>
    </row>
    <row r="53" spans="2:13" x14ac:dyDescent="0.35">
      <c r="B53" s="60" t="s">
        <v>105</v>
      </c>
      <c r="C53" s="330">
        <v>0.47749999999999998</v>
      </c>
      <c r="D53" s="11" t="s">
        <v>8</v>
      </c>
      <c r="G53" s="352">
        <v>3</v>
      </c>
      <c r="H53" s="353">
        <v>0.28599999999999998</v>
      </c>
      <c r="I53" s="353">
        <v>0.623</v>
      </c>
      <c r="J53" s="353">
        <v>0.31830000000000003</v>
      </c>
    </row>
    <row r="54" spans="2:13" ht="16" thickBot="1" x14ac:dyDescent="0.4">
      <c r="B54" s="120" t="s">
        <v>106</v>
      </c>
      <c r="C54" s="329"/>
      <c r="D54" s="1" t="s">
        <v>10</v>
      </c>
      <c r="G54" s="354">
        <v>4</v>
      </c>
      <c r="H54" s="355">
        <v>0.28599999999999998</v>
      </c>
      <c r="I54" s="355">
        <v>0.623</v>
      </c>
      <c r="J54" s="355">
        <v>0.31830000000000003</v>
      </c>
    </row>
    <row r="55" spans="2:13" x14ac:dyDescent="0.35">
      <c r="B55" s="120" t="s">
        <v>107</v>
      </c>
      <c r="C55" s="329"/>
      <c r="D55" s="1" t="s">
        <v>10</v>
      </c>
      <c r="F55" s="12"/>
      <c r="G55" s="356"/>
      <c r="H55" s="53"/>
      <c r="I55" s="34"/>
      <c r="J55" s="12"/>
      <c r="K55" s="12"/>
      <c r="L55" s="12"/>
    </row>
    <row r="56" spans="2:13" ht="16" thickBot="1" x14ac:dyDescent="0.4">
      <c r="B56" s="120" t="s">
        <v>108</v>
      </c>
      <c r="C56" s="338"/>
      <c r="D56" s="1" t="s">
        <v>10</v>
      </c>
      <c r="F56" s="12"/>
      <c r="G56" s="12"/>
      <c r="H56" s="53"/>
      <c r="I56" s="34"/>
      <c r="J56" s="12"/>
      <c r="K56" s="12"/>
      <c r="L56" s="12"/>
      <c r="M56" s="12"/>
    </row>
    <row r="57" spans="2:13" x14ac:dyDescent="0.35">
      <c r="C57" s="261" t="s">
        <v>552</v>
      </c>
      <c r="D57" s="261" t="s">
        <v>13</v>
      </c>
      <c r="E57" s="10"/>
      <c r="F57" s="12"/>
      <c r="G57" s="356"/>
      <c r="H57" s="53"/>
      <c r="I57" s="34"/>
      <c r="J57" s="12"/>
      <c r="K57" s="12"/>
      <c r="L57" s="12"/>
      <c r="M57" s="12"/>
    </row>
    <row r="58" spans="2:13" x14ac:dyDescent="0.35">
      <c r="B58" s="60" t="s">
        <v>767</v>
      </c>
      <c r="C58" s="152" t="s">
        <v>550</v>
      </c>
      <c r="D58" s="6">
        <f>C49*C48</f>
        <v>0.75</v>
      </c>
      <c r="E58" s="7" t="s">
        <v>10</v>
      </c>
      <c r="F58" s="12"/>
      <c r="G58" s="356"/>
      <c r="H58" s="53"/>
      <c r="I58" s="34"/>
      <c r="J58" s="12"/>
      <c r="K58" s="12"/>
      <c r="L58" s="12"/>
      <c r="M58" s="12"/>
    </row>
    <row r="59" spans="2:13" x14ac:dyDescent="0.35">
      <c r="B59" s="120" t="s">
        <v>768</v>
      </c>
      <c r="C59" s="339" t="s">
        <v>551</v>
      </c>
      <c r="D59" s="6">
        <f>C48*C46</f>
        <v>40</v>
      </c>
      <c r="E59" s="9" t="s">
        <v>8</v>
      </c>
      <c r="F59" s="12"/>
      <c r="G59" s="12"/>
      <c r="H59" s="12"/>
      <c r="I59" s="12"/>
      <c r="J59" s="12"/>
      <c r="K59" s="12"/>
      <c r="L59" s="12"/>
      <c r="M59" s="12"/>
    </row>
    <row r="60" spans="2:13" x14ac:dyDescent="0.35">
      <c r="B60" s="120" t="s">
        <v>769</v>
      </c>
      <c r="C60" s="84" t="s">
        <v>635</v>
      </c>
      <c r="D60" s="259">
        <f>D59/C47</f>
        <v>6.666666666666667</v>
      </c>
      <c r="E60" s="1" t="s">
        <v>10</v>
      </c>
      <c r="F60" s="12"/>
      <c r="G60" s="12"/>
      <c r="H60" s="12"/>
      <c r="I60" s="12"/>
      <c r="J60" s="12"/>
      <c r="K60" s="12"/>
      <c r="L60" s="12"/>
      <c r="M60" s="12"/>
    </row>
    <row r="61" spans="2:13" x14ac:dyDescent="0.35">
      <c r="B61" s="120" t="s">
        <v>782</v>
      </c>
      <c r="C61" s="84" t="s">
        <v>124</v>
      </c>
      <c r="D61" s="126">
        <f>(C50 + D60) / 2</f>
        <v>5.0833333333333339</v>
      </c>
      <c r="E61" s="1" t="s">
        <v>10</v>
      </c>
      <c r="F61" s="12"/>
      <c r="G61" s="130"/>
      <c r="H61" s="12"/>
      <c r="I61" s="12"/>
      <c r="J61" s="12"/>
      <c r="K61" s="12"/>
      <c r="L61" s="12"/>
      <c r="M61" s="12"/>
    </row>
    <row r="62" spans="2:13" x14ac:dyDescent="0.35">
      <c r="B62" s="294" t="s">
        <v>770</v>
      </c>
      <c r="C62" s="152" t="s">
        <v>549</v>
      </c>
      <c r="D62" s="68">
        <f>2*D61 - D60</f>
        <v>3.5000000000000009</v>
      </c>
      <c r="E62" s="1" t="s">
        <v>10</v>
      </c>
      <c r="F62" s="12"/>
      <c r="G62" s="12"/>
      <c r="H62" s="12"/>
      <c r="I62" s="12"/>
      <c r="J62" s="12"/>
      <c r="K62" s="12"/>
      <c r="L62" s="12"/>
      <c r="M62" s="12"/>
    </row>
    <row r="63" spans="2:13" x14ac:dyDescent="0.35">
      <c r="B63" s="120" t="s">
        <v>783</v>
      </c>
      <c r="C63" s="84" t="s">
        <v>110</v>
      </c>
      <c r="D63" s="126">
        <f>C51 *C49</f>
        <v>0.11924999999999999</v>
      </c>
      <c r="E63" s="1" t="s">
        <v>10</v>
      </c>
      <c r="F63" s="12"/>
      <c r="G63" s="298"/>
      <c r="H63" s="53"/>
      <c r="I63" s="34"/>
      <c r="J63" s="12"/>
      <c r="K63" s="12"/>
      <c r="L63" s="12"/>
      <c r="M63" s="12"/>
    </row>
    <row r="64" spans="2:13" x14ac:dyDescent="0.35">
      <c r="B64" s="260" t="s">
        <v>771</v>
      </c>
      <c r="C64" s="84" t="s">
        <v>111</v>
      </c>
      <c r="D64" s="126">
        <f>C52 * C49</f>
        <v>0.25725000000000003</v>
      </c>
      <c r="E64" s="1" t="s">
        <v>10</v>
      </c>
      <c r="F64" s="12"/>
      <c r="G64" s="50"/>
      <c r="H64" s="34"/>
      <c r="I64" s="50"/>
      <c r="J64" s="34"/>
      <c r="K64" s="12"/>
      <c r="L64" s="12"/>
      <c r="M64" s="12"/>
    </row>
    <row r="65" spans="2:13" x14ac:dyDescent="0.35">
      <c r="B65" s="120" t="s">
        <v>784</v>
      </c>
      <c r="C65" s="84" t="s">
        <v>112</v>
      </c>
      <c r="D65" s="126">
        <f>D58 / C48</f>
        <v>0.375</v>
      </c>
      <c r="E65" s="1" t="s">
        <v>10</v>
      </c>
      <c r="F65" s="12"/>
      <c r="G65" s="50"/>
      <c r="H65" s="34"/>
      <c r="I65" s="50"/>
      <c r="J65" s="34"/>
      <c r="K65" s="12"/>
      <c r="L65" s="12"/>
      <c r="M65" s="12"/>
    </row>
    <row r="66" spans="2:13" x14ac:dyDescent="0.35">
      <c r="B66" s="60" t="s">
        <v>772</v>
      </c>
      <c r="C66" s="84" t="s">
        <v>113</v>
      </c>
      <c r="D66" s="126">
        <f>C50 + 2 *D63</f>
        <v>3.7385000000000002</v>
      </c>
      <c r="E66" s="1" t="s">
        <v>10</v>
      </c>
      <c r="F66" s="12"/>
      <c r="G66" s="50"/>
      <c r="H66" s="34"/>
      <c r="I66" s="50"/>
      <c r="J66" s="34"/>
      <c r="K66" s="12"/>
      <c r="L66" s="12"/>
      <c r="M66" s="12"/>
    </row>
    <row r="67" spans="2:13" x14ac:dyDescent="0.35">
      <c r="B67" s="120" t="s">
        <v>773</v>
      </c>
      <c r="C67" s="84" t="s">
        <v>114</v>
      </c>
      <c r="D67" s="126">
        <f>D60 + 2*D63</f>
        <v>6.9051666666666671</v>
      </c>
      <c r="E67" s="1" t="s">
        <v>10</v>
      </c>
      <c r="F67" s="12"/>
      <c r="G67" s="50"/>
      <c r="H67" s="34"/>
      <c r="I67" s="50"/>
      <c r="J67" s="34"/>
      <c r="K67" s="12"/>
      <c r="L67" s="12"/>
      <c r="M67" s="12"/>
    </row>
    <row r="68" spans="2:13" ht="16" thickBot="1" x14ac:dyDescent="0.4">
      <c r="B68" s="60" t="s">
        <v>774</v>
      </c>
      <c r="C68" s="84" t="s">
        <v>115</v>
      </c>
      <c r="D68" s="126">
        <f>D67 + C53 *C49</f>
        <v>7.0842291666666668</v>
      </c>
      <c r="E68" s="1" t="s">
        <v>10</v>
      </c>
      <c r="F68" s="12"/>
      <c r="G68" s="50"/>
      <c r="H68" s="34"/>
      <c r="I68" s="50"/>
      <c r="J68" s="34"/>
      <c r="K68" s="12"/>
      <c r="L68" s="12"/>
      <c r="M68" s="12"/>
    </row>
    <row r="69" spans="2:13" ht="16" thickBot="1" x14ac:dyDescent="0.4">
      <c r="B69" s="120" t="s">
        <v>775</v>
      </c>
      <c r="C69" s="84" t="s">
        <v>116</v>
      </c>
      <c r="D69" s="126">
        <f>2.38*C49 + 0.25</f>
        <v>1.1425000000000001</v>
      </c>
      <c r="E69" s="1" t="s">
        <v>117</v>
      </c>
      <c r="F69" s="340" t="str">
        <f>IF(C48&lt;3,"n &lt; 3, OK","n &gt; 2, Not OK")</f>
        <v>n &lt; 3, OK</v>
      </c>
      <c r="G69" s="357"/>
      <c r="H69" s="53"/>
      <c r="I69" s="34"/>
      <c r="J69" s="12"/>
      <c r="K69" s="12"/>
      <c r="L69" s="12"/>
      <c r="M69" s="12"/>
    </row>
    <row r="70" spans="2:13" ht="16" thickBot="1" x14ac:dyDescent="0.4">
      <c r="B70" s="120" t="s">
        <v>776</v>
      </c>
      <c r="C70" s="84" t="s">
        <v>118</v>
      </c>
      <c r="D70" s="126">
        <f>2.15*C49 + 0.2</f>
        <v>1.0062499999999999</v>
      </c>
      <c r="E70" s="1" t="s">
        <v>117</v>
      </c>
      <c r="F70" s="340" t="str">
        <f>IF(C48&gt;2,"n &gt; 2, OK","n &lt; 3, Not OK")</f>
        <v>n &lt; 3, Not OK</v>
      </c>
      <c r="G70" s="357"/>
      <c r="H70" s="53"/>
      <c r="I70" s="34"/>
      <c r="J70" s="12"/>
      <c r="K70" s="12"/>
      <c r="L70" s="12"/>
      <c r="M70" s="12"/>
    </row>
    <row r="71" spans="2:13" x14ac:dyDescent="0.35">
      <c r="B71" s="260" t="s">
        <v>777</v>
      </c>
      <c r="C71" s="84" t="s">
        <v>119</v>
      </c>
      <c r="D71" s="1">
        <f>6*C49</f>
        <v>2.25</v>
      </c>
      <c r="E71" s="11"/>
      <c r="F71" s="12"/>
      <c r="G71" s="298"/>
      <c r="H71" s="53"/>
      <c r="I71" s="34"/>
      <c r="J71" s="12"/>
      <c r="K71" s="12"/>
      <c r="L71" s="12"/>
      <c r="M71" s="12"/>
    </row>
    <row r="72" spans="2:13" x14ac:dyDescent="0.35">
      <c r="B72" s="260" t="s">
        <v>778</v>
      </c>
      <c r="C72" s="1" t="s">
        <v>120</v>
      </c>
      <c r="D72" s="11"/>
      <c r="E72" s="11"/>
      <c r="F72" s="12"/>
      <c r="G72" s="298"/>
      <c r="H72" s="53"/>
      <c r="I72" s="34"/>
      <c r="J72" s="12"/>
      <c r="K72" s="12"/>
      <c r="L72" s="12"/>
      <c r="M72" s="12"/>
    </row>
    <row r="73" spans="2:13" x14ac:dyDescent="0.35">
      <c r="D73" s="126">
        <f>57.3*(ATAN(D58/(C50*3.1416)))</f>
        <v>3.9023371738930166</v>
      </c>
      <c r="E73" s="1" t="s">
        <v>121</v>
      </c>
      <c r="F73" s="12"/>
      <c r="G73" s="298"/>
      <c r="H73" s="53"/>
      <c r="I73" s="34"/>
      <c r="J73" s="12"/>
      <c r="K73" s="12"/>
      <c r="L73" s="12"/>
      <c r="M73" s="12"/>
    </row>
    <row r="74" spans="2:13" x14ac:dyDescent="0.35">
      <c r="B74" s="260" t="s">
        <v>779</v>
      </c>
      <c r="C74" s="84" t="s">
        <v>122</v>
      </c>
      <c r="D74" s="126">
        <f>(0.5*C50) - D63</f>
        <v>1.6307499999999999</v>
      </c>
      <c r="E74" s="1" t="s">
        <v>10</v>
      </c>
      <c r="F74" s="12"/>
      <c r="G74" s="298"/>
      <c r="H74" s="53"/>
      <c r="I74" s="34"/>
      <c r="J74" s="12"/>
      <c r="K74" s="12"/>
      <c r="L74" s="12"/>
      <c r="M74" s="12"/>
    </row>
    <row r="75" spans="2:13" x14ac:dyDescent="0.35">
      <c r="B75" s="260" t="s">
        <v>780</v>
      </c>
      <c r="C75" s="84" t="s">
        <v>123</v>
      </c>
      <c r="D75" s="126">
        <f>(0.5*C50) + C49</f>
        <v>2.125</v>
      </c>
      <c r="E75" s="1" t="s">
        <v>10</v>
      </c>
      <c r="F75" s="12"/>
      <c r="G75" s="298"/>
      <c r="H75" s="53"/>
      <c r="I75" s="34"/>
      <c r="J75" s="12"/>
      <c r="K75" s="12"/>
      <c r="L75" s="12"/>
      <c r="M75" s="12"/>
    </row>
    <row r="76" spans="2:13" x14ac:dyDescent="0.35">
      <c r="F76" s="12"/>
      <c r="G76" s="12"/>
      <c r="H76" s="12"/>
      <c r="I76" s="12"/>
      <c r="J76" s="12"/>
      <c r="K76" s="12"/>
      <c r="L76" s="12"/>
      <c r="M76" s="12"/>
    </row>
    <row r="77" spans="2:13" x14ac:dyDescent="0.35">
      <c r="B77" s="167" t="s">
        <v>26</v>
      </c>
      <c r="C77" s="112"/>
      <c r="D77" s="11"/>
      <c r="E77" s="11"/>
      <c r="F77" s="12"/>
      <c r="G77" s="298"/>
      <c r="H77" s="53"/>
      <c r="I77" s="34"/>
      <c r="J77" s="12"/>
      <c r="K77" s="12"/>
      <c r="L77" s="12"/>
      <c r="M77" s="12"/>
    </row>
    <row r="78" spans="2:13" x14ac:dyDescent="0.35">
      <c r="B78" s="13" t="s">
        <v>27</v>
      </c>
      <c r="C78" s="11">
        <v>3.1415999999999999</v>
      </c>
      <c r="D78" s="11"/>
      <c r="E78" s="11"/>
      <c r="F78" s="12"/>
      <c r="G78" s="298"/>
      <c r="H78" s="53"/>
      <c r="I78" s="34"/>
      <c r="J78" s="12"/>
      <c r="K78" s="12"/>
      <c r="L78" s="12"/>
      <c r="M78" s="12"/>
    </row>
    <row r="79" spans="2:13" x14ac:dyDescent="0.35">
      <c r="B79" s="1" t="s">
        <v>125</v>
      </c>
      <c r="D79" s="11"/>
      <c r="E79" s="11"/>
      <c r="F79" s="12"/>
      <c r="G79" s="298"/>
      <c r="H79" s="53"/>
      <c r="I79" s="34"/>
      <c r="J79" s="12"/>
      <c r="K79" s="12"/>
      <c r="L79" s="12"/>
      <c r="M79" s="12"/>
    </row>
    <row r="80" spans="2:13" x14ac:dyDescent="0.35">
      <c r="D80" s="11"/>
      <c r="E80" s="11"/>
      <c r="F80" s="12"/>
      <c r="G80" s="298"/>
      <c r="H80" s="53"/>
      <c r="I80" s="34"/>
      <c r="J80" s="12"/>
      <c r="K80" s="12"/>
      <c r="L80" s="12"/>
      <c r="M80" s="12"/>
    </row>
    <row r="81" spans="2:13" x14ac:dyDescent="0.35">
      <c r="D81" s="11"/>
      <c r="E81" s="11"/>
      <c r="F81" s="12"/>
      <c r="G81" s="50"/>
      <c r="H81" s="53"/>
      <c r="I81" s="34"/>
      <c r="J81" s="12"/>
      <c r="K81" s="12"/>
      <c r="L81" s="12"/>
      <c r="M81" s="12"/>
    </row>
    <row r="82" spans="2:13" x14ac:dyDescent="0.35">
      <c r="B82" s="299"/>
      <c r="C82" s="299"/>
      <c r="D82" s="300"/>
      <c r="E82" s="300"/>
      <c r="F82" s="22"/>
      <c r="G82" s="50"/>
      <c r="H82" s="53"/>
      <c r="I82" s="34"/>
      <c r="J82" s="12"/>
      <c r="K82" s="12"/>
      <c r="L82" s="12"/>
      <c r="M82" s="12"/>
    </row>
    <row r="83" spans="2:13" x14ac:dyDescent="0.35">
      <c r="D83" s="11"/>
      <c r="E83" s="11"/>
      <c r="F83" s="12"/>
      <c r="G83" s="50"/>
      <c r="H83" s="53"/>
      <c r="I83" s="34"/>
      <c r="J83" s="12"/>
      <c r="K83" s="12"/>
      <c r="L83" s="12"/>
      <c r="M83" s="12"/>
    </row>
    <row r="84" spans="2:13" x14ac:dyDescent="0.35">
      <c r="D84" s="11"/>
      <c r="E84" s="11"/>
      <c r="F84" s="12"/>
      <c r="G84" s="50"/>
      <c r="H84" s="53"/>
      <c r="I84" s="34"/>
      <c r="J84" s="12"/>
      <c r="K84" s="12"/>
      <c r="L84" s="12"/>
      <c r="M84" s="12"/>
    </row>
    <row r="85" spans="2:13" x14ac:dyDescent="0.35">
      <c r="B85" s="1" t="s">
        <v>126</v>
      </c>
      <c r="C85" s="112"/>
      <c r="D85" s="11"/>
      <c r="E85" s="11"/>
      <c r="F85" s="12"/>
      <c r="G85" s="50"/>
      <c r="H85" s="53"/>
      <c r="I85" s="34"/>
      <c r="J85" s="12"/>
      <c r="K85" s="12"/>
      <c r="L85" s="12"/>
      <c r="M85" s="12"/>
    </row>
    <row r="86" spans="2:13" ht="16" thickBot="1" x14ac:dyDescent="0.4">
      <c r="B86" s="87" t="s">
        <v>0</v>
      </c>
      <c r="C86" s="83" t="s">
        <v>4</v>
      </c>
      <c r="D86" s="11"/>
      <c r="E86" s="11"/>
      <c r="F86" s="105"/>
      <c r="G86" s="50"/>
      <c r="H86" s="53"/>
      <c r="I86" s="34"/>
      <c r="J86" s="12"/>
      <c r="K86" s="12"/>
      <c r="L86" s="12"/>
      <c r="M86" s="12"/>
    </row>
    <row r="87" spans="2:13" x14ac:dyDescent="0.35">
      <c r="B87" s="13" t="s">
        <v>86</v>
      </c>
      <c r="C87" s="15">
        <v>5.33</v>
      </c>
      <c r="D87" s="11" t="s">
        <v>10</v>
      </c>
      <c r="E87" s="11"/>
      <c r="F87" s="12"/>
      <c r="G87" s="50"/>
      <c r="H87" s="53"/>
      <c r="I87" s="34"/>
      <c r="J87" s="12"/>
      <c r="K87" s="12"/>
      <c r="L87" s="12"/>
      <c r="M87" s="12"/>
    </row>
    <row r="88" spans="2:13" x14ac:dyDescent="0.35">
      <c r="B88" s="13" t="s">
        <v>87</v>
      </c>
      <c r="C88" s="16">
        <v>600</v>
      </c>
      <c r="D88" s="11" t="s">
        <v>88</v>
      </c>
      <c r="E88" s="11"/>
      <c r="F88" s="12"/>
      <c r="G88" s="50"/>
      <c r="H88" s="53"/>
      <c r="I88" s="34"/>
      <c r="J88" s="12"/>
      <c r="K88" s="12"/>
      <c r="L88" s="12"/>
      <c r="M88" s="12"/>
    </row>
    <row r="89" spans="2:13" ht="16" thickBot="1" x14ac:dyDescent="0.4">
      <c r="B89" s="13" t="s">
        <v>127</v>
      </c>
      <c r="C89" s="57">
        <v>20000</v>
      </c>
      <c r="D89" s="11" t="s">
        <v>60</v>
      </c>
      <c r="E89" s="11"/>
      <c r="F89" s="12"/>
      <c r="G89" s="50"/>
      <c r="H89" s="53"/>
      <c r="I89" s="34"/>
      <c r="J89" s="12"/>
      <c r="K89" s="12"/>
      <c r="L89" s="12"/>
      <c r="M89" s="12"/>
    </row>
    <row r="90" spans="2:13" x14ac:dyDescent="0.35">
      <c r="B90" s="87" t="s">
        <v>0</v>
      </c>
      <c r="C90" s="83" t="s">
        <v>13</v>
      </c>
      <c r="D90" s="11"/>
      <c r="E90" s="11"/>
      <c r="F90" s="12"/>
      <c r="G90" s="50"/>
      <c r="H90" s="53"/>
      <c r="I90" s="34"/>
      <c r="J90" s="12"/>
      <c r="K90" s="12"/>
      <c r="L90" s="12"/>
      <c r="M90" s="12"/>
    </row>
    <row r="91" spans="2:13" x14ac:dyDescent="0.35">
      <c r="B91" s="87" t="s">
        <v>128</v>
      </c>
      <c r="C91" s="1" t="s">
        <v>129</v>
      </c>
      <c r="D91" s="1"/>
      <c r="E91" s="11"/>
      <c r="F91" s="12"/>
      <c r="G91" s="50"/>
      <c r="H91" s="53"/>
      <c r="I91" s="34"/>
      <c r="J91" s="12"/>
      <c r="K91" s="12"/>
      <c r="L91" s="12"/>
      <c r="M91" s="12"/>
    </row>
    <row r="92" spans="2:13" x14ac:dyDescent="0.35">
      <c r="B92" s="87" t="s">
        <v>130</v>
      </c>
      <c r="C92" s="129">
        <f>3.142*C87*C88/12</f>
        <v>837.34299999999985</v>
      </c>
      <c r="D92" s="1" t="s">
        <v>64</v>
      </c>
      <c r="E92" s="11"/>
      <c r="F92" s="12"/>
      <c r="G92" s="50"/>
      <c r="H92" s="53"/>
      <c r="I92" s="34"/>
      <c r="J92" s="12"/>
      <c r="K92" s="12"/>
      <c r="L92" s="12"/>
      <c r="M92" s="12"/>
    </row>
    <row r="93" spans="2:13" x14ac:dyDescent="0.35">
      <c r="B93" s="87" t="s">
        <v>131</v>
      </c>
      <c r="C93" s="1" t="s">
        <v>132</v>
      </c>
      <c r="D93" s="1"/>
      <c r="E93" s="11"/>
      <c r="F93" s="12"/>
      <c r="G93" s="50"/>
      <c r="H93" s="53"/>
      <c r="I93" s="34"/>
      <c r="J93" s="12"/>
      <c r="K93" s="12"/>
      <c r="L93" s="12"/>
      <c r="M93" s="12"/>
    </row>
    <row r="94" spans="2:13" x14ac:dyDescent="0.35">
      <c r="B94" s="87" t="s">
        <v>133</v>
      </c>
      <c r="C94" s="272">
        <f>C89/3</f>
        <v>6666.666666666667</v>
      </c>
      <c r="D94" s="1" t="s">
        <v>60</v>
      </c>
      <c r="E94" s="11"/>
      <c r="F94" s="12"/>
      <c r="G94" s="50"/>
      <c r="H94" s="53"/>
      <c r="I94" s="34"/>
      <c r="J94" s="12"/>
      <c r="K94" s="12"/>
      <c r="L94" s="12"/>
      <c r="M94" s="12"/>
    </row>
    <row r="95" spans="2:13" x14ac:dyDescent="0.35">
      <c r="B95" s="87" t="s">
        <v>134</v>
      </c>
      <c r="C95" s="1" t="s">
        <v>135</v>
      </c>
      <c r="D95" s="1"/>
      <c r="E95" s="11"/>
      <c r="F95" s="12"/>
      <c r="G95" s="298"/>
      <c r="H95" s="53"/>
      <c r="I95" s="34"/>
      <c r="J95" s="12"/>
      <c r="K95" s="12"/>
      <c r="L95" s="12"/>
      <c r="M95" s="12"/>
    </row>
    <row r="96" spans="2:13" x14ac:dyDescent="0.35">
      <c r="B96" s="87" t="s">
        <v>136</v>
      </c>
      <c r="C96" s="272">
        <f>C94*1200/(1200+C92)</f>
        <v>3926.6829394952156</v>
      </c>
      <c r="D96" s="1" t="s">
        <v>60</v>
      </c>
      <c r="E96" s="11"/>
      <c r="F96" s="12"/>
      <c r="G96" s="50"/>
      <c r="H96" s="53"/>
      <c r="I96" s="34"/>
      <c r="J96" s="12"/>
      <c r="K96" s="12"/>
      <c r="L96" s="12"/>
      <c r="M96" s="12"/>
    </row>
    <row r="97" spans="2:13" x14ac:dyDescent="0.35">
      <c r="B97" s="13"/>
      <c r="C97" s="112"/>
      <c r="D97" s="11"/>
      <c r="E97" s="11"/>
      <c r="F97" s="12"/>
      <c r="G97" s="50"/>
      <c r="H97" s="53"/>
      <c r="I97" s="34"/>
      <c r="J97" s="12"/>
      <c r="K97" s="12"/>
      <c r="L97" s="12"/>
      <c r="M97" s="12"/>
    </row>
    <row r="98" spans="2:13" ht="16" thickBot="1" x14ac:dyDescent="0.4">
      <c r="B98" s="13"/>
      <c r="C98" s="83" t="s">
        <v>4</v>
      </c>
      <c r="D98" s="11"/>
      <c r="E98" s="11"/>
      <c r="F98" s="12"/>
      <c r="G98" s="50"/>
      <c r="H98" s="53"/>
      <c r="I98" s="34"/>
      <c r="J98" s="12"/>
      <c r="K98" s="12"/>
      <c r="L98" s="12"/>
      <c r="M98" s="12"/>
    </row>
    <row r="99" spans="2:13" x14ac:dyDescent="0.35">
      <c r="B99" s="60" t="s">
        <v>688</v>
      </c>
      <c r="C99" s="307">
        <v>3927</v>
      </c>
      <c r="D99" s="11" t="s">
        <v>60</v>
      </c>
      <c r="E99" s="11"/>
      <c r="F99" s="12"/>
      <c r="G99" s="50"/>
      <c r="H99" s="53"/>
      <c r="I99" s="34"/>
      <c r="J99" s="12"/>
      <c r="K99" s="12"/>
      <c r="L99" s="12"/>
      <c r="M99" s="12"/>
    </row>
    <row r="100" spans="2:13" x14ac:dyDescent="0.35">
      <c r="B100" s="13" t="s">
        <v>82</v>
      </c>
      <c r="C100" s="16">
        <v>1.5</v>
      </c>
      <c r="D100" s="11" t="s">
        <v>10</v>
      </c>
      <c r="E100" s="11"/>
      <c r="F100" s="12"/>
      <c r="G100" s="50"/>
      <c r="H100" s="53"/>
      <c r="I100" s="34"/>
      <c r="J100" s="12"/>
      <c r="K100" s="12"/>
      <c r="L100" s="12"/>
      <c r="M100" s="12"/>
    </row>
    <row r="101" spans="2:13" x14ac:dyDescent="0.35">
      <c r="B101" s="13" t="s">
        <v>137</v>
      </c>
      <c r="C101" s="16">
        <v>1.0472999999999999</v>
      </c>
      <c r="D101" s="11" t="s">
        <v>10</v>
      </c>
      <c r="E101" s="11"/>
      <c r="F101" s="12"/>
      <c r="G101" s="50"/>
      <c r="H101" s="53"/>
      <c r="I101" s="34"/>
      <c r="J101" s="12"/>
      <c r="K101" s="12"/>
      <c r="L101" s="12"/>
      <c r="M101" s="12"/>
    </row>
    <row r="102" spans="2:13" ht="16" thickBot="1" x14ac:dyDescent="0.4">
      <c r="B102" s="13" t="s">
        <v>83</v>
      </c>
      <c r="C102" s="17">
        <v>9.4E-2</v>
      </c>
      <c r="D102" s="11" t="s">
        <v>8</v>
      </c>
      <c r="E102" s="11"/>
      <c r="F102" s="12"/>
      <c r="G102" s="50"/>
      <c r="H102" s="53"/>
      <c r="I102" s="34"/>
      <c r="J102" s="12"/>
      <c r="K102" s="12"/>
      <c r="L102" s="12"/>
      <c r="M102" s="12"/>
    </row>
    <row r="103" spans="2:13" x14ac:dyDescent="0.35">
      <c r="C103" s="83" t="s">
        <v>13</v>
      </c>
      <c r="D103" s="11"/>
      <c r="E103" s="11"/>
      <c r="F103" s="12"/>
      <c r="G103" s="50"/>
      <c r="H103" s="53"/>
      <c r="I103" s="34"/>
      <c r="J103" s="12"/>
      <c r="K103" s="12"/>
      <c r="L103" s="12"/>
      <c r="M103" s="12"/>
    </row>
    <row r="104" spans="2:13" x14ac:dyDescent="0.35">
      <c r="B104" s="87" t="s">
        <v>84</v>
      </c>
      <c r="C104" s="1" t="s">
        <v>138</v>
      </c>
      <c r="D104" s="1" t="s">
        <v>8</v>
      </c>
      <c r="E104" s="11"/>
      <c r="F104" s="12"/>
      <c r="G104" s="298"/>
      <c r="H104" s="53"/>
      <c r="I104" s="34"/>
      <c r="J104" s="12"/>
      <c r="K104" s="12"/>
      <c r="L104" s="12"/>
      <c r="M104" s="12"/>
    </row>
    <row r="105" spans="2:13" x14ac:dyDescent="0.35">
      <c r="B105" s="87" t="s">
        <v>72</v>
      </c>
      <c r="C105" s="129">
        <f>C99*C100*C101*C102</f>
        <v>579.89734109999995</v>
      </c>
      <c r="D105" s="1" t="s">
        <v>38</v>
      </c>
      <c r="E105" s="11"/>
      <c r="F105" s="12"/>
      <c r="G105" s="50"/>
      <c r="H105" s="53"/>
      <c r="I105" s="34"/>
      <c r="J105" s="12"/>
      <c r="K105" s="12"/>
      <c r="L105" s="12"/>
      <c r="M105" s="12"/>
    </row>
    <row r="106" spans="2:13" x14ac:dyDescent="0.35">
      <c r="D106" s="11"/>
      <c r="E106" s="11"/>
      <c r="F106" s="12"/>
      <c r="G106" s="298"/>
      <c r="H106" s="53"/>
      <c r="I106" s="34"/>
      <c r="J106" s="12"/>
      <c r="K106" s="12"/>
      <c r="L106" s="12"/>
      <c r="M106" s="12"/>
    </row>
    <row r="107" spans="2:13" x14ac:dyDescent="0.35">
      <c r="B107" s="299"/>
      <c r="C107" s="299"/>
      <c r="D107" s="300"/>
      <c r="E107" s="300"/>
      <c r="F107" s="22"/>
      <c r="G107" s="249" t="s">
        <v>0</v>
      </c>
      <c r="H107" s="53"/>
      <c r="I107" s="34"/>
      <c r="J107" s="12"/>
      <c r="K107" s="12"/>
      <c r="L107" s="12"/>
      <c r="M107" s="12"/>
    </row>
    <row r="108" spans="2:13" x14ac:dyDescent="0.35">
      <c r="D108" s="11"/>
      <c r="E108" s="11"/>
      <c r="F108" s="12"/>
      <c r="G108" s="50"/>
      <c r="H108" s="53"/>
      <c r="I108" s="34"/>
      <c r="J108" s="12"/>
      <c r="K108" s="12"/>
      <c r="L108" s="12"/>
      <c r="M108" s="12"/>
    </row>
    <row r="109" spans="2:13" ht="16" thickBot="1" x14ac:dyDescent="0.4">
      <c r="B109" s="1" t="s">
        <v>139</v>
      </c>
      <c r="C109" s="83" t="s">
        <v>36</v>
      </c>
      <c r="D109" s="11"/>
      <c r="E109" s="11"/>
      <c r="F109" s="12"/>
      <c r="G109" s="50"/>
      <c r="H109" s="53"/>
      <c r="I109" s="34"/>
      <c r="J109" s="12"/>
      <c r="K109" s="12"/>
      <c r="L109" s="12"/>
      <c r="M109" s="12"/>
    </row>
    <row r="110" spans="2:13" x14ac:dyDescent="0.35">
      <c r="B110" s="13" t="s">
        <v>70</v>
      </c>
      <c r="C110" s="307">
        <v>1723</v>
      </c>
      <c r="D110" s="11" t="s">
        <v>38</v>
      </c>
      <c r="E110" s="11"/>
      <c r="F110" s="12"/>
      <c r="G110" s="50"/>
      <c r="H110" s="53"/>
      <c r="I110" s="34"/>
      <c r="J110" s="12"/>
      <c r="K110" s="12"/>
      <c r="L110" s="12"/>
      <c r="M110" s="12"/>
    </row>
    <row r="111" spans="2:13" ht="16" thickBot="1" x14ac:dyDescent="0.4">
      <c r="B111" s="60" t="s">
        <v>128</v>
      </c>
      <c r="C111" s="17">
        <v>800</v>
      </c>
      <c r="D111" s="11" t="s">
        <v>64</v>
      </c>
      <c r="E111" s="11"/>
      <c r="F111" s="12"/>
      <c r="G111" s="50"/>
      <c r="H111" s="53"/>
      <c r="I111" s="34"/>
      <c r="J111" s="12"/>
      <c r="K111" s="12"/>
      <c r="L111" s="12"/>
      <c r="M111" s="12"/>
    </row>
    <row r="112" spans="2:13" x14ac:dyDescent="0.35">
      <c r="C112" s="83" t="s">
        <v>13</v>
      </c>
      <c r="D112" s="11"/>
      <c r="E112" s="11"/>
      <c r="F112" s="12"/>
      <c r="G112" s="50"/>
      <c r="H112" s="53"/>
      <c r="I112" s="34"/>
      <c r="J112" s="12"/>
      <c r="K112" s="12"/>
      <c r="L112" s="12"/>
      <c r="M112" s="12"/>
    </row>
    <row r="113" spans="2:13" x14ac:dyDescent="0.35">
      <c r="B113" s="87" t="s">
        <v>140</v>
      </c>
      <c r="C113" s="1" t="s">
        <v>141</v>
      </c>
      <c r="D113" s="1"/>
      <c r="E113" s="11"/>
      <c r="F113" s="12"/>
      <c r="G113" s="50"/>
      <c r="H113" s="53"/>
      <c r="I113" s="34"/>
      <c r="J113" s="12"/>
      <c r="K113" s="12"/>
      <c r="L113" s="12"/>
      <c r="M113" s="12"/>
    </row>
    <row r="114" spans="2:13" x14ac:dyDescent="0.35">
      <c r="B114" s="87" t="s">
        <v>142</v>
      </c>
      <c r="C114" s="272">
        <f>C110*(1200+C111)/1200</f>
        <v>2871.6666666666665</v>
      </c>
      <c r="D114" s="1" t="s">
        <v>38</v>
      </c>
      <c r="E114" s="11"/>
      <c r="F114" s="12"/>
      <c r="G114" s="50"/>
      <c r="H114" s="53"/>
      <c r="I114" s="34"/>
      <c r="J114" s="12"/>
      <c r="K114" s="12"/>
      <c r="L114" s="12"/>
      <c r="M114" s="12"/>
    </row>
    <row r="115" spans="2:13" x14ac:dyDescent="0.35">
      <c r="D115" s="11"/>
      <c r="E115" s="11"/>
      <c r="F115" s="12"/>
      <c r="G115" s="298"/>
      <c r="H115" s="53"/>
      <c r="I115" s="34"/>
      <c r="J115" s="12"/>
      <c r="K115" s="12"/>
      <c r="L115" s="12"/>
      <c r="M115" s="12"/>
    </row>
    <row r="116" spans="2:13" x14ac:dyDescent="0.35">
      <c r="B116" s="358" t="s">
        <v>0</v>
      </c>
      <c r="C116" s="305"/>
      <c r="D116" s="300"/>
      <c r="E116" s="300"/>
      <c r="F116" s="22"/>
      <c r="G116" s="50"/>
      <c r="H116" s="53"/>
      <c r="I116" s="34"/>
      <c r="J116" s="12"/>
      <c r="K116" s="12"/>
      <c r="L116" s="12"/>
      <c r="M116" s="12"/>
    </row>
    <row r="117" spans="2:13" x14ac:dyDescent="0.35">
      <c r="D117" s="11"/>
      <c r="E117" s="11"/>
      <c r="F117" s="12"/>
      <c r="G117" s="50"/>
      <c r="H117" s="53"/>
      <c r="I117" s="34"/>
      <c r="J117" s="12"/>
      <c r="K117" s="12"/>
      <c r="L117" s="12"/>
      <c r="M117" s="12"/>
    </row>
    <row r="118" spans="2:13" ht="16" thickBot="1" x14ac:dyDescent="0.4">
      <c r="B118" s="1" t="s">
        <v>143</v>
      </c>
      <c r="C118" s="83" t="s">
        <v>4</v>
      </c>
      <c r="D118" s="11"/>
      <c r="E118" s="11"/>
      <c r="F118" s="12"/>
      <c r="G118" s="50"/>
      <c r="H118" s="53"/>
      <c r="I118" s="34"/>
      <c r="J118" s="12"/>
      <c r="K118" s="12"/>
      <c r="L118" s="12"/>
      <c r="M118" s="12"/>
    </row>
    <row r="119" spans="2:13" x14ac:dyDescent="0.35">
      <c r="B119" s="60" t="s">
        <v>134</v>
      </c>
      <c r="C119" s="307">
        <v>4000</v>
      </c>
      <c r="D119" s="11" t="s">
        <v>60</v>
      </c>
      <c r="E119" s="11"/>
      <c r="F119" s="12"/>
      <c r="G119" s="50"/>
      <c r="H119" s="53"/>
      <c r="I119" s="34"/>
      <c r="J119" s="12"/>
      <c r="K119" s="12"/>
      <c r="L119" s="12"/>
      <c r="M119" s="12"/>
    </row>
    <row r="120" spans="2:13" x14ac:dyDescent="0.35">
      <c r="B120" s="13" t="s">
        <v>82</v>
      </c>
      <c r="C120" s="16">
        <v>1.5</v>
      </c>
      <c r="D120" s="11" t="s">
        <v>10</v>
      </c>
      <c r="E120" s="11"/>
      <c r="F120" s="12"/>
      <c r="G120" s="50"/>
      <c r="H120" s="53"/>
      <c r="I120" s="34"/>
      <c r="J120" s="12"/>
      <c r="K120" s="12"/>
      <c r="L120" s="12"/>
      <c r="M120" s="12"/>
    </row>
    <row r="121" spans="2:13" x14ac:dyDescent="0.35">
      <c r="B121" s="13" t="s">
        <v>83</v>
      </c>
      <c r="C121" s="16">
        <v>9.4E-2</v>
      </c>
      <c r="D121" s="11"/>
      <c r="E121" s="11"/>
      <c r="F121" s="12"/>
      <c r="G121" s="50"/>
      <c r="H121" s="53"/>
      <c r="I121" s="34"/>
      <c r="J121" s="12"/>
      <c r="K121" s="12"/>
      <c r="L121" s="12"/>
      <c r="M121" s="12"/>
    </row>
    <row r="122" spans="2:13" ht="16" thickBot="1" x14ac:dyDescent="0.4">
      <c r="B122" s="13" t="s">
        <v>144</v>
      </c>
      <c r="C122" s="17">
        <v>5.3</v>
      </c>
      <c r="D122" s="11" t="s">
        <v>10</v>
      </c>
      <c r="E122" s="11"/>
      <c r="F122" s="12"/>
      <c r="G122" s="50"/>
      <c r="H122" s="53"/>
      <c r="I122" s="34"/>
      <c r="J122" s="12"/>
      <c r="K122" s="12"/>
      <c r="L122" s="12"/>
      <c r="M122" s="12"/>
    </row>
    <row r="123" spans="2:13" x14ac:dyDescent="0.35">
      <c r="C123" s="83" t="s">
        <v>13</v>
      </c>
      <c r="D123" s="11"/>
      <c r="E123" s="11"/>
      <c r="F123" s="12"/>
      <c r="G123" s="50"/>
      <c r="H123" s="53"/>
      <c r="I123" s="34"/>
      <c r="J123" s="12"/>
      <c r="K123" s="12"/>
      <c r="L123" s="12"/>
      <c r="M123" s="12"/>
    </row>
    <row r="124" spans="2:13" x14ac:dyDescent="0.35">
      <c r="B124" s="87" t="s">
        <v>145</v>
      </c>
      <c r="C124" s="1" t="s">
        <v>146</v>
      </c>
      <c r="D124" s="11"/>
      <c r="E124" s="11"/>
      <c r="F124" s="12"/>
      <c r="G124" s="298"/>
      <c r="H124" s="53"/>
      <c r="I124" s="34"/>
      <c r="J124" s="12"/>
      <c r="K124" s="12"/>
      <c r="L124" s="12"/>
      <c r="M124" s="12"/>
    </row>
    <row r="125" spans="2:13" x14ac:dyDescent="0.35">
      <c r="B125" s="87" t="s">
        <v>147</v>
      </c>
      <c r="C125" s="129">
        <f>C119*C120*C121*3.142/C122</f>
        <v>334.35622641509434</v>
      </c>
      <c r="D125" s="1" t="s">
        <v>148</v>
      </c>
      <c r="E125" s="11"/>
      <c r="F125" s="12"/>
      <c r="G125" s="298"/>
      <c r="H125" s="53"/>
      <c r="I125" s="34"/>
      <c r="J125" s="12"/>
      <c r="K125" s="12"/>
      <c r="L125" s="12"/>
      <c r="M125" s="12"/>
    </row>
    <row r="126" spans="2:13" x14ac:dyDescent="0.35">
      <c r="D126" s="11"/>
      <c r="E126" s="11"/>
      <c r="F126" s="12"/>
      <c r="G126" s="298"/>
      <c r="H126" s="53"/>
      <c r="I126" s="34"/>
      <c r="J126" s="12"/>
      <c r="K126" s="12"/>
      <c r="L126" s="12"/>
      <c r="M126" s="12"/>
    </row>
    <row r="127" spans="2:13" x14ac:dyDescent="0.35">
      <c r="B127" s="358"/>
      <c r="C127" s="305"/>
      <c r="D127" s="300"/>
      <c r="E127" s="300"/>
      <c r="F127" s="22"/>
      <c r="G127" s="298"/>
      <c r="H127" s="53"/>
      <c r="I127" s="34"/>
      <c r="J127" s="12"/>
      <c r="K127" s="12"/>
      <c r="L127" s="12"/>
      <c r="M127" s="12"/>
    </row>
    <row r="128" spans="2:13" x14ac:dyDescent="0.35">
      <c r="D128" s="11"/>
      <c r="E128" s="11"/>
      <c r="F128" s="12"/>
      <c r="G128" s="50"/>
      <c r="H128" s="53"/>
      <c r="I128" s="34"/>
      <c r="J128" s="12"/>
      <c r="K128" s="12"/>
      <c r="L128" s="12"/>
      <c r="M128" s="12"/>
    </row>
    <row r="129" spans="2:13" ht="16" thickBot="1" x14ac:dyDescent="0.4">
      <c r="F129" s="12"/>
      <c r="G129" s="50"/>
      <c r="H129" s="53"/>
      <c r="I129" s="34"/>
      <c r="J129" s="12"/>
      <c r="K129" s="12"/>
      <c r="L129" s="12"/>
      <c r="M129" s="12"/>
    </row>
    <row r="130" spans="2:13" ht="16" thickBot="1" x14ac:dyDescent="0.4">
      <c r="B130" s="121"/>
      <c r="C130" s="341" t="s">
        <v>156</v>
      </c>
      <c r="D130" s="359"/>
      <c r="E130" s="11"/>
      <c r="F130" s="12"/>
      <c r="G130" s="298"/>
      <c r="H130" s="53"/>
      <c r="I130" s="34"/>
      <c r="J130" s="12"/>
      <c r="K130" s="12"/>
      <c r="L130" s="12"/>
      <c r="M130" s="12"/>
    </row>
    <row r="131" spans="2:13" ht="16" thickBot="1" x14ac:dyDescent="0.4">
      <c r="B131" s="342" t="s">
        <v>157</v>
      </c>
      <c r="C131" s="343" t="s">
        <v>158</v>
      </c>
      <c r="D131" s="344" t="s">
        <v>159</v>
      </c>
      <c r="E131" s="11"/>
      <c r="F131" s="12"/>
      <c r="G131" s="298"/>
      <c r="H131" s="53"/>
      <c r="I131" s="34"/>
      <c r="J131" s="12"/>
      <c r="K131" s="12"/>
      <c r="L131" s="12"/>
      <c r="M131" s="12"/>
    </row>
    <row r="132" spans="2:13" x14ac:dyDescent="0.35">
      <c r="B132" s="360" t="s">
        <v>160</v>
      </c>
      <c r="C132" s="345" t="s">
        <v>161</v>
      </c>
      <c r="D132" s="361">
        <v>50</v>
      </c>
      <c r="E132" s="112"/>
      <c r="F132" s="12"/>
      <c r="G132" s="298"/>
      <c r="H132" s="53"/>
      <c r="I132" s="34"/>
      <c r="J132" s="12"/>
      <c r="K132" s="12"/>
      <c r="L132" s="12"/>
      <c r="M132" s="12"/>
    </row>
    <row r="133" spans="2:13" x14ac:dyDescent="0.35">
      <c r="B133" s="360" t="s">
        <v>162</v>
      </c>
      <c r="C133" s="345" t="s">
        <v>163</v>
      </c>
      <c r="D133" s="361">
        <v>60</v>
      </c>
      <c r="E133" s="11"/>
      <c r="F133" s="12"/>
      <c r="G133" s="298"/>
      <c r="H133" s="53"/>
      <c r="I133" s="34"/>
      <c r="J133" s="12"/>
      <c r="K133" s="12"/>
      <c r="L133" s="12"/>
      <c r="M133" s="12"/>
    </row>
    <row r="134" spans="2:13" x14ac:dyDescent="0.35">
      <c r="B134" s="360" t="s">
        <v>160</v>
      </c>
      <c r="C134" s="345" t="s">
        <v>163</v>
      </c>
      <c r="D134" s="361">
        <v>80</v>
      </c>
      <c r="E134" s="11"/>
      <c r="F134" s="12"/>
      <c r="G134" s="298"/>
      <c r="H134" s="53"/>
      <c r="I134" s="34"/>
      <c r="J134" s="12"/>
      <c r="K134" s="12"/>
      <c r="L134" s="12"/>
      <c r="M134" s="12"/>
    </row>
    <row r="135" spans="2:13" x14ac:dyDescent="0.35">
      <c r="B135" s="360" t="s">
        <v>160</v>
      </c>
      <c r="C135" s="345" t="s">
        <v>164</v>
      </c>
      <c r="D135" s="361">
        <v>120</v>
      </c>
      <c r="E135" s="11"/>
      <c r="F135" s="12"/>
      <c r="G135" s="298"/>
      <c r="H135" s="53"/>
      <c r="I135" s="34"/>
      <c r="J135" s="12"/>
      <c r="K135" s="12"/>
      <c r="L135" s="12"/>
      <c r="M135" s="12"/>
    </row>
    <row r="136" spans="2:13" ht="16" thickBot="1" x14ac:dyDescent="0.4">
      <c r="B136" s="362" t="s">
        <v>161</v>
      </c>
      <c r="C136" s="150" t="s">
        <v>163</v>
      </c>
      <c r="D136" s="363">
        <v>150</v>
      </c>
      <c r="E136" s="11"/>
      <c r="F136" s="12"/>
      <c r="G136" s="298"/>
      <c r="H136" s="53"/>
      <c r="I136" s="34"/>
      <c r="J136" s="12"/>
      <c r="K136" s="12"/>
      <c r="L136" s="12"/>
      <c r="M136" s="12"/>
    </row>
    <row r="137" spans="2:13" x14ac:dyDescent="0.35">
      <c r="B137" s="13"/>
      <c r="C137" s="112"/>
      <c r="D137" s="11"/>
      <c r="E137" s="11"/>
      <c r="F137" s="298"/>
      <c r="G137" s="298"/>
      <c r="H137" s="53"/>
      <c r="I137" s="34"/>
      <c r="J137" s="12"/>
      <c r="K137" s="12"/>
      <c r="L137" s="12"/>
      <c r="M137" s="12"/>
    </row>
    <row r="138" spans="2:13" ht="16" thickBot="1" x14ac:dyDescent="0.4">
      <c r="B138" s="1" t="s">
        <v>149</v>
      </c>
      <c r="C138" s="83" t="s">
        <v>4</v>
      </c>
      <c r="D138" s="11"/>
      <c r="E138" s="11"/>
      <c r="F138" s="12"/>
      <c r="G138" s="298"/>
      <c r="H138" s="53"/>
      <c r="I138" s="34"/>
      <c r="J138" s="12"/>
      <c r="K138" s="12"/>
      <c r="L138" s="12"/>
      <c r="M138" s="12"/>
    </row>
    <row r="139" spans="2:13" x14ac:dyDescent="0.35">
      <c r="B139" s="13" t="s">
        <v>150</v>
      </c>
      <c r="C139" s="15">
        <v>5.3</v>
      </c>
      <c r="D139" s="11" t="s">
        <v>10</v>
      </c>
      <c r="E139" s="11"/>
      <c r="F139" s="12"/>
      <c r="G139" s="298"/>
      <c r="H139" s="53"/>
      <c r="I139" s="34"/>
      <c r="J139" s="12"/>
      <c r="K139" s="12"/>
      <c r="L139" s="12"/>
      <c r="M139" s="12"/>
    </row>
    <row r="140" spans="2:13" x14ac:dyDescent="0.35">
      <c r="B140" s="13" t="s">
        <v>82</v>
      </c>
      <c r="C140" s="16">
        <v>1.5</v>
      </c>
      <c r="D140" s="11" t="s">
        <v>10</v>
      </c>
      <c r="E140" s="11"/>
      <c r="F140" s="12"/>
      <c r="G140" s="298"/>
      <c r="H140" s="53"/>
      <c r="I140" s="34"/>
      <c r="J140" s="12"/>
      <c r="K140" s="12"/>
      <c r="L140" s="12"/>
      <c r="M140" s="12"/>
    </row>
    <row r="141" spans="2:13" ht="16" thickBot="1" x14ac:dyDescent="0.4">
      <c r="B141" s="13" t="s">
        <v>151</v>
      </c>
      <c r="C141" s="17">
        <v>60</v>
      </c>
      <c r="D141" s="11" t="s">
        <v>8</v>
      </c>
      <c r="E141" s="11"/>
      <c r="F141" s="12"/>
      <c r="G141" s="298"/>
      <c r="H141" s="53"/>
      <c r="I141" s="34"/>
      <c r="J141" s="12"/>
      <c r="K141" s="12"/>
      <c r="L141" s="12"/>
      <c r="M141" s="12"/>
    </row>
    <row r="142" spans="2:13" x14ac:dyDescent="0.35">
      <c r="C142" s="83" t="s">
        <v>13</v>
      </c>
      <c r="D142" s="11"/>
      <c r="E142" s="11"/>
      <c r="F142" s="12"/>
      <c r="G142" s="298"/>
      <c r="H142" s="53"/>
      <c r="I142" s="34"/>
      <c r="J142" s="12"/>
      <c r="K142" s="12"/>
      <c r="L142" s="12"/>
      <c r="M142" s="12"/>
    </row>
    <row r="143" spans="2:13" x14ac:dyDescent="0.35">
      <c r="B143" s="87" t="s">
        <v>152</v>
      </c>
      <c r="C143" s="84" t="s">
        <v>153</v>
      </c>
      <c r="D143" s="1"/>
      <c r="E143" s="11"/>
      <c r="F143" s="12"/>
      <c r="G143" s="298"/>
      <c r="H143" s="53"/>
      <c r="I143" s="34"/>
      <c r="J143" s="12"/>
      <c r="K143" s="12"/>
      <c r="L143" s="12"/>
      <c r="M143" s="12"/>
    </row>
    <row r="144" spans="2:13" x14ac:dyDescent="0.35">
      <c r="B144" s="87" t="s">
        <v>154</v>
      </c>
      <c r="C144" s="84">
        <f>C139*C140*C141</f>
        <v>476.99999999999994</v>
      </c>
      <c r="D144" s="1" t="s">
        <v>38</v>
      </c>
      <c r="E144" s="11" t="s">
        <v>0</v>
      </c>
      <c r="F144" s="12"/>
      <c r="G144" s="298"/>
      <c r="H144" s="53"/>
      <c r="I144" s="34"/>
      <c r="J144" s="12"/>
      <c r="K144" s="12"/>
      <c r="L144" s="12"/>
      <c r="M144" s="12"/>
    </row>
    <row r="145" spans="2:14" x14ac:dyDescent="0.35">
      <c r="F145" s="12"/>
      <c r="G145" s="298"/>
      <c r="H145" s="53"/>
      <c r="I145" s="34"/>
      <c r="J145" s="12"/>
      <c r="K145" s="12"/>
      <c r="L145" s="12"/>
      <c r="M145" s="12"/>
    </row>
    <row r="146" spans="2:14" x14ac:dyDescent="0.35">
      <c r="B146" s="358"/>
      <c r="C146" s="305"/>
      <c r="D146" s="300"/>
      <c r="E146" s="300"/>
      <c r="F146" s="22"/>
      <c r="G146" s="298"/>
      <c r="H146" s="53"/>
      <c r="I146" s="34"/>
      <c r="J146" s="12"/>
      <c r="K146" s="12"/>
      <c r="L146" s="12"/>
      <c r="M146" s="12"/>
    </row>
    <row r="147" spans="2:14" x14ac:dyDescent="0.35">
      <c r="F147" s="12"/>
      <c r="G147" s="298"/>
      <c r="H147" s="53"/>
      <c r="I147" s="34"/>
      <c r="J147" s="12"/>
      <c r="K147" s="12"/>
      <c r="L147" s="12"/>
      <c r="M147" s="12"/>
    </row>
    <row r="148" spans="2:14" x14ac:dyDescent="0.35">
      <c r="B148" s="1" t="s">
        <v>155</v>
      </c>
      <c r="F148" s="12"/>
      <c r="G148" s="12"/>
      <c r="H148" s="12"/>
      <c r="I148" s="12"/>
      <c r="J148" s="12"/>
      <c r="K148" s="12"/>
      <c r="L148" s="12"/>
      <c r="M148" s="12"/>
    </row>
    <row r="149" spans="2:14" x14ac:dyDescent="0.35">
      <c r="F149" s="12"/>
      <c r="G149" s="12"/>
      <c r="H149" s="12"/>
      <c r="I149" s="12"/>
      <c r="J149" s="12"/>
      <c r="K149" s="12"/>
      <c r="L149" s="12"/>
      <c r="M149" s="12"/>
    </row>
    <row r="150" spans="2:14" x14ac:dyDescent="0.35">
      <c r="B150" s="1" t="s">
        <v>90</v>
      </c>
      <c r="D150" s="11"/>
      <c r="E150" s="11"/>
      <c r="F150" s="12"/>
      <c r="G150" s="298"/>
      <c r="H150" s="53"/>
      <c r="I150" s="34"/>
      <c r="J150" s="12"/>
      <c r="K150" s="12"/>
      <c r="L150" s="12"/>
      <c r="M150" s="12"/>
    </row>
    <row r="151" spans="2:14" x14ac:dyDescent="0.35">
      <c r="B151" s="87" t="s">
        <v>91</v>
      </c>
      <c r="C151" s="1" t="s">
        <v>92</v>
      </c>
      <c r="D151" s="11"/>
      <c r="E151" s="11"/>
      <c r="F151" s="12"/>
      <c r="G151" s="298"/>
      <c r="H151" s="53"/>
      <c r="I151" s="34"/>
      <c r="J151" s="12"/>
      <c r="K151" s="12"/>
      <c r="L151" s="12"/>
      <c r="M151" s="12"/>
    </row>
    <row r="152" spans="2:14" x14ac:dyDescent="0.35">
      <c r="B152" s="87" t="s">
        <v>93</v>
      </c>
      <c r="C152" s="2" t="s">
        <v>94</v>
      </c>
      <c r="D152" s="11"/>
      <c r="E152" s="11"/>
      <c r="F152" s="12"/>
      <c r="G152" s="298"/>
      <c r="H152" s="53"/>
      <c r="I152" s="34"/>
      <c r="J152" s="12"/>
      <c r="K152" s="12"/>
      <c r="L152" s="12"/>
      <c r="M152" s="12"/>
    </row>
    <row r="153" spans="2:14" x14ac:dyDescent="0.35">
      <c r="E153" s="11"/>
      <c r="F153" s="12"/>
      <c r="G153" s="298"/>
      <c r="H153" s="53"/>
      <c r="I153" s="34"/>
      <c r="J153" s="12"/>
      <c r="K153" s="12"/>
      <c r="L153" s="12"/>
      <c r="M153" s="12"/>
    </row>
    <row r="154" spans="2:14" ht="16" thickBot="1" x14ac:dyDescent="0.4">
      <c r="C154" s="83" t="s">
        <v>165</v>
      </c>
      <c r="D154" s="11"/>
      <c r="E154" s="34"/>
      <c r="F154" s="12"/>
      <c r="G154" s="298"/>
      <c r="H154" s="53"/>
      <c r="I154" s="34"/>
      <c r="J154" s="12"/>
      <c r="K154" s="12"/>
      <c r="L154" s="12"/>
      <c r="M154" s="12"/>
    </row>
    <row r="155" spans="2:14" x14ac:dyDescent="0.35">
      <c r="B155" s="13" t="s">
        <v>531</v>
      </c>
      <c r="C155" s="15">
        <v>5</v>
      </c>
      <c r="D155" s="9" t="s">
        <v>89</v>
      </c>
      <c r="E155" s="34"/>
      <c r="F155" s="12"/>
      <c r="G155" s="298"/>
      <c r="H155" s="53"/>
      <c r="I155" s="34"/>
      <c r="J155" s="12"/>
      <c r="K155" s="12"/>
    </row>
    <row r="156" spans="2:14" ht="18.5" thickBot="1" x14ac:dyDescent="0.45">
      <c r="B156" s="60" t="s">
        <v>512</v>
      </c>
      <c r="C156" s="16">
        <v>1750</v>
      </c>
      <c r="D156" s="9" t="s">
        <v>88</v>
      </c>
      <c r="E156" s="12"/>
      <c r="F156" s="96" t="s">
        <v>519</v>
      </c>
      <c r="G156" s="293"/>
      <c r="H156" s="53"/>
      <c r="I156" s="34"/>
    </row>
    <row r="157" spans="2:14" ht="16" thickBot="1" x14ac:dyDescent="0.4">
      <c r="B157" s="60" t="s">
        <v>530</v>
      </c>
      <c r="C157" s="16">
        <v>2</v>
      </c>
      <c r="D157" s="11"/>
      <c r="E157" s="12"/>
      <c r="F157" s="367" t="s">
        <v>523</v>
      </c>
      <c r="G157" s="101"/>
      <c r="H157" s="101"/>
      <c r="I157" s="366"/>
      <c r="J157" s="102"/>
    </row>
    <row r="158" spans="2:14" ht="16" thickBot="1" x14ac:dyDescent="0.4">
      <c r="B158" s="60" t="s">
        <v>96</v>
      </c>
      <c r="C158" s="61">
        <v>0.375</v>
      </c>
      <c r="D158" s="11" t="s">
        <v>121</v>
      </c>
      <c r="E158" s="12"/>
      <c r="I158" s="34"/>
      <c r="J158" s="12"/>
      <c r="K158" s="12"/>
      <c r="L158" s="12"/>
      <c r="M158" s="12"/>
      <c r="N158" s="12"/>
    </row>
    <row r="159" spans="2:14" ht="16" thickBot="1" x14ac:dyDescent="0.4">
      <c r="B159" s="60" t="s">
        <v>98</v>
      </c>
      <c r="C159" s="228">
        <v>3.5</v>
      </c>
      <c r="D159" s="10" t="s">
        <v>10</v>
      </c>
      <c r="E159" s="12"/>
      <c r="F159" s="155" t="s">
        <v>516</v>
      </c>
      <c r="G159" s="155" t="s">
        <v>517</v>
      </c>
      <c r="H159" s="155" t="s">
        <v>518</v>
      </c>
      <c r="I159" s="34"/>
      <c r="J159" s="12"/>
      <c r="K159" s="12"/>
      <c r="L159" s="12"/>
      <c r="M159" s="12"/>
      <c r="N159" s="12"/>
    </row>
    <row r="160" spans="2:14" x14ac:dyDescent="0.35">
      <c r="B160" s="120" t="s">
        <v>739</v>
      </c>
      <c r="C160" s="61">
        <v>32</v>
      </c>
      <c r="D160" s="1" t="s">
        <v>8</v>
      </c>
      <c r="E160" s="12"/>
      <c r="F160" s="345">
        <v>0</v>
      </c>
      <c r="G160" s="345">
        <f>F160*3.2808</f>
        <v>0</v>
      </c>
      <c r="H160" s="345">
        <v>0.14499999999999999</v>
      </c>
      <c r="I160" s="34"/>
      <c r="J160" s="12"/>
      <c r="K160" s="12"/>
      <c r="L160" s="12"/>
      <c r="M160" s="12"/>
      <c r="N160" s="12"/>
    </row>
    <row r="161" spans="2:14" ht="16" thickBot="1" x14ac:dyDescent="0.4">
      <c r="B161" s="120" t="s">
        <v>785</v>
      </c>
      <c r="C161" s="263">
        <v>6</v>
      </c>
      <c r="E161" s="12"/>
      <c r="F161" s="345">
        <v>1E-3</v>
      </c>
      <c r="G161" s="345">
        <f t="shared" ref="G161:G165" si="0">F161*3.2808</f>
        <v>3.2808000000000004E-3</v>
      </c>
      <c r="H161" s="345">
        <v>0.12</v>
      </c>
      <c r="I161" s="34"/>
      <c r="J161" s="12"/>
      <c r="K161" s="12"/>
      <c r="L161" s="12"/>
      <c r="M161" s="12"/>
      <c r="N161" s="12"/>
    </row>
    <row r="162" spans="2:14" x14ac:dyDescent="0.35">
      <c r="C162" s="83" t="s">
        <v>13</v>
      </c>
      <c r="D162" s="11"/>
      <c r="E162" s="12"/>
      <c r="F162" s="345">
        <v>0.01</v>
      </c>
      <c r="G162" s="345">
        <f t="shared" si="0"/>
        <v>3.2808000000000004E-2</v>
      </c>
      <c r="H162" s="345">
        <v>0.11</v>
      </c>
      <c r="I162" s="34"/>
      <c r="J162" s="12"/>
      <c r="K162" s="12"/>
      <c r="L162" s="12"/>
      <c r="M162" s="12"/>
      <c r="N162" s="12"/>
    </row>
    <row r="163" spans="2:14" x14ac:dyDescent="0.35">
      <c r="B163" s="87" t="s">
        <v>547</v>
      </c>
      <c r="C163" s="1" t="s">
        <v>109</v>
      </c>
      <c r="D163" s="1"/>
      <c r="E163" s="12"/>
      <c r="F163" s="345">
        <v>0.05</v>
      </c>
      <c r="G163" s="345">
        <f t="shared" si="0"/>
        <v>0.16404000000000002</v>
      </c>
      <c r="H163" s="345">
        <v>0.09</v>
      </c>
      <c r="I163" s="34"/>
      <c r="J163" s="12"/>
      <c r="K163" s="12"/>
      <c r="L163" s="12"/>
      <c r="M163" s="12"/>
      <c r="N163" s="12"/>
    </row>
    <row r="164" spans="2:14" x14ac:dyDescent="0.35">
      <c r="B164" s="87" t="s">
        <v>30</v>
      </c>
      <c r="C164" s="126">
        <f>C158*C157</f>
        <v>0.75</v>
      </c>
      <c r="D164" s="1"/>
      <c r="E164" s="12"/>
      <c r="F164" s="345">
        <v>0.1</v>
      </c>
      <c r="G164" s="345">
        <f t="shared" si="0"/>
        <v>0.32808000000000004</v>
      </c>
      <c r="H164" s="345">
        <v>0.08</v>
      </c>
      <c r="I164" s="34"/>
      <c r="J164" s="12"/>
      <c r="K164" s="12"/>
      <c r="L164" s="12"/>
      <c r="M164" s="12"/>
      <c r="N164" s="12"/>
    </row>
    <row r="165" spans="2:14" x14ac:dyDescent="0.35">
      <c r="B165" s="192" t="s">
        <v>548</v>
      </c>
      <c r="C165" s="1" t="s">
        <v>120</v>
      </c>
      <c r="D165" s="6"/>
      <c r="E165" s="12"/>
      <c r="F165" s="345">
        <v>0.2</v>
      </c>
      <c r="G165" s="345">
        <f t="shared" si="0"/>
        <v>0.65616000000000008</v>
      </c>
      <c r="H165" s="345">
        <v>7.0000000000000007E-2</v>
      </c>
      <c r="I165" s="12"/>
      <c r="J165" s="12"/>
      <c r="K165" s="12"/>
      <c r="L165" s="12"/>
      <c r="M165" s="12"/>
      <c r="N165" s="12"/>
    </row>
    <row r="166" spans="2:14" x14ac:dyDescent="0.35">
      <c r="B166" s="36" t="s">
        <v>30</v>
      </c>
      <c r="C166" s="126">
        <f>57.3*ATAN(C164 / (C159 *3.1416))</f>
        <v>3.9023371738930166</v>
      </c>
      <c r="D166" s="7" t="s">
        <v>42</v>
      </c>
      <c r="E166" s="12"/>
      <c r="F166" s="345">
        <v>0.5</v>
      </c>
      <c r="G166" s="345">
        <f t="shared" ref="G166:G175" si="1">F166*3.2808</f>
        <v>1.6404000000000001</v>
      </c>
      <c r="H166" s="345">
        <v>5.5E-2</v>
      </c>
      <c r="I166" s="12"/>
      <c r="J166" s="12"/>
      <c r="K166" s="12"/>
      <c r="L166" s="12"/>
      <c r="M166" s="12"/>
      <c r="N166" s="12"/>
    </row>
    <row r="167" spans="2:14" x14ac:dyDescent="0.35">
      <c r="B167" s="7" t="s">
        <v>703</v>
      </c>
      <c r="C167" s="7"/>
      <c r="D167" s="7"/>
      <c r="E167" s="12"/>
      <c r="F167" s="345">
        <v>1</v>
      </c>
      <c r="G167" s="345">
        <f t="shared" si="1"/>
        <v>3.2808000000000002</v>
      </c>
      <c r="H167" s="345">
        <v>4.3999999999999997E-2</v>
      </c>
      <c r="I167" s="12"/>
      <c r="J167" s="12"/>
      <c r="K167" s="12"/>
      <c r="L167" s="12"/>
      <c r="M167" s="12"/>
      <c r="N167" s="12"/>
    </row>
    <row r="168" spans="2:14" x14ac:dyDescent="0.35">
      <c r="B168" s="87" t="s">
        <v>513</v>
      </c>
      <c r="C168" s="7" t="s">
        <v>522</v>
      </c>
      <c r="D168" s="7"/>
      <c r="E168" s="12"/>
      <c r="F168" s="345">
        <v>1.5</v>
      </c>
      <c r="G168" s="345">
        <f t="shared" si="1"/>
        <v>4.9212000000000007</v>
      </c>
      <c r="H168" s="345">
        <v>3.7999999999999999E-2</v>
      </c>
      <c r="I168" s="12"/>
      <c r="J168" s="12"/>
      <c r="K168" s="12"/>
      <c r="L168" s="12"/>
      <c r="M168" s="12"/>
      <c r="N168" s="12"/>
    </row>
    <row r="169" spans="2:14" x14ac:dyDescent="0.35">
      <c r="B169" s="36" t="s">
        <v>30</v>
      </c>
      <c r="C169" s="70">
        <f>C156*C158*3.1416</f>
        <v>2061.6750000000002</v>
      </c>
      <c r="D169" s="7" t="s">
        <v>514</v>
      </c>
      <c r="E169" s="12"/>
      <c r="F169" s="345">
        <v>2</v>
      </c>
      <c r="G169" s="345">
        <f t="shared" si="1"/>
        <v>6.5616000000000003</v>
      </c>
      <c r="H169" s="345">
        <v>3.3000000000000002E-2</v>
      </c>
      <c r="I169" s="12"/>
      <c r="J169" s="12"/>
      <c r="K169" s="12"/>
      <c r="L169" s="12"/>
      <c r="M169" s="12"/>
      <c r="N169" s="12"/>
    </row>
    <row r="170" spans="2:14" x14ac:dyDescent="0.35">
      <c r="B170" s="36" t="s">
        <v>511</v>
      </c>
      <c r="C170" s="7" t="s">
        <v>515</v>
      </c>
      <c r="D170" s="7"/>
      <c r="E170" s="12"/>
      <c r="F170" s="345">
        <v>5</v>
      </c>
      <c r="G170" s="345">
        <f t="shared" si="1"/>
        <v>16.404</v>
      </c>
      <c r="H170" s="345">
        <v>2.3E-2</v>
      </c>
      <c r="I170" s="12"/>
      <c r="J170" s="12"/>
      <c r="K170" s="12"/>
      <c r="L170" s="12"/>
      <c r="M170" s="12"/>
      <c r="N170" s="12"/>
    </row>
    <row r="171" spans="2:14" x14ac:dyDescent="0.35">
      <c r="B171" s="36" t="s">
        <v>30</v>
      </c>
      <c r="C171" s="70">
        <f>C169 / COS(C166/57.3)</f>
        <v>2066.465387140564</v>
      </c>
      <c r="D171" s="7" t="s">
        <v>514</v>
      </c>
      <c r="E171" s="12"/>
      <c r="F171" s="345">
        <v>8</v>
      </c>
      <c r="G171" s="345">
        <f t="shared" si="1"/>
        <v>26.246400000000001</v>
      </c>
      <c r="H171" s="345">
        <v>0.02</v>
      </c>
      <c r="I171" s="12"/>
      <c r="J171" s="12"/>
      <c r="K171" s="12"/>
      <c r="L171" s="12"/>
      <c r="M171" s="12"/>
      <c r="N171" s="12"/>
    </row>
    <row r="172" spans="2:14" x14ac:dyDescent="0.35">
      <c r="B172" s="36" t="s">
        <v>30</v>
      </c>
      <c r="C172" s="80">
        <f>C171/60</f>
        <v>34.441089785676063</v>
      </c>
      <c r="D172" s="7" t="s">
        <v>520</v>
      </c>
      <c r="E172" s="12"/>
      <c r="F172" s="345">
        <v>10</v>
      </c>
      <c r="G172" s="345">
        <f t="shared" si="1"/>
        <v>32.808</v>
      </c>
      <c r="H172" s="345">
        <v>1.7999999999999999E-2</v>
      </c>
      <c r="I172" s="12"/>
      <c r="J172" s="12"/>
      <c r="K172" s="12"/>
      <c r="L172" s="12"/>
      <c r="M172" s="12"/>
      <c r="N172" s="12"/>
    </row>
    <row r="173" spans="2:14" x14ac:dyDescent="0.35">
      <c r="B173" s="36" t="s">
        <v>30</v>
      </c>
      <c r="C173" s="80">
        <f>C172/12</f>
        <v>2.8700908154730054</v>
      </c>
      <c r="D173" s="7" t="s">
        <v>521</v>
      </c>
      <c r="E173" s="12"/>
      <c r="F173" s="345">
        <v>15</v>
      </c>
      <c r="G173" s="345">
        <f t="shared" si="1"/>
        <v>49.212000000000003</v>
      </c>
      <c r="H173" s="345">
        <v>1.7000000000000001E-2</v>
      </c>
      <c r="I173" s="12"/>
      <c r="J173" s="12"/>
      <c r="K173" s="12"/>
      <c r="L173" s="12"/>
      <c r="M173" s="12"/>
      <c r="N173" s="12"/>
    </row>
    <row r="174" spans="2:14" x14ac:dyDescent="0.35">
      <c r="B174" s="36" t="s">
        <v>30</v>
      </c>
      <c r="C174" s="68">
        <f>C173/3.2808</f>
        <v>0.87481431829828249</v>
      </c>
      <c r="D174" s="7" t="s">
        <v>516</v>
      </c>
      <c r="E174" s="12"/>
      <c r="F174" s="345">
        <v>20</v>
      </c>
      <c r="G174" s="345">
        <f t="shared" si="1"/>
        <v>65.616</v>
      </c>
      <c r="H174" s="345">
        <v>1.6E-2</v>
      </c>
      <c r="I174" s="12"/>
      <c r="J174" s="12"/>
      <c r="K174" s="12"/>
      <c r="L174" s="12"/>
      <c r="M174" s="12"/>
      <c r="N174" s="12"/>
    </row>
    <row r="175" spans="2:14" ht="16" thickBot="1" x14ac:dyDescent="0.4">
      <c r="B175" s="7" t="s">
        <v>510</v>
      </c>
      <c r="C175" s="7"/>
      <c r="D175" s="7"/>
      <c r="E175" s="12"/>
      <c r="F175" s="150">
        <v>30</v>
      </c>
      <c r="G175" s="150">
        <f t="shared" si="1"/>
        <v>98.424000000000007</v>
      </c>
      <c r="H175" s="150">
        <v>1.6E-2</v>
      </c>
      <c r="I175" s="12"/>
      <c r="J175" s="12"/>
      <c r="K175" s="12"/>
      <c r="L175" s="12"/>
      <c r="M175" s="12"/>
      <c r="N175" s="12"/>
    </row>
    <row r="176" spans="2:14" x14ac:dyDescent="0.35">
      <c r="B176" s="36" t="s">
        <v>166</v>
      </c>
      <c r="C176" s="7" t="s">
        <v>509</v>
      </c>
      <c r="D176" s="7"/>
      <c r="E176" s="12"/>
      <c r="F176" s="12"/>
      <c r="G176" s="12"/>
      <c r="H176" s="12"/>
      <c r="I176" s="12"/>
      <c r="J176" s="12"/>
      <c r="K176" s="12"/>
      <c r="L176" s="12"/>
      <c r="M176" s="12"/>
      <c r="N176" s="12"/>
    </row>
    <row r="177" spans="2:14" x14ac:dyDescent="0.35">
      <c r="B177" s="36" t="s">
        <v>30</v>
      </c>
      <c r="C177" s="71">
        <f>0.04* C174^(-0.25)</f>
        <v>4.1360046720881172E-2</v>
      </c>
      <c r="D177" s="7"/>
      <c r="E177" s="12"/>
      <c r="F177" s="12"/>
      <c r="G177" s="12"/>
      <c r="H177" s="12"/>
      <c r="I177" s="12"/>
      <c r="J177" s="12"/>
      <c r="K177" s="12"/>
      <c r="L177" s="12"/>
      <c r="M177" s="12"/>
      <c r="N177" s="12"/>
    </row>
    <row r="178" spans="2:14" x14ac:dyDescent="0.35">
      <c r="E178" s="12"/>
      <c r="F178" s="12"/>
      <c r="G178" s="12"/>
      <c r="H178" s="12"/>
      <c r="I178" s="12"/>
      <c r="J178" s="12"/>
      <c r="K178" s="12"/>
      <c r="L178" s="12"/>
      <c r="M178" s="12"/>
      <c r="N178" s="12"/>
    </row>
    <row r="179" spans="2:14" x14ac:dyDescent="0.35">
      <c r="E179" s="12"/>
      <c r="F179" s="12"/>
      <c r="G179" s="12"/>
      <c r="H179" s="12"/>
      <c r="I179" s="12"/>
      <c r="J179" s="12"/>
      <c r="K179" s="12"/>
      <c r="L179" s="12"/>
      <c r="M179" s="12"/>
      <c r="N179" s="12"/>
    </row>
    <row r="180" spans="2:14" x14ac:dyDescent="0.35">
      <c r="E180" s="12"/>
      <c r="F180" s="12"/>
      <c r="G180" s="12"/>
      <c r="H180" s="12"/>
      <c r="I180" s="12"/>
      <c r="J180" s="12"/>
      <c r="K180" s="12"/>
      <c r="L180" s="12"/>
      <c r="M180" s="12"/>
      <c r="N180" s="12"/>
    </row>
    <row r="181" spans="2:14" x14ac:dyDescent="0.35">
      <c r="E181" s="12"/>
      <c r="F181" s="12"/>
      <c r="G181" s="12"/>
      <c r="H181" s="12"/>
      <c r="I181" s="12"/>
      <c r="J181" s="12"/>
      <c r="K181" s="12"/>
      <c r="L181" s="12"/>
      <c r="M181" s="12"/>
      <c r="N181" s="12"/>
    </row>
    <row r="182" spans="2:14" x14ac:dyDescent="0.35">
      <c r="E182" s="12"/>
      <c r="F182" s="12"/>
      <c r="G182" s="12"/>
      <c r="H182" s="12"/>
      <c r="I182" s="12"/>
      <c r="J182" s="12"/>
      <c r="K182" s="12"/>
      <c r="L182" s="12"/>
      <c r="M182" s="12"/>
      <c r="N182" s="12"/>
    </row>
    <row r="183" spans="2:14" x14ac:dyDescent="0.35">
      <c r="E183" s="12"/>
      <c r="F183" s="12"/>
      <c r="G183" s="12"/>
      <c r="H183" s="12"/>
      <c r="I183" s="12"/>
      <c r="J183" s="12"/>
      <c r="K183" s="12"/>
      <c r="L183" s="12"/>
      <c r="M183" s="12"/>
      <c r="N183" s="12"/>
    </row>
    <row r="184" spans="2:14" x14ac:dyDescent="0.35">
      <c r="E184" s="12"/>
      <c r="F184" s="12"/>
      <c r="G184" s="12"/>
      <c r="H184" s="12"/>
      <c r="I184" s="12"/>
      <c r="J184" s="12"/>
      <c r="K184" s="12"/>
      <c r="L184" s="12"/>
      <c r="M184" s="12"/>
      <c r="N184" s="12"/>
    </row>
    <row r="185" spans="2:14" x14ac:dyDescent="0.35">
      <c r="E185" s="12"/>
      <c r="F185" s="12"/>
      <c r="G185" s="12"/>
      <c r="H185" s="12"/>
      <c r="I185" s="12"/>
      <c r="J185" s="12"/>
      <c r="K185" s="12"/>
      <c r="L185" s="12"/>
      <c r="M185" s="12"/>
      <c r="N185" s="12"/>
    </row>
    <row r="186" spans="2:14" x14ac:dyDescent="0.35">
      <c r="E186" s="12"/>
      <c r="F186" s="12"/>
      <c r="G186" s="12"/>
      <c r="H186" s="12"/>
      <c r="I186" s="12"/>
      <c r="J186" s="12"/>
      <c r="K186" s="12"/>
      <c r="L186" s="12"/>
      <c r="M186" s="12"/>
      <c r="N186" s="12"/>
    </row>
    <row r="187" spans="2:14" x14ac:dyDescent="0.35">
      <c r="E187" s="12"/>
      <c r="F187" s="12"/>
      <c r="G187" s="12"/>
      <c r="H187" s="12"/>
      <c r="I187" s="12"/>
      <c r="J187" s="12"/>
      <c r="K187" s="12"/>
      <c r="L187" s="12"/>
      <c r="M187" s="12"/>
      <c r="N187" s="12"/>
    </row>
    <row r="188" spans="2:14" x14ac:dyDescent="0.35">
      <c r="E188" s="12"/>
      <c r="F188" s="12"/>
      <c r="G188" s="12"/>
      <c r="H188" s="12"/>
      <c r="I188" s="12"/>
      <c r="J188" s="12"/>
      <c r="K188" s="12"/>
      <c r="L188" s="12"/>
      <c r="M188" s="12"/>
      <c r="N188" s="12"/>
    </row>
    <row r="189" spans="2:14" x14ac:dyDescent="0.35">
      <c r="E189" s="12"/>
      <c r="F189" s="12"/>
      <c r="G189" s="12"/>
      <c r="H189" s="12"/>
      <c r="I189" s="12"/>
      <c r="J189" s="12"/>
      <c r="K189" s="12"/>
      <c r="L189" s="12"/>
      <c r="M189" s="12"/>
      <c r="N189" s="12"/>
    </row>
    <row r="190" spans="2:14" x14ac:dyDescent="0.35">
      <c r="C190" s="83" t="s">
        <v>533</v>
      </c>
      <c r="E190" s="12"/>
      <c r="F190" s="12"/>
      <c r="G190" s="12"/>
      <c r="H190" s="12"/>
      <c r="I190" s="12"/>
      <c r="J190" s="12"/>
      <c r="K190" s="12"/>
      <c r="L190" s="12"/>
      <c r="M190" s="12"/>
      <c r="N190" s="12"/>
    </row>
    <row r="191" spans="2:14" x14ac:dyDescent="0.35">
      <c r="B191" s="36" t="s">
        <v>539</v>
      </c>
      <c r="C191" s="7" t="s">
        <v>532</v>
      </c>
      <c r="D191" s="7"/>
      <c r="E191" s="12"/>
      <c r="F191" s="12"/>
      <c r="G191" s="12"/>
      <c r="H191" s="12"/>
      <c r="I191" s="12"/>
      <c r="J191" s="12"/>
      <c r="K191" s="12"/>
      <c r="L191" s="12"/>
      <c r="M191" s="12"/>
      <c r="N191" s="12"/>
    </row>
    <row r="192" spans="2:14" x14ac:dyDescent="0.35">
      <c r="B192" s="36" t="s">
        <v>30</v>
      </c>
      <c r="C192" s="80">
        <f>5252*C155 / C156</f>
        <v>15.005714285714285</v>
      </c>
      <c r="D192" s="7" t="s">
        <v>507</v>
      </c>
      <c r="E192" s="12"/>
      <c r="F192" s="12"/>
      <c r="G192" s="12"/>
      <c r="H192" s="12"/>
      <c r="I192" s="12"/>
      <c r="J192" s="12"/>
      <c r="K192" s="12"/>
      <c r="L192" s="12"/>
      <c r="M192" s="12"/>
      <c r="N192" s="12"/>
    </row>
    <row r="193" spans="2:14" x14ac:dyDescent="0.35">
      <c r="B193" s="36" t="s">
        <v>535</v>
      </c>
      <c r="C193" s="7" t="s">
        <v>543</v>
      </c>
      <c r="D193" s="7"/>
      <c r="E193" s="12"/>
      <c r="F193" s="12"/>
      <c r="G193" s="12"/>
      <c r="H193" s="12"/>
      <c r="I193" s="12"/>
      <c r="J193" s="12"/>
      <c r="K193" s="12"/>
      <c r="L193" s="12"/>
      <c r="M193" s="12"/>
      <c r="N193" s="12"/>
    </row>
    <row r="194" spans="2:14" x14ac:dyDescent="0.35">
      <c r="B194" s="36" t="s">
        <v>30</v>
      </c>
      <c r="C194" s="70">
        <f>12*C192 / (C159/2)</f>
        <v>102.89632653061224</v>
      </c>
      <c r="D194" s="7" t="s">
        <v>534</v>
      </c>
      <c r="E194" s="12"/>
      <c r="F194" s="12"/>
      <c r="G194" s="12"/>
      <c r="H194" s="12"/>
      <c r="I194" s="12"/>
      <c r="J194" s="12"/>
      <c r="K194" s="12"/>
      <c r="L194" s="12"/>
      <c r="M194" s="12"/>
      <c r="N194" s="12"/>
    </row>
    <row r="195" spans="2:14" x14ac:dyDescent="0.35">
      <c r="B195" s="73" t="s">
        <v>542</v>
      </c>
      <c r="C195" s="1" t="s">
        <v>236</v>
      </c>
      <c r="D195" s="7"/>
      <c r="E195" s="12"/>
      <c r="F195" s="12"/>
      <c r="G195" s="12"/>
      <c r="H195" s="12"/>
      <c r="I195" s="12"/>
      <c r="J195" s="12"/>
      <c r="K195" s="12"/>
      <c r="L195" s="12"/>
      <c r="M195" s="12"/>
      <c r="N195" s="12"/>
    </row>
    <row r="196" spans="2:14" x14ac:dyDescent="0.35">
      <c r="B196" s="36" t="s">
        <v>30</v>
      </c>
      <c r="C196" s="6">
        <f>C160/C157</f>
        <v>16</v>
      </c>
      <c r="D196" s="7" t="s">
        <v>8</v>
      </c>
      <c r="E196" s="12"/>
      <c r="F196" s="12"/>
      <c r="G196" s="12"/>
      <c r="H196" s="12"/>
      <c r="I196" s="12"/>
      <c r="J196" s="12"/>
      <c r="K196" s="12"/>
      <c r="L196" s="12"/>
      <c r="M196" s="12"/>
      <c r="N196" s="12"/>
    </row>
    <row r="197" spans="2:14" x14ac:dyDescent="0.35">
      <c r="B197" s="87" t="s">
        <v>537</v>
      </c>
      <c r="C197" s="7" t="s">
        <v>538</v>
      </c>
      <c r="D197" s="7"/>
      <c r="E197" s="12"/>
      <c r="F197" s="12"/>
      <c r="G197" s="12"/>
      <c r="H197" s="12"/>
      <c r="I197" s="12"/>
      <c r="J197" s="12"/>
      <c r="K197" s="12"/>
      <c r="L197" s="12"/>
      <c r="M197" s="12"/>
      <c r="N197" s="12"/>
    </row>
    <row r="198" spans="2:14" x14ac:dyDescent="0.35">
      <c r="B198" s="36" t="s">
        <v>30</v>
      </c>
      <c r="C198" s="77">
        <f>C156 / C196</f>
        <v>109.375</v>
      </c>
      <c r="D198" s="7" t="s">
        <v>88</v>
      </c>
      <c r="E198" s="12"/>
      <c r="F198" s="12"/>
      <c r="G198" s="12"/>
      <c r="H198" s="12"/>
      <c r="I198" s="12"/>
      <c r="J198" s="12"/>
      <c r="K198" s="12"/>
      <c r="L198" s="12"/>
      <c r="M198" s="12"/>
      <c r="N198" s="12"/>
    </row>
    <row r="199" spans="2:14" x14ac:dyDescent="0.35">
      <c r="B199" s="36" t="s">
        <v>540</v>
      </c>
      <c r="C199" s="7" t="s">
        <v>541</v>
      </c>
      <c r="D199" s="7"/>
      <c r="E199" s="12"/>
      <c r="F199" s="12"/>
      <c r="G199" s="12"/>
      <c r="H199" s="12"/>
      <c r="I199" s="12"/>
      <c r="J199" s="12"/>
      <c r="K199" s="12"/>
      <c r="L199" s="12"/>
      <c r="M199" s="12"/>
      <c r="N199" s="12"/>
    </row>
    <row r="200" spans="2:14" x14ac:dyDescent="0.35">
      <c r="B200" s="36" t="s">
        <v>30</v>
      </c>
      <c r="C200" s="77">
        <f>5252*C155 / C198</f>
        <v>240.09142857142857</v>
      </c>
      <c r="D200" s="7" t="s">
        <v>507</v>
      </c>
      <c r="E200" s="12"/>
      <c r="F200" s="12"/>
      <c r="G200" s="12"/>
      <c r="H200" s="12"/>
      <c r="I200" s="12"/>
      <c r="J200" s="12"/>
      <c r="K200" s="12"/>
      <c r="L200" s="12"/>
      <c r="M200" s="12"/>
      <c r="N200" s="12"/>
    </row>
    <row r="201" spans="2:14" x14ac:dyDescent="0.35">
      <c r="B201" s="73" t="s">
        <v>544</v>
      </c>
      <c r="C201" s="142" t="s">
        <v>14</v>
      </c>
      <c r="D201" s="7"/>
      <c r="E201" s="12"/>
      <c r="F201" s="12"/>
      <c r="G201" s="12"/>
      <c r="H201" s="12"/>
      <c r="I201" s="12"/>
      <c r="J201" s="12"/>
      <c r="K201" s="12"/>
      <c r="L201" s="12"/>
      <c r="M201" s="12"/>
      <c r="N201" s="12"/>
    </row>
    <row r="202" spans="2:14" x14ac:dyDescent="0.35">
      <c r="B202" s="36" t="s">
        <v>30</v>
      </c>
      <c r="C202" s="143">
        <f>C160 /C161</f>
        <v>5.333333333333333</v>
      </c>
      <c r="D202" s="7" t="s">
        <v>10</v>
      </c>
      <c r="E202" s="12"/>
      <c r="F202" s="12"/>
      <c r="G202" s="12"/>
      <c r="H202" s="12"/>
      <c r="I202" s="12"/>
      <c r="J202" s="12"/>
      <c r="K202" s="12"/>
      <c r="L202" s="12"/>
      <c r="M202" s="12"/>
      <c r="N202" s="12"/>
    </row>
    <row r="203" spans="2:14" x14ac:dyDescent="0.35">
      <c r="B203" s="36" t="s">
        <v>536</v>
      </c>
      <c r="C203" s="7" t="s">
        <v>545</v>
      </c>
      <c r="D203" s="7"/>
      <c r="E203" s="12"/>
      <c r="F203" s="12"/>
      <c r="G203" s="12"/>
      <c r="H203" s="12"/>
      <c r="I203" s="12"/>
      <c r="J203" s="12"/>
      <c r="K203" s="12"/>
      <c r="L203" s="12"/>
      <c r="M203" s="12"/>
      <c r="N203" s="12"/>
    </row>
    <row r="204" spans="2:14" x14ac:dyDescent="0.35">
      <c r="B204" s="36" t="s">
        <v>30</v>
      </c>
      <c r="C204" s="70">
        <f>12*C200 / (C202/2)</f>
        <v>1080.4114285714286</v>
      </c>
      <c r="D204" s="7" t="s">
        <v>546</v>
      </c>
      <c r="E204" s="12"/>
      <c r="F204" s="12"/>
      <c r="G204" s="12"/>
      <c r="H204" s="12"/>
      <c r="I204" s="12"/>
      <c r="J204" s="12"/>
      <c r="K204" s="12"/>
      <c r="L204" s="12"/>
      <c r="M204" s="12"/>
      <c r="N204" s="12"/>
    </row>
    <row r="205" spans="2:14" x14ac:dyDescent="0.35">
      <c r="E205" s="12"/>
      <c r="F205" s="12"/>
      <c r="G205" s="12"/>
      <c r="H205" s="12"/>
      <c r="I205" s="12"/>
      <c r="J205" s="12"/>
      <c r="K205" s="12"/>
      <c r="L205" s="12"/>
      <c r="M205" s="12"/>
      <c r="N205" s="12"/>
    </row>
    <row r="206" spans="2:14" x14ac:dyDescent="0.35">
      <c r="B206" s="299"/>
      <c r="C206" s="299"/>
      <c r="D206" s="300"/>
      <c r="E206" s="364"/>
      <c r="F206" s="22"/>
      <c r="G206" s="12"/>
      <c r="H206" s="12"/>
      <c r="I206" s="12"/>
      <c r="J206" s="12"/>
      <c r="K206" s="12"/>
      <c r="L206" s="12"/>
      <c r="M206" s="12"/>
      <c r="N206" s="12"/>
    </row>
    <row r="207" spans="2:14" x14ac:dyDescent="0.35">
      <c r="E207" s="12"/>
      <c r="F207" s="12"/>
      <c r="G207" s="12"/>
      <c r="H207" s="12"/>
      <c r="I207" s="12"/>
      <c r="J207" s="12"/>
      <c r="K207" s="12"/>
      <c r="L207" s="12"/>
      <c r="M207" s="12"/>
      <c r="N207" s="12"/>
    </row>
    <row r="208" spans="2:14" x14ac:dyDescent="0.35">
      <c r="B208" s="1" t="s">
        <v>686</v>
      </c>
      <c r="E208" s="12"/>
      <c r="F208" s="12"/>
      <c r="G208" s="12"/>
      <c r="H208" s="12"/>
      <c r="I208" s="12"/>
      <c r="J208" s="12"/>
      <c r="K208" s="12"/>
      <c r="L208" s="12"/>
      <c r="M208" s="12"/>
      <c r="N208" s="12"/>
    </row>
    <row r="209" spans="2:14" x14ac:dyDescent="0.35">
      <c r="B209" s="365" t="s">
        <v>524</v>
      </c>
      <c r="E209" s="12"/>
      <c r="F209" s="12"/>
      <c r="G209" s="12"/>
      <c r="H209" s="12"/>
      <c r="I209" s="12"/>
      <c r="J209" s="12"/>
      <c r="K209" s="12"/>
      <c r="L209" s="12"/>
      <c r="M209" s="12"/>
      <c r="N209" s="12"/>
    </row>
    <row r="210" spans="2:14" x14ac:dyDescent="0.35">
      <c r="B210" s="36" t="s">
        <v>525</v>
      </c>
      <c r="C210" s="7" t="s">
        <v>527</v>
      </c>
      <c r="E210" s="12"/>
      <c r="F210" s="12" t="s">
        <v>0</v>
      </c>
      <c r="G210" s="12"/>
      <c r="H210" s="12"/>
      <c r="I210" s="12"/>
      <c r="J210" s="12"/>
      <c r="K210" s="12"/>
      <c r="L210" s="12"/>
      <c r="M210" s="12"/>
      <c r="N210" s="12"/>
    </row>
    <row r="211" spans="2:14" x14ac:dyDescent="0.35">
      <c r="B211" s="36" t="s">
        <v>526</v>
      </c>
      <c r="C211" s="7" t="s">
        <v>528</v>
      </c>
      <c r="E211" s="12"/>
      <c r="F211" s="12"/>
      <c r="G211" s="12"/>
      <c r="H211" s="12"/>
      <c r="I211" s="12"/>
      <c r="J211" s="12"/>
      <c r="K211" s="12"/>
      <c r="L211" s="12"/>
      <c r="M211" s="12"/>
      <c r="N211" s="12"/>
    </row>
    <row r="212" spans="2:14" x14ac:dyDescent="0.35">
      <c r="B212" s="6" t="s">
        <v>529</v>
      </c>
      <c r="C212" s="7"/>
      <c r="E212" s="12"/>
      <c r="F212" s="12"/>
      <c r="G212" s="12"/>
      <c r="H212" s="12"/>
      <c r="I212" s="12"/>
      <c r="J212" s="12"/>
      <c r="K212" s="12"/>
      <c r="L212" s="12"/>
      <c r="M212" s="12"/>
      <c r="N212" s="12"/>
    </row>
    <row r="213" spans="2:14" x14ac:dyDescent="0.35">
      <c r="E213" s="12"/>
      <c r="F213" s="12"/>
      <c r="G213" s="12"/>
      <c r="H213" s="12"/>
      <c r="I213" s="12"/>
      <c r="J213" s="12"/>
      <c r="K213" s="12"/>
      <c r="L213" s="12"/>
      <c r="M213" s="12"/>
      <c r="N213" s="12"/>
    </row>
    <row r="214" spans="2:14" x14ac:dyDescent="0.35">
      <c r="B214" s="299"/>
      <c r="C214" s="299"/>
      <c r="D214" s="300"/>
      <c r="E214" s="364"/>
      <c r="F214" s="22"/>
      <c r="G214" s="12"/>
      <c r="H214" s="12"/>
      <c r="I214" s="12"/>
      <c r="J214" s="12"/>
      <c r="K214" s="12"/>
      <c r="L214" s="12"/>
      <c r="M214" s="12"/>
      <c r="N214" s="12"/>
    </row>
    <row r="215" spans="2:14" x14ac:dyDescent="0.35">
      <c r="E215" s="12"/>
      <c r="F215" s="12"/>
      <c r="G215" s="12"/>
      <c r="H215" s="12"/>
      <c r="I215" s="12"/>
      <c r="J215" s="12"/>
      <c r="K215" s="12"/>
      <c r="L215" s="12"/>
      <c r="M215" s="12"/>
      <c r="N215" s="12"/>
    </row>
    <row r="216" spans="2:14" x14ac:dyDescent="0.35">
      <c r="B216" s="1" t="s">
        <v>167</v>
      </c>
      <c r="C216" s="112"/>
      <c r="D216" s="11"/>
      <c r="E216" s="12"/>
      <c r="F216" s="12"/>
      <c r="G216" s="12"/>
      <c r="H216" s="12"/>
      <c r="I216" s="12"/>
      <c r="J216" s="12"/>
      <c r="K216" s="12"/>
      <c r="L216" s="12"/>
      <c r="M216" s="12"/>
      <c r="N216" s="12"/>
    </row>
    <row r="217" spans="2:14" ht="16" thickBot="1" x14ac:dyDescent="0.4">
      <c r="C217" s="83" t="s">
        <v>4</v>
      </c>
      <c r="D217" s="11"/>
      <c r="E217" s="12"/>
      <c r="F217" s="12"/>
      <c r="G217" s="12"/>
      <c r="H217" s="12"/>
      <c r="I217" s="12"/>
      <c r="J217" s="12"/>
      <c r="K217" s="12"/>
      <c r="L217" s="12"/>
      <c r="M217" s="12"/>
      <c r="N217" s="12"/>
    </row>
    <row r="218" spans="2:14" x14ac:dyDescent="0.35">
      <c r="B218" s="13" t="s">
        <v>168</v>
      </c>
      <c r="C218" s="15">
        <v>5.9390000000000001</v>
      </c>
      <c r="D218" s="11" t="s">
        <v>10</v>
      </c>
      <c r="E218" s="12"/>
      <c r="F218" s="12"/>
      <c r="G218" s="12"/>
      <c r="H218" s="12"/>
      <c r="I218" s="12"/>
      <c r="J218" s="12"/>
      <c r="K218" s="12"/>
      <c r="L218" s="12"/>
      <c r="M218" s="12"/>
      <c r="N218" s="12"/>
    </row>
    <row r="219" spans="2:14" ht="16" thickBot="1" x14ac:dyDescent="0.4">
      <c r="B219" s="13" t="s">
        <v>169</v>
      </c>
      <c r="C219" s="17">
        <v>16</v>
      </c>
      <c r="D219" s="11" t="s">
        <v>8</v>
      </c>
      <c r="E219" s="12"/>
      <c r="F219" s="12"/>
      <c r="G219" s="12"/>
      <c r="H219" s="12"/>
      <c r="I219" s="12"/>
      <c r="J219" s="12"/>
      <c r="K219" s="12"/>
      <c r="L219" s="12"/>
      <c r="M219" s="12"/>
      <c r="N219" s="12"/>
    </row>
    <row r="220" spans="2:14" x14ac:dyDescent="0.35">
      <c r="C220" s="83" t="s">
        <v>13</v>
      </c>
      <c r="D220" s="1"/>
      <c r="E220" s="12"/>
      <c r="F220" s="12"/>
      <c r="G220" s="12"/>
      <c r="H220" s="12"/>
      <c r="I220" s="12"/>
      <c r="J220" s="12"/>
      <c r="K220" s="12"/>
      <c r="L220" s="12"/>
      <c r="M220" s="12"/>
      <c r="N220" s="12"/>
    </row>
    <row r="221" spans="2:14" x14ac:dyDescent="0.35">
      <c r="B221" s="87" t="s">
        <v>170</v>
      </c>
      <c r="C221" s="1" t="s">
        <v>171</v>
      </c>
      <c r="E221" s="12"/>
      <c r="F221" s="12"/>
      <c r="G221" s="12"/>
      <c r="H221" s="12"/>
      <c r="I221" s="12"/>
      <c r="J221" s="12"/>
      <c r="K221" s="12"/>
      <c r="L221" s="12"/>
      <c r="M221" s="12"/>
      <c r="N221" s="12"/>
    </row>
    <row r="222" spans="2:14" x14ac:dyDescent="0.35">
      <c r="B222" s="87" t="s">
        <v>172</v>
      </c>
      <c r="C222" s="90">
        <f>9.5*C218^1.7/(C219+5)</f>
        <v>9.3501152388973399</v>
      </c>
      <c r="D222" s="1" t="s">
        <v>89</v>
      </c>
      <c r="E222" s="12"/>
      <c r="F222" s="12"/>
      <c r="G222" s="12"/>
      <c r="H222" s="12"/>
      <c r="I222" s="12"/>
      <c r="J222" s="12"/>
      <c r="K222" s="12"/>
      <c r="L222" s="12"/>
      <c r="M222" s="12"/>
      <c r="N222" s="12"/>
    </row>
    <row r="223" spans="2:14" x14ac:dyDescent="0.35">
      <c r="E223" s="12"/>
      <c r="F223" s="12"/>
      <c r="G223" s="12"/>
      <c r="H223" s="12"/>
      <c r="I223" s="12"/>
      <c r="J223" s="12"/>
      <c r="K223" s="12"/>
      <c r="L223" s="12"/>
      <c r="M223" s="12"/>
      <c r="N223" s="12"/>
    </row>
    <row r="224" spans="2:14" x14ac:dyDescent="0.35">
      <c r="B224" s="169"/>
      <c r="C224" s="169"/>
      <c r="D224" s="168"/>
      <c r="E224" s="368"/>
      <c r="F224" s="369"/>
      <c r="G224" s="12"/>
      <c r="H224" s="12"/>
      <c r="I224" s="12"/>
      <c r="J224" s="12"/>
      <c r="K224" s="12"/>
      <c r="L224" s="12"/>
      <c r="M224" s="12"/>
      <c r="N224" s="12"/>
    </row>
    <row r="225" spans="2:14" x14ac:dyDescent="0.35">
      <c r="E225" s="12"/>
      <c r="F225" s="12"/>
      <c r="G225" s="12"/>
      <c r="H225" s="12"/>
      <c r="I225" s="12"/>
      <c r="J225" s="12"/>
      <c r="K225" s="12"/>
      <c r="L225" s="12"/>
      <c r="M225" s="12"/>
      <c r="N225" s="12"/>
    </row>
    <row r="226" spans="2:14" x14ac:dyDescent="0.35">
      <c r="B226" s="1"/>
      <c r="E226" s="12"/>
      <c r="F226" s="12"/>
      <c r="G226" s="12"/>
      <c r="H226" s="12"/>
      <c r="I226" s="12"/>
      <c r="J226" s="12"/>
      <c r="K226" s="12"/>
      <c r="L226" s="12"/>
      <c r="M226" s="12"/>
      <c r="N226" s="12"/>
    </row>
    <row r="227" spans="2:14" x14ac:dyDescent="0.35">
      <c r="C227" s="9" t="s">
        <v>712</v>
      </c>
      <c r="E227" s="12"/>
      <c r="F227" s="12"/>
      <c r="G227" s="12"/>
      <c r="H227" s="12"/>
      <c r="I227" s="12"/>
      <c r="J227" s="12"/>
      <c r="K227" s="12"/>
      <c r="L227" s="12"/>
      <c r="M227" s="12"/>
      <c r="N227" s="12"/>
    </row>
    <row r="228" spans="2:14" x14ac:dyDescent="0.35">
      <c r="E228" s="12"/>
      <c r="F228" s="12"/>
      <c r="G228" s="12"/>
      <c r="H228" s="12"/>
      <c r="I228" s="12"/>
      <c r="J228" s="12"/>
      <c r="K228" s="12"/>
      <c r="L228" s="12"/>
      <c r="M228" s="12"/>
      <c r="N228" s="12"/>
    </row>
    <row r="229" spans="2:14" x14ac:dyDescent="0.35">
      <c r="F229" s="12"/>
      <c r="G229" s="12"/>
      <c r="H229" s="12"/>
      <c r="I229" s="12"/>
      <c r="J229" s="12"/>
      <c r="K229" s="12"/>
      <c r="L229" s="12"/>
      <c r="M229" s="12"/>
      <c r="N229" s="12"/>
    </row>
    <row r="230" spans="2:14" x14ac:dyDescent="0.35">
      <c r="F230" s="12"/>
      <c r="G230" s="12"/>
      <c r="H230" s="12"/>
      <c r="I230" s="12"/>
      <c r="J230" s="12"/>
      <c r="K230" s="12"/>
      <c r="L230" s="12"/>
      <c r="M230" s="12"/>
      <c r="N230" s="12"/>
    </row>
    <row r="231" spans="2:14" x14ac:dyDescent="0.35">
      <c r="F231" s="12"/>
      <c r="G231" s="12"/>
      <c r="H231" s="12"/>
      <c r="I231" s="12"/>
      <c r="J231" s="12"/>
      <c r="K231" s="12"/>
      <c r="L231" s="12"/>
      <c r="M231" s="12"/>
      <c r="N231" s="12"/>
    </row>
    <row r="232" spans="2:14" x14ac:dyDescent="0.35">
      <c r="F232" s="12"/>
      <c r="G232" s="12"/>
      <c r="H232" s="12"/>
      <c r="I232" s="12"/>
      <c r="J232" s="12"/>
      <c r="K232" s="12"/>
      <c r="L232" s="12"/>
      <c r="M232" s="12"/>
      <c r="N232" s="12"/>
    </row>
    <row r="233" spans="2:14" x14ac:dyDescent="0.35">
      <c r="I233" s="12"/>
      <c r="J233" s="12"/>
      <c r="K233" s="12"/>
      <c r="L233" s="12"/>
      <c r="M233" s="12"/>
      <c r="N233" s="12"/>
    </row>
  </sheetData>
  <sheetProtection sheet="1" objects="1" scenarios="1" selectLockedCells="1"/>
  <hyperlinks>
    <hyperlink ref="F157" r:id="rId1" xr:uid="{00000000-0004-0000-0400-000000000000}"/>
    <hyperlink ref="B209" r:id="rId2" xr:uid="{00000000-0004-0000-0400-000001000000}"/>
    <hyperlink ref="B4" r:id="rId3" xr:uid="{00000000-0004-0000-04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8"/>
  <sheetViews>
    <sheetView zoomScaleNormal="100" workbookViewId="0">
      <selection activeCell="I1" sqref="I1"/>
    </sheetView>
  </sheetViews>
  <sheetFormatPr defaultRowHeight="15.5" x14ac:dyDescent="0.35"/>
  <cols>
    <col min="1" max="1" width="3.81640625" style="9" customWidth="1"/>
    <col min="2" max="2" width="49.08984375" style="9" customWidth="1"/>
    <col min="3" max="3" width="21.1796875" style="9" customWidth="1"/>
    <col min="4" max="4" width="14.54296875" style="9" customWidth="1"/>
    <col min="5" max="16384" width="8.7265625" style="9"/>
  </cols>
  <sheetData>
    <row r="1" spans="1:15" x14ac:dyDescent="0.35">
      <c r="B1" s="1" t="s">
        <v>689</v>
      </c>
      <c r="E1" s="12"/>
      <c r="F1" s="12"/>
      <c r="G1" s="12"/>
      <c r="H1" s="12"/>
      <c r="I1" s="12"/>
      <c r="J1" s="12"/>
      <c r="K1" s="12"/>
      <c r="L1" s="12"/>
      <c r="M1" s="12"/>
      <c r="N1" s="12"/>
      <c r="O1" s="12"/>
    </row>
    <row r="2" spans="1:15" x14ac:dyDescent="0.35">
      <c r="B2" s="10"/>
      <c r="E2" s="12"/>
      <c r="F2" s="12"/>
      <c r="G2" s="12"/>
      <c r="H2" s="12"/>
      <c r="I2" s="12"/>
      <c r="J2" s="12"/>
      <c r="K2" s="12"/>
      <c r="L2" s="12"/>
      <c r="M2" s="12"/>
      <c r="N2" s="12"/>
      <c r="O2" s="12"/>
    </row>
    <row r="3" spans="1:15" x14ac:dyDescent="0.35">
      <c r="E3" s="12"/>
      <c r="F3" s="12"/>
      <c r="G3" s="12"/>
      <c r="H3" s="12"/>
      <c r="I3" s="12"/>
      <c r="J3" s="12"/>
      <c r="K3" s="12"/>
      <c r="L3" s="12"/>
      <c r="M3" s="12"/>
      <c r="N3" s="12"/>
      <c r="O3" s="12"/>
    </row>
    <row r="4" spans="1:15" x14ac:dyDescent="0.35">
      <c r="B4" s="144"/>
      <c r="E4" s="12"/>
      <c r="F4" s="12"/>
      <c r="G4" s="12"/>
      <c r="H4" s="12"/>
      <c r="I4" s="12"/>
      <c r="J4" s="12"/>
      <c r="K4" s="12"/>
      <c r="L4" s="12"/>
      <c r="M4" s="12"/>
      <c r="N4" s="12"/>
      <c r="O4" s="12"/>
    </row>
    <row r="5" spans="1:15" x14ac:dyDescent="0.35">
      <c r="A5" s="293"/>
      <c r="B5" s="293"/>
      <c r="C5" s="293"/>
      <c r="D5" s="347"/>
      <c r="E5" s="51"/>
      <c r="F5" s="298"/>
      <c r="G5" s="298"/>
      <c r="H5" s="53"/>
      <c r="I5" s="12"/>
      <c r="J5" s="12"/>
      <c r="K5" s="12"/>
      <c r="L5" s="12"/>
      <c r="M5" s="12"/>
      <c r="N5" s="12"/>
      <c r="O5" s="12"/>
    </row>
    <row r="6" spans="1:15" x14ac:dyDescent="0.35">
      <c r="D6" s="11"/>
      <c r="E6" s="34"/>
      <c r="F6" s="12"/>
      <c r="G6" s="298"/>
      <c r="H6" s="53"/>
      <c r="I6" s="12"/>
      <c r="J6" s="12"/>
      <c r="K6" s="12"/>
      <c r="L6" s="12"/>
      <c r="M6" s="12"/>
      <c r="N6" s="12"/>
      <c r="O6" s="12"/>
    </row>
    <row r="7" spans="1:15" x14ac:dyDescent="0.35">
      <c r="D7" s="11"/>
      <c r="E7" s="34"/>
      <c r="F7" s="12"/>
      <c r="G7" s="298"/>
      <c r="H7" s="53"/>
      <c r="I7" s="12"/>
      <c r="J7" s="12"/>
      <c r="K7" s="12"/>
      <c r="L7" s="12"/>
      <c r="M7" s="12"/>
      <c r="N7" s="12"/>
      <c r="O7" s="12"/>
    </row>
    <row r="8" spans="1:15" x14ac:dyDescent="0.35">
      <c r="D8" s="11"/>
      <c r="E8" s="34"/>
      <c r="F8" s="12"/>
      <c r="G8" s="298"/>
      <c r="H8" s="53"/>
      <c r="I8" s="12"/>
      <c r="J8" s="12"/>
      <c r="K8" s="12"/>
      <c r="L8" s="12"/>
      <c r="M8" s="12"/>
      <c r="N8" s="12"/>
      <c r="O8" s="12"/>
    </row>
    <row r="9" spans="1:15" x14ac:dyDescent="0.35">
      <c r="D9" s="11"/>
      <c r="E9" s="11"/>
      <c r="G9" s="298"/>
      <c r="H9" s="53"/>
      <c r="I9" s="12"/>
      <c r="J9" s="12"/>
      <c r="K9" s="12"/>
      <c r="L9" s="12"/>
      <c r="M9" s="12"/>
      <c r="N9" s="12"/>
    </row>
    <row r="10" spans="1:15" x14ac:dyDescent="0.35">
      <c r="D10" s="11"/>
      <c r="E10" s="11"/>
      <c r="G10" s="298"/>
      <c r="H10" s="53"/>
      <c r="I10" s="12"/>
      <c r="J10" s="12"/>
      <c r="K10" s="12"/>
      <c r="L10" s="12"/>
      <c r="M10" s="12"/>
      <c r="N10" s="12"/>
    </row>
    <row r="11" spans="1:15" x14ac:dyDescent="0.35">
      <c r="D11" s="11"/>
      <c r="E11" s="11"/>
      <c r="G11" s="298"/>
      <c r="H11" s="53"/>
      <c r="I11" s="12"/>
      <c r="J11" s="12"/>
      <c r="K11" s="12"/>
      <c r="L11" s="12"/>
      <c r="M11" s="12"/>
      <c r="N11" s="12"/>
    </row>
    <row r="12" spans="1:15" x14ac:dyDescent="0.35">
      <c r="E12" s="11"/>
      <c r="G12" s="298"/>
      <c r="H12" s="53"/>
      <c r="I12" s="12"/>
      <c r="J12" s="12"/>
      <c r="K12" s="12"/>
      <c r="L12" s="12"/>
      <c r="M12" s="12"/>
      <c r="N12" s="12"/>
    </row>
    <row r="13" spans="1:15" x14ac:dyDescent="0.35">
      <c r="E13" s="11"/>
      <c r="G13" s="298"/>
      <c r="H13" s="53"/>
      <c r="I13" s="12"/>
      <c r="J13" s="12"/>
      <c r="K13" s="12"/>
      <c r="L13" s="12"/>
      <c r="M13" s="12"/>
      <c r="N13" s="12"/>
    </row>
    <row r="14" spans="1:15" x14ac:dyDescent="0.35">
      <c r="E14" s="11"/>
      <c r="G14" s="298"/>
      <c r="H14" s="53"/>
      <c r="I14" s="12"/>
      <c r="J14" s="12"/>
      <c r="K14" s="12"/>
      <c r="L14" s="12"/>
      <c r="M14" s="12"/>
      <c r="N14" s="12"/>
    </row>
    <row r="15" spans="1:15" x14ac:dyDescent="0.35">
      <c r="E15" s="11"/>
      <c r="G15" s="298"/>
      <c r="H15" s="53"/>
      <c r="I15" s="12"/>
      <c r="J15" s="12"/>
      <c r="K15" s="12"/>
      <c r="L15" s="12"/>
      <c r="M15" s="12"/>
      <c r="N15" s="12"/>
    </row>
    <row r="16" spans="1:15" x14ac:dyDescent="0.35">
      <c r="E16" s="11"/>
      <c r="G16" s="298"/>
      <c r="H16" s="53"/>
      <c r="I16" s="12"/>
      <c r="J16" s="12"/>
      <c r="K16" s="12"/>
      <c r="L16" s="12"/>
      <c r="M16" s="12"/>
      <c r="N16" s="12"/>
    </row>
    <row r="17" spans="2:14" x14ac:dyDescent="0.35">
      <c r="E17" s="11"/>
      <c r="G17" s="298"/>
      <c r="H17" s="53"/>
      <c r="I17" s="12"/>
      <c r="J17" s="12"/>
      <c r="K17" s="12"/>
      <c r="L17" s="12"/>
      <c r="M17" s="12"/>
      <c r="N17" s="12"/>
    </row>
    <row r="18" spans="2:14" x14ac:dyDescent="0.35">
      <c r="E18" s="11"/>
      <c r="G18" s="298"/>
      <c r="H18" s="53"/>
      <c r="I18" s="12"/>
      <c r="J18" s="12"/>
      <c r="K18" s="12"/>
      <c r="L18" s="12"/>
      <c r="M18" s="12"/>
      <c r="N18" s="12"/>
    </row>
    <row r="19" spans="2:14" x14ac:dyDescent="0.35">
      <c r="E19" s="11"/>
      <c r="G19" s="298"/>
      <c r="H19" s="53"/>
      <c r="I19" s="12"/>
      <c r="J19" s="12"/>
      <c r="K19" s="12"/>
      <c r="L19" s="12"/>
      <c r="M19" s="12"/>
      <c r="N19" s="12"/>
    </row>
    <row r="20" spans="2:14" x14ac:dyDescent="0.35">
      <c r="E20" s="11"/>
      <c r="G20" s="298"/>
      <c r="H20" s="53"/>
      <c r="I20" s="12"/>
      <c r="J20" s="12"/>
      <c r="K20" s="12"/>
      <c r="L20" s="12"/>
      <c r="M20" s="12"/>
      <c r="N20" s="12"/>
    </row>
    <row r="21" spans="2:14" x14ac:dyDescent="0.35">
      <c r="E21" s="11"/>
      <c r="G21" s="298"/>
      <c r="H21" s="53"/>
      <c r="I21" s="12"/>
      <c r="J21" s="12"/>
      <c r="K21" s="12"/>
      <c r="L21" s="12"/>
      <c r="M21" s="12"/>
      <c r="N21" s="12"/>
    </row>
    <row r="22" spans="2:14" x14ac:dyDescent="0.35">
      <c r="E22" s="11"/>
      <c r="G22" s="298"/>
      <c r="H22" s="53"/>
      <c r="I22" s="12"/>
      <c r="J22" s="12"/>
      <c r="K22" s="12"/>
      <c r="L22" s="12"/>
      <c r="M22" s="12"/>
      <c r="N22" s="12"/>
    </row>
    <row r="23" spans="2:14" x14ac:dyDescent="0.35">
      <c r="E23" s="11"/>
      <c r="G23" s="298"/>
      <c r="H23" s="53"/>
      <c r="I23" s="12"/>
      <c r="J23" s="12"/>
      <c r="K23" s="12"/>
      <c r="L23" s="12"/>
      <c r="M23" s="12"/>
      <c r="N23" s="12"/>
    </row>
    <row r="24" spans="2:14" x14ac:dyDescent="0.35">
      <c r="E24" s="11"/>
      <c r="G24" s="298"/>
      <c r="H24" s="53"/>
      <c r="I24" s="12"/>
      <c r="J24" s="12"/>
      <c r="K24" s="12"/>
      <c r="L24" s="12"/>
      <c r="M24" s="12"/>
      <c r="N24" s="12"/>
    </row>
    <row r="25" spans="2:14" x14ac:dyDescent="0.35">
      <c r="E25" s="11"/>
      <c r="G25" s="298"/>
      <c r="H25" s="53"/>
      <c r="I25" s="12"/>
      <c r="J25" s="12"/>
      <c r="K25" s="12"/>
      <c r="L25" s="12"/>
      <c r="M25" s="12"/>
      <c r="N25" s="12"/>
    </row>
    <row r="26" spans="2:14" x14ac:dyDescent="0.35">
      <c r="E26" s="11"/>
      <c r="G26" s="298"/>
      <c r="H26" s="53"/>
      <c r="I26" s="12"/>
      <c r="J26" s="12"/>
      <c r="K26" s="12"/>
      <c r="L26" s="12"/>
      <c r="M26" s="12"/>
      <c r="N26" s="12"/>
    </row>
    <row r="27" spans="2:14" x14ac:dyDescent="0.35">
      <c r="E27" s="11"/>
      <c r="G27" s="298"/>
      <c r="H27" s="53"/>
      <c r="I27" s="12"/>
      <c r="J27" s="12"/>
      <c r="K27" s="12"/>
      <c r="L27" s="12"/>
      <c r="M27" s="12"/>
      <c r="N27" s="12"/>
    </row>
    <row r="28" spans="2:14" x14ac:dyDescent="0.35">
      <c r="D28" s="11"/>
      <c r="E28" s="11"/>
      <c r="G28" s="298"/>
      <c r="H28" s="53"/>
      <c r="I28" s="12"/>
      <c r="J28" s="12"/>
      <c r="K28" s="12"/>
      <c r="L28" s="12"/>
      <c r="M28" s="12"/>
      <c r="N28" s="12"/>
    </row>
    <row r="29" spans="2:14" x14ac:dyDescent="0.35">
      <c r="D29" s="11"/>
      <c r="E29" s="11"/>
      <c r="G29" s="298"/>
      <c r="H29" s="53"/>
      <c r="I29" s="12"/>
      <c r="J29" s="12"/>
      <c r="K29" s="12"/>
      <c r="L29" s="12"/>
      <c r="M29" s="12"/>
      <c r="N29" s="12"/>
    </row>
    <row r="30" spans="2:14" ht="18" x14ac:dyDescent="0.4">
      <c r="B30" s="97" t="s">
        <v>690</v>
      </c>
      <c r="D30" s="11"/>
      <c r="E30" s="34"/>
      <c r="F30" s="12"/>
      <c r="G30" s="298"/>
      <c r="H30" s="53"/>
      <c r="I30" s="12"/>
      <c r="J30" s="12"/>
      <c r="K30" s="12"/>
      <c r="L30" s="12"/>
      <c r="M30" s="12"/>
      <c r="N30" s="12"/>
    </row>
    <row r="31" spans="2:14" ht="18" x14ac:dyDescent="0.4">
      <c r="B31" s="97" t="s">
        <v>173</v>
      </c>
      <c r="C31" s="83" t="s">
        <v>174</v>
      </c>
      <c r="D31" s="11"/>
      <c r="E31" s="34"/>
      <c r="F31" s="12"/>
      <c r="G31" s="298"/>
      <c r="H31" s="53"/>
      <c r="I31" s="12"/>
      <c r="J31" s="12"/>
      <c r="K31" s="12"/>
      <c r="L31" s="12"/>
      <c r="M31" s="12"/>
      <c r="N31" s="12"/>
    </row>
    <row r="32" spans="2:14" ht="16" thickBot="1" x14ac:dyDescent="0.4">
      <c r="C32" s="84" t="s">
        <v>175</v>
      </c>
      <c r="D32" s="11"/>
      <c r="E32" s="34"/>
      <c r="F32" s="12"/>
      <c r="G32" s="298"/>
      <c r="H32" s="53"/>
      <c r="I32" s="12"/>
      <c r="J32" s="12"/>
      <c r="K32" s="12"/>
      <c r="L32" s="12"/>
      <c r="M32" s="12"/>
      <c r="N32" s="12"/>
    </row>
    <row r="33" spans="2:14" x14ac:dyDescent="0.35">
      <c r="B33" s="60" t="s">
        <v>176</v>
      </c>
      <c r="C33" s="186">
        <v>20</v>
      </c>
      <c r="D33" s="10" t="s">
        <v>8</v>
      </c>
      <c r="E33" s="34"/>
      <c r="F33" s="12"/>
      <c r="G33" s="298"/>
      <c r="H33" s="53"/>
      <c r="I33" s="12"/>
      <c r="J33" s="12"/>
      <c r="K33" s="12"/>
      <c r="L33" s="12"/>
      <c r="M33" s="12"/>
      <c r="N33" s="12"/>
    </row>
    <row r="34" spans="2:14" x14ac:dyDescent="0.35">
      <c r="B34" s="60" t="s">
        <v>691</v>
      </c>
      <c r="C34" s="62">
        <v>6</v>
      </c>
      <c r="D34" s="10" t="s">
        <v>8</v>
      </c>
      <c r="E34" s="34"/>
      <c r="F34" s="12"/>
      <c r="G34" s="298"/>
      <c r="H34" s="53"/>
      <c r="I34" s="12"/>
      <c r="J34" s="12"/>
      <c r="K34" s="12"/>
      <c r="L34" s="12"/>
      <c r="M34" s="12"/>
      <c r="N34" s="12"/>
    </row>
    <row r="35" spans="2:14" ht="16" thickBot="1" x14ac:dyDescent="0.4">
      <c r="B35" s="60" t="s">
        <v>178</v>
      </c>
      <c r="C35" s="263">
        <v>40</v>
      </c>
      <c r="D35" s="10" t="s">
        <v>8</v>
      </c>
      <c r="E35" s="34"/>
      <c r="F35" s="12"/>
      <c r="G35" s="298"/>
      <c r="H35" s="53"/>
      <c r="I35" s="12"/>
      <c r="J35" s="12"/>
      <c r="K35" s="12"/>
      <c r="L35" s="12"/>
      <c r="M35" s="12"/>
      <c r="N35" s="12"/>
    </row>
    <row r="36" spans="2:14" x14ac:dyDescent="0.35">
      <c r="B36" s="13"/>
      <c r="C36" s="83" t="s">
        <v>179</v>
      </c>
      <c r="D36" s="11"/>
      <c r="E36" s="34"/>
      <c r="F36" s="12"/>
      <c r="G36" s="298"/>
      <c r="H36" s="53"/>
      <c r="I36" s="12"/>
      <c r="J36" s="12"/>
      <c r="K36" s="12"/>
      <c r="L36" s="12"/>
      <c r="M36" s="12"/>
      <c r="N36" s="12"/>
    </row>
    <row r="37" spans="2:14" x14ac:dyDescent="0.35">
      <c r="B37" s="87" t="s">
        <v>180</v>
      </c>
      <c r="C37" s="2" t="s">
        <v>584</v>
      </c>
      <c r="D37" s="1"/>
      <c r="E37" s="34"/>
      <c r="F37" s="12"/>
      <c r="G37" s="298"/>
      <c r="H37" s="53"/>
      <c r="I37" s="12"/>
      <c r="J37" s="12"/>
      <c r="K37" s="12"/>
      <c r="L37" s="12"/>
      <c r="M37" s="12"/>
      <c r="N37" s="12"/>
    </row>
    <row r="38" spans="2:14" x14ac:dyDescent="0.35">
      <c r="B38" s="87" t="s">
        <v>30</v>
      </c>
      <c r="C38" s="126">
        <f>C33/C34</f>
        <v>3.3333333333333335</v>
      </c>
      <c r="D38" s="1" t="s">
        <v>10</v>
      </c>
      <c r="E38" s="34"/>
      <c r="F38" s="12"/>
      <c r="G38" s="298"/>
      <c r="H38" s="53"/>
      <c r="I38" s="12"/>
      <c r="J38" s="12"/>
      <c r="K38" s="12"/>
      <c r="L38" s="12"/>
      <c r="M38" s="12"/>
      <c r="N38" s="12"/>
    </row>
    <row r="39" spans="2:14" x14ac:dyDescent="0.35">
      <c r="B39" s="87" t="s">
        <v>181</v>
      </c>
      <c r="C39" s="2" t="s">
        <v>585</v>
      </c>
      <c r="D39" s="1"/>
      <c r="E39" s="34"/>
      <c r="F39" s="12"/>
      <c r="G39" s="298"/>
      <c r="H39" s="53"/>
      <c r="I39" s="12"/>
      <c r="J39" s="12"/>
      <c r="K39" s="12"/>
      <c r="L39" s="12"/>
      <c r="M39" s="12"/>
      <c r="N39" s="12"/>
    </row>
    <row r="40" spans="2:14" x14ac:dyDescent="0.35">
      <c r="B40" s="87" t="s">
        <v>30</v>
      </c>
      <c r="C40" s="126">
        <f>C35/C34</f>
        <v>6.666666666666667</v>
      </c>
      <c r="D40" s="1" t="s">
        <v>10</v>
      </c>
      <c r="E40" s="34"/>
      <c r="F40" s="12"/>
      <c r="G40" s="298"/>
      <c r="H40" s="53"/>
      <c r="I40" s="12"/>
      <c r="J40" s="12"/>
      <c r="K40" s="12"/>
      <c r="L40" s="12"/>
      <c r="M40" s="12"/>
      <c r="N40" s="12"/>
    </row>
    <row r="41" spans="2:14" x14ac:dyDescent="0.35">
      <c r="B41" s="87" t="s">
        <v>182</v>
      </c>
      <c r="C41" s="2" t="s">
        <v>183</v>
      </c>
      <c r="D41" s="1"/>
      <c r="E41" s="34"/>
      <c r="F41" s="12"/>
      <c r="G41" s="298"/>
      <c r="H41" s="53"/>
      <c r="I41" s="12"/>
      <c r="J41" s="12"/>
      <c r="K41" s="12"/>
      <c r="L41" s="12"/>
      <c r="M41" s="12"/>
      <c r="N41" s="12"/>
    </row>
    <row r="42" spans="2:14" x14ac:dyDescent="0.35">
      <c r="B42" s="87" t="s">
        <v>30</v>
      </c>
      <c r="C42" s="126">
        <f>57.3*ATAN(C33 / C35)</f>
        <v>26.567007995746188</v>
      </c>
      <c r="D42" s="1" t="s">
        <v>121</v>
      </c>
      <c r="E42" s="34"/>
      <c r="F42" s="12"/>
      <c r="G42" s="298"/>
      <c r="H42" s="53"/>
      <c r="I42" s="12"/>
      <c r="J42" s="12"/>
      <c r="K42" s="12"/>
      <c r="L42" s="12"/>
      <c r="M42" s="12"/>
      <c r="N42" s="12"/>
    </row>
    <row r="43" spans="2:14" x14ac:dyDescent="0.35">
      <c r="B43" s="87" t="s">
        <v>184</v>
      </c>
      <c r="C43" s="2" t="s">
        <v>185</v>
      </c>
      <c r="D43" s="1"/>
      <c r="E43" s="34"/>
      <c r="F43" s="12"/>
      <c r="G43" s="298"/>
      <c r="H43" s="53"/>
      <c r="I43" s="12"/>
      <c r="J43" s="12"/>
      <c r="K43" s="12"/>
      <c r="L43" s="12"/>
      <c r="M43" s="12"/>
      <c r="N43" s="12"/>
    </row>
    <row r="44" spans="2:14" x14ac:dyDescent="0.35">
      <c r="B44" s="87" t="s">
        <v>30</v>
      </c>
      <c r="C44" s="126">
        <f>57.3*ATAN(C35 / C33)</f>
        <v>63.439621529601375</v>
      </c>
      <c r="D44" s="1" t="s">
        <v>121</v>
      </c>
      <c r="E44" s="34"/>
      <c r="F44" s="12"/>
      <c r="G44" s="298"/>
      <c r="H44" s="53"/>
      <c r="I44" s="12"/>
      <c r="J44" s="12"/>
      <c r="K44" s="12"/>
      <c r="L44" s="12"/>
      <c r="M44" s="12"/>
      <c r="N44" s="12"/>
    </row>
    <row r="45" spans="2:14" x14ac:dyDescent="0.35">
      <c r="B45" s="87" t="s">
        <v>186</v>
      </c>
      <c r="C45" s="126">
        <f>C42+C44</f>
        <v>90.006629525347563</v>
      </c>
      <c r="D45" s="1" t="s">
        <v>121</v>
      </c>
      <c r="E45" s="34"/>
      <c r="F45" s="12"/>
      <c r="G45" s="298"/>
      <c r="H45" s="53"/>
      <c r="I45" s="12"/>
      <c r="J45" s="12"/>
      <c r="K45" s="12"/>
      <c r="L45" s="12"/>
      <c r="M45" s="12"/>
      <c r="N45" s="12"/>
    </row>
    <row r="46" spans="2:14" x14ac:dyDescent="0.35">
      <c r="B46" s="87" t="s">
        <v>187</v>
      </c>
      <c r="C46" s="2" t="s">
        <v>188</v>
      </c>
      <c r="D46" s="1"/>
      <c r="E46" s="34"/>
      <c r="F46" s="12"/>
      <c r="G46" s="298"/>
      <c r="H46" s="53"/>
      <c r="I46" s="12"/>
      <c r="J46" s="12"/>
      <c r="K46" s="12"/>
      <c r="L46" s="12"/>
      <c r="M46" s="12"/>
      <c r="N46" s="12"/>
    </row>
    <row r="47" spans="2:14" x14ac:dyDescent="0.35">
      <c r="B47" s="87" t="s">
        <v>30</v>
      </c>
      <c r="C47" s="126">
        <f>C38/(2*SIN(C42/57.3))</f>
        <v>3.7267799624996498</v>
      </c>
      <c r="D47" s="1" t="s">
        <v>10</v>
      </c>
      <c r="E47" s="34"/>
      <c r="F47" s="12"/>
      <c r="G47" s="298"/>
      <c r="H47" s="53"/>
      <c r="I47" s="12"/>
      <c r="J47" s="12"/>
      <c r="K47" s="12"/>
      <c r="L47" s="12"/>
      <c r="M47" s="12"/>
      <c r="N47" s="12"/>
    </row>
    <row r="48" spans="2:14" x14ac:dyDescent="0.35">
      <c r="B48" s="87" t="s">
        <v>189</v>
      </c>
      <c r="C48" s="2" t="s">
        <v>190</v>
      </c>
      <c r="D48" s="1"/>
      <c r="E48" s="34"/>
      <c r="F48" s="12"/>
      <c r="G48" s="298"/>
      <c r="H48" s="53"/>
      <c r="I48" s="12"/>
      <c r="J48" s="12"/>
      <c r="K48" s="12"/>
      <c r="L48" s="12"/>
      <c r="M48" s="12"/>
      <c r="N48" s="12"/>
    </row>
    <row r="49" spans="2:14" x14ac:dyDescent="0.35">
      <c r="B49" s="87" t="s">
        <v>30</v>
      </c>
      <c r="C49" s="126">
        <f>C40/(2*SIN(C44/57.3))</f>
        <v>3.7267799624996498</v>
      </c>
      <c r="D49" s="1" t="s">
        <v>10</v>
      </c>
      <c r="E49" s="34"/>
      <c r="F49" s="12"/>
      <c r="G49" s="298"/>
      <c r="H49" s="53"/>
      <c r="I49" s="12"/>
      <c r="J49" s="12"/>
      <c r="K49" s="12"/>
      <c r="L49" s="12"/>
      <c r="M49" s="12"/>
      <c r="N49" s="12"/>
    </row>
    <row r="50" spans="2:14" x14ac:dyDescent="0.35">
      <c r="E50" s="34"/>
      <c r="F50" s="12"/>
      <c r="G50" s="298"/>
      <c r="H50" s="53"/>
      <c r="I50" s="12"/>
      <c r="J50" s="12"/>
      <c r="K50" s="12"/>
      <c r="L50" s="12"/>
      <c r="M50" s="12"/>
      <c r="N50" s="12"/>
    </row>
    <row r="51" spans="2:14" x14ac:dyDescent="0.35">
      <c r="E51" s="34"/>
      <c r="F51" s="12"/>
      <c r="G51" s="298"/>
      <c r="H51" s="53"/>
      <c r="I51" s="12"/>
      <c r="J51" s="12"/>
      <c r="K51" s="12"/>
      <c r="L51" s="12"/>
    </row>
    <row r="52" spans="2:14" x14ac:dyDescent="0.35">
      <c r="D52" s="11"/>
      <c r="E52" s="34"/>
      <c r="F52" s="12"/>
      <c r="G52" s="298"/>
      <c r="H52" s="53"/>
      <c r="I52" s="12"/>
      <c r="J52" s="12"/>
      <c r="K52" s="12"/>
      <c r="L52" s="12"/>
    </row>
    <row r="53" spans="2:14" ht="18.5" thickBot="1" x14ac:dyDescent="0.45">
      <c r="B53" s="97" t="s">
        <v>191</v>
      </c>
      <c r="C53" s="252"/>
      <c r="D53" s="141" t="s">
        <v>192</v>
      </c>
      <c r="E53" s="269"/>
      <c r="F53" s="12"/>
      <c r="G53" s="298"/>
      <c r="H53" s="53"/>
      <c r="I53" s="12"/>
      <c r="J53" s="12"/>
      <c r="K53" s="12"/>
      <c r="L53" s="12"/>
    </row>
    <row r="54" spans="2:14" x14ac:dyDescent="0.35">
      <c r="B54" s="120" t="s">
        <v>786</v>
      </c>
      <c r="C54" s="84" t="s">
        <v>5</v>
      </c>
      <c r="D54" s="253">
        <v>20</v>
      </c>
      <c r="E54" s="1" t="s">
        <v>6</v>
      </c>
      <c r="F54" s="12"/>
      <c r="G54" s="298"/>
      <c r="H54" s="53"/>
      <c r="I54" s="12"/>
      <c r="J54" s="12"/>
      <c r="K54" s="12"/>
      <c r="L54" s="12"/>
    </row>
    <row r="55" spans="2:14" x14ac:dyDescent="0.35">
      <c r="B55" s="120" t="s">
        <v>794</v>
      </c>
      <c r="C55" s="84" t="s">
        <v>7</v>
      </c>
      <c r="D55" s="255">
        <v>6</v>
      </c>
      <c r="E55" s="1" t="s">
        <v>8</v>
      </c>
      <c r="F55" s="12"/>
      <c r="G55" s="298"/>
      <c r="H55" s="53"/>
      <c r="I55" s="12"/>
      <c r="J55" s="12"/>
      <c r="K55" s="12"/>
      <c r="L55" s="12"/>
    </row>
    <row r="56" spans="2:14" x14ac:dyDescent="0.35">
      <c r="B56" s="120" t="s">
        <v>739</v>
      </c>
      <c r="C56" s="84" t="s">
        <v>8</v>
      </c>
      <c r="D56" s="255">
        <v>47</v>
      </c>
      <c r="E56" s="1" t="s">
        <v>8</v>
      </c>
      <c r="F56" s="12"/>
      <c r="G56" s="12"/>
      <c r="H56" s="53"/>
      <c r="I56" s="12"/>
      <c r="J56" s="12"/>
      <c r="K56" s="12"/>
      <c r="L56" s="12"/>
    </row>
    <row r="57" spans="2:14" x14ac:dyDescent="0.35">
      <c r="B57" s="120" t="s">
        <v>106</v>
      </c>
      <c r="C57" s="84" t="s">
        <v>8</v>
      </c>
      <c r="D57" s="256"/>
      <c r="E57" s="1" t="s">
        <v>10</v>
      </c>
      <c r="F57" s="12"/>
      <c r="G57" s="298"/>
      <c r="H57" s="53"/>
      <c r="I57" s="12"/>
      <c r="J57" s="12"/>
      <c r="K57" s="12"/>
      <c r="L57" s="12"/>
    </row>
    <row r="58" spans="2:14" x14ac:dyDescent="0.35">
      <c r="B58" s="120" t="s">
        <v>107</v>
      </c>
      <c r="C58" s="84" t="s">
        <v>8</v>
      </c>
      <c r="D58" s="256"/>
      <c r="E58" s="1" t="s">
        <v>10</v>
      </c>
      <c r="F58" s="12"/>
      <c r="G58" s="298"/>
      <c r="H58" s="53"/>
      <c r="I58" s="12"/>
      <c r="J58" s="12"/>
      <c r="K58" s="12"/>
      <c r="L58" s="12"/>
      <c r="M58" s="12"/>
      <c r="N58" s="12"/>
    </row>
    <row r="59" spans="2:14" ht="16" thickBot="1" x14ac:dyDescent="0.4">
      <c r="B59" s="120" t="s">
        <v>108</v>
      </c>
      <c r="C59" s="84" t="s">
        <v>8</v>
      </c>
      <c r="D59" s="257"/>
      <c r="E59" s="1" t="s">
        <v>10</v>
      </c>
      <c r="F59" s="12"/>
      <c r="G59" s="298"/>
      <c r="H59" s="53"/>
      <c r="I59" s="12"/>
      <c r="J59" s="12"/>
      <c r="K59" s="12"/>
      <c r="L59" s="12"/>
      <c r="M59" s="12"/>
      <c r="N59" s="12"/>
    </row>
    <row r="60" spans="2:14" x14ac:dyDescent="0.35">
      <c r="C60" s="10" t="s">
        <v>0</v>
      </c>
      <c r="D60" s="141" t="s">
        <v>193</v>
      </c>
      <c r="E60" s="10"/>
      <c r="F60" s="12"/>
      <c r="G60" s="298"/>
      <c r="H60" s="53"/>
      <c r="I60" s="12"/>
      <c r="J60" s="12"/>
      <c r="K60" s="12"/>
      <c r="L60" s="12"/>
      <c r="M60" s="12"/>
      <c r="N60" s="12"/>
    </row>
    <row r="61" spans="2:14" x14ac:dyDescent="0.35">
      <c r="B61" s="120" t="s">
        <v>734</v>
      </c>
      <c r="C61" s="84" t="s">
        <v>14</v>
      </c>
      <c r="D61" s="370">
        <f>D56/D55</f>
        <v>7.833333333333333</v>
      </c>
      <c r="E61" s="1" t="s">
        <v>10</v>
      </c>
      <c r="F61" s="12"/>
      <c r="G61" s="298"/>
      <c r="H61" s="53"/>
      <c r="I61" s="12"/>
      <c r="J61" s="12"/>
      <c r="K61" s="12"/>
      <c r="L61" s="12"/>
      <c r="M61" s="12"/>
      <c r="N61" s="12"/>
    </row>
    <row r="62" spans="2:14" x14ac:dyDescent="0.35">
      <c r="B62" s="120" t="s">
        <v>740</v>
      </c>
      <c r="C62" s="84" t="s">
        <v>15</v>
      </c>
      <c r="D62" s="370">
        <f>1/D55</f>
        <v>0.16666666666666666</v>
      </c>
      <c r="E62" s="1" t="s">
        <v>10</v>
      </c>
      <c r="F62" s="12"/>
      <c r="G62" s="298"/>
      <c r="H62" s="53"/>
      <c r="I62" s="12"/>
      <c r="J62" s="12"/>
      <c r="K62" s="12"/>
      <c r="L62" s="12"/>
      <c r="M62" s="12"/>
      <c r="N62" s="12"/>
    </row>
    <row r="63" spans="2:14" x14ac:dyDescent="0.35">
      <c r="B63" s="120" t="s">
        <v>741</v>
      </c>
      <c r="C63" s="84" t="s">
        <v>16</v>
      </c>
      <c r="D63" s="370">
        <f>1.157/D55</f>
        <v>0.19283333333333333</v>
      </c>
      <c r="E63" s="1" t="s">
        <v>10</v>
      </c>
      <c r="F63" s="12"/>
      <c r="G63" s="298"/>
      <c r="H63" s="53"/>
      <c r="I63" s="12"/>
      <c r="J63" s="12"/>
      <c r="K63" s="12"/>
      <c r="L63" s="12"/>
      <c r="M63" s="12"/>
      <c r="N63" s="12"/>
    </row>
    <row r="64" spans="2:14" x14ac:dyDescent="0.35">
      <c r="B64" s="120" t="s">
        <v>795</v>
      </c>
      <c r="C64" s="84" t="s">
        <v>17</v>
      </c>
      <c r="D64" s="370">
        <f>2.157/D55</f>
        <v>0.35949999999999999</v>
      </c>
      <c r="E64" s="1" t="s">
        <v>10</v>
      </c>
      <c r="F64" s="12"/>
      <c r="G64" s="298"/>
      <c r="H64" s="53"/>
      <c r="I64" s="12"/>
      <c r="J64" s="12"/>
      <c r="K64" s="12"/>
      <c r="L64" s="12"/>
      <c r="M64" s="12"/>
      <c r="N64" s="12"/>
    </row>
    <row r="65" spans="2:14" x14ac:dyDescent="0.35">
      <c r="B65" s="120" t="s">
        <v>743</v>
      </c>
      <c r="C65" s="84" t="s">
        <v>18</v>
      </c>
      <c r="D65" s="370">
        <f>0.157/D55</f>
        <v>2.6166666666666668E-2</v>
      </c>
      <c r="E65" s="1" t="s">
        <v>10</v>
      </c>
      <c r="F65" s="12"/>
      <c r="G65" s="298"/>
      <c r="H65" s="53"/>
      <c r="I65" s="12"/>
      <c r="J65" s="12"/>
      <c r="K65" s="12"/>
      <c r="L65" s="12"/>
      <c r="M65" s="12"/>
      <c r="N65" s="12"/>
    </row>
    <row r="66" spans="2:14" x14ac:dyDescent="0.35">
      <c r="B66" s="120" t="s">
        <v>744</v>
      </c>
      <c r="C66" s="84" t="s">
        <v>19</v>
      </c>
      <c r="D66" s="370">
        <f>D61+(2*D62)</f>
        <v>8.1666666666666661</v>
      </c>
      <c r="E66" s="1" t="s">
        <v>10</v>
      </c>
      <c r="F66" s="12"/>
      <c r="G66" s="298"/>
      <c r="H66" s="53"/>
      <c r="I66" s="12"/>
      <c r="J66" s="12"/>
      <c r="K66" s="12"/>
      <c r="L66" s="12"/>
      <c r="M66" s="12"/>
      <c r="N66" s="12"/>
    </row>
    <row r="67" spans="2:14" x14ac:dyDescent="0.35">
      <c r="B67" s="120" t="s">
        <v>745</v>
      </c>
      <c r="C67" s="84" t="s">
        <v>20</v>
      </c>
      <c r="D67" s="370">
        <f>D61-(2*D63)</f>
        <v>7.4476666666666667</v>
      </c>
      <c r="E67" s="1" t="s">
        <v>10</v>
      </c>
      <c r="F67" s="298"/>
      <c r="G67" s="298"/>
      <c r="H67" s="53"/>
      <c r="I67" s="12"/>
      <c r="J67" s="12"/>
      <c r="K67" s="12"/>
      <c r="L67" s="12"/>
      <c r="M67" s="12"/>
      <c r="N67" s="12"/>
    </row>
    <row r="68" spans="2:14" x14ac:dyDescent="0.35">
      <c r="B68" s="120" t="s">
        <v>796</v>
      </c>
      <c r="C68" s="84" t="s">
        <v>21</v>
      </c>
      <c r="D68" s="229">
        <f>D61*COS(D54/57.3)</f>
        <v>7.3609944103006955</v>
      </c>
      <c r="E68" s="1" t="s">
        <v>10</v>
      </c>
      <c r="F68" s="12"/>
      <c r="G68" s="298"/>
      <c r="H68" s="53"/>
      <c r="I68" s="12"/>
      <c r="J68" s="12"/>
      <c r="K68" s="12"/>
      <c r="L68" s="12"/>
      <c r="M68" s="12"/>
      <c r="N68" s="12"/>
    </row>
    <row r="69" spans="2:14" x14ac:dyDescent="0.35">
      <c r="B69" s="120" t="s">
        <v>747</v>
      </c>
      <c r="C69" s="84" t="s">
        <v>22</v>
      </c>
      <c r="D69" s="370">
        <f>(3.1416*D61)/D56</f>
        <v>0.52359999999999995</v>
      </c>
      <c r="E69" s="1" t="s">
        <v>10</v>
      </c>
      <c r="F69" s="12"/>
      <c r="G69" s="298"/>
      <c r="H69" s="53"/>
      <c r="I69" s="12"/>
      <c r="J69" s="12"/>
      <c r="K69" s="12"/>
      <c r="L69" s="12"/>
      <c r="M69" s="12"/>
      <c r="N69" s="12"/>
    </row>
    <row r="70" spans="2:14" x14ac:dyDescent="0.35">
      <c r="B70" s="120" t="s">
        <v>748</v>
      </c>
      <c r="C70" s="84" t="s">
        <v>23</v>
      </c>
      <c r="D70" s="229">
        <f>D69/2</f>
        <v>0.26179999999999998</v>
      </c>
      <c r="E70" s="1" t="s">
        <v>10</v>
      </c>
      <c r="F70" s="12"/>
      <c r="G70" s="298"/>
      <c r="H70" s="53"/>
      <c r="I70" s="12"/>
      <c r="J70" s="12"/>
      <c r="K70" s="12"/>
      <c r="L70" s="12"/>
      <c r="M70" s="12"/>
      <c r="N70" s="12"/>
    </row>
    <row r="71" spans="2:14" x14ac:dyDescent="0.35">
      <c r="B71" s="120" t="s">
        <v>797</v>
      </c>
      <c r="C71" s="84" t="s">
        <v>24</v>
      </c>
      <c r="D71" s="229">
        <f>D61*SIN(90/57.3)/D56</f>
        <v>0.16666666555115431</v>
      </c>
      <c r="E71" s="1" t="s">
        <v>10</v>
      </c>
      <c r="F71" s="12"/>
      <c r="G71" s="298"/>
      <c r="H71" s="53"/>
      <c r="I71" s="12"/>
      <c r="J71" s="12"/>
      <c r="K71" s="12"/>
      <c r="L71" s="12"/>
      <c r="M71" s="12"/>
      <c r="N71" s="12"/>
    </row>
    <row r="72" spans="2:14" x14ac:dyDescent="0.35">
      <c r="B72" s="120" t="s">
        <v>750</v>
      </c>
      <c r="C72" s="84" t="s">
        <v>25</v>
      </c>
      <c r="D72" s="370">
        <f>D62*2</f>
        <v>0.33333333333333331</v>
      </c>
      <c r="E72" s="1" t="s">
        <v>10</v>
      </c>
      <c r="F72" s="12"/>
      <c r="G72" s="298"/>
      <c r="H72" s="53"/>
      <c r="I72" s="12"/>
      <c r="J72" s="12"/>
      <c r="K72" s="12"/>
      <c r="L72" s="12"/>
      <c r="M72" s="12"/>
      <c r="N72" s="12"/>
    </row>
    <row r="73" spans="2:14" x14ac:dyDescent="0.35">
      <c r="B73" s="120" t="s">
        <v>798</v>
      </c>
      <c r="C73" s="84" t="s">
        <v>194</v>
      </c>
      <c r="D73" s="371">
        <f>57.3*ATAN(D62 /C49)</f>
        <v>2.5608275933830082</v>
      </c>
      <c r="E73" s="1" t="s">
        <v>42</v>
      </c>
      <c r="F73" s="12"/>
      <c r="G73" s="298"/>
      <c r="H73" s="53"/>
      <c r="I73" s="12"/>
      <c r="J73" s="12"/>
      <c r="K73" s="12"/>
      <c r="L73" s="12"/>
      <c r="M73" s="12"/>
      <c r="N73" s="12"/>
    </row>
    <row r="74" spans="2:14" x14ac:dyDescent="0.35">
      <c r="B74" s="120" t="s">
        <v>799</v>
      </c>
      <c r="C74" s="84" t="s">
        <v>195</v>
      </c>
      <c r="D74" s="371">
        <f>57.3*ATAN(D63 / C49)</f>
        <v>2.9622100365867725</v>
      </c>
      <c r="E74" s="1" t="s">
        <v>42</v>
      </c>
      <c r="F74" s="12"/>
      <c r="G74" s="298"/>
      <c r="H74" s="53"/>
      <c r="I74" s="12"/>
      <c r="J74" s="12"/>
      <c r="K74" s="12"/>
      <c r="L74" s="12"/>
      <c r="M74" s="12"/>
      <c r="N74" s="12"/>
    </row>
    <row r="75" spans="2:14" x14ac:dyDescent="0.35">
      <c r="B75" s="60" t="s">
        <v>787</v>
      </c>
      <c r="C75" s="152" t="s">
        <v>692</v>
      </c>
      <c r="D75" s="373">
        <f>C44</f>
        <v>63.439621529601375</v>
      </c>
      <c r="E75" s="1" t="s">
        <v>42</v>
      </c>
      <c r="F75" s="12"/>
      <c r="G75" s="298"/>
      <c r="H75" s="53"/>
      <c r="I75" s="12"/>
      <c r="J75" s="12"/>
      <c r="K75" s="12"/>
      <c r="L75" s="12"/>
      <c r="M75" s="12"/>
      <c r="N75" s="12"/>
    </row>
    <row r="76" spans="2:14" x14ac:dyDescent="0.35">
      <c r="B76" s="120" t="s">
        <v>800</v>
      </c>
      <c r="C76" s="84" t="s">
        <v>196</v>
      </c>
      <c r="D76" s="373">
        <f>D75-D73</f>
        <v>60.878793936218365</v>
      </c>
      <c r="E76" s="1" t="s">
        <v>42</v>
      </c>
      <c r="F76" s="12"/>
      <c r="G76" s="298"/>
      <c r="H76" s="53"/>
      <c r="I76" s="12"/>
      <c r="J76" s="12"/>
      <c r="K76" s="12"/>
      <c r="L76" s="12"/>
      <c r="M76" s="12"/>
      <c r="N76" s="12"/>
    </row>
    <row r="77" spans="2:14" x14ac:dyDescent="0.35">
      <c r="B77" s="120" t="s">
        <v>801</v>
      </c>
      <c r="C77" s="84" t="s">
        <v>197</v>
      </c>
      <c r="D77" s="373">
        <f>D75-D74</f>
        <v>60.4774114930146</v>
      </c>
      <c r="E77" s="1" t="s">
        <v>42</v>
      </c>
      <c r="F77" s="12"/>
      <c r="G77" s="298"/>
      <c r="H77" s="53"/>
      <c r="I77" s="12"/>
      <c r="J77" s="12"/>
      <c r="K77" s="12"/>
      <c r="L77" s="12"/>
      <c r="M77" s="12"/>
      <c r="N77" s="12"/>
    </row>
    <row r="78" spans="2:14" x14ac:dyDescent="0.35">
      <c r="B78" s="120" t="s">
        <v>802</v>
      </c>
      <c r="C78" s="84" t="s">
        <v>237</v>
      </c>
      <c r="D78" s="372">
        <f>(COS(D75/57.3))*D73</f>
        <v>1.1452369154923197</v>
      </c>
      <c r="E78" s="1" t="s">
        <v>42</v>
      </c>
      <c r="F78" s="12"/>
      <c r="G78" s="298"/>
      <c r="H78" s="53"/>
      <c r="I78" s="12"/>
      <c r="J78" s="12"/>
      <c r="K78" s="12"/>
      <c r="L78" s="12"/>
      <c r="M78" s="12"/>
      <c r="N78" s="12"/>
    </row>
    <row r="79" spans="2:14" x14ac:dyDescent="0.35">
      <c r="B79" s="60" t="s">
        <v>788</v>
      </c>
      <c r="C79" s="152" t="s">
        <v>692</v>
      </c>
      <c r="D79" s="371">
        <f>D61</f>
        <v>7.833333333333333</v>
      </c>
      <c r="E79" s="1" t="s">
        <v>10</v>
      </c>
      <c r="F79" s="12"/>
      <c r="G79" s="298"/>
      <c r="H79" s="53"/>
      <c r="I79" s="12"/>
      <c r="J79" s="12"/>
      <c r="K79" s="12"/>
      <c r="L79" s="12"/>
      <c r="M79" s="12"/>
      <c r="N79" s="12"/>
    </row>
    <row r="80" spans="2:14" x14ac:dyDescent="0.35">
      <c r="B80" s="60" t="s">
        <v>789</v>
      </c>
      <c r="C80" s="84" t="s">
        <v>198</v>
      </c>
      <c r="D80" s="371">
        <f>D79 + (2*D78)</f>
        <v>10.123807164317972</v>
      </c>
      <c r="E80" s="1" t="s">
        <v>10</v>
      </c>
      <c r="F80" s="34"/>
      <c r="G80" s="298"/>
      <c r="H80" s="53"/>
      <c r="I80" s="12"/>
      <c r="J80" s="12"/>
      <c r="K80" s="12"/>
      <c r="L80" s="12"/>
      <c r="M80" s="12"/>
      <c r="N80" s="12"/>
    </row>
    <row r="81" spans="2:14" x14ac:dyDescent="0.35">
      <c r="B81" s="60" t="s">
        <v>790</v>
      </c>
      <c r="C81" s="84" t="s">
        <v>199</v>
      </c>
      <c r="D81" s="371">
        <f>(0.5*D80)/TAN(D76/57.3)</f>
        <v>2.8203929037449558</v>
      </c>
      <c r="E81" s="1" t="s">
        <v>10</v>
      </c>
      <c r="F81" s="12"/>
      <c r="G81" s="298"/>
      <c r="H81" s="53"/>
      <c r="I81" s="12"/>
      <c r="J81" s="12"/>
      <c r="K81" s="12"/>
      <c r="L81" s="12"/>
      <c r="M81" s="12"/>
      <c r="N81" s="12"/>
    </row>
    <row r="82" spans="2:14" x14ac:dyDescent="0.35">
      <c r="B82" s="60" t="s">
        <v>791</v>
      </c>
      <c r="C82" s="84" t="s">
        <v>200</v>
      </c>
      <c r="D82" s="373">
        <f>D69*2</f>
        <v>1.0471999999999999</v>
      </c>
      <c r="E82" s="1" t="s">
        <v>10</v>
      </c>
      <c r="F82" s="12"/>
      <c r="G82" s="298"/>
      <c r="H82" s="53"/>
      <c r="I82" s="12"/>
      <c r="J82" s="12"/>
      <c r="K82" s="12"/>
      <c r="L82" s="12"/>
      <c r="M82" s="12"/>
      <c r="N82" s="12"/>
    </row>
    <row r="83" spans="2:14" x14ac:dyDescent="0.35">
      <c r="B83" s="60" t="s">
        <v>792</v>
      </c>
      <c r="C83" s="84" t="s">
        <v>201</v>
      </c>
      <c r="D83" s="374">
        <f>1.57/D55</f>
        <v>0.26166666666666666</v>
      </c>
      <c r="E83" s="1" t="s">
        <v>10</v>
      </c>
      <c r="F83" s="12"/>
      <c r="G83" s="298"/>
      <c r="H83" s="53"/>
      <c r="I83" s="12"/>
      <c r="J83" s="12"/>
      <c r="K83" s="12"/>
      <c r="L83" s="12"/>
      <c r="M83" s="12"/>
      <c r="N83" s="12"/>
    </row>
    <row r="84" spans="2:14" x14ac:dyDescent="0.35">
      <c r="B84" s="60" t="s">
        <v>793</v>
      </c>
      <c r="C84" s="84" t="s">
        <v>238</v>
      </c>
      <c r="D84" s="372">
        <f>D79*SIN((90/57.3)/D56)</f>
        <v>0.26173138090725878</v>
      </c>
      <c r="E84" s="1" t="s">
        <v>10</v>
      </c>
      <c r="F84" s="12"/>
      <c r="G84" s="298"/>
      <c r="H84" s="53"/>
      <c r="I84" s="12"/>
      <c r="J84" s="12"/>
      <c r="K84" s="12"/>
      <c r="L84" s="12"/>
      <c r="M84" s="12"/>
      <c r="N84" s="12"/>
    </row>
    <row r="85" spans="2:14" x14ac:dyDescent="0.35">
      <c r="F85" s="12"/>
      <c r="G85" s="298"/>
      <c r="H85" s="53"/>
      <c r="I85" s="12"/>
      <c r="J85" s="12"/>
      <c r="K85" s="12"/>
      <c r="L85" s="12"/>
      <c r="M85" s="12"/>
      <c r="N85" s="12"/>
    </row>
    <row r="86" spans="2:14" x14ac:dyDescent="0.35">
      <c r="B86" s="169"/>
      <c r="C86" s="169"/>
      <c r="D86" s="168"/>
      <c r="E86" s="168"/>
      <c r="F86" s="298"/>
      <c r="G86" s="298"/>
      <c r="H86" s="53"/>
      <c r="I86" s="12"/>
      <c r="J86" s="12"/>
      <c r="K86" s="12"/>
      <c r="L86" s="12"/>
      <c r="M86" s="12"/>
      <c r="N86" s="12"/>
    </row>
    <row r="87" spans="2:14" x14ac:dyDescent="0.35">
      <c r="D87" s="11"/>
      <c r="E87" s="11"/>
      <c r="F87" s="12"/>
      <c r="G87" s="298"/>
      <c r="H87" s="53"/>
      <c r="I87" s="12"/>
      <c r="J87" s="12"/>
      <c r="K87" s="12"/>
      <c r="L87" s="12"/>
      <c r="M87" s="12"/>
      <c r="N87" s="12"/>
    </row>
    <row r="88" spans="2:14" x14ac:dyDescent="0.35">
      <c r="C88" s="9" t="s">
        <v>712</v>
      </c>
      <c r="D88" s="11"/>
      <c r="E88" s="11"/>
      <c r="F88" s="12"/>
      <c r="G88" s="298"/>
      <c r="H88" s="53"/>
      <c r="I88" s="12"/>
      <c r="J88" s="12"/>
      <c r="K88" s="12"/>
      <c r="L88" s="12"/>
      <c r="M88" s="12"/>
      <c r="N88" s="12"/>
    </row>
    <row r="89" spans="2:14" x14ac:dyDescent="0.35">
      <c r="B89" s="1"/>
      <c r="D89" s="11"/>
      <c r="E89" s="11"/>
      <c r="F89" s="12"/>
      <c r="G89" s="298"/>
      <c r="H89" s="12"/>
      <c r="I89" s="53"/>
      <c r="J89" s="12"/>
      <c r="K89" s="12"/>
      <c r="L89" s="12"/>
      <c r="M89" s="12"/>
      <c r="N89" s="12"/>
    </row>
    <row r="90" spans="2:14" x14ac:dyDescent="0.35">
      <c r="F90" s="12"/>
      <c r="G90" s="12"/>
      <c r="H90" s="12"/>
      <c r="I90" s="53"/>
      <c r="J90" s="12"/>
      <c r="K90" s="12"/>
      <c r="L90" s="12"/>
      <c r="M90" s="12"/>
      <c r="N90" s="12"/>
    </row>
    <row r="91" spans="2:14" x14ac:dyDescent="0.35">
      <c r="F91" s="12"/>
      <c r="G91" s="12"/>
      <c r="H91" s="12"/>
      <c r="I91" s="53"/>
      <c r="J91" s="12"/>
      <c r="K91" s="12"/>
      <c r="L91" s="12"/>
      <c r="M91" s="12"/>
      <c r="N91" s="12"/>
    </row>
    <row r="92" spans="2:14" x14ac:dyDescent="0.35">
      <c r="F92" s="12"/>
      <c r="G92" s="12"/>
      <c r="H92" s="12"/>
      <c r="I92" s="53"/>
      <c r="J92" s="12"/>
      <c r="K92" s="12"/>
      <c r="L92" s="12"/>
      <c r="M92" s="12"/>
      <c r="N92" s="12"/>
    </row>
    <row r="93" spans="2:14" x14ac:dyDescent="0.35">
      <c r="E93" s="11"/>
      <c r="F93" s="34"/>
      <c r="G93" s="12"/>
      <c r="H93" s="298"/>
      <c r="I93" s="53"/>
      <c r="J93" s="12"/>
      <c r="K93" s="12"/>
      <c r="L93" s="12"/>
      <c r="M93" s="12"/>
      <c r="N93" s="12"/>
    </row>
    <row r="94" spans="2:14" x14ac:dyDescent="0.35">
      <c r="F94" s="12"/>
      <c r="G94" s="12"/>
      <c r="H94" s="298"/>
      <c r="I94" s="53"/>
      <c r="J94" s="12"/>
      <c r="K94" s="12"/>
      <c r="L94" s="12"/>
      <c r="M94" s="12"/>
      <c r="N94" s="12"/>
    </row>
    <row r="95" spans="2:14" x14ac:dyDescent="0.35">
      <c r="B95" s="60"/>
      <c r="E95" s="11"/>
      <c r="F95" s="12"/>
      <c r="G95" s="298"/>
      <c r="H95" s="53"/>
      <c r="I95" s="12"/>
      <c r="J95" s="12"/>
      <c r="K95" s="12"/>
      <c r="L95" s="12"/>
      <c r="M95" s="12"/>
      <c r="N95" s="12"/>
    </row>
    <row r="96" spans="2:14" x14ac:dyDescent="0.35">
      <c r="E96" s="11"/>
      <c r="F96" s="12"/>
      <c r="G96" s="269"/>
      <c r="H96" s="53"/>
      <c r="I96" s="12"/>
      <c r="J96" s="12"/>
      <c r="K96" s="12"/>
      <c r="L96" s="12"/>
      <c r="M96" s="12"/>
      <c r="N96" s="12"/>
    </row>
    <row r="97" spans="2:14" x14ac:dyDescent="0.35">
      <c r="B97" s="60"/>
      <c r="F97" s="12"/>
      <c r="G97" s="298"/>
      <c r="H97" s="53"/>
      <c r="I97" s="12"/>
      <c r="J97" s="12"/>
      <c r="K97" s="12"/>
      <c r="L97" s="12"/>
      <c r="M97" s="12"/>
      <c r="N97" s="12"/>
    </row>
    <row r="98" spans="2:14" x14ac:dyDescent="0.35">
      <c r="D98" s="11"/>
      <c r="F98" s="12"/>
      <c r="G98" s="298"/>
      <c r="H98" s="53"/>
      <c r="I98" s="12"/>
      <c r="J98" s="12"/>
      <c r="K98" s="12"/>
      <c r="L98" s="12"/>
      <c r="M98" s="12"/>
      <c r="N98" s="12"/>
    </row>
    <row r="99" spans="2:14" x14ac:dyDescent="0.35">
      <c r="F99" s="12"/>
      <c r="G99" s="12"/>
      <c r="H99" s="12"/>
      <c r="I99" s="12"/>
      <c r="J99" s="12"/>
      <c r="K99" s="12"/>
      <c r="L99" s="12"/>
      <c r="M99" s="12"/>
      <c r="N99" s="12"/>
    </row>
    <row r="100" spans="2:14" x14ac:dyDescent="0.35">
      <c r="F100" s="12"/>
      <c r="G100" s="12"/>
      <c r="H100" s="12"/>
      <c r="I100" s="12"/>
      <c r="J100" s="12"/>
      <c r="K100" s="12"/>
      <c r="L100" s="12"/>
      <c r="M100" s="12"/>
      <c r="N100" s="12"/>
    </row>
    <row r="101" spans="2:14" x14ac:dyDescent="0.35">
      <c r="F101" s="12"/>
      <c r="G101" s="12"/>
      <c r="H101" s="12"/>
      <c r="I101" s="12"/>
      <c r="J101" s="12"/>
      <c r="K101" s="12"/>
      <c r="L101" s="12"/>
      <c r="M101" s="12"/>
      <c r="N101" s="12"/>
    </row>
    <row r="102" spans="2:14" x14ac:dyDescent="0.35">
      <c r="F102" s="12"/>
      <c r="G102" s="12"/>
      <c r="H102" s="12"/>
      <c r="I102" s="12"/>
      <c r="J102" s="12"/>
      <c r="K102" s="12"/>
      <c r="L102" s="12"/>
      <c r="M102" s="12"/>
      <c r="N102" s="12"/>
    </row>
    <row r="103" spans="2:14" x14ac:dyDescent="0.35">
      <c r="K103" s="12"/>
      <c r="L103" s="12"/>
      <c r="M103" s="12"/>
      <c r="N103" s="12"/>
    </row>
    <row r="104" spans="2:14" x14ac:dyDescent="0.35">
      <c r="K104" s="12"/>
      <c r="L104" s="12"/>
      <c r="M104" s="12"/>
      <c r="N104" s="12"/>
    </row>
    <row r="105" spans="2:14" x14ac:dyDescent="0.35">
      <c r="G105" s="298"/>
      <c r="H105" s="53"/>
      <c r="K105" s="12"/>
      <c r="L105" s="12"/>
      <c r="M105" s="12"/>
      <c r="N105" s="12"/>
    </row>
    <row r="106" spans="2:14" x14ac:dyDescent="0.35">
      <c r="D106" s="11"/>
      <c r="E106" s="11"/>
      <c r="G106" s="298"/>
      <c r="H106" s="53"/>
      <c r="K106" s="12"/>
      <c r="L106" s="12"/>
      <c r="M106" s="12"/>
      <c r="N106" s="12"/>
    </row>
    <row r="107" spans="2:14" x14ac:dyDescent="0.35">
      <c r="D107" s="11"/>
      <c r="E107" s="11"/>
      <c r="G107" s="298"/>
      <c r="H107" s="53"/>
    </row>
    <row r="108" spans="2:14" x14ac:dyDescent="0.35">
      <c r="G108" s="298"/>
      <c r="H108" s="53"/>
    </row>
  </sheetData>
  <sheetProtection sheet="1" objects="1" scenarios="1" selectLockedCells="1"/>
  <conditionalFormatting sqref="D53:D54">
    <cfRule type="cellIs" priority="1" stopIfTrue="1" operator="between">
      <formula>14.5</formula>
      <formula>20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5D5D-A203-4302-831F-66D544A38426}">
  <dimension ref="B1:T66"/>
  <sheetViews>
    <sheetView workbookViewId="0">
      <selection activeCell="M1" sqref="M1"/>
    </sheetView>
  </sheetViews>
  <sheetFormatPr defaultRowHeight="14.5" x14ac:dyDescent="0.35"/>
  <cols>
    <col min="1" max="1" width="6.81640625" customWidth="1"/>
    <col min="2" max="2" width="28.7265625" customWidth="1"/>
    <col min="3" max="3" width="23.08984375" customWidth="1"/>
    <col min="4" max="4" width="38.54296875" customWidth="1"/>
    <col min="5" max="5" width="14" customWidth="1"/>
    <col min="9" max="9" width="14.90625" customWidth="1"/>
    <col min="11" max="11" width="29.26953125" customWidth="1"/>
  </cols>
  <sheetData>
    <row r="1" spans="2:20" ht="20" x14ac:dyDescent="0.4">
      <c r="B1" s="91" t="s">
        <v>803</v>
      </c>
      <c r="C1" s="118"/>
      <c r="D1" s="1"/>
      <c r="E1" s="118"/>
      <c r="F1" s="1"/>
      <c r="G1" s="375"/>
      <c r="H1" s="84" t="s">
        <v>0</v>
      </c>
      <c r="I1" s="184"/>
      <c r="J1" s="184"/>
      <c r="K1" s="184"/>
      <c r="L1" s="184"/>
      <c r="M1" s="184"/>
      <c r="N1" s="184"/>
      <c r="O1" s="184"/>
      <c r="P1" s="184"/>
      <c r="Q1" s="184"/>
      <c r="R1" s="184"/>
      <c r="S1" s="184"/>
      <c r="T1" s="184"/>
    </row>
    <row r="2" spans="2:20" ht="15.5" x14ac:dyDescent="0.35">
      <c r="B2" s="376"/>
      <c r="C2" s="118"/>
      <c r="D2" s="376"/>
      <c r="E2" s="118"/>
      <c r="F2" s="118"/>
      <c r="G2" s="118"/>
      <c r="H2" s="7" t="s">
        <v>804</v>
      </c>
      <c r="I2" s="184"/>
      <c r="J2" s="184"/>
      <c r="K2" s="184"/>
      <c r="L2" s="184"/>
      <c r="M2" s="184"/>
      <c r="N2" s="184"/>
      <c r="O2" s="184"/>
      <c r="P2" s="184"/>
      <c r="Q2" s="184"/>
      <c r="R2" s="184"/>
      <c r="S2" s="184"/>
      <c r="T2" s="184"/>
    </row>
    <row r="3" spans="2:20" ht="15.5" x14ac:dyDescent="0.35">
      <c r="B3" s="118"/>
      <c r="C3" s="118"/>
      <c r="D3" s="118"/>
      <c r="E3" s="118"/>
      <c r="F3" s="118"/>
      <c r="G3" s="118"/>
      <c r="H3" s="2" t="s">
        <v>805</v>
      </c>
      <c r="I3" s="118"/>
      <c r="J3" s="118"/>
      <c r="K3" s="184"/>
      <c r="L3" s="184"/>
      <c r="M3" s="184"/>
      <c r="N3" s="184"/>
      <c r="O3" s="184"/>
      <c r="P3" s="184"/>
      <c r="Q3" s="184"/>
      <c r="R3" s="184"/>
      <c r="S3" s="184"/>
      <c r="T3" s="184"/>
    </row>
    <row r="4" spans="2:20" ht="18" x14ac:dyDescent="0.4">
      <c r="B4" s="97" t="s">
        <v>806</v>
      </c>
      <c r="C4" s="9"/>
      <c r="D4" s="1"/>
      <c r="E4" s="9"/>
      <c r="F4" s="13"/>
      <c r="G4" s="9"/>
      <c r="H4" s="9"/>
      <c r="I4" s="9"/>
      <c r="J4" s="9"/>
      <c r="K4" s="12"/>
      <c r="L4" s="12"/>
      <c r="M4" s="12"/>
      <c r="N4" s="12"/>
      <c r="O4" s="12"/>
      <c r="P4" s="12"/>
      <c r="Q4" s="12"/>
      <c r="R4" s="12"/>
      <c r="S4" s="12"/>
      <c r="T4" s="184"/>
    </row>
    <row r="5" spans="2:20" ht="15.5" x14ac:dyDescent="0.35">
      <c r="B5" s="87" t="s">
        <v>807</v>
      </c>
      <c r="C5" s="9" t="s">
        <v>808</v>
      </c>
      <c r="D5" s="87"/>
      <c r="E5" s="9"/>
      <c r="F5" s="13"/>
      <c r="G5" s="9"/>
      <c r="H5" s="9"/>
      <c r="I5" s="9"/>
      <c r="J5" s="9"/>
      <c r="K5" s="12"/>
      <c r="L5" s="12"/>
      <c r="M5" s="12"/>
      <c r="N5" s="12"/>
      <c r="O5" s="12"/>
      <c r="P5" s="12"/>
      <c r="Q5" s="12"/>
      <c r="R5" s="12"/>
      <c r="S5" s="12"/>
      <c r="T5" s="184"/>
    </row>
    <row r="6" spans="2:20" ht="15.5" x14ac:dyDescent="0.35">
      <c r="B6" s="87" t="s">
        <v>809</v>
      </c>
      <c r="C6" s="9" t="s">
        <v>810</v>
      </c>
      <c r="D6" s="87"/>
      <c r="E6" s="9"/>
      <c r="F6" s="9"/>
      <c r="G6" s="9"/>
      <c r="H6" s="9"/>
      <c r="I6" s="9"/>
      <c r="J6" s="9"/>
      <c r="K6" s="12"/>
      <c r="L6" s="12"/>
      <c r="M6" s="12"/>
      <c r="N6" s="12"/>
      <c r="O6" s="12"/>
      <c r="P6" s="12"/>
      <c r="Q6" s="12"/>
      <c r="R6" s="12"/>
      <c r="S6" s="12"/>
      <c r="T6" s="184"/>
    </row>
    <row r="7" spans="2:20" ht="15.5" x14ac:dyDescent="0.35">
      <c r="B7" s="87" t="s">
        <v>811</v>
      </c>
      <c r="C7" s="9" t="s">
        <v>812</v>
      </c>
      <c r="D7" s="87"/>
      <c r="E7" s="9"/>
      <c r="F7" s="9"/>
      <c r="G7" s="9"/>
      <c r="H7" s="9"/>
      <c r="I7" s="9"/>
      <c r="J7" s="9"/>
      <c r="K7" s="12"/>
      <c r="L7" s="12"/>
      <c r="M7" s="12"/>
      <c r="N7" s="12"/>
      <c r="O7" s="12"/>
      <c r="P7" s="12"/>
      <c r="Q7" s="12"/>
      <c r="R7" s="12"/>
      <c r="S7" s="12"/>
      <c r="T7" s="184"/>
    </row>
    <row r="8" spans="2:20" ht="15.5" x14ac:dyDescent="0.35">
      <c r="B8" s="87" t="s">
        <v>813</v>
      </c>
      <c r="C8" s="9" t="s">
        <v>814</v>
      </c>
      <c r="D8" s="87"/>
      <c r="E8" s="9"/>
      <c r="F8" s="9"/>
      <c r="G8" s="9"/>
      <c r="H8" s="9"/>
      <c r="I8" s="9"/>
      <c r="J8" s="9"/>
      <c r="K8" s="12"/>
      <c r="L8" s="12"/>
      <c r="M8" s="12"/>
      <c r="N8" s="12"/>
      <c r="O8" s="12"/>
      <c r="P8" s="12"/>
      <c r="Q8" s="12"/>
      <c r="R8" s="12"/>
      <c r="S8" s="12"/>
      <c r="T8" s="184"/>
    </row>
    <row r="9" spans="2:20" ht="18" x14ac:dyDescent="0.4">
      <c r="B9" s="97" t="s">
        <v>815</v>
      </c>
      <c r="C9" s="9"/>
      <c r="D9" s="1"/>
      <c r="E9" s="9"/>
      <c r="F9" s="9"/>
      <c r="G9" s="118"/>
      <c r="H9" s="377"/>
      <c r="I9" s="12"/>
      <c r="J9" s="12"/>
      <c r="K9" s="12"/>
      <c r="L9" s="12"/>
      <c r="M9" s="12"/>
      <c r="N9" s="12"/>
      <c r="O9" s="12"/>
      <c r="P9" s="12"/>
      <c r="Q9" s="12"/>
      <c r="R9" s="12"/>
      <c r="S9" s="12"/>
      <c r="T9" s="184"/>
    </row>
    <row r="10" spans="2:20" ht="15.5" x14ac:dyDescent="0.35">
      <c r="B10" s="87" t="s">
        <v>816</v>
      </c>
      <c r="C10" s="9" t="s">
        <v>808</v>
      </c>
      <c r="D10" s="87"/>
      <c r="E10" s="9"/>
      <c r="F10" s="9"/>
      <c r="G10" s="118"/>
      <c r="H10" s="118"/>
      <c r="I10" s="103" t="s">
        <v>817</v>
      </c>
      <c r="J10" s="12"/>
      <c r="K10" s="12"/>
      <c r="L10" s="103" t="s">
        <v>818</v>
      </c>
      <c r="M10" s="118"/>
      <c r="N10" s="12"/>
      <c r="O10" s="12"/>
      <c r="P10" s="12"/>
      <c r="Q10" s="12"/>
      <c r="R10" s="12"/>
      <c r="S10" s="12"/>
      <c r="T10" s="184"/>
    </row>
    <row r="11" spans="2:20" ht="15.5" x14ac:dyDescent="0.35">
      <c r="B11" s="87" t="s">
        <v>819</v>
      </c>
      <c r="C11" s="9" t="s">
        <v>810</v>
      </c>
      <c r="D11" s="87"/>
      <c r="E11" s="9"/>
      <c r="F11" s="9"/>
      <c r="G11" s="268"/>
      <c r="H11" s="34"/>
      <c r="I11" s="12"/>
      <c r="J11" s="12"/>
      <c r="K11" s="12"/>
      <c r="L11" s="12"/>
      <c r="M11" s="12"/>
      <c r="N11" s="12"/>
      <c r="O11" s="12"/>
      <c r="P11" s="12"/>
      <c r="Q11" s="12"/>
      <c r="R11" s="12"/>
      <c r="S11" s="12"/>
      <c r="T11" s="184"/>
    </row>
    <row r="12" spans="2:20" ht="15.5" x14ac:dyDescent="0.35">
      <c r="B12" s="87" t="s">
        <v>820</v>
      </c>
      <c r="C12" s="9" t="s">
        <v>821</v>
      </c>
      <c r="D12" s="87"/>
      <c r="E12" s="9"/>
      <c r="F12" s="9"/>
      <c r="G12" s="378"/>
      <c r="H12" s="379"/>
      <c r="I12" s="12"/>
      <c r="J12" s="12"/>
      <c r="K12" s="12"/>
      <c r="L12" s="12"/>
      <c r="M12" s="12"/>
      <c r="N12" s="12"/>
      <c r="O12" s="12"/>
      <c r="P12" s="12"/>
      <c r="Q12" s="12"/>
      <c r="R12" s="12"/>
      <c r="S12" s="12"/>
      <c r="T12" s="268"/>
    </row>
    <row r="13" spans="2:20" ht="15.5" x14ac:dyDescent="0.35">
      <c r="B13" s="7"/>
      <c r="C13" s="9"/>
      <c r="D13" s="7"/>
      <c r="E13" s="9"/>
      <c r="F13" s="9"/>
      <c r="G13" s="268"/>
      <c r="H13" s="34"/>
      <c r="I13" s="12"/>
      <c r="J13" s="12"/>
      <c r="K13" s="12"/>
      <c r="L13" s="12"/>
      <c r="M13" s="12"/>
      <c r="N13" s="12"/>
      <c r="O13" s="12"/>
      <c r="P13" s="12"/>
      <c r="Q13" s="12"/>
      <c r="R13" s="12"/>
      <c r="S13" s="12"/>
      <c r="T13" s="268"/>
    </row>
    <row r="14" spans="2:20" ht="15.5" x14ac:dyDescent="0.35">
      <c r="B14" s="9"/>
      <c r="C14" s="9"/>
      <c r="D14" s="9"/>
      <c r="E14" s="9"/>
      <c r="F14" s="9"/>
      <c r="G14" s="378"/>
      <c r="H14" s="380"/>
      <c r="I14" s="12"/>
      <c r="J14" s="12"/>
      <c r="K14" s="12"/>
      <c r="L14" s="12"/>
      <c r="M14" s="12"/>
      <c r="N14" s="12"/>
      <c r="O14" s="12"/>
      <c r="P14" s="12"/>
      <c r="Q14" s="12"/>
      <c r="R14" s="12"/>
      <c r="S14" s="12"/>
      <c r="T14" s="268"/>
    </row>
    <row r="15" spans="2:20" ht="15.5" x14ac:dyDescent="0.35">
      <c r="B15" s="9"/>
      <c r="C15" s="12"/>
      <c r="D15" s="9"/>
      <c r="E15" s="12"/>
      <c r="F15" s="9"/>
      <c r="G15" s="9"/>
      <c r="H15" s="9"/>
      <c r="I15" s="9"/>
      <c r="J15" s="9"/>
      <c r="K15" s="9"/>
      <c r="L15" s="12"/>
      <c r="M15" s="12"/>
      <c r="N15" s="12"/>
      <c r="O15" s="12"/>
      <c r="P15" s="12"/>
      <c r="Q15" s="12"/>
      <c r="R15" s="12"/>
      <c r="S15" s="12"/>
      <c r="T15" s="268"/>
    </row>
    <row r="16" spans="2:20" ht="15.5" x14ac:dyDescent="0.35">
      <c r="B16" s="9"/>
      <c r="C16" s="118"/>
      <c r="D16" s="9"/>
      <c r="E16" s="12"/>
      <c r="F16" s="9"/>
      <c r="G16" s="13" t="s">
        <v>822</v>
      </c>
      <c r="H16" s="12"/>
      <c r="I16" s="12"/>
      <c r="J16" s="12"/>
      <c r="K16" s="12"/>
      <c r="L16" s="12"/>
      <c r="M16" s="12"/>
      <c r="N16" s="12"/>
      <c r="O16" s="12"/>
      <c r="P16" s="12"/>
      <c r="Q16" s="12"/>
      <c r="R16" s="12"/>
      <c r="S16" s="12"/>
      <c r="T16" s="268"/>
    </row>
    <row r="17" spans="2:20" ht="15.5" x14ac:dyDescent="0.35">
      <c r="B17" s="12"/>
      <c r="C17" s="118"/>
      <c r="D17" s="12"/>
      <c r="E17" s="12"/>
      <c r="F17" s="9"/>
      <c r="G17" s="53" t="s">
        <v>823</v>
      </c>
      <c r="H17" s="12"/>
      <c r="I17" s="12"/>
      <c r="J17" s="12"/>
      <c r="K17" s="12"/>
      <c r="L17" s="12"/>
      <c r="M17" s="12"/>
      <c r="N17" s="12"/>
      <c r="O17" s="12"/>
      <c r="P17" s="12"/>
      <c r="Q17" s="12"/>
      <c r="R17" s="12"/>
      <c r="S17" s="12"/>
      <c r="T17" s="268"/>
    </row>
    <row r="18" spans="2:20" ht="15.5" x14ac:dyDescent="0.35">
      <c r="B18" s="12"/>
      <c r="C18" s="118"/>
      <c r="D18" s="12"/>
      <c r="E18" s="12"/>
      <c r="F18" s="9"/>
      <c r="G18" s="53" t="s">
        <v>824</v>
      </c>
      <c r="H18" s="12"/>
      <c r="I18" s="12"/>
      <c r="J18" s="12"/>
      <c r="K18" s="12"/>
      <c r="L18" s="12"/>
      <c r="M18" s="12"/>
      <c r="N18" s="12"/>
      <c r="O18" s="12"/>
      <c r="P18" s="12"/>
      <c r="Q18" s="12"/>
      <c r="R18" s="12"/>
      <c r="S18" s="12"/>
      <c r="T18" s="184"/>
    </row>
    <row r="19" spans="2:20" ht="15.5" x14ac:dyDescent="0.35">
      <c r="B19" s="2"/>
      <c r="C19" s="12"/>
      <c r="D19" s="2"/>
      <c r="E19" s="12"/>
      <c r="F19" s="9"/>
      <c r="G19" s="12"/>
      <c r="H19" s="12"/>
      <c r="I19" s="12"/>
      <c r="J19" s="12"/>
      <c r="K19" s="12"/>
      <c r="L19" s="12"/>
      <c r="M19" s="12"/>
      <c r="N19" s="12"/>
      <c r="O19" s="12"/>
      <c r="P19" s="12"/>
      <c r="Q19" s="12"/>
      <c r="R19" s="12"/>
      <c r="S19" s="12"/>
      <c r="T19" s="184"/>
    </row>
    <row r="20" spans="2:20" ht="15.5" x14ac:dyDescent="0.35">
      <c r="B20" s="1"/>
      <c r="C20" s="12"/>
      <c r="D20" s="1"/>
      <c r="E20" s="12"/>
      <c r="F20" s="9"/>
      <c r="G20" s="12"/>
      <c r="H20" s="12"/>
      <c r="I20" s="12"/>
      <c r="J20" s="12"/>
      <c r="K20" s="12"/>
      <c r="L20" s="12"/>
      <c r="M20" s="12"/>
      <c r="N20" s="12"/>
      <c r="O20" s="12"/>
      <c r="P20" s="12"/>
      <c r="Q20" s="12"/>
      <c r="R20" s="12"/>
      <c r="S20" s="12"/>
      <c r="T20" s="184"/>
    </row>
    <row r="21" spans="2:20" ht="15.5" x14ac:dyDescent="0.35">
      <c r="B21" s="1"/>
      <c r="C21" s="12"/>
      <c r="D21" s="1"/>
      <c r="E21" s="12"/>
      <c r="F21" s="9"/>
      <c r="G21" s="12"/>
      <c r="H21" s="12"/>
      <c r="I21" s="12"/>
      <c r="J21" s="12"/>
      <c r="K21" s="12"/>
      <c r="L21" s="12"/>
      <c r="M21" s="12"/>
      <c r="N21" s="12"/>
      <c r="O21" s="12"/>
      <c r="P21" s="12"/>
      <c r="Q21" s="12"/>
      <c r="R21" s="12"/>
      <c r="S21" s="12"/>
      <c r="T21" s="184"/>
    </row>
    <row r="22" spans="2:20" ht="15.5" x14ac:dyDescent="0.35">
      <c r="B22" s="9"/>
      <c r="C22" s="12"/>
      <c r="D22" s="9"/>
      <c r="E22" s="12"/>
      <c r="F22" s="9"/>
      <c r="G22" s="12"/>
      <c r="H22" s="12"/>
      <c r="I22" s="12"/>
      <c r="J22" s="12"/>
      <c r="K22" s="12"/>
      <c r="L22" s="12"/>
      <c r="M22" s="12"/>
      <c r="N22" s="12"/>
      <c r="O22" s="12"/>
      <c r="P22" s="12"/>
      <c r="Q22" s="12"/>
      <c r="R22" s="12"/>
      <c r="S22" s="12"/>
      <c r="T22" s="184"/>
    </row>
    <row r="23" spans="2:20" ht="15.5" x14ac:dyDescent="0.35">
      <c r="B23" s="12"/>
      <c r="C23" s="12"/>
      <c r="D23" s="12"/>
      <c r="E23" s="12"/>
      <c r="F23" s="9"/>
      <c r="G23" s="12"/>
      <c r="H23" s="12"/>
      <c r="I23" s="12"/>
      <c r="J23" s="12"/>
      <c r="K23" s="12"/>
      <c r="L23" s="12"/>
      <c r="M23" s="12"/>
      <c r="N23" s="12"/>
      <c r="O23" s="12"/>
      <c r="P23" s="12"/>
      <c r="Q23" s="12"/>
      <c r="R23" s="12"/>
      <c r="S23" s="12"/>
      <c r="T23" s="184"/>
    </row>
    <row r="24" spans="2:20" ht="15.5" x14ac:dyDescent="0.35">
      <c r="B24" s="9"/>
      <c r="C24" s="9"/>
      <c r="D24" s="9"/>
      <c r="E24" s="9"/>
      <c r="F24" s="9"/>
      <c r="G24" s="12"/>
      <c r="H24" s="12"/>
      <c r="I24" s="12"/>
      <c r="J24" s="12"/>
      <c r="K24" s="12"/>
      <c r="L24" s="12"/>
      <c r="M24" s="12"/>
      <c r="N24" s="12"/>
      <c r="O24" s="12"/>
      <c r="P24" s="12"/>
      <c r="Q24" s="12"/>
      <c r="R24" s="12"/>
      <c r="S24" s="12"/>
      <c r="T24" s="184"/>
    </row>
    <row r="25" spans="2:20" ht="15.5" x14ac:dyDescent="0.35">
      <c r="B25" s="9"/>
      <c r="C25" s="9"/>
      <c r="D25" s="9"/>
      <c r="E25" s="9"/>
      <c r="F25" s="9"/>
      <c r="G25" s="12"/>
      <c r="H25" s="12"/>
      <c r="I25" s="12"/>
      <c r="J25" s="12"/>
      <c r="K25" s="12"/>
      <c r="L25" s="12"/>
      <c r="M25" s="12"/>
      <c r="N25" s="12"/>
      <c r="O25" s="12"/>
      <c r="P25" s="12"/>
      <c r="Q25" s="12"/>
      <c r="R25" s="12"/>
      <c r="S25" s="12"/>
      <c r="T25" s="184"/>
    </row>
    <row r="26" spans="2:20" ht="15.5" x14ac:dyDescent="0.35">
      <c r="B26" s="87" t="s">
        <v>828</v>
      </c>
      <c r="C26" s="118"/>
      <c r="D26" s="392"/>
      <c r="E26" s="9"/>
      <c r="F26" s="9"/>
      <c r="G26" s="12"/>
      <c r="H26" s="12"/>
      <c r="I26" s="12"/>
      <c r="J26" s="12"/>
      <c r="K26" s="12"/>
      <c r="L26" s="12"/>
      <c r="M26" s="12"/>
      <c r="N26" s="12"/>
      <c r="O26" s="12"/>
      <c r="P26" s="12"/>
      <c r="Q26" s="12"/>
      <c r="R26" s="12"/>
      <c r="S26" s="12"/>
      <c r="T26" s="184"/>
    </row>
    <row r="27" spans="2:20" ht="16" thickBot="1" x14ac:dyDescent="0.4">
      <c r="B27" s="11"/>
      <c r="C27" s="83" t="s">
        <v>36</v>
      </c>
      <c r="D27" s="394"/>
      <c r="E27" s="9"/>
      <c r="F27" s="9"/>
      <c r="G27" s="12"/>
      <c r="H27" s="12"/>
      <c r="I27" s="12"/>
      <c r="J27" s="12"/>
      <c r="K27" s="12"/>
      <c r="L27" s="12"/>
      <c r="M27" s="12"/>
      <c r="N27" s="12"/>
      <c r="O27" s="12"/>
      <c r="P27" s="12"/>
      <c r="Q27" s="12"/>
      <c r="R27" s="12"/>
      <c r="S27" s="12"/>
      <c r="T27" s="184"/>
    </row>
    <row r="28" spans="2:20" ht="16" thickBot="1" x14ac:dyDescent="0.4">
      <c r="B28" s="87" t="s">
        <v>833</v>
      </c>
      <c r="C28" s="384">
        <v>10</v>
      </c>
      <c r="D28" s="392"/>
      <c r="E28" s="9"/>
      <c r="F28" s="9"/>
      <c r="G28" s="12"/>
      <c r="H28" s="12"/>
      <c r="I28" s="12"/>
      <c r="J28" s="12"/>
      <c r="K28" s="12"/>
      <c r="L28" s="12"/>
      <c r="M28" s="12"/>
      <c r="N28" s="12"/>
      <c r="O28" s="12"/>
      <c r="P28" s="12"/>
      <c r="Q28" s="12"/>
      <c r="R28" s="12"/>
      <c r="S28" s="12"/>
      <c r="T28" s="184"/>
    </row>
    <row r="29" spans="2:20" ht="16" thickBot="1" x14ac:dyDescent="0.4">
      <c r="B29" s="87" t="s">
        <v>837</v>
      </c>
      <c r="C29" s="385">
        <v>6</v>
      </c>
      <c r="D29" s="392"/>
      <c r="E29" s="9"/>
      <c r="F29" s="9"/>
      <c r="G29" s="12"/>
      <c r="H29" s="12"/>
      <c r="I29" s="12"/>
      <c r="J29" s="12"/>
      <c r="K29" s="381" t="s">
        <v>825</v>
      </c>
      <c r="L29" s="381" t="s">
        <v>826</v>
      </c>
      <c r="M29" s="12"/>
      <c r="N29" s="12"/>
      <c r="O29" s="12"/>
      <c r="P29" s="12"/>
      <c r="Q29" s="12"/>
      <c r="R29" s="12"/>
      <c r="S29" s="12"/>
      <c r="T29" s="184"/>
    </row>
    <row r="30" spans="2:20" ht="15.5" x14ac:dyDescent="0.35">
      <c r="B30" s="13"/>
      <c r="C30" s="83" t="s">
        <v>13</v>
      </c>
      <c r="D30" s="399"/>
      <c r="E30" s="9"/>
      <c r="F30" s="9"/>
      <c r="G30" s="12"/>
      <c r="H30" s="12"/>
      <c r="I30" s="12"/>
      <c r="J30" s="12"/>
      <c r="K30" s="12">
        <v>1</v>
      </c>
      <c r="L30" s="251">
        <v>10</v>
      </c>
      <c r="M30" s="12"/>
      <c r="N30" s="12"/>
      <c r="O30" s="12"/>
      <c r="P30" s="12"/>
      <c r="Q30" s="12"/>
      <c r="R30" s="12"/>
      <c r="S30" s="12"/>
      <c r="T30" s="184"/>
    </row>
    <row r="31" spans="2:20" ht="16" thickBot="1" x14ac:dyDescent="0.4">
      <c r="B31" s="87" t="s">
        <v>842</v>
      </c>
      <c r="C31" s="1" t="s">
        <v>843</v>
      </c>
      <c r="D31" s="392"/>
      <c r="E31" s="9"/>
      <c r="F31" s="9"/>
      <c r="G31" s="12"/>
      <c r="H31" s="103" t="s">
        <v>827</v>
      </c>
      <c r="I31" s="12"/>
      <c r="J31" s="12"/>
      <c r="K31" s="12">
        <v>2</v>
      </c>
      <c r="L31" s="251">
        <v>6</v>
      </c>
      <c r="M31" s="12"/>
      <c r="N31" s="12"/>
      <c r="O31" s="12"/>
      <c r="P31" s="12"/>
      <c r="Q31" s="12"/>
      <c r="R31" s="12"/>
      <c r="S31" s="12"/>
      <c r="T31" s="118"/>
    </row>
    <row r="32" spans="2:20" ht="16" thickBot="1" x14ac:dyDescent="0.4">
      <c r="B32" s="387" t="s">
        <v>30</v>
      </c>
      <c r="C32" s="388">
        <f>( C28^2 + C29^2 )^(1/2)</f>
        <v>11.661903789690601</v>
      </c>
      <c r="D32" s="401"/>
      <c r="E32" s="393"/>
      <c r="F32" s="393"/>
      <c r="G32" s="184"/>
      <c r="H32" s="382" t="s">
        <v>829</v>
      </c>
      <c r="I32" s="383">
        <v>10</v>
      </c>
      <c r="J32" s="12" t="s">
        <v>305</v>
      </c>
      <c r="K32" s="12">
        <v>3</v>
      </c>
      <c r="L32" s="103" t="s">
        <v>830</v>
      </c>
      <c r="M32" s="12"/>
      <c r="N32" s="12"/>
      <c r="O32" s="12"/>
      <c r="P32" s="12"/>
      <c r="Q32" s="12"/>
      <c r="R32" s="12"/>
      <c r="S32" s="12"/>
      <c r="T32" s="118"/>
    </row>
    <row r="33" spans="2:20" ht="16" thickBot="1" x14ac:dyDescent="0.4">
      <c r="B33" s="87" t="s">
        <v>846</v>
      </c>
      <c r="C33" s="2" t="s">
        <v>847</v>
      </c>
      <c r="D33" s="392"/>
      <c r="E33" s="395"/>
      <c r="F33" s="396"/>
      <c r="G33" s="184"/>
      <c r="H33" s="382" t="s">
        <v>831</v>
      </c>
      <c r="I33" s="383">
        <v>6</v>
      </c>
      <c r="J33" s="12" t="s">
        <v>832</v>
      </c>
      <c r="K33" s="12">
        <v>4</v>
      </c>
      <c r="L33" s="103" t="s">
        <v>824</v>
      </c>
      <c r="M33" s="12"/>
      <c r="N33" s="12"/>
      <c r="O33" s="12"/>
      <c r="P33" s="12"/>
      <c r="Q33" s="12"/>
      <c r="R33" s="12"/>
      <c r="S33" s="12"/>
      <c r="T33" s="118"/>
    </row>
    <row r="34" spans="2:20" ht="16" thickBot="1" x14ac:dyDescent="0.4">
      <c r="B34" s="87" t="s">
        <v>30</v>
      </c>
      <c r="C34" s="389">
        <f>57.3 * ATAN(C29 / C28)</f>
        <v>30.966037365504469</v>
      </c>
      <c r="D34" s="392"/>
      <c r="E34" s="397"/>
      <c r="F34" s="398"/>
      <c r="G34" s="184"/>
      <c r="H34" s="36" t="s">
        <v>834</v>
      </c>
      <c r="I34" s="6" t="s">
        <v>835</v>
      </c>
      <c r="J34" s="9"/>
      <c r="K34" s="12">
        <v>5</v>
      </c>
      <c r="L34" s="103" t="s">
        <v>836</v>
      </c>
      <c r="M34" s="12"/>
      <c r="N34" s="12"/>
      <c r="O34" s="12"/>
      <c r="P34" s="12"/>
      <c r="Q34" s="12"/>
      <c r="R34" s="12"/>
      <c r="S34" s="12"/>
      <c r="T34" s="118"/>
    </row>
    <row r="35" spans="2:20" ht="15.5" x14ac:dyDescent="0.35">
      <c r="B35" s="9"/>
      <c r="C35" s="9"/>
      <c r="D35" s="396"/>
      <c r="E35" s="397"/>
      <c r="F35" s="398"/>
      <c r="G35" s="12"/>
      <c r="H35" s="36" t="s">
        <v>30</v>
      </c>
      <c r="I35" s="386">
        <f>I33/I32</f>
        <v>0.6</v>
      </c>
      <c r="J35" s="9" t="s">
        <v>838</v>
      </c>
      <c r="K35" s="12">
        <v>6</v>
      </c>
      <c r="L35" s="103" t="s">
        <v>839</v>
      </c>
      <c r="M35" s="12"/>
      <c r="N35" s="12"/>
      <c r="O35" s="12"/>
      <c r="P35" s="12"/>
      <c r="Q35" s="12"/>
      <c r="R35" s="12"/>
      <c r="S35" s="12"/>
      <c r="T35" s="118"/>
    </row>
    <row r="36" spans="2:20" ht="15.5" x14ac:dyDescent="0.35">
      <c r="B36" s="2" t="s">
        <v>849</v>
      </c>
      <c r="C36" s="9"/>
      <c r="D36" s="398"/>
      <c r="E36" s="395"/>
      <c r="F36" s="396"/>
      <c r="G36" s="12"/>
      <c r="H36" s="36" t="s">
        <v>840</v>
      </c>
      <c r="I36" s="6" t="s">
        <v>841</v>
      </c>
      <c r="J36" s="9"/>
      <c r="K36" s="12">
        <v>7</v>
      </c>
      <c r="L36" s="251">
        <v>2</v>
      </c>
      <c r="M36" s="12"/>
      <c r="N36" s="12"/>
      <c r="O36" s="12"/>
      <c r="P36" s="12"/>
      <c r="Q36" s="12"/>
      <c r="R36" s="12"/>
      <c r="S36" s="12"/>
      <c r="T36" s="118"/>
    </row>
    <row r="37" spans="2:20" ht="15.5" x14ac:dyDescent="0.35">
      <c r="B37" s="6" t="s">
        <v>850</v>
      </c>
      <c r="C37" s="9"/>
      <c r="D37" s="6"/>
      <c r="E37" s="400"/>
      <c r="F37" s="398"/>
      <c r="G37" s="12"/>
      <c r="H37" s="13" t="s">
        <v>30</v>
      </c>
      <c r="I37" s="71">
        <f>ATAN(I33/I32)</f>
        <v>0.54041950027058416</v>
      </c>
      <c r="J37" s="9" t="s">
        <v>258</v>
      </c>
      <c r="K37" s="12">
        <v>8</v>
      </c>
      <c r="L37" s="103" t="s">
        <v>814</v>
      </c>
      <c r="M37" s="12"/>
      <c r="N37" s="12"/>
      <c r="O37" s="12"/>
      <c r="P37" s="12"/>
      <c r="Q37" s="12"/>
      <c r="R37" s="12"/>
      <c r="S37" s="12"/>
      <c r="T37" s="118"/>
    </row>
    <row r="38" spans="2:20" ht="15.5" x14ac:dyDescent="0.35">
      <c r="B38" s="6" t="s">
        <v>851</v>
      </c>
      <c r="C38" s="9"/>
      <c r="D38" s="6"/>
      <c r="E38" s="402"/>
      <c r="F38" s="398"/>
      <c r="G38" s="12"/>
      <c r="H38" s="36" t="s">
        <v>844</v>
      </c>
      <c r="I38" s="7" t="s">
        <v>845</v>
      </c>
      <c r="J38" s="11" t="s">
        <v>121</v>
      </c>
      <c r="K38" s="12">
        <v>9</v>
      </c>
      <c r="L38" s="383">
        <v>10</v>
      </c>
      <c r="M38" s="12"/>
      <c r="N38" s="12"/>
      <c r="O38" s="12"/>
      <c r="P38" s="12"/>
      <c r="Q38" s="12"/>
      <c r="R38" s="12"/>
      <c r="S38" s="12"/>
      <c r="T38" s="118"/>
    </row>
    <row r="39" spans="2:20" ht="15.5" x14ac:dyDescent="0.35">
      <c r="B39" s="6" t="s">
        <v>852</v>
      </c>
      <c r="C39" s="9"/>
      <c r="D39" s="6"/>
      <c r="E39" s="398"/>
      <c r="F39" s="398"/>
      <c r="G39" s="12"/>
      <c r="H39" s="36" t="s">
        <v>840</v>
      </c>
      <c r="I39" s="80" t="s">
        <v>848</v>
      </c>
      <c r="J39" s="9"/>
      <c r="K39" s="12">
        <v>10</v>
      </c>
      <c r="L39" s="383">
        <v>6</v>
      </c>
      <c r="M39" s="12"/>
      <c r="N39" s="12"/>
      <c r="O39" s="12"/>
      <c r="P39" s="12"/>
      <c r="Q39" s="12"/>
      <c r="R39" s="12"/>
      <c r="S39" s="12"/>
      <c r="T39" s="118"/>
    </row>
    <row r="40" spans="2:20" ht="15.5" x14ac:dyDescent="0.35">
      <c r="B40" s="6" t="s">
        <v>853</v>
      </c>
      <c r="C40" s="9"/>
      <c r="D40" s="6"/>
      <c r="E40" s="397"/>
      <c r="F40" s="398"/>
      <c r="G40" s="12"/>
      <c r="H40" s="13" t="s">
        <v>30</v>
      </c>
      <c r="I40" s="80">
        <f>57.3*I37</f>
        <v>30.966037365504469</v>
      </c>
      <c r="J40" s="9" t="s">
        <v>121</v>
      </c>
      <c r="K40" s="12"/>
      <c r="L40" s="12"/>
      <c r="M40" s="12"/>
      <c r="N40" s="12"/>
      <c r="O40" s="12"/>
      <c r="P40" s="12"/>
      <c r="Q40" s="12"/>
      <c r="R40" s="12"/>
      <c r="S40" s="12"/>
      <c r="T40" s="118"/>
    </row>
    <row r="41" spans="2:20" ht="15.5" x14ac:dyDescent="0.35">
      <c r="B41" s="9"/>
      <c r="C41" s="9"/>
      <c r="D41" s="9"/>
      <c r="E41" s="396"/>
      <c r="F41" s="396"/>
      <c r="G41" s="12"/>
      <c r="H41" s="12"/>
      <c r="I41" s="12"/>
      <c r="J41" s="12"/>
      <c r="K41" s="12"/>
      <c r="L41" s="12"/>
      <c r="M41" s="12"/>
      <c r="N41" s="12"/>
      <c r="O41" s="12"/>
      <c r="P41" s="12"/>
      <c r="Q41" s="12"/>
      <c r="R41" s="12"/>
      <c r="S41" s="12"/>
      <c r="T41" s="118"/>
    </row>
    <row r="42" spans="2:20" ht="15.5" x14ac:dyDescent="0.35">
      <c r="B42" s="9"/>
      <c r="C42" s="9"/>
      <c r="D42" s="9"/>
      <c r="E42" s="396"/>
      <c r="F42" s="399"/>
      <c r="G42" s="12"/>
      <c r="H42" s="12"/>
      <c r="I42" s="12"/>
      <c r="J42" s="12"/>
      <c r="K42" s="12"/>
      <c r="L42" s="12"/>
      <c r="M42" s="12"/>
      <c r="N42" s="12"/>
      <c r="O42" s="12"/>
      <c r="P42" s="12"/>
      <c r="Q42" s="12"/>
      <c r="R42" s="12"/>
      <c r="S42" s="12"/>
      <c r="T42" s="118"/>
    </row>
    <row r="43" spans="2:20" ht="15.5" x14ac:dyDescent="0.35">
      <c r="B43" s="9"/>
      <c r="C43" s="9"/>
      <c r="D43" s="9"/>
      <c r="E43" s="9"/>
      <c r="F43" s="13"/>
      <c r="G43" s="34"/>
      <c r="H43" s="12"/>
      <c r="I43" s="12"/>
      <c r="J43" s="12"/>
      <c r="K43" s="12"/>
      <c r="L43" s="12"/>
      <c r="M43" s="12"/>
      <c r="N43" s="12"/>
      <c r="O43" s="12"/>
      <c r="P43" s="12"/>
      <c r="Q43" s="12"/>
      <c r="R43" s="12"/>
      <c r="S43" s="12"/>
      <c r="T43" s="118"/>
    </row>
    <row r="44" spans="2:20" ht="15.5" x14ac:dyDescent="0.35">
      <c r="B44" s="9"/>
      <c r="C44" s="9"/>
      <c r="D44" s="9"/>
      <c r="E44" s="9"/>
      <c r="F44" s="13"/>
      <c r="G44" s="12"/>
      <c r="H44" s="12"/>
      <c r="I44" s="12"/>
      <c r="J44" s="12"/>
      <c r="K44" s="12"/>
      <c r="L44" s="12"/>
      <c r="M44" s="12"/>
      <c r="N44" s="12"/>
      <c r="O44" s="12"/>
      <c r="P44" s="12"/>
      <c r="Q44" s="12"/>
      <c r="R44" s="12"/>
      <c r="S44" s="12"/>
      <c r="T44" s="118"/>
    </row>
    <row r="45" spans="2:20" ht="15.5" x14ac:dyDescent="0.35">
      <c r="B45" s="9"/>
      <c r="C45" s="9"/>
      <c r="D45" s="9"/>
      <c r="E45" s="9"/>
      <c r="F45" s="13"/>
      <c r="G45" s="12"/>
      <c r="H45" s="12"/>
      <c r="I45" s="12"/>
      <c r="J45" s="12"/>
      <c r="K45" s="12"/>
      <c r="L45" s="12"/>
      <c r="M45" s="12"/>
      <c r="N45" s="12"/>
      <c r="O45" s="12"/>
      <c r="P45" s="12"/>
      <c r="Q45" s="12"/>
      <c r="R45" s="12"/>
      <c r="S45" s="12"/>
      <c r="T45" s="118"/>
    </row>
    <row r="46" spans="2:20" ht="15.5" x14ac:dyDescent="0.35">
      <c r="B46" s="9"/>
      <c r="C46" s="9"/>
      <c r="D46" s="9"/>
      <c r="E46" s="9"/>
      <c r="F46" s="390"/>
      <c r="G46" s="12"/>
      <c r="H46" s="12"/>
      <c r="I46" s="382"/>
      <c r="J46" s="251"/>
      <c r="K46" s="12"/>
      <c r="L46" s="12"/>
      <c r="M46" s="12"/>
      <c r="N46" s="12"/>
      <c r="O46" s="12"/>
      <c r="P46" s="12"/>
      <c r="Q46" s="12"/>
      <c r="R46" s="12"/>
      <c r="S46" s="12"/>
      <c r="T46" s="118"/>
    </row>
    <row r="47" spans="2:20" ht="15.5" x14ac:dyDescent="0.35">
      <c r="B47" s="9"/>
      <c r="C47" s="9"/>
      <c r="D47" s="9"/>
      <c r="E47" s="9"/>
      <c r="F47" s="9"/>
      <c r="G47" s="12"/>
      <c r="H47" s="12"/>
      <c r="I47" s="382"/>
      <c r="J47" s="251"/>
      <c r="K47" s="12"/>
      <c r="L47" s="12"/>
      <c r="M47" s="12"/>
      <c r="N47" s="12"/>
      <c r="O47" s="12"/>
      <c r="P47" s="12"/>
      <c r="Q47" s="12"/>
      <c r="R47" s="12"/>
      <c r="S47" s="12"/>
      <c r="T47" s="118"/>
    </row>
    <row r="48" spans="2:20" ht="15.5" x14ac:dyDescent="0.35">
      <c r="B48" s="9"/>
      <c r="C48" s="9"/>
      <c r="D48" s="9"/>
      <c r="E48" s="9"/>
      <c r="F48" s="13"/>
      <c r="G48" s="53"/>
      <c r="H48" s="391"/>
      <c r="I48" s="103"/>
      <c r="J48" s="251"/>
      <c r="K48" s="12"/>
      <c r="L48" s="12"/>
      <c r="M48" s="12"/>
      <c r="N48" s="12"/>
      <c r="O48" s="12"/>
      <c r="P48" s="12"/>
      <c r="Q48" s="12"/>
      <c r="R48" s="12"/>
      <c r="S48" s="12"/>
      <c r="T48" s="118"/>
    </row>
    <row r="49" spans="2:20" ht="15.5" x14ac:dyDescent="0.35">
      <c r="B49" s="9"/>
      <c r="C49" s="9"/>
      <c r="D49" s="9"/>
      <c r="E49" s="9"/>
      <c r="F49" s="9"/>
      <c r="G49" s="12"/>
      <c r="H49" s="12"/>
      <c r="I49" s="12"/>
      <c r="J49" s="12"/>
      <c r="K49" s="12"/>
      <c r="L49" s="12"/>
      <c r="M49" s="12"/>
      <c r="N49" s="12"/>
      <c r="O49" s="12"/>
      <c r="P49" s="12"/>
      <c r="Q49" s="12"/>
      <c r="R49" s="12"/>
      <c r="S49" s="12"/>
      <c r="T49" s="118"/>
    </row>
    <row r="50" spans="2:20" ht="15.5" x14ac:dyDescent="0.35">
      <c r="C50" s="9"/>
      <c r="D50" s="7"/>
      <c r="E50" s="9"/>
      <c r="F50" s="9"/>
      <c r="G50" s="12"/>
      <c r="H50" s="12"/>
      <c r="I50" s="12"/>
      <c r="J50" s="12"/>
      <c r="K50" s="12"/>
      <c r="L50" s="12"/>
      <c r="M50" s="12"/>
      <c r="N50" s="12"/>
      <c r="O50" s="12"/>
      <c r="P50" s="12"/>
      <c r="Q50" s="12"/>
      <c r="R50" s="12"/>
      <c r="S50" s="12"/>
      <c r="T50" s="118"/>
    </row>
    <row r="51" spans="2:20" ht="15.5" x14ac:dyDescent="0.35">
      <c r="B51" s="7" t="s">
        <v>854</v>
      </c>
      <c r="C51" s="118"/>
      <c r="D51" s="118"/>
      <c r="E51" s="9"/>
      <c r="F51" s="9"/>
      <c r="G51" s="12"/>
      <c r="H51" s="12"/>
      <c r="I51" s="12"/>
      <c r="J51" s="12"/>
      <c r="K51" s="12"/>
      <c r="L51" s="12"/>
      <c r="M51" s="12"/>
      <c r="N51" s="12"/>
      <c r="O51" s="12"/>
      <c r="P51" s="12"/>
      <c r="Q51" s="12"/>
      <c r="R51" s="12"/>
      <c r="S51" s="12"/>
      <c r="T51" s="118"/>
    </row>
    <row r="52" spans="2:20" ht="15.5" x14ac:dyDescent="0.35">
      <c r="B52" s="118"/>
      <c r="C52" s="118"/>
      <c r="D52" s="118"/>
      <c r="E52" s="9"/>
      <c r="F52" s="9"/>
      <c r="G52" s="12"/>
      <c r="H52" s="12"/>
      <c r="I52" s="12"/>
      <c r="J52" s="12"/>
      <c r="K52" s="12"/>
      <c r="L52" s="12"/>
      <c r="M52" s="12"/>
      <c r="N52" s="12"/>
      <c r="O52" s="12"/>
      <c r="P52" s="12"/>
      <c r="Q52" s="12"/>
      <c r="R52" s="12"/>
      <c r="S52" s="12"/>
      <c r="T52" s="118"/>
    </row>
    <row r="53" spans="2:20" ht="15.5" x14ac:dyDescent="0.35">
      <c r="E53" s="9"/>
      <c r="F53" s="9"/>
      <c r="G53" s="12"/>
      <c r="H53" s="12"/>
      <c r="I53" s="12"/>
      <c r="J53" s="12"/>
      <c r="K53" s="12"/>
      <c r="L53" s="12"/>
      <c r="M53" s="12"/>
      <c r="N53" s="12"/>
      <c r="O53" s="12"/>
      <c r="P53" s="12"/>
      <c r="Q53" s="12"/>
      <c r="R53" s="12"/>
      <c r="S53" s="12"/>
      <c r="T53" s="118"/>
    </row>
    <row r="54" spans="2:20" ht="15.5" x14ac:dyDescent="0.35">
      <c r="E54" s="9"/>
      <c r="F54" s="9"/>
      <c r="G54" s="12"/>
      <c r="H54" s="12"/>
      <c r="I54" s="12"/>
      <c r="J54" s="12"/>
      <c r="K54" s="12"/>
      <c r="L54" s="12"/>
      <c r="M54" s="12"/>
      <c r="N54" s="12"/>
      <c r="O54" s="12"/>
      <c r="P54" s="12"/>
      <c r="Q54" s="12"/>
      <c r="R54" s="12"/>
      <c r="S54" s="12"/>
      <c r="T54" s="118"/>
    </row>
    <row r="55" spans="2:20" ht="15.5" x14ac:dyDescent="0.35">
      <c r="E55" s="9"/>
      <c r="F55" s="13"/>
      <c r="G55" s="12"/>
      <c r="H55" s="12"/>
      <c r="I55" s="12"/>
      <c r="J55" s="12"/>
      <c r="K55" s="12"/>
      <c r="L55" s="12"/>
      <c r="M55" s="12"/>
      <c r="N55" s="12"/>
      <c r="O55" s="12"/>
      <c r="P55" s="12"/>
      <c r="Q55" s="12"/>
      <c r="R55" s="12"/>
      <c r="S55" s="12"/>
      <c r="T55" s="118"/>
    </row>
    <row r="56" spans="2:20" ht="15.5" x14ac:dyDescent="0.35">
      <c r="E56" s="9"/>
      <c r="F56" s="13"/>
      <c r="G56" s="12"/>
      <c r="H56" s="12"/>
      <c r="I56" s="12"/>
      <c r="J56" s="12"/>
      <c r="K56" s="12"/>
      <c r="L56" s="12"/>
      <c r="M56" s="12"/>
      <c r="N56" s="12"/>
      <c r="O56" s="12"/>
      <c r="P56" s="12"/>
      <c r="Q56" s="12"/>
      <c r="R56" s="12"/>
      <c r="S56" s="12"/>
      <c r="T56" s="118"/>
    </row>
    <row r="57" spans="2:20" ht="15.5" x14ac:dyDescent="0.35">
      <c r="E57" s="118"/>
      <c r="F57" s="118"/>
      <c r="G57" s="118"/>
      <c r="H57" s="118"/>
      <c r="I57" s="118"/>
      <c r="J57" s="118"/>
      <c r="K57" s="118"/>
      <c r="L57" s="118"/>
      <c r="M57" s="118"/>
      <c r="N57" s="118"/>
      <c r="O57" s="118"/>
      <c r="P57" s="118"/>
      <c r="Q57" s="118"/>
      <c r="R57" s="118"/>
      <c r="S57" s="118"/>
      <c r="T57" s="118"/>
    </row>
    <row r="58" spans="2:20" ht="15.5" x14ac:dyDescent="0.35">
      <c r="E58" s="118"/>
      <c r="F58" s="118"/>
      <c r="G58" s="118"/>
      <c r="H58" s="118"/>
      <c r="I58" s="118"/>
      <c r="J58" s="118"/>
      <c r="K58" s="118"/>
      <c r="L58" s="118"/>
      <c r="M58" s="118"/>
      <c r="N58" s="118"/>
      <c r="O58" s="118"/>
      <c r="P58" s="118"/>
      <c r="Q58" s="118"/>
      <c r="R58" s="118"/>
      <c r="S58" s="118"/>
      <c r="T58" s="118"/>
    </row>
    <row r="59" spans="2:20" ht="15.5" x14ac:dyDescent="0.35">
      <c r="B59" s="118"/>
      <c r="C59" s="118"/>
      <c r="D59" s="118"/>
      <c r="E59" s="118"/>
      <c r="F59" s="118"/>
      <c r="G59" s="118"/>
      <c r="H59" s="118"/>
      <c r="I59" s="118"/>
      <c r="J59" s="118"/>
      <c r="K59" s="118"/>
      <c r="L59" s="118"/>
      <c r="M59" s="118"/>
      <c r="N59" s="118"/>
      <c r="O59" s="118"/>
      <c r="P59" s="118"/>
      <c r="Q59" s="118"/>
      <c r="R59" s="118"/>
      <c r="S59" s="118"/>
      <c r="T59" s="118"/>
    </row>
    <row r="60" spans="2:20" ht="15.5" x14ac:dyDescent="0.35">
      <c r="B60" s="118"/>
      <c r="C60" s="118"/>
      <c r="D60" s="118"/>
      <c r="E60" s="118"/>
      <c r="F60" s="118"/>
      <c r="G60" s="118"/>
      <c r="H60" s="118"/>
      <c r="I60" s="118"/>
      <c r="J60" s="118"/>
      <c r="K60" s="118"/>
      <c r="L60" s="118"/>
      <c r="M60" s="118"/>
      <c r="N60" s="118"/>
      <c r="O60" s="118"/>
      <c r="P60" s="118"/>
      <c r="Q60" s="118"/>
      <c r="R60" s="118"/>
      <c r="S60" s="118"/>
      <c r="T60" s="118"/>
    </row>
    <row r="61" spans="2:20" ht="15.5" x14ac:dyDescent="0.35">
      <c r="B61" s="118"/>
      <c r="C61" s="118"/>
      <c r="D61" s="118"/>
      <c r="E61" s="118"/>
      <c r="F61" s="118"/>
      <c r="G61" s="118"/>
      <c r="H61" s="118"/>
      <c r="I61" s="118"/>
      <c r="J61" s="118"/>
      <c r="K61" s="118"/>
      <c r="L61" s="118"/>
      <c r="M61" s="118"/>
      <c r="N61" s="118"/>
      <c r="O61" s="118"/>
      <c r="P61" s="118"/>
      <c r="Q61" s="118"/>
      <c r="R61" s="118"/>
      <c r="S61" s="118"/>
      <c r="T61" s="118"/>
    </row>
    <row r="62" spans="2:20" ht="15.5" x14ac:dyDescent="0.35">
      <c r="B62" s="118"/>
      <c r="C62" s="118"/>
      <c r="D62" s="118"/>
      <c r="E62" s="118"/>
      <c r="F62" s="118"/>
      <c r="G62" s="118"/>
      <c r="H62" s="118"/>
      <c r="I62" s="118"/>
      <c r="J62" s="118"/>
      <c r="K62" s="118"/>
      <c r="L62" s="118"/>
      <c r="M62" s="118"/>
      <c r="N62" s="118"/>
      <c r="O62" s="118"/>
      <c r="P62" s="118"/>
      <c r="Q62" s="118"/>
      <c r="R62" s="118"/>
      <c r="S62" s="118"/>
      <c r="T62" s="118"/>
    </row>
    <row r="63" spans="2:20" ht="15.5" x14ac:dyDescent="0.35">
      <c r="B63" s="118"/>
      <c r="C63" s="118"/>
      <c r="D63" s="118"/>
      <c r="E63" s="118"/>
      <c r="F63" s="118"/>
      <c r="G63" s="118"/>
      <c r="H63" s="118"/>
      <c r="I63" s="118"/>
      <c r="J63" s="118"/>
      <c r="K63" s="118"/>
      <c r="L63" s="118"/>
      <c r="M63" s="118"/>
      <c r="N63" s="118"/>
      <c r="O63" s="118"/>
      <c r="P63" s="118"/>
      <c r="Q63" s="118"/>
      <c r="R63" s="118"/>
      <c r="S63" s="118"/>
      <c r="T63" s="118"/>
    </row>
    <row r="64" spans="2:20" ht="15.5" x14ac:dyDescent="0.35">
      <c r="B64" s="118"/>
      <c r="D64" s="118"/>
      <c r="E64" s="118"/>
      <c r="F64" s="118"/>
      <c r="G64" s="118"/>
      <c r="H64" s="118"/>
      <c r="I64" s="118"/>
      <c r="J64" s="118"/>
      <c r="K64" s="118"/>
      <c r="M64" s="118"/>
      <c r="N64" s="118"/>
      <c r="O64" s="118"/>
      <c r="P64" s="118"/>
      <c r="Q64" s="118"/>
      <c r="R64" s="118"/>
      <c r="S64" s="118"/>
      <c r="T64" s="118"/>
    </row>
    <row r="66" spans="6:6" ht="15.5" x14ac:dyDescent="0.35">
      <c r="F66" s="118" t="s">
        <v>712</v>
      </c>
    </row>
  </sheetData>
  <sheetProtection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SHAFT FORCES</vt:lpstr>
      <vt:lpstr>GEAR FORCES</vt:lpstr>
      <vt:lpstr>STRESS FACTORS</vt:lpstr>
      <vt:lpstr>SPUR GEARS</vt:lpstr>
      <vt:lpstr>WORM GEARS</vt:lpstr>
      <vt:lpstr>BEVEL GEARS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John Andrew</cp:lastModifiedBy>
  <cp:lastPrinted>2012-10-27T01:43:20Z</cp:lastPrinted>
  <dcterms:created xsi:type="dcterms:W3CDTF">2012-09-25T17:09:47Z</dcterms:created>
  <dcterms:modified xsi:type="dcterms:W3CDTF">2022-12-06T14:48:29Z</dcterms:modified>
</cp:coreProperties>
</file>