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C:\Users\jrand\OneDrive\Documents\ENGINEERS-PDH SPREADSHEETS\"/>
    </mc:Choice>
  </mc:AlternateContent>
  <xr:revisionPtr revIDLastSave="0" documentId="13_ncr:1_{11FC69B3-5BF4-4111-AB7E-DCC89115B68A}" xr6:coauthVersionLast="47" xr6:coauthVersionMax="47" xr10:uidLastSave="{00000000-0000-0000-0000-000000000000}"/>
  <bookViews>
    <workbookView xWindow="390" yWindow="0" windowWidth="19155" windowHeight="12780" tabRatio="599" activeTab="1" xr2:uid="{00000000-000D-0000-FFFF-FFFF00000000}"/>
  </bookViews>
  <sheets>
    <sheet name="1 Machines" sheetId="11" r:id="rId1"/>
    <sheet name="2 Stress" sheetId="1" r:id="rId2"/>
    <sheet name="3 Shaft" sheetId="7" r:id="rId3"/>
    <sheet name="4 Coupling" sheetId="6" r:id="rId4"/>
    <sheet name="5 Actuator" sheetId="5" r:id="rId5"/>
    <sheet name="6 Brake" sheetId="4" r:id="rId6"/>
    <sheet name="7 V-Belt &amp; Chain" sheetId="8" r:id="rId7"/>
    <sheet name="8 Gears" sheetId="9" r:id="rId8"/>
    <sheet name="9 Hyd Cyl" sheetId="13" r:id="rId9"/>
    <sheet name="10 Vibration" sheetId="10" r:id="rId10"/>
    <sheet name="11 Shock Load" sheetId="12" r:id="rId11"/>
    <sheet name="12 Math Tools" sheetId="3" r:id="rId12"/>
    <sheet name="Sheet1" sheetId="14" r:id="rId13"/>
  </sheets>
  <definedNames>
    <definedName name="solver_adj" localSheetId="11" hidden="1">'12 Math Tools'!$F$455:$F$459</definedName>
    <definedName name="solver_cvg" localSheetId="11" hidden="1">0.0001</definedName>
    <definedName name="solver_drv" localSheetId="11" hidden="1">1</definedName>
    <definedName name="solver_est" localSheetId="11" hidden="1">1</definedName>
    <definedName name="solver_itr" localSheetId="11" hidden="1">100</definedName>
    <definedName name="solver_lhs1" localSheetId="11" hidden="1">'12 Math Tools'!$C$455:$C$459</definedName>
    <definedName name="solver_lin" localSheetId="11" hidden="1">2</definedName>
    <definedName name="solver_neg" localSheetId="11" hidden="1">2</definedName>
    <definedName name="solver_num" localSheetId="11" hidden="1">1</definedName>
    <definedName name="solver_nwt" localSheetId="11" hidden="1">1</definedName>
    <definedName name="solver_pre" localSheetId="11" hidden="1">0.000001</definedName>
    <definedName name="solver_rel1" localSheetId="11" hidden="1">2</definedName>
    <definedName name="solver_rhs1" localSheetId="11" hidden="1">'12 Math Tools'!$D$455:$D$459</definedName>
    <definedName name="solver_scl" localSheetId="11" hidden="1">2</definedName>
    <definedName name="solver_sho" localSheetId="11" hidden="1">2</definedName>
    <definedName name="solver_tim" localSheetId="11" hidden="1">100</definedName>
    <definedName name="solver_tol" localSheetId="11" hidden="1">0.05</definedName>
    <definedName name="solver_typ" localSheetId="11" hidden="1">1</definedName>
    <definedName name="solver_val" localSheetId="11" hidden="1">0</definedName>
  </definedNames>
  <calcPr calcId="191029"/>
</workbook>
</file>

<file path=xl/calcChain.xml><?xml version="1.0" encoding="utf-8"?>
<calcChain xmlns="http://schemas.openxmlformats.org/spreadsheetml/2006/main">
  <c r="C40" i="3" l="1"/>
  <c r="C38" i="3"/>
  <c r="G37" i="3"/>
  <c r="G40" i="3" s="1"/>
  <c r="G35" i="3"/>
  <c r="B233" i="9" l="1"/>
  <c r="B243" i="9" s="1"/>
  <c r="B235" i="9"/>
  <c r="B239" i="9" s="1"/>
  <c r="B241" i="9"/>
  <c r="B237" i="9"/>
  <c r="B231" i="9"/>
  <c r="B118" i="9" l="1"/>
  <c r="B120" i="9" s="1"/>
  <c r="B161" i="9"/>
  <c r="K62" i="8" l="1"/>
  <c r="K64" i="8"/>
  <c r="K28" i="8"/>
  <c r="K29" i="8" s="1"/>
  <c r="K30" i="8" s="1"/>
  <c r="K66" i="8" l="1"/>
  <c r="K69" i="8" s="1"/>
  <c r="D23" i="13"/>
  <c r="H111" i="13"/>
  <c r="H108" i="13"/>
  <c r="H100" i="13"/>
  <c r="H97" i="13"/>
  <c r="H110" i="13" s="1"/>
  <c r="H96" i="13"/>
  <c r="H101" i="13" s="1"/>
  <c r="H102" i="13" s="1"/>
  <c r="H103" i="13" s="1"/>
  <c r="H39" i="13"/>
  <c r="H104" i="13" l="1"/>
  <c r="H98" i="13"/>
  <c r="H99" i="13"/>
  <c r="D24" i="13"/>
  <c r="H107" i="13" l="1"/>
  <c r="H112" i="13" s="1"/>
  <c r="H105" i="13"/>
  <c r="H79" i="13"/>
  <c r="H76" i="13"/>
  <c r="H65" i="13"/>
  <c r="H78" i="13" s="1"/>
  <c r="H64" i="13"/>
  <c r="H67" i="13" s="1"/>
  <c r="H48" i="13"/>
  <c r="H50" i="13" s="1"/>
  <c r="H68" i="13"/>
  <c r="B100" i="7"/>
  <c r="B98" i="7"/>
  <c r="B102" i="7" s="1"/>
  <c r="B103" i="7" s="1"/>
  <c r="B82" i="7"/>
  <c r="B86" i="7" s="1"/>
  <c r="B84" i="7"/>
  <c r="B418" i="1"/>
  <c r="B422" i="1" s="1"/>
  <c r="C40" i="9"/>
  <c r="B138" i="12"/>
  <c r="B91" i="12"/>
  <c r="B120" i="12" s="1"/>
  <c r="B129" i="12" s="1"/>
  <c r="B132" i="12" s="1"/>
  <c r="B122" i="12"/>
  <c r="B93" i="12"/>
  <c r="B96" i="12" s="1"/>
  <c r="B55" i="12"/>
  <c r="B57" i="12" s="1"/>
  <c r="B404" i="7"/>
  <c r="B402" i="7"/>
  <c r="B370" i="1"/>
  <c r="B87" i="6"/>
  <c r="B89" i="6" s="1"/>
  <c r="B76" i="6"/>
  <c r="B74" i="6"/>
  <c r="B75" i="6" s="1"/>
  <c r="B136" i="6"/>
  <c r="B132" i="6"/>
  <c r="B134" i="6" s="1"/>
  <c r="B372" i="1"/>
  <c r="B314" i="7"/>
  <c r="B329" i="7"/>
  <c r="B333" i="7" s="1"/>
  <c r="B334" i="7" s="1"/>
  <c r="B377" i="7"/>
  <c r="B379" i="7" s="1"/>
  <c r="B492" i="1"/>
  <c r="B517" i="1" s="1"/>
  <c r="B511" i="1"/>
  <c r="B510" i="1"/>
  <c r="B494" i="1"/>
  <c r="B128" i="1"/>
  <c r="B131" i="1" s="1"/>
  <c r="B133" i="1" s="1"/>
  <c r="B135" i="1" s="1"/>
  <c r="B422" i="7"/>
  <c r="B429" i="7" s="1"/>
  <c r="B423" i="7"/>
  <c r="B425" i="7" s="1"/>
  <c r="B257" i="7"/>
  <c r="B287" i="7" s="1"/>
  <c r="B288" i="7" s="1"/>
  <c r="B258" i="7"/>
  <c r="B231" i="7"/>
  <c r="B235" i="7" s="1"/>
  <c r="B233" i="7"/>
  <c r="B160" i="7"/>
  <c r="B185" i="7" s="1"/>
  <c r="B136" i="7"/>
  <c r="B140" i="7" s="1"/>
  <c r="B161" i="7"/>
  <c r="B138" i="7"/>
  <c r="B28" i="4"/>
  <c r="B513" i="1"/>
  <c r="B420" i="1"/>
  <c r="B436" i="1"/>
  <c r="B92" i="1"/>
  <c r="B94" i="1" s="1"/>
  <c r="B96" i="1" s="1"/>
  <c r="B354" i="1"/>
  <c r="B352" i="1"/>
  <c r="B323" i="1"/>
  <c r="B325" i="1" s="1"/>
  <c r="E464" i="1"/>
  <c r="E465" i="1"/>
  <c r="E463" i="1"/>
  <c r="E390" i="1"/>
  <c r="E382" i="1"/>
  <c r="B389" i="1" s="1"/>
  <c r="D389" i="1" s="1"/>
  <c r="D441" i="1"/>
  <c r="E441" i="1"/>
  <c r="D442" i="1"/>
  <c r="E442" i="1"/>
  <c r="B449" i="1" s="1"/>
  <c r="D443" i="1"/>
  <c r="E443" i="1"/>
  <c r="B450" i="1" s="1"/>
  <c r="C473" i="1"/>
  <c r="E384" i="1"/>
  <c r="B391" i="1" s="1"/>
  <c r="D391" i="1" s="1"/>
  <c r="E383" i="1"/>
  <c r="B390" i="1" s="1"/>
  <c r="D390" i="1" s="1"/>
  <c r="E389" i="1"/>
  <c r="E391" i="1"/>
  <c r="C469" i="1"/>
  <c r="D463" i="1"/>
  <c r="D464" i="1"/>
  <c r="D465" i="1"/>
  <c r="E448" i="1"/>
  <c r="E449" i="1"/>
  <c r="E450" i="1"/>
  <c r="B63" i="1"/>
  <c r="B65" i="1" s="1"/>
  <c r="B67" i="1" s="1"/>
  <c r="B244" i="1"/>
  <c r="B251" i="1" s="1"/>
  <c r="B246" i="1"/>
  <c r="B253" i="1" s="1"/>
  <c r="B271" i="1" s="1"/>
  <c r="B248" i="1"/>
  <c r="B276" i="1" s="1"/>
  <c r="D382" i="1"/>
  <c r="D383" i="1"/>
  <c r="D384" i="1"/>
  <c r="B308" i="1"/>
  <c r="B309" i="1" s="1"/>
  <c r="B161" i="1"/>
  <c r="B163" i="1" s="1"/>
  <c r="B165" i="1" s="1"/>
  <c r="B167" i="1" s="1"/>
  <c r="B343" i="7"/>
  <c r="B345" i="7" s="1"/>
  <c r="B354" i="7"/>
  <c r="B356" i="7" s="1"/>
  <c r="B364" i="7"/>
  <c r="B366" i="7" s="1"/>
  <c r="B291" i="10"/>
  <c r="B295" i="10" s="1"/>
  <c r="B305" i="10"/>
  <c r="B309" i="10" s="1"/>
  <c r="B317" i="10"/>
  <c r="B321" i="10" s="1"/>
  <c r="B279" i="10"/>
  <c r="B283" i="10" s="1"/>
  <c r="B255" i="10"/>
  <c r="B259" i="10" s="1"/>
  <c r="B48" i="5"/>
  <c r="B85" i="6"/>
  <c r="B466" i="7"/>
  <c r="B532" i="10"/>
  <c r="B511" i="10"/>
  <c r="B509" i="10"/>
  <c r="B506" i="10"/>
  <c r="B467" i="10"/>
  <c r="B464" i="10"/>
  <c r="B431" i="10"/>
  <c r="B436" i="10" s="1"/>
  <c r="B369" i="10"/>
  <c r="B372" i="10" s="1"/>
  <c r="B348" i="10"/>
  <c r="B352" i="10" s="1"/>
  <c r="B346" i="10"/>
  <c r="B319" i="10"/>
  <c r="B307" i="10"/>
  <c r="B293" i="10"/>
  <c r="B281" i="10"/>
  <c r="B267" i="10"/>
  <c r="B270" i="10" s="1"/>
  <c r="B257" i="10"/>
  <c r="B229" i="10"/>
  <c r="B232" i="10"/>
  <c r="B235" i="10" s="1"/>
  <c r="B240" i="10" s="1"/>
  <c r="B207" i="10"/>
  <c r="B198" i="10"/>
  <c r="B189" i="10"/>
  <c r="B182" i="10"/>
  <c r="B103" i="10"/>
  <c r="B95" i="10"/>
  <c r="B97" i="10" s="1"/>
  <c r="B74" i="10"/>
  <c r="B76" i="10" s="1"/>
  <c r="B72" i="10"/>
  <c r="B78" i="10"/>
  <c r="B38" i="10"/>
  <c r="B40" i="10" s="1"/>
  <c r="F40" i="10" s="1"/>
  <c r="B36" i="10"/>
  <c r="B34" i="10"/>
  <c r="C31" i="9"/>
  <c r="C29" i="9"/>
  <c r="C41" i="9" s="1"/>
  <c r="B93" i="8"/>
  <c r="B95" i="8" s="1"/>
  <c r="B97" i="8"/>
  <c r="B70" i="8"/>
  <c r="B72" i="8" s="1"/>
  <c r="B75" i="8" s="1"/>
  <c r="B74" i="8"/>
  <c r="B122" i="9"/>
  <c r="B28" i="8"/>
  <c r="B29" i="8" s="1"/>
  <c r="B30" i="8" s="1"/>
  <c r="B74" i="4"/>
  <c r="B76" i="4" s="1"/>
  <c r="B61" i="4"/>
  <c r="B63" i="4" s="1"/>
  <c r="B66" i="4"/>
  <c r="B68" i="4" s="1"/>
  <c r="B97" i="5"/>
  <c r="B63" i="5"/>
  <c r="B65" i="5" s="1"/>
  <c r="B68" i="5" s="1"/>
  <c r="B69" i="5" s="1"/>
  <c r="B168" i="6"/>
  <c r="B171" i="6" s="1"/>
  <c r="B174" i="6" s="1"/>
  <c r="B129" i="6"/>
  <c r="B341" i="9"/>
  <c r="B333" i="9"/>
  <c r="B315" i="9"/>
  <c r="B305" i="9"/>
  <c r="B294" i="9"/>
  <c r="B285" i="9"/>
  <c r="B274" i="9"/>
  <c r="B272" i="9"/>
  <c r="B255" i="9"/>
  <c r="B257" i="9" s="1"/>
  <c r="B220" i="9"/>
  <c r="B222" i="9" s="1"/>
  <c r="B184" i="9"/>
  <c r="B179" i="9"/>
  <c r="B173" i="9"/>
  <c r="B101" i="9"/>
  <c r="B103" i="9"/>
  <c r="B75" i="9"/>
  <c r="C30" i="9"/>
  <c r="C37" i="9"/>
  <c r="C35" i="9"/>
  <c r="C33" i="9"/>
  <c r="C32" i="9"/>
  <c r="B321" i="1"/>
  <c r="B453" i="7"/>
  <c r="B446" i="7"/>
  <c r="B439" i="7"/>
  <c r="B151" i="6"/>
  <c r="B149" i="6"/>
  <c r="B65" i="6"/>
  <c r="B62" i="6"/>
  <c r="B208" i="6"/>
  <c r="B221" i="6" s="1"/>
  <c r="B210" i="6"/>
  <c r="B212" i="6"/>
  <c r="B214" i="6"/>
  <c r="B216" i="6"/>
  <c r="B266" i="7" l="1"/>
  <c r="B268" i="7" s="1"/>
  <c r="B331" i="7"/>
  <c r="C389" i="1"/>
  <c r="C400" i="1"/>
  <c r="B496" i="1"/>
  <c r="D466" i="1"/>
  <c r="C390" i="1"/>
  <c r="C448" i="1"/>
  <c r="E466" i="1"/>
  <c r="C471" i="1" s="1"/>
  <c r="B406" i="7"/>
  <c r="B153" i="6"/>
  <c r="B427" i="7"/>
  <c r="C42" i="9"/>
  <c r="C34" i="9"/>
  <c r="C38" i="9"/>
  <c r="B71" i="4"/>
  <c r="B255" i="1"/>
  <c r="D448" i="1"/>
  <c r="C36" i="9"/>
  <c r="B111" i="10"/>
  <c r="B113" i="10" s="1"/>
  <c r="B498" i="1"/>
  <c r="B105" i="9"/>
  <c r="B243" i="10"/>
  <c r="D385" i="1"/>
  <c r="D449" i="1"/>
  <c r="B519" i="1"/>
  <c r="B77" i="8"/>
  <c r="B78" i="8" s="1"/>
  <c r="B79" i="8" s="1"/>
  <c r="B83" i="8" s="1"/>
  <c r="B89" i="8" s="1"/>
  <c r="B100" i="8" s="1"/>
  <c r="B102" i="8" s="1"/>
  <c r="B104" i="8" s="1"/>
  <c r="E451" i="1"/>
  <c r="E392" i="1"/>
  <c r="D392" i="1"/>
  <c r="C43" i="9"/>
  <c r="B80" i="10"/>
  <c r="B82" i="10" s="1"/>
  <c r="B448" i="1"/>
  <c r="D450" i="1"/>
  <c r="B261" i="7"/>
  <c r="B263" i="7" s="1"/>
  <c r="B270" i="7" s="1"/>
  <c r="B327" i="1"/>
  <c r="B375" i="10"/>
  <c r="B470" i="10"/>
  <c r="B472" i="10" s="1"/>
  <c r="B258" i="1"/>
  <c r="B356" i="1"/>
  <c r="B358" i="1" s="1"/>
  <c r="B424" i="1"/>
  <c r="B515" i="1"/>
  <c r="B72" i="5"/>
  <c r="B73" i="5" s="1"/>
  <c r="B78" i="5" s="1"/>
  <c r="B169" i="7"/>
  <c r="C450" i="1"/>
  <c r="B269" i="1"/>
  <c r="B273" i="1" s="1"/>
  <c r="B224" i="6"/>
  <c r="B329" i="1"/>
  <c r="B276" i="9"/>
  <c r="C39" i="9"/>
  <c r="B514" i="10"/>
  <c r="B524" i="10" s="1"/>
  <c r="C391" i="1"/>
  <c r="C449" i="1"/>
  <c r="B164" i="7"/>
  <c r="D444" i="1"/>
  <c r="B312" i="1"/>
  <c r="B218" i="6"/>
  <c r="B100" i="1"/>
  <c r="B206" i="7"/>
  <c r="B207" i="7" s="1"/>
  <c r="B431" i="7"/>
  <c r="B105" i="10"/>
  <c r="B108" i="10" s="1"/>
  <c r="B126" i="12"/>
  <c r="B135" i="12" s="1"/>
  <c r="B59" i="12"/>
  <c r="B117" i="10"/>
  <c r="H109" i="13"/>
  <c r="H106" i="13"/>
  <c r="H72" i="13"/>
  <c r="H73" i="13" s="1"/>
  <c r="H69" i="13"/>
  <c r="H70" i="13" s="1"/>
  <c r="H71" i="13" s="1"/>
  <c r="H66" i="13"/>
  <c r="C451" i="1" l="1"/>
  <c r="B115" i="10"/>
  <c r="C392" i="1"/>
  <c r="C398" i="1" s="1"/>
  <c r="B263" i="1"/>
  <c r="B265" i="1" s="1"/>
  <c r="B119" i="10"/>
  <c r="B261" i="1"/>
  <c r="D451" i="1"/>
  <c r="C454" i="1" s="1"/>
  <c r="C396" i="1"/>
  <c r="B474" i="10"/>
  <c r="B476" i="10" s="1"/>
  <c r="B481" i="10" s="1"/>
  <c r="B81" i="8"/>
  <c r="B87" i="8" s="1"/>
  <c r="B360" i="1"/>
  <c r="B314" i="1"/>
  <c r="B316" i="1" s="1"/>
  <c r="B272" i="7"/>
  <c r="B276" i="7" s="1"/>
  <c r="B279" i="7" s="1"/>
  <c r="B281" i="7"/>
  <c r="B83" i="5"/>
  <c r="B166" i="7"/>
  <c r="B187" i="7" s="1"/>
  <c r="B279" i="1"/>
  <c r="B281" i="1"/>
  <c r="B76" i="5"/>
  <c r="B80" i="5" s="1"/>
  <c r="C456" i="1"/>
  <c r="C458" i="1" s="1"/>
  <c r="H77" i="13"/>
  <c r="H74" i="13"/>
  <c r="H75" i="13"/>
  <c r="H80" i="13" s="1"/>
  <c r="B283" i="1" l="1"/>
  <c r="B318" i="1"/>
  <c r="B171" i="7"/>
  <c r="B196" i="7"/>
  <c r="B189" i="7"/>
  <c r="B191" i="7" s="1"/>
  <c r="B194" i="7" s="1"/>
  <c r="B182" i="7" l="1"/>
  <c r="B201" i="7" s="1"/>
  <c r="B173" i="7"/>
  <c r="B175" i="7" s="1"/>
  <c r="B180" i="7" s="1"/>
  <c r="B199" i="7" s="1"/>
</calcChain>
</file>

<file path=xl/sharedStrings.xml><?xml version="1.0" encoding="utf-8"?>
<sst xmlns="http://schemas.openxmlformats.org/spreadsheetml/2006/main" count="3177" uniqueCount="1533">
  <si>
    <t xml:space="preserve">point on the adjacent tooth. </t>
  </si>
  <si>
    <t>Tooth base thickness,  t =</t>
  </si>
  <si>
    <t>Moment arm length,  h =</t>
  </si>
  <si>
    <t>Tooth load,  W =</t>
  </si>
  <si>
    <t>Tooth bending stress,  Sb =</t>
  </si>
  <si>
    <t>t / 2</t>
  </si>
  <si>
    <t>Section modulus,  I =</t>
  </si>
  <si>
    <t>b*t^3 / 12</t>
  </si>
  <si>
    <t>Base half thickness,  c =</t>
  </si>
  <si>
    <t>I =</t>
  </si>
  <si>
    <t>Sb =</t>
  </si>
  <si>
    <t>in^3</t>
  </si>
  <si>
    <t>Pitch line velocity,  Vp =</t>
  </si>
  <si>
    <t>Tooth face width,  b =</t>
  </si>
  <si>
    <t>Tooth face width (into paper),  b =</t>
  </si>
  <si>
    <t>Gear torque,  T =</t>
  </si>
  <si>
    <t>Deformation factor (steel gears),  C =</t>
  </si>
  <si>
    <t>Dynamic load,  Pd =</t>
  </si>
  <si>
    <t>((0.05*V*(b*C + F)) / (0.05*V + (b*C + F)^.5)) + F</t>
  </si>
  <si>
    <t>Static load,  F =</t>
  </si>
  <si>
    <t>2*T / R</t>
  </si>
  <si>
    <t>ft/min</t>
  </si>
  <si>
    <t>F =</t>
  </si>
  <si>
    <t>Pd =</t>
  </si>
  <si>
    <t>Gear Tooth Interference</t>
  </si>
  <si>
    <t>Base circle radius,  Rbc = CP/2 =</t>
  </si>
  <si>
    <t>Outside radius,  Ros = OD/2 =</t>
  </si>
  <si>
    <t>(Rbc^2 + Rc^2*(Sin(Pa))^0.5</t>
  </si>
  <si>
    <t>Addendum radius,  Ra =</t>
  </si>
  <si>
    <t>Rbc &lt;</t>
  </si>
  <si>
    <t>Rbc</t>
  </si>
  <si>
    <t xml:space="preserve">Ra </t>
  </si>
  <si>
    <t>Pinion base circle radius =</t>
  </si>
  <si>
    <t>Gear addendum radius  =</t>
  </si>
  <si>
    <t>There will be no interference if,  Rbc &lt;</t>
  </si>
  <si>
    <t>Pressure</t>
  </si>
  <si>
    <t>Angle 14</t>
  </si>
  <si>
    <t>Number of Teeth</t>
  </si>
  <si>
    <t>Rack</t>
  </si>
  <si>
    <t>Gear</t>
  </si>
  <si>
    <t xml:space="preserve">Angle 20 </t>
  </si>
  <si>
    <t>Lewis Equation Form Factor  Y</t>
  </si>
  <si>
    <t>S*b*Pc*Y</t>
  </si>
  <si>
    <t>Allowable gear tooth tensile stress,  S =</t>
  </si>
  <si>
    <t>Tooth width,  b =</t>
  </si>
  <si>
    <t>Lewis form factor,  Y =</t>
  </si>
  <si>
    <t>Allowable gear tooth load,  F =</t>
  </si>
  <si>
    <t>Strength of Gear Teeth- Lewis Equation - if pitch circle diameter is known</t>
  </si>
  <si>
    <t>Strength of Gear Teeth- Lewis Equation - if pitch circle diameter is not known</t>
  </si>
  <si>
    <t>Gear tooth tensile stress,  S =</t>
  </si>
  <si>
    <t>Gear shaft torque,  T =</t>
  </si>
  <si>
    <t>N / D</t>
  </si>
  <si>
    <t>Diametral pitch,  Pd =</t>
  </si>
  <si>
    <t>Constant,  k =</t>
  </si>
  <si>
    <t>max</t>
  </si>
  <si>
    <t>Number of gear teeth,  N =</t>
  </si>
  <si>
    <t>S =</t>
  </si>
  <si>
    <t xml:space="preserve">   </t>
  </si>
  <si>
    <t>Gear Pitch Line Velocity</t>
  </si>
  <si>
    <t>Pitch circle diameter,  Dp =</t>
  </si>
  <si>
    <t xml:space="preserve">Drop down menu: Tools &gt; Protection &gt; Unprotect Sheet &gt; OK </t>
  </si>
  <si>
    <t>When Excel's Goal Seek is not needed, restore protection with:</t>
  </si>
  <si>
    <t xml:space="preserve">Drop down menu: Tools &gt; Protection &gt; Protect Sheet &gt; OK </t>
  </si>
  <si>
    <t>When using Excel's Goal Seek, unprotect the spread sheet by selecting:</t>
  </si>
  <si>
    <t>Nickel-Chrome Steel</t>
  </si>
  <si>
    <t>Gravitational Content,  g =</t>
  </si>
  <si>
    <t>Gravitational content (ft),  g =</t>
  </si>
  <si>
    <t>Gravitational content (in),  g =</t>
  </si>
  <si>
    <t>Gravitational Content (ft),  g =</t>
  </si>
  <si>
    <t>Gravitational Constant (in),  g =</t>
  </si>
  <si>
    <t xml:space="preserve">isolated system has a natural frequency </t>
  </si>
  <si>
    <t>The transmissibility ratio TR, is the vibration amplitude reduction.</t>
  </si>
  <si>
    <t>natural frequency. The amplitude of</t>
  </si>
  <si>
    <t>Gravitational constant (ft),  g =</t>
  </si>
  <si>
    <t>Gravitational constant (in),  g =</t>
  </si>
  <si>
    <t>Young's Modulus,  E =</t>
  </si>
  <si>
    <t>Mass required to balance Mc,  M1 =</t>
  </si>
  <si>
    <t xml:space="preserve">(k) if the horizontal vibration amplitude is to   </t>
  </si>
  <si>
    <t>Allowable vibration amplitude,  Y =</t>
  </si>
  <si>
    <t>mounted.</t>
  </si>
  <si>
    <t>The loaded drum, motor, and support base .</t>
  </si>
  <si>
    <t>Shock Impulse Deflection</t>
  </si>
  <si>
    <t xml:space="preserve"> Transmissibility Ratio,  TR =</t>
  </si>
  <si>
    <t>Flexmount CB1260-39</t>
  </si>
  <si>
    <t xml:space="preserve">HVAC, Compressors, Pumps, Motor </t>
  </si>
  <si>
    <t>Combined Isolator Vertical Frequency,  Fc =</t>
  </si>
  <si>
    <t>Rotational speed,  n =</t>
  </si>
  <si>
    <t>Gear horsepower transmitted,  HP =</t>
  </si>
  <si>
    <t>F*V / 33000</t>
  </si>
  <si>
    <t>HP =</t>
  </si>
  <si>
    <t>Gear Pitch Line Velocity,  V =</t>
  </si>
  <si>
    <t>V =</t>
  </si>
  <si>
    <t>2*T*Pd^3 / (k*π^2*Y*N)</t>
  </si>
  <si>
    <t xml:space="preserve">Strength of Worm &amp; Wheel Gears - Lewis Equation </t>
  </si>
  <si>
    <t>Circular pitch,  Pc =</t>
  </si>
  <si>
    <t>Circular pitch,  Pnc =</t>
  </si>
  <si>
    <t>Gear Pitch Line Velocity,  Vg =</t>
  </si>
  <si>
    <t>Vg =</t>
  </si>
  <si>
    <t>So*1200 / (1200 + Vg)</t>
  </si>
  <si>
    <t>Worm / Wheel allowable stress,  So =</t>
  </si>
  <si>
    <t>Breadth,  B =</t>
  </si>
  <si>
    <t>A x B =</t>
  </si>
  <si>
    <t>2 x 3 =</t>
  </si>
  <si>
    <t>A / B =</t>
  </si>
  <si>
    <t>3 / 2 =</t>
  </si>
  <si>
    <t xml:space="preserve">    Math Symbols</t>
  </si>
  <si>
    <t xml:space="preserve">  A </t>
  </si>
  <si>
    <t>Input</t>
  </si>
  <si>
    <t xml:space="preserve">                                    Input</t>
  </si>
  <si>
    <t xml:space="preserve">Input </t>
  </si>
  <si>
    <t xml:space="preserve">Icg </t>
  </si>
  <si>
    <t>Σ =</t>
  </si>
  <si>
    <t xml:space="preserve"> =</t>
  </si>
  <si>
    <t>Bn</t>
  </si>
  <si>
    <t>Hn</t>
  </si>
  <si>
    <t>Center of gravity,  Ycg =</t>
  </si>
  <si>
    <t>Yn</t>
  </si>
  <si>
    <t>ΣA*Yn/ΣA</t>
  </si>
  <si>
    <t>So =</t>
  </si>
  <si>
    <t>Ultimate stress,  Su =</t>
  </si>
  <si>
    <t>Su / 3</t>
  </si>
  <si>
    <t>Worm/gear design stress,  Sd =</t>
  </si>
  <si>
    <t>Sd =</t>
  </si>
  <si>
    <t>π*Dp*n / 12</t>
  </si>
  <si>
    <t>Input Data</t>
  </si>
  <si>
    <t>Calculations</t>
  </si>
  <si>
    <t>Worm Gear Dynamic Load</t>
  </si>
  <si>
    <t>Worm Gear Dynamic Load,  Fd =</t>
  </si>
  <si>
    <t>F*(1200+Vg) / (1200)</t>
  </si>
  <si>
    <t>Fd =</t>
  </si>
  <si>
    <t>Worm Gear Endurance Load</t>
  </si>
  <si>
    <t>Worm Gear Endurance Load,  Fe =</t>
  </si>
  <si>
    <t>Sd*b*Pnc*Y</t>
  </si>
  <si>
    <t>Worm wheel pitch circle diameter,  Dp =</t>
  </si>
  <si>
    <t>Y/H</t>
  </si>
  <si>
    <t>A</t>
  </si>
  <si>
    <t>C</t>
  </si>
  <si>
    <t>D</t>
  </si>
  <si>
    <t>Allowable shaft stress from above, Ssu or Ssy =</t>
  </si>
  <si>
    <t>Design ultimate shear stress,  Ssu =</t>
  </si>
  <si>
    <t>Design yield shear design stress factor,  Ssy =</t>
  </si>
  <si>
    <t xml:space="preserve">Legend </t>
  </si>
  <si>
    <t xml:space="preserve">h / R </t>
  </si>
  <si>
    <t>Key slot depth, h =</t>
  </si>
  <si>
    <t>Key slot half width,  y =</t>
  </si>
  <si>
    <t>Use the smaller design shear stress of Fsu and Fsy above.</t>
  </si>
  <si>
    <t>Key slot total width = H =</t>
  </si>
  <si>
    <t>Key slot stress factor from graph above,  Kk =</t>
  </si>
  <si>
    <t>Ss*J / (Kt*Kk*Ds/2)</t>
  </si>
  <si>
    <t>Key bearing strength,  Tk =</t>
  </si>
  <si>
    <t>Beam, Pinned ends, W at Mid Span</t>
  </si>
  <si>
    <t>Beam, Fixed Ends, Load W at Mid Span</t>
  </si>
  <si>
    <t>Cantilever, load W at Free End</t>
  </si>
  <si>
    <t>Damped, (Viscous) Forced Vibrations</t>
  </si>
  <si>
    <t>Rectangular plate natural frequency,  f =</t>
  </si>
  <si>
    <t>Ref. "Engineered Solutions" a Barry Controls publication.</t>
  </si>
  <si>
    <t>Sd*b*Y*π / Pnd</t>
  </si>
  <si>
    <t>Worm Gear Wear Load</t>
  </si>
  <si>
    <t>Fw =</t>
  </si>
  <si>
    <t>Gear pitch diameter, Dg =</t>
  </si>
  <si>
    <t>Material wear constant,  B =</t>
  </si>
  <si>
    <t>Worm Gear Wear Load,  Fw =</t>
  </si>
  <si>
    <t xml:space="preserve">lbf </t>
  </si>
  <si>
    <t>Fe =</t>
  </si>
  <si>
    <t>Worm</t>
  </si>
  <si>
    <t>Hardened steel</t>
  </si>
  <si>
    <t>250 BHN steel</t>
  </si>
  <si>
    <t>Cast iron</t>
  </si>
  <si>
    <t>Phosphor bronze</t>
  </si>
  <si>
    <t>Antimony bronze</t>
  </si>
  <si>
    <t>Material Wear Constant</t>
  </si>
  <si>
    <t>Dw =</t>
  </si>
  <si>
    <t>Tan(A/57.2975) =</t>
  </si>
  <si>
    <t>A =</t>
  </si>
  <si>
    <t>Tan-1(a)</t>
  </si>
  <si>
    <t>Lead / (π*Dw)</t>
  </si>
  <si>
    <t>1/8, 5/16, 3/8, 1/2, 5/8, 3/4, 1, 1.25, 1.75, and 2.</t>
  </si>
  <si>
    <t xml:space="preserve">AGMA Standard Circular Pitches: </t>
  </si>
  <si>
    <t>Worm and wheel center distance,  Cd =</t>
  </si>
  <si>
    <t>Cd^0.875 / 2.2</t>
  </si>
  <si>
    <t>Pc =</t>
  </si>
  <si>
    <t>Dw / 3</t>
  </si>
  <si>
    <t>Curved Beam-Rectangular Section</t>
  </si>
  <si>
    <t xml:space="preserve">0.25*(Ro^0.5 + Ri^0.5)^2 </t>
  </si>
  <si>
    <t>Inside fiber bending stress,  Si =</t>
  </si>
  <si>
    <t>(P*(Rna+e))*(Rna-Ri) / (A*e*Ri)</t>
  </si>
  <si>
    <t>Tension ( + ) Compression ( - ), P =</t>
  </si>
  <si>
    <t>Section Area, A =</t>
  </si>
  <si>
    <t>P / A</t>
  </si>
  <si>
    <t>Original length, L =</t>
  </si>
  <si>
    <t>Original height, H =</t>
  </si>
  <si>
    <t xml:space="preserve">(H - Ho)  </t>
  </si>
  <si>
    <t>((H - Ho) / H) / e</t>
  </si>
  <si>
    <t>0.3*e*H</t>
  </si>
  <si>
    <t>For most metals</t>
  </si>
  <si>
    <t>Kb*M*C / I</t>
  </si>
  <si>
    <t>Larger of: C1 and C2  = C =</t>
  </si>
  <si>
    <t xml:space="preserve">Enter values for applied moment at a beam section given: C, Ixx and Ycg. </t>
  </si>
  <si>
    <t xml:space="preserve"> L =</t>
  </si>
  <si>
    <t>Calculate</t>
  </si>
  <si>
    <t>Section polar moment of area,  J =</t>
  </si>
  <si>
    <t>Shaft material tension modulus,  E =</t>
  </si>
  <si>
    <t>Wheel diameter,  Dw =</t>
  </si>
  <si>
    <t>Use standard, Pc =</t>
  </si>
  <si>
    <t>Transmission ratio,  R =</t>
  </si>
  <si>
    <t>Worm Gear Efficiency</t>
  </si>
  <si>
    <t xml:space="preserve">  Coefficient of friction,  f =</t>
  </si>
  <si>
    <t>Lead angle,  A =</t>
  </si>
  <si>
    <t>Worm gear efficiency,  e =</t>
  </si>
  <si>
    <t>(1 - f*Tan(A/57.2975) / (1 + f/Tan(A/57.2975)</t>
  </si>
  <si>
    <t>e =</t>
  </si>
  <si>
    <t>AGMA Worm Gear Heat Dissipation Limit</t>
  </si>
  <si>
    <t>9.5*C^1.7 / (R + 5)</t>
  </si>
  <si>
    <t>Maximum horse power limit,  HPm =</t>
  </si>
  <si>
    <t>HPm =</t>
  </si>
  <si>
    <t>External forcing function F(t) varies with time and is externally applied to the mass M.</t>
  </si>
  <si>
    <t>Undamped vibrations are called free vibrations. Both x and g are measured in inch units.</t>
  </si>
  <si>
    <t>Section area,  A =</t>
  </si>
  <si>
    <t>Section height,  H =</t>
  </si>
  <si>
    <t>Section width,  B =</t>
  </si>
  <si>
    <t>H*B</t>
  </si>
  <si>
    <t>in^2</t>
  </si>
  <si>
    <t xml:space="preserve">  - P =</t>
  </si>
  <si>
    <t>Tension</t>
  </si>
  <si>
    <t>Compression</t>
  </si>
  <si>
    <t>TENSION AND COMPRESSION</t>
  </si>
  <si>
    <t>Original length,  L =</t>
  </si>
  <si>
    <t>Strain,  e =</t>
  </si>
  <si>
    <t>G x 10^6</t>
  </si>
  <si>
    <t>Brass</t>
  </si>
  <si>
    <t>Bronze</t>
  </si>
  <si>
    <t>Duralumin</t>
  </si>
  <si>
    <t>Monel Metal</t>
  </si>
  <si>
    <t>k*P / A</t>
  </si>
  <si>
    <t>Shear strain,  e =</t>
  </si>
  <si>
    <t>Shear modulus,  G =</t>
  </si>
  <si>
    <t>Shear deflection,  v =</t>
  </si>
  <si>
    <t>Fs / G</t>
  </si>
  <si>
    <t>x =</t>
  </si>
  <si>
    <t>L*e</t>
  </si>
  <si>
    <t>Radius of neutral axis,  Rna =</t>
  </si>
  <si>
    <t>Outside radius,  Ro =</t>
  </si>
  <si>
    <t>Inside radius,  Ri =</t>
  </si>
  <si>
    <t>Rna =</t>
  </si>
  <si>
    <t>Rna</t>
  </si>
  <si>
    <t>Section neutral axis radius =</t>
  </si>
  <si>
    <t>e*L</t>
  </si>
  <si>
    <t xml:space="preserve"> v =</t>
  </si>
  <si>
    <t>Ro - Ri</t>
  </si>
  <si>
    <t>Applied moment,  M =</t>
  </si>
  <si>
    <t>Fo =</t>
  </si>
  <si>
    <t>Ri + H/2 - Rna</t>
  </si>
  <si>
    <t>M*(Rna-Ri) / (A*e*Ri)</t>
  </si>
  <si>
    <t>H / Ln(Ro / Ri)</t>
  </si>
  <si>
    <t>M*(Ro-Rna) / (A*e*Ro)</t>
  </si>
  <si>
    <t>Section radius of neutral axis,  Rna =</t>
  </si>
  <si>
    <t>Td*D / (2*J)</t>
  </si>
  <si>
    <t>M*D / (2*I)</t>
  </si>
  <si>
    <t>π*D^4 / 64</t>
  </si>
  <si>
    <t>Position in shaft,  x =</t>
  </si>
  <si>
    <t>Bending stress for shaft,  Fb =</t>
  </si>
  <si>
    <t>Shaft transverse load at free end,  W =</t>
  </si>
  <si>
    <t>(-W*x^2/(6*E*I))*((3*L) - x)</t>
  </si>
  <si>
    <t>Km*W*x</t>
  </si>
  <si>
    <t>D =</t>
  </si>
  <si>
    <t>ku* Ft</t>
  </si>
  <si>
    <t>ky* Ft</t>
  </si>
  <si>
    <t xml:space="preserve">Yield stress factor,  ky = </t>
  </si>
  <si>
    <t>Design allowable average shear stress.</t>
  </si>
  <si>
    <t>Material ultimate tensile stress, Ft =</t>
  </si>
  <si>
    <t>Key stress factor,  K =</t>
  </si>
  <si>
    <t>Key shear area,  A =</t>
  </si>
  <si>
    <t>K*Fs*A</t>
  </si>
  <si>
    <t>Pk*Ds/2</t>
  </si>
  <si>
    <t>Key Length, L =</t>
  </si>
  <si>
    <t>One bolt section area,  A =</t>
  </si>
  <si>
    <t>Bolt diameter,  D =</t>
  </si>
  <si>
    <t>π*D^2/4</t>
  </si>
  <si>
    <t>Hub length,  L =</t>
  </si>
  <si>
    <t>Max tangential stress,  Ft =</t>
  </si>
  <si>
    <t>Coefficient of friction, f =</t>
  </si>
  <si>
    <t>Pressure at contact surface,  Pc =</t>
  </si>
  <si>
    <t>Pc*Dc*(C1 + C2 - C3 + C4)</t>
  </si>
  <si>
    <t>C1 =</t>
  </si>
  <si>
    <t>C2 =</t>
  </si>
  <si>
    <t>C3 =</t>
  </si>
  <si>
    <t>C4 =</t>
  </si>
  <si>
    <t>One gallon = 231 cu in</t>
  </si>
  <si>
    <t>Output</t>
  </si>
  <si>
    <t>sq in</t>
  </si>
  <si>
    <t>sq-in</t>
  </si>
  <si>
    <t>cu-in</t>
  </si>
  <si>
    <t>gal</t>
  </si>
  <si>
    <t>gpm</t>
  </si>
  <si>
    <t>Pipe internal area,  pa = 3.142 x pd^2 / 4 =</t>
  </si>
  <si>
    <t>cu in / rev</t>
  </si>
  <si>
    <t>Pump flow,  GPM =</t>
  </si>
  <si>
    <t>Pump pressure,  P =</t>
  </si>
  <si>
    <t>Pump efficiency pecent,  e =</t>
  </si>
  <si>
    <t>HYDRAULIC CYLINDERS, PUMPS, &amp; MOTORS</t>
  </si>
  <si>
    <t>δ =</t>
  </si>
  <si>
    <t>Shaft outside diameter,  Dc =</t>
  </si>
  <si>
    <t>Shaft inside diameter,  Di =</t>
  </si>
  <si>
    <t>Hub modulus, Eh =</t>
  </si>
  <si>
    <t>Shaft modulus, Es =</t>
  </si>
  <si>
    <t xml:space="preserve"> μs / Es</t>
  </si>
  <si>
    <t xml:space="preserve"> μh / Eh</t>
  </si>
  <si>
    <t>(Dc^2+Di^2)/(Es*(Dc^2-Di^2))</t>
  </si>
  <si>
    <t>(Do^2+Dc^2)/(Eh*(Do^2-Dc^2))</t>
  </si>
  <si>
    <t>Maximum axial load,  Fa =</t>
  </si>
  <si>
    <t>Hub outside diameter,  Do =</t>
  </si>
  <si>
    <t>Maximum torque,  T =</t>
  </si>
  <si>
    <t>T =</t>
  </si>
  <si>
    <t>f*π*Dc*L*Pc</t>
  </si>
  <si>
    <t>f*Pc*π*Dc^2*L / 2</t>
  </si>
  <si>
    <t>Ft*((Do^2-Dc^2) / (Do^2+Dc^2))</t>
  </si>
  <si>
    <t>Torque shock &amp; fatigue factor,  Kt =</t>
  </si>
  <si>
    <t>Cantilever shaft bending moment</t>
  </si>
  <si>
    <t>Section moment of inertia,  Izz =</t>
  </si>
  <si>
    <t>Answer:  Izz =</t>
  </si>
  <si>
    <t>Section polar moment of inertia,  Izz =</t>
  </si>
  <si>
    <t>Bending shock &amp; fatigue factor,  Kb =</t>
  </si>
  <si>
    <t>Kb*M*c / I</t>
  </si>
  <si>
    <t>Length,  L =</t>
  </si>
  <si>
    <t>Fs =</t>
  </si>
  <si>
    <t>Polar moment of inertia,  J =</t>
  </si>
  <si>
    <t>Torsion stress,  Ft =</t>
  </si>
  <si>
    <t>SHEAR STRESS IN ROUND SECTION BEAM</t>
  </si>
  <si>
    <t>Ri + D/2 - Rna</t>
  </si>
  <si>
    <t>Use if:  D/H &gt; 0.5 or R/H &gt; 0.5</t>
  </si>
  <si>
    <t>T*(B/2) / J</t>
  </si>
  <si>
    <t>T*(Do/2) / J</t>
  </si>
  <si>
    <t>Round tube shaft outside dia,  Do =</t>
  </si>
  <si>
    <t>Round tube shaft inside dia, Di =</t>
  </si>
  <si>
    <t>T*(D/2) / J</t>
  </si>
  <si>
    <t>BENDING STRESS</t>
  </si>
  <si>
    <t xml:space="preserve">  </t>
  </si>
  <si>
    <t>Use the above spread sheet to calculate the dimensions of gears.</t>
  </si>
  <si>
    <t>π*(Do^4 - Di^4) / 64</t>
  </si>
  <si>
    <t>This is the end of this spread sheet.</t>
  </si>
  <si>
    <t>[Fn(max) - Fn(min)] / 2</t>
  </si>
  <si>
    <t>Horizontal force,  H =</t>
  </si>
  <si>
    <t>Vertical force,  V =</t>
  </si>
  <si>
    <t>Torsion,  T =</t>
  </si>
  <si>
    <t>Cantilever length,  L =</t>
  </si>
  <si>
    <t>Diameter,  D =</t>
  </si>
  <si>
    <t>Sxy =</t>
  </si>
  <si>
    <t>Properties at section A-B</t>
  </si>
  <si>
    <t>Area,  A =</t>
  </si>
  <si>
    <t>B1 / 2</t>
  </si>
  <si>
    <t>ΣIcg</t>
  </si>
  <si>
    <t>Section modulus, Ixx =</t>
  </si>
  <si>
    <t xml:space="preserve">A*Yn </t>
  </si>
  <si>
    <t>A*Yn^2</t>
  </si>
  <si>
    <t>Section moment of inertia,  Ixx =</t>
  </si>
  <si>
    <t xml:space="preserve">   =</t>
  </si>
  <si>
    <t>H / 2</t>
  </si>
  <si>
    <t xml:space="preserve">Rectangular Section Properties </t>
  </si>
  <si>
    <t>Center of area, C1 = C2 =</t>
  </si>
  <si>
    <t>Symmetrical H Section Properties</t>
  </si>
  <si>
    <t>B1 - C1</t>
  </si>
  <si>
    <t>Y1 + H1/2</t>
  </si>
  <si>
    <t>Center of area,  C1 =</t>
  </si>
  <si>
    <t>ΣA*Yn^2 + ΣIcg</t>
  </si>
  <si>
    <t>T*D / (2*J)</t>
  </si>
  <si>
    <t xml:space="preserve">H/A  </t>
  </si>
  <si>
    <t>Combined direct and bending,  Fx  =</t>
  </si>
  <si>
    <t>Fx  =</t>
  </si>
  <si>
    <t>Horizontal direct stress,  Fd =</t>
  </si>
  <si>
    <t>Fb =</t>
  </si>
  <si>
    <t>H/A + M*c / I</t>
  </si>
  <si>
    <t>* Calculated deflections are compared with required stiffness.</t>
  </si>
  <si>
    <t>* Machine components are designed to withstand: applied direct forces, moments and torsion.</t>
  </si>
  <si>
    <t>COUPLINGS</t>
  </si>
  <si>
    <t>Key Width = Height, H =</t>
  </si>
  <si>
    <t>H*L</t>
  </si>
  <si>
    <t>3. Coupling Friction Torsion Strength</t>
  </si>
  <si>
    <t>4. Coupling Bolts Torsion Strength</t>
  </si>
  <si>
    <t>Sin (B)  =</t>
  </si>
  <si>
    <t>(R2-R1) / C</t>
  </si>
  <si>
    <t>B  =</t>
  </si>
  <si>
    <t>radn.</t>
  </si>
  <si>
    <t>Center distance,  C =</t>
  </si>
  <si>
    <t>Drive power,  HP =</t>
  </si>
  <si>
    <t>Drive sheave pitch diameter,  D1  =</t>
  </si>
  <si>
    <t>deg</t>
  </si>
  <si>
    <t>Sheave to V-belt coefficient of friction,  f1  =</t>
  </si>
  <si>
    <t>Pulley to V-belt coefficient of friction,  f2  =</t>
  </si>
  <si>
    <t>B2  =</t>
  </si>
  <si>
    <t>B1  =</t>
  </si>
  <si>
    <t>D  =</t>
  </si>
  <si>
    <t>V-belt weight per cubic inch,  w  =</t>
  </si>
  <si>
    <t>lbm/in^3</t>
  </si>
  <si>
    <t>D*(B1+ 2*B2)/ 3(B1+B2)</t>
  </si>
  <si>
    <t>V-belt C.G. distance,  x  =</t>
  </si>
  <si>
    <t>D2 + 2*x</t>
  </si>
  <si>
    <t>Small sheave pitch radius,  R1 =</t>
  </si>
  <si>
    <t>Large pulley pitch radius,  R2 =</t>
  </si>
  <si>
    <t>Small sheave angle of wrap,  A1 =</t>
  </si>
  <si>
    <t>180 - 2*B</t>
  </si>
  <si>
    <t>A1  =</t>
  </si>
  <si>
    <t>180 + 2*B</t>
  </si>
  <si>
    <t>e  =</t>
  </si>
  <si>
    <t>Large pulley angle of wrap,  A2 =</t>
  </si>
  <si>
    <t>A2  =</t>
  </si>
  <si>
    <t>e^(f1*A1/ Sin(A/2))</t>
  </si>
  <si>
    <t>Belt section area,  Ab  =</t>
  </si>
  <si>
    <t>(B1 + B2)/ (2*D)</t>
  </si>
  <si>
    <t>Slack side belt tension,  T2  =</t>
  </si>
  <si>
    <t>T2 =</t>
  </si>
  <si>
    <t>V-belt velocity,  V  =</t>
  </si>
  <si>
    <t>Motor speed,  N  =</t>
  </si>
  <si>
    <t>V  =</t>
  </si>
  <si>
    <t>g  =</t>
  </si>
  <si>
    <t>ft^2/sec</t>
  </si>
  <si>
    <t>ft/sec</t>
  </si>
  <si>
    <t>V-belt weight per ft,  W  =</t>
  </si>
  <si>
    <t>Ab*w*12</t>
  </si>
  <si>
    <t>lbm/ft</t>
  </si>
  <si>
    <t>π*(D1/12)*(N/60)</t>
  </si>
  <si>
    <t>Damped Vibrations With Forcing Function</t>
  </si>
  <si>
    <t>The inertia forces of rotating and oscillating machinery cause elastic supports to vibrate.</t>
  </si>
  <si>
    <t>Fm is the maximum applied force.</t>
  </si>
  <si>
    <t>M is the mass of the vibration object that is equal to W/g.</t>
  </si>
  <si>
    <t>g is the gravitational constant, 32.2 ft/sec^2.</t>
  </si>
  <si>
    <t>X is the displacement from the equilibrium position.</t>
  </si>
  <si>
    <t>C is the damping constant force per second velocity</t>
  </si>
  <si>
    <t>and is proportional to velocity.</t>
  </si>
  <si>
    <t>Data</t>
  </si>
  <si>
    <t>Key torsion shear strength,  Tk =</t>
  </si>
  <si>
    <t>Allowable key bearing stress, Sb =</t>
  </si>
  <si>
    <t>Sb*L*(D/2 - H/4)*(H/2)</t>
  </si>
  <si>
    <t>K is the spring stiffness force per inch.</t>
  </si>
  <si>
    <t>Undamped Vibrations</t>
  </si>
  <si>
    <t>If the mass M shown above is displaced through distance x and released it will vibrate freely.</t>
  </si>
  <si>
    <t>Weight,  W =</t>
  </si>
  <si>
    <t>lb</t>
  </si>
  <si>
    <t>Spring stiffness, k =</t>
  </si>
  <si>
    <t>lb/in</t>
  </si>
  <si>
    <t>ft/sec^2</t>
  </si>
  <si>
    <t>π =</t>
  </si>
  <si>
    <t>Static Deflection,  x =</t>
  </si>
  <si>
    <t>W / k</t>
  </si>
  <si>
    <t>Answer:  x =</t>
  </si>
  <si>
    <t xml:space="preserve">         </t>
  </si>
  <si>
    <t>Mass,  M =</t>
  </si>
  <si>
    <t>W / (g*12)</t>
  </si>
  <si>
    <t>Answer:  M =</t>
  </si>
  <si>
    <t>Natural frequency, f =</t>
  </si>
  <si>
    <t>(1/2π)*(g / x)^0.5</t>
  </si>
  <si>
    <t>f =</t>
  </si>
  <si>
    <t>Beam Stiffness (k), Deflection (x), and Natural Frequency ( f )</t>
  </si>
  <si>
    <t>W*L^3 / (192*E*I)</t>
  </si>
  <si>
    <t>lbm-sec^2/in</t>
  </si>
  <si>
    <t>Natural Frequency,  fn =</t>
  </si>
  <si>
    <t>(1/2*π)*(k*/M)^.5</t>
  </si>
  <si>
    <t>Hz</t>
  </si>
  <si>
    <t>Angular frequency,  ω =</t>
  </si>
  <si>
    <t>2*π*fn</t>
  </si>
  <si>
    <t>Answer:  ω =</t>
  </si>
  <si>
    <t>radn/sec</t>
  </si>
  <si>
    <t>Motor Weight,  W =</t>
  </si>
  <si>
    <t>Motor Speed,  N =</t>
  </si>
  <si>
    <t>in/sec^2</t>
  </si>
  <si>
    <t>Angular natural frequency,  fn =</t>
  </si>
  <si>
    <t>(k*g / W)^.5</t>
  </si>
  <si>
    <t>Answer:  fn =</t>
  </si>
  <si>
    <t>rad/sec</t>
  </si>
  <si>
    <t>Disturbing force angular frequency,  fa =</t>
  </si>
  <si>
    <t>Pseudo-static deflection,  x =</t>
  </si>
  <si>
    <t>Fd / k</t>
  </si>
  <si>
    <t>Amplitude magnification factor,  B =</t>
  </si>
  <si>
    <t>Max normal stress at B,  F1 =</t>
  </si>
  <si>
    <t>Min normal stress at B,  F2 =</t>
  </si>
  <si>
    <t>* The design load is equal to the applied load multiplied by a combined shock and fatigue factor, Ks.</t>
  </si>
  <si>
    <t xml:space="preserve">     Calculation</t>
  </si>
  <si>
    <t>Braking torque,  T =</t>
  </si>
  <si>
    <t>Dg*b*</t>
  </si>
  <si>
    <t>pump, compressor, pulverizer, motor, etc.</t>
  </si>
  <si>
    <t>Half sine shock acceleration, a =</t>
  </si>
  <si>
    <t>&lt; GOAL SEEK</t>
  </si>
  <si>
    <t>Bending stress at x: Sb =</t>
  </si>
  <si>
    <t>M*(D/2) / I</t>
  </si>
  <si>
    <t>Moment at x,  M =</t>
  </si>
  <si>
    <t xml:space="preserve">Cantilever deflection at A, Y = </t>
  </si>
  <si>
    <t>Fixed ends deflection at C, Y =</t>
  </si>
  <si>
    <t>Pinned ends deflection at C, Y  =</t>
  </si>
  <si>
    <t>Beam length from above, L =</t>
  </si>
  <si>
    <t>Shaft material elastic modulus,  E =</t>
  </si>
  <si>
    <t>Outside fiber bending stress,  So =</t>
  </si>
  <si>
    <t>M*(Ro-Rna) / (A*e*Ri)</t>
  </si>
  <si>
    <t>Curved Beams-Circular Section</t>
  </si>
  <si>
    <t>Curved Beam-Section diameter,  D =</t>
  </si>
  <si>
    <t>1 / ( (1 - (fa / fn)^2)</t>
  </si>
  <si>
    <t>Vibration amplitude =</t>
  </si>
  <si>
    <t>B*(Fd / k)</t>
  </si>
  <si>
    <t>lbm</t>
  </si>
  <si>
    <t>Rotating imbalance eccentricity,  e =</t>
  </si>
  <si>
    <t>Viscous damping ratio,  C =</t>
  </si>
  <si>
    <t>Static deflection of the mounts,  d =</t>
  </si>
  <si>
    <t>Undamped natural frequency,  fn =</t>
  </si>
  <si>
    <t>(1 / 2*π)*(g / d)^.5</t>
  </si>
  <si>
    <t>Disturbing force frequency,  f =</t>
  </si>
  <si>
    <t>N / 60</t>
  </si>
  <si>
    <t>Answer:  f =</t>
  </si>
  <si>
    <t>2*π*f</t>
  </si>
  <si>
    <t>Out of balance force F due to rotating mass</t>
  </si>
  <si>
    <t>Wi*fa^2*e / g</t>
  </si>
  <si>
    <t>Forcing frequency / Natural frequency = r =</t>
  </si>
  <si>
    <t>f / fn</t>
  </si>
  <si>
    <t>Amplitude magnification factor,  MF =</t>
  </si>
  <si>
    <t>1/( (1 -r^2)+ (2*Cr)^2)</t>
  </si>
  <si>
    <t>(MF)*(F / k)</t>
  </si>
  <si>
    <t>Transmissibility,  TR =</t>
  </si>
  <si>
    <t>Power transmitted by shaft,  HP =</t>
  </si>
  <si>
    <t>Shaft vertical load,  V =</t>
  </si>
  <si>
    <t>Vertical Moment,  M =</t>
  </si>
  <si>
    <t>V * L</t>
  </si>
  <si>
    <t>Minimum shaft diameter,  D =</t>
  </si>
  <si>
    <t xml:space="preserve">1. ASME Code Shaft Allowable Stress </t>
  </si>
  <si>
    <t xml:space="preserve">2. ASME Code Shaft Diameter </t>
  </si>
  <si>
    <t>(MF)*(1 + (2*r*C)^2)^.5</t>
  </si>
  <si>
    <t>TR =</t>
  </si>
  <si>
    <t>Transmissibility Force,  Ftr =</t>
  </si>
  <si>
    <t>(TR)*F</t>
  </si>
  <si>
    <t xml:space="preserve">Critical Damping </t>
  </si>
  <si>
    <t>Critical damping occurs when the vibration amplitude is stable:</t>
  </si>
  <si>
    <t>Damping Coefficient</t>
  </si>
  <si>
    <t>Ccrit =</t>
  </si>
  <si>
    <t>Critical Damping Coeff.</t>
  </si>
  <si>
    <t>2*(K*M)^.5</t>
  </si>
  <si>
    <t>K =</t>
  </si>
  <si>
    <t>System stiffness</t>
  </si>
  <si>
    <t>M =</t>
  </si>
  <si>
    <t>Vibrating Mass</t>
  </si>
  <si>
    <t>M2 =</t>
  </si>
  <si>
    <t>Two machine components, shown above,  are subjected to loads P at each end.</t>
  </si>
  <si>
    <t>The force P is resisted by internal stress S which is not uniform.</t>
  </si>
  <si>
    <t>At the hole diameter D and the fillet radius R stress is 3 times the average value.</t>
  </si>
  <si>
    <t>This is true for tension +P and compression -P.</t>
  </si>
  <si>
    <t>Machine Component Maximum Stress Calculation</t>
  </si>
  <si>
    <t>Material modulus of elasticity,  E =</t>
  </si>
  <si>
    <t>Combined shock and fatigue factor,  Ks =</t>
  </si>
  <si>
    <t xml:space="preserve">                Material</t>
  </si>
  <si>
    <t>ASTM A-36 (Mild Steel)</t>
  </si>
  <si>
    <t>Maximum shear stress,  Sxy =</t>
  </si>
  <si>
    <t>Maximum direct stress,  Smax =</t>
  </si>
  <si>
    <t>Safety factor, SF =</t>
  </si>
  <si>
    <t>Sa / Smax</t>
  </si>
  <si>
    <t>S / E</t>
  </si>
  <si>
    <t>See table above.</t>
  </si>
  <si>
    <t>I and C Sections</t>
  </si>
  <si>
    <t>Transmissibility (TR)</t>
  </si>
  <si>
    <t xml:space="preserve">Transmissibility is the ratio of the force </t>
  </si>
  <si>
    <t xml:space="preserve">transmitted to a machine's supports </t>
  </si>
  <si>
    <t>The amplitude of vibrations in machinery</t>
  </si>
  <si>
    <t>mountings can be reduced with resilient</t>
  </si>
  <si>
    <t>pads or springs called isolators.</t>
  </si>
  <si>
    <t xml:space="preserve">The isolated system must have a natural </t>
  </si>
  <si>
    <t xml:space="preserve">frequency less than 0.707 x the disturbing  </t>
  </si>
  <si>
    <t>periodic imbalance force.</t>
  </si>
  <si>
    <t>The vibration amplitude will increase if the</t>
  </si>
  <si>
    <t>Motor weight,  W =</t>
  </si>
  <si>
    <t>Motor mount stiffness,  k =</t>
  </si>
  <si>
    <t>Periodic disturbing force,  Fd =</t>
  </si>
  <si>
    <t>Disturbing force angular frequency,  fd =</t>
  </si>
  <si>
    <t>N</t>
  </si>
  <si>
    <t>f*2*π / 60</t>
  </si>
  <si>
    <t>cycles/min</t>
  </si>
  <si>
    <t>Rotating imbalance mass,  Wi =</t>
  </si>
  <si>
    <t>due to a periodic imbalance in an; engine,</t>
  </si>
  <si>
    <t>If mounting damper pad natural frequency is known:</t>
  </si>
  <si>
    <t>Load at Mid Span,  W =</t>
  </si>
  <si>
    <t>W*L^3 / (48*E*I)</t>
  </si>
  <si>
    <t>Load at Free End,  W =</t>
  </si>
  <si>
    <t>W*L^3 / (3*E*I)</t>
  </si>
  <si>
    <t>higher than 0.707 x the disturbing frequency.</t>
  </si>
  <si>
    <t>Transmissibility ratio is equal to the, mass displacement amplitude / base displacement amplitude.</t>
  </si>
  <si>
    <t>TR  =</t>
  </si>
  <si>
    <t>X2 / X1</t>
  </si>
  <si>
    <t>Disturbing force frequency,  fd =</t>
  </si>
  <si>
    <t>1/(1-(fd/fn)^2)</t>
  </si>
  <si>
    <t>System natural frequency,  fn =</t>
  </si>
  <si>
    <t>fd / (1+(1/TR))^0.5</t>
  </si>
  <si>
    <t>Parallel Springs Combined Stiffness</t>
  </si>
  <si>
    <t>Springs are employed as vibration isolators.</t>
  </si>
  <si>
    <t>k1 =</t>
  </si>
  <si>
    <t>k2 =</t>
  </si>
  <si>
    <t xml:space="preserve">1 / k = </t>
  </si>
  <si>
    <t>1 / k1 + 1 / k2</t>
  </si>
  <si>
    <t>k  =</t>
  </si>
  <si>
    <t>(k1*k2) / (k1 + k2)</t>
  </si>
  <si>
    <t>Answer:  k  =</t>
  </si>
  <si>
    <t>Series Springs Combined Stiffness</t>
  </si>
  <si>
    <t>k1 + k2</t>
  </si>
  <si>
    <t>lbf/ in</t>
  </si>
  <si>
    <t>Critical Speed of Rotating Shaft</t>
  </si>
  <si>
    <t xml:space="preserve">The critical speed of a shaft is its </t>
  </si>
  <si>
    <t>any vibrating system will increase</t>
  </si>
  <si>
    <t xml:space="preserve">if an applied periodic force has the  </t>
  </si>
  <si>
    <t>same or nearly same frequency.</t>
  </si>
  <si>
    <t>Resonance occurs at the critical</t>
  </si>
  <si>
    <t xml:space="preserve">speed. </t>
  </si>
  <si>
    <t>Flywheel mass,  W =</t>
  </si>
  <si>
    <t>Steel Shaft,  E =</t>
  </si>
  <si>
    <t>lb/sq in</t>
  </si>
  <si>
    <t>Shaft radius,  r =</t>
  </si>
  <si>
    <t>D / 2</t>
  </si>
  <si>
    <t>Shaft section moment of inertia,  I =</t>
  </si>
  <si>
    <t>π*r^4 / 4</t>
  </si>
  <si>
    <t>The ball bearings act as pivoting supports</t>
  </si>
  <si>
    <t>Flywheel static deflection is;</t>
  </si>
  <si>
    <t>Natural frequency,  f =</t>
  </si>
  <si>
    <t>(1 / 2*π)*(g / x)^.5</t>
  </si>
  <si>
    <t>Moment of Inertia,  I =</t>
  </si>
  <si>
    <t>Deflection,  x =</t>
  </si>
  <si>
    <t>Stiffness,  k =</t>
  </si>
  <si>
    <t>3*E*I/L^3</t>
  </si>
  <si>
    <t>lbf/in</t>
  </si>
  <si>
    <t>Answer:  k =</t>
  </si>
  <si>
    <t>Cantilever, Uniform Load w</t>
  </si>
  <si>
    <t>Uniform Load,  w =</t>
  </si>
  <si>
    <t>w*L^4 / (8*E*I)</t>
  </si>
  <si>
    <t>8*E*I/L^3</t>
  </si>
  <si>
    <t>48*E*I/L^3</t>
  </si>
  <si>
    <t>Beam, Pinned ends, Uniform Load w</t>
  </si>
  <si>
    <t>5*w*L^4 / (384*E*I)</t>
  </si>
  <si>
    <t>384*E*I/(5*L^3)</t>
  </si>
  <si>
    <t>192*E*I/L^3</t>
  </si>
  <si>
    <t>Beam, Fixed ends, Uniform Load w</t>
  </si>
  <si>
    <t>w*L^4 / (384*E*I)</t>
  </si>
  <si>
    <t>384*E*I/(L^3)</t>
  </si>
  <si>
    <t>Plate Natural Frequency (f)</t>
  </si>
  <si>
    <t>Rectangular Plates,  f =</t>
  </si>
  <si>
    <t>(K / 2*π)*((D*g)/(w*a^4))</t>
  </si>
  <si>
    <t>Rectangular Plate, simply supported edges =</t>
  </si>
  <si>
    <t>K, ss</t>
  </si>
  <si>
    <t>Rectangular Plate, fixed edges =</t>
  </si>
  <si>
    <t>K, fixed</t>
  </si>
  <si>
    <t>Vibration Coefficients</t>
  </si>
  <si>
    <t>a / b</t>
  </si>
  <si>
    <t>Plate thickness,  t =</t>
  </si>
  <si>
    <t>Poisson's ratio,  v =</t>
  </si>
  <si>
    <t>Plate short side,  a =</t>
  </si>
  <si>
    <t>Plate long side, b =</t>
  </si>
  <si>
    <t>From the table above,  K,ss or Kfixed =</t>
  </si>
  <si>
    <t>Load per unit area,  w =</t>
  </si>
  <si>
    <t>Answer:  a / b =</t>
  </si>
  <si>
    <t>E*t^3 / (12*(1 - ν^2))</t>
  </si>
  <si>
    <t>Answer:  D =</t>
  </si>
  <si>
    <t>Gravitational acceleration,  g =</t>
  </si>
  <si>
    <t>Circular Plate Natural Frequency (f)</t>
  </si>
  <si>
    <t>Plate radius,  r =</t>
  </si>
  <si>
    <t>From the table above,  K,ss =</t>
  </si>
  <si>
    <t>Kfixed =</t>
  </si>
  <si>
    <t xml:space="preserve">  g =</t>
  </si>
  <si>
    <t>E x 10^6 lbf/in^2</t>
  </si>
  <si>
    <t>ASTM A47-52 Malleable Cast Iron</t>
  </si>
  <si>
    <t>Section outside diameter,  D =</t>
  </si>
  <si>
    <t>Section inside diameter,  d =</t>
  </si>
  <si>
    <t>π*( D^2 - d^2 )/ 4</t>
  </si>
  <si>
    <t>Solid shafts: K = 1.5 &amp; d = 0.</t>
  </si>
  <si>
    <t>Thin wall tubes: K = 2.0 &amp; d is not zero.</t>
  </si>
  <si>
    <t>PRINCIPAL STRESSES</t>
  </si>
  <si>
    <t>π*D^2 / 4</t>
  </si>
  <si>
    <t xml:space="preserve">H / A  </t>
  </si>
  <si>
    <t>Bending stress,  Fb =</t>
  </si>
  <si>
    <t>AT POINT "A"</t>
  </si>
  <si>
    <t>Direct stress due to, "V",  Fy =</t>
  </si>
  <si>
    <t>T1 =</t>
  </si>
  <si>
    <t>L1 =</t>
  </si>
  <si>
    <t>L2 =</t>
  </si>
  <si>
    <t>L3 =</t>
  </si>
  <si>
    <t>Power transmitted by V-Belt,  HP =</t>
  </si>
  <si>
    <t>Shaft torque,  T =</t>
  </si>
  <si>
    <t>HP * 63000 / N</t>
  </si>
  <si>
    <t>T1 - T2 =</t>
  </si>
  <si>
    <t>D1 =</t>
  </si>
  <si>
    <t>T / (D2 / 2)</t>
  </si>
  <si>
    <t>T2 / T1 = B =</t>
  </si>
  <si>
    <t>Su =</t>
  </si>
  <si>
    <t>Sy =</t>
  </si>
  <si>
    <t>Kb =</t>
  </si>
  <si>
    <t>T / (D1 / 2)</t>
  </si>
  <si>
    <t>Ft * Tan( A )</t>
  </si>
  <si>
    <t>Kt*12*33000*HP / (2*π*N)</t>
  </si>
  <si>
    <t>18% * Su</t>
  </si>
  <si>
    <t>30% * Sy</t>
  </si>
  <si>
    <t>Allowable stress based on Su,  Sau =</t>
  </si>
  <si>
    <t>Allowable stress based on Sy,  Say =</t>
  </si>
  <si>
    <t>V1 =</t>
  </si>
  <si>
    <t>V4 =</t>
  </si>
  <si>
    <t>Vertical Forces</t>
  </si>
  <si>
    <t>H2 =Ft =</t>
  </si>
  <si>
    <t>V2 = Fs =</t>
  </si>
  <si>
    <t>Horizontal Forces</t>
  </si>
  <si>
    <t>B * T2</t>
  </si>
  <si>
    <t>-( T / (D2 / 2) ) / (1 - B)</t>
  </si>
  <si>
    <t>Spur gear pressure angle, (14 or 20 deg) B =</t>
  </si>
  <si>
    <t>V3 =</t>
  </si>
  <si>
    <t>T1 / T2 =</t>
  </si>
  <si>
    <t>V2 + V3 - V4</t>
  </si>
  <si>
    <t>Vertical Moments</t>
  </si>
  <si>
    <t>Mv2 =</t>
  </si>
  <si>
    <t>V1 * L1</t>
  </si>
  <si>
    <t>lbf-in</t>
  </si>
  <si>
    <t>Mv3 =</t>
  </si>
  <si>
    <t>V4 * L3</t>
  </si>
  <si>
    <t>( (V4*(L2 + L3)) - (V2*L1) ) / L2</t>
  </si>
  <si>
    <t>H4 =</t>
  </si>
  <si>
    <t xml:space="preserve">(T1 + T2) * Cos( A ) </t>
  </si>
  <si>
    <t>V-Pulley  weight, Wp =</t>
  </si>
  <si>
    <t>( (T1 + T2) * Sin( A ) )-Wp</t>
  </si>
  <si>
    <t>lbs</t>
  </si>
  <si>
    <t>H3 =</t>
  </si>
  <si>
    <t>( (H4*(L2 + L3)) + (H2*L1) ) / L2</t>
  </si>
  <si>
    <t>H1 =</t>
  </si>
  <si>
    <t>H2 - H3 + H4</t>
  </si>
  <si>
    <t>Mh2 =</t>
  </si>
  <si>
    <t>Mh3 =</t>
  </si>
  <si>
    <t>H1 * L1</t>
  </si>
  <si>
    <t>H4 * L3</t>
  </si>
  <si>
    <t>Horizontal Moments</t>
  </si>
  <si>
    <t>Resultant Moments</t>
  </si>
  <si>
    <t>Mr2 =</t>
  </si>
  <si>
    <t>(Mv2^2 + Mh2^2)^0.5</t>
  </si>
  <si>
    <t>Mr3 =</t>
  </si>
  <si>
    <t>(Mv3^2 + Mh3^2)^0.5</t>
  </si>
  <si>
    <t>ASME Code for shaft with keyway,  D^3 =</t>
  </si>
  <si>
    <t>Shock Loads</t>
  </si>
  <si>
    <t xml:space="preserve">A shock load is caused by a nearly instantaneous </t>
  </si>
  <si>
    <t xml:space="preserve">Above: Korfund division of Baldor Motor corp. </t>
  </si>
  <si>
    <t>(16 / (π*Sa) ) * ( (Kb*Mb)^2 + ( Kt*T)^2 )^0.5</t>
  </si>
  <si>
    <t>Larger of: Mr2 &amp; Mr3 = Mb =</t>
  </si>
  <si>
    <t>Allowable shear stress based on Su,  Ss =</t>
  </si>
  <si>
    <t>75% * Sau</t>
  </si>
  <si>
    <t>Lowest of Sau, Say, &amp; Ss:  Sa =</t>
  </si>
  <si>
    <t xml:space="preserve">ASME Code Shaft Allowable Stress </t>
  </si>
  <si>
    <t>Shaft Material Ultimate &amp; Yield Stresses</t>
  </si>
  <si>
    <t>Shaft Power &amp; Geometry</t>
  </si>
  <si>
    <t>Calculate Shaft Diameter</t>
  </si>
  <si>
    <t xml:space="preserve">Left side shaft diameter, SD1 = </t>
  </si>
  <si>
    <t xml:space="preserve">Right side shaft diameter, SD3 = </t>
  </si>
  <si>
    <t xml:space="preserve">Center shaft diameter, SD2 = </t>
  </si>
  <si>
    <t>Torsional shear stress,  Sxy =</t>
  </si>
  <si>
    <t>AT POINT "B"</t>
  </si>
  <si>
    <t>Max shear stress at B,  Sxy(max) =</t>
  </si>
  <si>
    <t>Max shear stress,  Sxy =</t>
  </si>
  <si>
    <t>=</t>
  </si>
  <si>
    <t>F1 =</t>
  </si>
  <si>
    <t>F2 =</t>
  </si>
  <si>
    <t>Simply supported edges,  f =</t>
  </si>
  <si>
    <t>(K / 2*π)*((D*g)/(w*r^4))</t>
  </si>
  <si>
    <t>Fixed edges,  f =</t>
  </si>
  <si>
    <t>Balancing Rotating Shafts</t>
  </si>
  <si>
    <t>For static balance:</t>
  </si>
  <si>
    <t>Two masses, M1 and M2 must be in the</t>
  </si>
  <si>
    <t xml:space="preserve">same plane and 180 degrees out of </t>
  </si>
  <si>
    <t>phase and moments must balance:</t>
  </si>
  <si>
    <t xml:space="preserve">Σmi*Ri = </t>
  </si>
  <si>
    <t xml:space="preserve">For static and dynamic balance there must </t>
  </si>
  <si>
    <t>be no unbalanced moments and couples.</t>
  </si>
  <si>
    <t>When the masses are in the same plane</t>
  </si>
  <si>
    <t>static and dynamic balance occurs when:</t>
  </si>
  <si>
    <t>The crank (Mc) is statically and dynamically</t>
  </si>
  <si>
    <t xml:space="preserve">balanced by two counter weights, M1 &amp; M2, </t>
  </si>
  <si>
    <t>all three masses are in the same plane.</t>
  </si>
  <si>
    <t>Find the masses of the two counterweights.</t>
  </si>
  <si>
    <t>Example only</t>
  </si>
  <si>
    <t>Mass 1 C.G. radius,  R1 =</t>
  </si>
  <si>
    <t>X1 =</t>
  </si>
  <si>
    <t>Mass 2 C.G. radius,  R2 =</t>
  </si>
  <si>
    <t>X2 =</t>
  </si>
  <si>
    <t>Crank Mass,  Mc =</t>
  </si>
  <si>
    <t>Crank Mass Eccentricity,  E =</t>
  </si>
  <si>
    <t>Dynamic balance about mass M1:</t>
  </si>
  <si>
    <t>Mc*E*X1 =</t>
  </si>
  <si>
    <t>M2*R2*(X1+X2)</t>
  </si>
  <si>
    <t>Mc*E*X1 / R2*(X1+X2)</t>
  </si>
  <si>
    <t>Answer:  M2 =</t>
  </si>
  <si>
    <t>Condition for static balance:</t>
  </si>
  <si>
    <t>0 =</t>
  </si>
  <si>
    <t>M1*R1+M2*R2-Mc*E</t>
  </si>
  <si>
    <t>(-M2*R2+Mc*E) / R1</t>
  </si>
  <si>
    <t>Answer:  M1 =</t>
  </si>
  <si>
    <t>Forced, Steady State Vibration Example</t>
  </si>
  <si>
    <t xml:space="preserve"> Outside fiber bending stress, So =</t>
  </si>
  <si>
    <t xml:space="preserve">   Outside fiber bending stress,  Fo =</t>
  </si>
  <si>
    <t xml:space="preserve">Calculate the two spring support stiffness </t>
  </si>
  <si>
    <t>be no more than 0.25 inches.</t>
  </si>
  <si>
    <t>Estimated friction is 5% of the critical</t>
  </si>
  <si>
    <t>damping factor (Cc).</t>
  </si>
  <si>
    <t>Motor speed,  N =</t>
  </si>
  <si>
    <t>Motor+Compressor+Table Mass,  W =</t>
  </si>
  <si>
    <t>Critical damping coefficient  =</t>
  </si>
  <si>
    <t>Cc</t>
  </si>
  <si>
    <t>Friction damping coefficient  =</t>
  </si>
  <si>
    <t xml:space="preserve">Cf </t>
  </si>
  <si>
    <t>(Friction/ Critical) damping factor ratio,  DR =</t>
  </si>
  <si>
    <t>Cf / Cc</t>
  </si>
  <si>
    <t>Motor speed,  ω =</t>
  </si>
  <si>
    <t>2*π*N / 60</t>
  </si>
  <si>
    <t>rad / sec</t>
  </si>
  <si>
    <t>g =</t>
  </si>
  <si>
    <t>W / g</t>
  </si>
  <si>
    <t>MACHINE DESIGN EXCEL SPREAD SHEETS</t>
  </si>
  <si>
    <t xml:space="preserve">(Fx+Fy)/2 - [ ((Fx-Fy)/2)^2 + Sxy^2 )^0.5 ] </t>
  </si>
  <si>
    <t xml:space="preserve">(Fx+Fy)/2 + [ ((Fx-Fy)/2)^2 + Sxy^2 )^0.5 ] </t>
  </si>
  <si>
    <t xml:space="preserve">(Fx+Fy)/2 - [ ((Fx-Fy)/2)/2)^2 + Sxy^2 )^0.5 ] </t>
  </si>
  <si>
    <t>Max normal stress at point A,  F1 =</t>
  </si>
  <si>
    <t>Min normal stress at point A,  F2 =</t>
  </si>
  <si>
    <t>Max shear stress at point A,  Sxy =</t>
  </si>
  <si>
    <t>a =</t>
  </si>
  <si>
    <t>Power Shaft with: Torque T, Vertical Load V, &amp; Horizontal Load H</t>
  </si>
  <si>
    <t>Shaft material shear modulus,  G =</t>
  </si>
  <si>
    <t>Total spring support stiffness,  Kt =</t>
  </si>
  <si>
    <t>2*K</t>
  </si>
  <si>
    <t>Kt =</t>
  </si>
  <si>
    <t>M*ω^2</t>
  </si>
  <si>
    <t>Answer: Kt =</t>
  </si>
  <si>
    <t>lbf / in</t>
  </si>
  <si>
    <t>Kt / 2</t>
  </si>
  <si>
    <t>Answer:  K =</t>
  </si>
  <si>
    <t>Critical value of damping factor,  Cc =</t>
  </si>
  <si>
    <t>2*(Kt*M)^.5</t>
  </si>
  <si>
    <t>Answer:  Cc =</t>
  </si>
  <si>
    <t>Friction damping factor,  Cf =</t>
  </si>
  <si>
    <t>Cc*DR</t>
  </si>
  <si>
    <t>Answer:  Cf =</t>
  </si>
  <si>
    <t>The motor periodic imbalance force,  F =</t>
  </si>
  <si>
    <t>Fo*Sin(ω*t)</t>
  </si>
  <si>
    <t>The motor peak imbalance force, Fo =</t>
  </si>
  <si>
    <t>Cf*ω*Y</t>
  </si>
  <si>
    <t>At resonance,  Y =</t>
  </si>
  <si>
    <t>Fo / Cc*ω</t>
  </si>
  <si>
    <t>Answer:  Fo =</t>
  </si>
  <si>
    <t>rise and fall of acceleration.</t>
  </si>
  <si>
    <t>Shock input pulse is normally</t>
  </si>
  <si>
    <t xml:space="preserve"> expressed in g's.</t>
  </si>
  <si>
    <t>Free Fall Impact Shock</t>
  </si>
  <si>
    <t xml:space="preserve">A typical free fall shock test is an 11 </t>
  </si>
  <si>
    <t xml:space="preserve">millisecond second half sine waveform </t>
  </si>
  <si>
    <t>with a peak acceleration of 15 g.</t>
  </si>
  <si>
    <t>Vertical Vibration Damper Selection</t>
  </si>
  <si>
    <t xml:space="preserve">A metal tumbling drum driven by an electric </t>
  </si>
  <si>
    <t>Shear stress concentration factor,  k =</t>
  </si>
  <si>
    <t>COMPOUND STRESS</t>
  </si>
  <si>
    <t>As shown below,  + P =</t>
  </si>
  <si>
    <t>K*Ks*P / A</t>
  </si>
  <si>
    <t>Stress concentration factor,  K =</t>
  </si>
  <si>
    <t>Shaft torsion deflection angle,  a =</t>
  </si>
  <si>
    <t>Cantilever shaft  bending deflection</t>
  </si>
  <si>
    <t>Square shaft breadth = height,  B =</t>
  </si>
  <si>
    <t>B^4 / 6</t>
  </si>
  <si>
    <t>B^4 / 12</t>
  </si>
  <si>
    <t>Allowable shaft torque,  Ts =</t>
  </si>
  <si>
    <t xml:space="preserve">Ultimate tensile stress design factor,  ku = </t>
  </si>
  <si>
    <t>1.0 HP =</t>
  </si>
  <si>
    <t>Note:</t>
  </si>
  <si>
    <t>W*L1^2*(L1+L2) /3*E*I</t>
  </si>
  <si>
    <t>Isolation mount combined stiffness,  k =</t>
  </si>
  <si>
    <t>Vibration amplitude,  x =</t>
  </si>
  <si>
    <t>Shock pulse time,  t =</t>
  </si>
  <si>
    <t>Answer:  G =</t>
  </si>
  <si>
    <t>Vmax*(2*π*Fn)/ g</t>
  </si>
  <si>
    <t>Vmax/ (2*π*Fn)</t>
  </si>
  <si>
    <t xml:space="preserve">Coupling Design Shear Stress = </t>
  </si>
  <si>
    <t>Shaft material yield stress, Fy =</t>
  </si>
  <si>
    <t>1. Shaft Torsion Shear Strength</t>
  </si>
  <si>
    <t>2. Square Key Torsion Shear Strength</t>
  </si>
  <si>
    <t>Maximum diameter interference,  δ =</t>
  </si>
  <si>
    <t>Shear stress concentration factor,  Ks =</t>
  </si>
  <si>
    <t>Fs*A / (Kt*Ks)</t>
  </si>
  <si>
    <t>Total coupling bolts torque capacity,  Tb =</t>
  </si>
  <si>
    <t>Multiple pitch number (n) refers to single (n=1), double (n=2), triple (n=3) pitch screw.</t>
  </si>
  <si>
    <t>Force W will cause the screw to rotate (overhaul) if, (-Tan (Ah) + Ft/ Cos (An)) is negative.</t>
  </si>
  <si>
    <t>Calculation</t>
  </si>
  <si>
    <t>Nut length,  L =</t>
  </si>
  <si>
    <t>W / (2*π*L*Rm*H*TPI)</t>
  </si>
  <si>
    <t>Right shoe maximum shoe pressure,  Pmr =</t>
  </si>
  <si>
    <t>Left shoe maximum shoe pressure,  Pml =</t>
  </si>
  <si>
    <t>Sheave groove angle,  A  =</t>
  </si>
  <si>
    <t>Note: Excel requires degrees to be converted to radians.  Degrees x .01745 = Radians</t>
  </si>
  <si>
    <t>Worm to wheel center distance,  C =</t>
  </si>
  <si>
    <t>Bending shock &amp; fatigue factor, Km =</t>
  </si>
  <si>
    <t xml:space="preserve"> between a point on one tooth and the corresponding</t>
  </si>
  <si>
    <t>of pitch circle diameter.</t>
  </si>
  <si>
    <t>The smaller of Cs and Cp governs design.</t>
  </si>
  <si>
    <t>e^(f2*A2/ Sin(90/2))</t>
  </si>
  <si>
    <t>Sheave capacity  Cs =</t>
  </si>
  <si>
    <t>Pulley capacity,  Cp =</t>
  </si>
  <si>
    <t>(T2-T1)*V / 550</t>
  </si>
  <si>
    <t>Number of belts,  Nb =</t>
  </si>
  <si>
    <t>Horsepower per belt,  HPb =</t>
  </si>
  <si>
    <t>HP / HPb</t>
  </si>
  <si>
    <t>belts</t>
  </si>
  <si>
    <t>Use</t>
  </si>
  <si>
    <t xml:space="preserve">  Rbc &lt;</t>
  </si>
  <si>
    <t>(T1-W*V^2/g)/(Csp)+ (W*V^2/g)</t>
  </si>
  <si>
    <t>weigh 400 lbm.</t>
  </si>
  <si>
    <t>Select 4 vibration isolators that will provide</t>
  </si>
  <si>
    <t>80% vibration reduction applied to the floor.</t>
  </si>
  <si>
    <t>System weight,  W =</t>
  </si>
  <si>
    <t>Number of isolators,  N =</t>
  </si>
  <si>
    <t>Vibration reduction, VR =</t>
  </si>
  <si>
    <t>Disturbing frequency,  Fd =</t>
  </si>
  <si>
    <t>Weight per isolator,  w =</t>
  </si>
  <si>
    <t>W / N</t>
  </si>
  <si>
    <t>Answer:  w =</t>
  </si>
  <si>
    <t>Transmissibility,  T =</t>
  </si>
  <si>
    <t>1 - VR</t>
  </si>
  <si>
    <t>Answer:  Fd =</t>
  </si>
  <si>
    <t>rps</t>
  </si>
  <si>
    <t>(1 / (1-(Fd / Fn)^.5)</t>
  </si>
  <si>
    <t>System natural frequency,  Fn =</t>
  </si>
  <si>
    <t>Fd / (1 +(1/T))^.5</t>
  </si>
  <si>
    <t>Answer:  Fn =</t>
  </si>
  <si>
    <t>ft / sec^2</t>
  </si>
  <si>
    <t>Stiffness,  K =</t>
  </si>
  <si>
    <t>W / x</t>
  </si>
  <si>
    <t>W / K</t>
  </si>
  <si>
    <t>Undamped natural frequency,  Fn =</t>
  </si>
  <si>
    <t>(1 / 2π)*(K*g / W)^.5</t>
  </si>
  <si>
    <t>Fn =</t>
  </si>
  <si>
    <t>(1 / 2π)*(g / x)^.5</t>
  </si>
  <si>
    <t>3.128*(1 / x)^.5</t>
  </si>
  <si>
    <t>Solving for deflection in the above, x =</t>
  </si>
  <si>
    <t>(3.128)^2 / (Fn)^2</t>
  </si>
  <si>
    <t>Suggested max transmissibility, Tmax =</t>
  </si>
  <si>
    <t>At resonance transmissibility,  T =</t>
  </si>
  <si>
    <t>1/ (2*C / Ccrit)</t>
  </si>
  <si>
    <t>C / Ccrit =</t>
  </si>
  <si>
    <t>1/ (2*T)</t>
  </si>
  <si>
    <t>Answer:  C / Ccrit =</t>
  </si>
  <si>
    <t>Isolator Selected:</t>
  </si>
  <si>
    <t>Go to the Barry Controls home page at:</t>
  </si>
  <si>
    <t>4 Barry Controls vibration isolators</t>
  </si>
  <si>
    <t>http://www.barrycontrols.com/</t>
  </si>
  <si>
    <t xml:space="preserve">Part No. 633A-100 </t>
  </si>
  <si>
    <t>Graphical Values</t>
  </si>
  <si>
    <t>Deflection due to static load of 100 lb  =</t>
  </si>
  <si>
    <t xml:space="preserve">      </t>
  </si>
  <si>
    <t>Isolator frequency =</t>
  </si>
  <si>
    <t xml:space="preserve">The "Barry Controls" information presented here may be found on the web at: </t>
  </si>
  <si>
    <t>www.barrycontrols.com</t>
  </si>
  <si>
    <t xml:space="preserve">"Barry 633A Series Mounts are medium weight mounts normally </t>
  </si>
  <si>
    <t xml:space="preserve">used for vertically applied loads to prevent transmission of noise </t>
  </si>
  <si>
    <r>
      <t>Enter value of applied moment M</t>
    </r>
    <r>
      <rPr>
        <b/>
        <vertAlign val="subscript"/>
        <sz val="12"/>
        <rFont val="Arial"/>
        <family val="2"/>
      </rPr>
      <t>MAX</t>
    </r>
    <r>
      <rPr>
        <b/>
        <sz val="12"/>
        <rFont val="Arial"/>
        <family val="2"/>
      </rPr>
      <t xml:space="preserve"> from above: </t>
    </r>
  </si>
  <si>
    <t>Beam load from above, P =</t>
  </si>
  <si>
    <t>P*L^3 / (3*E*I)</t>
  </si>
  <si>
    <t>P*a^3 * b^3 / (3*E*I*L^3)</t>
  </si>
  <si>
    <t>P*a^2 * b^2 / (3*E*I*L)</t>
  </si>
  <si>
    <t>Shaft Design Torque from above,  Td =</t>
  </si>
  <si>
    <t>B*H*(B^2 + H^2)/ 12</t>
  </si>
  <si>
    <t xml:space="preserve">and vibration caused by rotation of imbalanced equipment </t>
  </si>
  <si>
    <t xml:space="preserve">(i.e. generators, blowers, pumps, etc...) </t>
  </si>
  <si>
    <t>Low-profile, low frequency elastomeric noise and vibration</t>
  </si>
  <si>
    <t xml:space="preserve"> isolators for medium weight industrial equipment." </t>
  </si>
  <si>
    <t>Caliper mean radius,  Rd =</t>
  </si>
  <si>
    <t>Number of calipers,  N =</t>
  </si>
  <si>
    <t>Clamping force,  F =</t>
  </si>
  <si>
    <t>2*μ*F*N*Rm</t>
  </si>
  <si>
    <t xml:space="preserve">Drive Shaft Torque Twist Angle </t>
  </si>
  <si>
    <t xml:space="preserve">Power Shaft Torque </t>
  </si>
  <si>
    <t>POLAR MOMENT OF AREA AND SHEAR STRESS</t>
  </si>
  <si>
    <t>Shaft Design Torque,  Td =</t>
  </si>
  <si>
    <t>Driven sheave pitch diameter,  D2  =</t>
  </si>
  <si>
    <t>Tight side V-belt allowable tension,  T1  =</t>
  </si>
  <si>
    <t>Driven sheave pitch diameter,  D2 =</t>
  </si>
  <si>
    <t>D2 =</t>
  </si>
  <si>
    <t>Small sheave pitch circle radius,  R1 =</t>
  </si>
  <si>
    <t>Large sheave pitch circle radius,  R2 =</t>
  </si>
  <si>
    <t>The above graph shows a static load of 100 lbs produces a deflection of 0.275 inches.</t>
  </si>
  <si>
    <t>The above graph shows a static load of 100 lbs produces a natural frequency of 7.2 Hz.</t>
  </si>
  <si>
    <t>An electronic device is to be subjected to a</t>
  </si>
  <si>
    <t>15g half sine shock lasting 11 milliseconds.</t>
  </si>
  <si>
    <t xml:space="preserve">The unit is mounted on a 10 Hz natural </t>
  </si>
  <si>
    <t>frequency isolation system.</t>
  </si>
  <si>
    <t>Determine the maximum shock transmission</t>
  </si>
  <si>
    <t>g</t>
  </si>
  <si>
    <t>sec</t>
  </si>
  <si>
    <t>in/ sec^2</t>
  </si>
  <si>
    <t>Isolator natural frequency,  Fn =</t>
  </si>
  <si>
    <t>Half sine pulse max peak velocity,  Vmax =</t>
  </si>
  <si>
    <t>2*g*a*t / π</t>
  </si>
  <si>
    <t>T*(D / 2) / J</t>
  </si>
  <si>
    <t>-M*c / I</t>
  </si>
  <si>
    <t>Answer:  Vmax =</t>
  </si>
  <si>
    <t>Max acceleration,  G =</t>
  </si>
  <si>
    <t>g's</t>
  </si>
  <si>
    <t>Dynamic isolator deflection: Dd =</t>
  </si>
  <si>
    <t>Answer:  Dd =</t>
  </si>
  <si>
    <t>Ftransmitted/ Fapplied</t>
  </si>
  <si>
    <t>Bd*(1+(2*r*C)^2)^.5</t>
  </si>
  <si>
    <t>Notes:</t>
  </si>
  <si>
    <t xml:space="preserve">Magnification factor Bd must be greater </t>
  </si>
  <si>
    <t>than 1.00 or vibrations will be amplified.</t>
  </si>
  <si>
    <t>Magnification factor,  Bd =</t>
  </si>
  <si>
    <t>1/((1-r^2)^2+(2*C*r)^2)^.5</t>
  </si>
  <si>
    <t>Bd =</t>
  </si>
  <si>
    <t>D /(Fo / K)</t>
  </si>
  <si>
    <t>Vibration amplitude</t>
  </si>
  <si>
    <t>Peak disturbing force</t>
  </si>
  <si>
    <t>Support stiffness</t>
  </si>
  <si>
    <t xml:space="preserve">Isolator Selection </t>
  </si>
  <si>
    <t>http://www.baldor.com/support/product_specs/generators/Vibration_Isolators/01_Korfund_Catalog.pdf</t>
  </si>
  <si>
    <t>Equipment Weight,  W =</t>
  </si>
  <si>
    <t>Number of Isolators,  N =</t>
  </si>
  <si>
    <t>Shock Half Sine Pulse time,  t =</t>
  </si>
  <si>
    <t>Allowable sway space,  Xv =</t>
  </si>
  <si>
    <t xml:space="preserve">Isolator Roll Stiffness,  Kr = </t>
  </si>
  <si>
    <t xml:space="preserve">Isolator Shear Stiffness,  Kh = </t>
  </si>
  <si>
    <t xml:space="preserve"> "</t>
  </si>
  <si>
    <t xml:space="preserve">Isolator Compression Stiffness,  Kv = </t>
  </si>
  <si>
    <t xml:space="preserve">Isolator Combined Total Stiffness,  Kt = </t>
  </si>
  <si>
    <t>Equipment Fragility g Limit,  Af =</t>
  </si>
  <si>
    <t>Load per Isolator,  Wi =</t>
  </si>
  <si>
    <t>Answer:  Wi =</t>
  </si>
  <si>
    <t>Required Isolation Factor,  If =</t>
  </si>
  <si>
    <t>1 / Pd</t>
  </si>
  <si>
    <t>1.157 / Pd</t>
  </si>
  <si>
    <t>2.157 / Pd</t>
  </si>
  <si>
    <t>.157 / Pd</t>
  </si>
  <si>
    <t>(N + 2) / Pd</t>
  </si>
  <si>
    <t>(N - 2.314) / Pd</t>
  </si>
  <si>
    <t>π / Pd</t>
  </si>
  <si>
    <t>A + N^2 / (4*D)</t>
  </si>
  <si>
    <t>Af / Gv</t>
  </si>
  <si>
    <t>Answer:  If =</t>
  </si>
  <si>
    <t>%</t>
  </si>
  <si>
    <t>Required Transmissibility,  Tr =</t>
  </si>
  <si>
    <t>1 - (If /1000)</t>
  </si>
  <si>
    <t>Answer:  Tr =</t>
  </si>
  <si>
    <t>The spring type vibration and shock isolator</t>
  </si>
  <si>
    <t xml:space="preserve">information shown here may be found at: </t>
  </si>
  <si>
    <t>http://www.baldor.com</t>
  </si>
  <si>
    <t>Korfund division of Baldor Motor corp.</t>
  </si>
  <si>
    <t>and at the direct link above.</t>
  </si>
  <si>
    <t xml:space="preserve">"Effective vibration control for loads up to </t>
  </si>
  <si>
    <t xml:space="preserve">. Static deflections up to 1.36". Available </t>
  </si>
  <si>
    <t>with, or without adjustable snubbing."</t>
  </si>
  <si>
    <t xml:space="preserve">"Applications include: Stationary equipment, </t>
  </si>
  <si>
    <t>Generators, Fans, Blowers, etc."</t>
  </si>
  <si>
    <t>Vibration Damper Selection</t>
  </si>
  <si>
    <t>Calculations continued</t>
  </si>
  <si>
    <t>Gravitational constant,  g =</t>
  </si>
  <si>
    <t>Isolator Vertical Natural frequency,  Fn =</t>
  </si>
  <si>
    <t>3.13*(Kv / Wi)^.5</t>
  </si>
  <si>
    <t>Half Sine Shock Pulse Frequency,  Fp =</t>
  </si>
  <si>
    <t>1/ (2 * t)</t>
  </si>
  <si>
    <t>Answer:  Fp =</t>
  </si>
  <si>
    <t>Shock Absorber Selection</t>
  </si>
  <si>
    <t>Max Vertical Shock Transmitted,  Gv =</t>
  </si>
  <si>
    <t>Wi *(2*π*Fn)/ g</t>
  </si>
  <si>
    <t>Answer:  Gv =</t>
  </si>
  <si>
    <t>Required Average Spring Rate,  Ks =</t>
  </si>
  <si>
    <t>(2*π*Fn)^2*(W/g)</t>
  </si>
  <si>
    <t>Answer:  Ks =</t>
  </si>
  <si>
    <t>3.13*(Ks / Wi)</t>
  </si>
  <si>
    <t>Answer:  Fc =</t>
  </si>
  <si>
    <t>Maximum Dynamic Travel,  Dt =</t>
  </si>
  <si>
    <t>Gv*g / (2*π*Fs)^2</t>
  </si>
  <si>
    <t>Answer:  Dt =</t>
  </si>
  <si>
    <t>Max Half Sine Pulse Velocity,  Vv =</t>
  </si>
  <si>
    <t>2*g*Gv*t / π</t>
  </si>
  <si>
    <t>Answer:  Vv =</t>
  </si>
  <si>
    <t>in/sec</t>
  </si>
  <si>
    <t>Vibration amplitudes can be reduced by installing vibration damping mounting pads or springs.</t>
  </si>
  <si>
    <t>Spread Sheet Method:</t>
  </si>
  <si>
    <t>1. Type in values for the input data.</t>
  </si>
  <si>
    <t>2. Enter.</t>
  </si>
  <si>
    <t xml:space="preserve"> </t>
  </si>
  <si>
    <t>lbs/in^2</t>
  </si>
  <si>
    <t>in^4</t>
  </si>
  <si>
    <t xml:space="preserve">in </t>
  </si>
  <si>
    <t>in-lbf</t>
  </si>
  <si>
    <t>Answer:  Fb =</t>
  </si>
  <si>
    <t>Shaft length,  L =</t>
  </si>
  <si>
    <t>in</t>
  </si>
  <si>
    <t>psi</t>
  </si>
  <si>
    <t>radians</t>
  </si>
  <si>
    <t>Motor shaft torque,  Tm =</t>
  </si>
  <si>
    <t>Motor Shaft Torque</t>
  </si>
  <si>
    <t>degrees</t>
  </si>
  <si>
    <t>Motor Power,  HP =</t>
  </si>
  <si>
    <t>Shaft speed,  N =</t>
  </si>
  <si>
    <t>rpm</t>
  </si>
  <si>
    <t>hp</t>
  </si>
  <si>
    <t>Answer:  Tm =</t>
  </si>
  <si>
    <t>Section polar moment of inertia,  J =</t>
  </si>
  <si>
    <t>Round solid shaft diameter,  D =</t>
  </si>
  <si>
    <t>J =</t>
  </si>
  <si>
    <t>lb/in^2</t>
  </si>
  <si>
    <t>Round tube shaft diameter,  Do =</t>
  </si>
  <si>
    <t>Di =</t>
  </si>
  <si>
    <t>Rectangular shaft breadth,  B =</t>
  </si>
  <si>
    <t>Height,  H =</t>
  </si>
  <si>
    <t>Maximum shear stress,  Fs =</t>
  </si>
  <si>
    <t>M*c / I</t>
  </si>
  <si>
    <t>Modulus of elasticity,  E =</t>
  </si>
  <si>
    <t>lbf</t>
  </si>
  <si>
    <t>-W*L^3 / (3*E*I)</t>
  </si>
  <si>
    <t>Design Stress</t>
  </si>
  <si>
    <t>.</t>
  </si>
  <si>
    <t>See input above:</t>
  </si>
  <si>
    <t>Power Screw Torque</t>
  </si>
  <si>
    <t>Angle of Wrap An</t>
  </si>
  <si>
    <t xml:space="preserve">V-Belt Drive </t>
  </si>
  <si>
    <t>Angle B</t>
  </si>
  <si>
    <t xml:space="preserve">Spur Gear Dimensions </t>
  </si>
  <si>
    <t>Strength of Gear Teeth</t>
  </si>
  <si>
    <t>The stress calculated above does not include stress concentration or dynamic loading.</t>
  </si>
  <si>
    <t>Gear Tooth Bending Stress</t>
  </si>
  <si>
    <t>Gear Tooth Dynamic Load</t>
  </si>
  <si>
    <t xml:space="preserve">Worm &amp; Wheel Gearing </t>
  </si>
  <si>
    <t xml:space="preserve">Lead Angle,  A </t>
  </si>
  <si>
    <t>Worm Circular Pitch,  Pc</t>
  </si>
  <si>
    <t>Forced Undamped Vibrations</t>
  </si>
  <si>
    <t>Simple Vibrating Systems</t>
  </si>
  <si>
    <t>Rectangular Plate Natural Frequency (f)</t>
  </si>
  <si>
    <t>Σmi*Ri*Xi = 0</t>
  </si>
  <si>
    <t>M2*R2*X2+ M3*R3*X3 + M4*R4*X4 = 0</t>
  </si>
  <si>
    <t>Σmi*Ri =  0</t>
  </si>
  <si>
    <t>M1*R1+ M2*R2 = 0</t>
  </si>
  <si>
    <t>Masses in the Same Plane</t>
  </si>
  <si>
    <t>Masses in Different Planes</t>
  </si>
  <si>
    <t>Vibration Isolator Selection</t>
  </si>
  <si>
    <t xml:space="preserve">a disturbing vibration to the floor on which it is </t>
  </si>
  <si>
    <t xml:space="preserve">motor-gear, right, rotates at 1080 rpm causing </t>
  </si>
  <si>
    <t>Poisson's Ratio, Rp = 0.3 =</t>
  </si>
  <si>
    <t>Enter values for applied moment at a beam section, c, Izz and Kb. Bending stress will  be calculated.</t>
  </si>
  <si>
    <t>Section moment of inertia,  I =</t>
  </si>
  <si>
    <t>Applied moment at x,  M =</t>
  </si>
  <si>
    <t>Max bending stress,  Fb =</t>
  </si>
  <si>
    <t xml:space="preserve">Section Moment of Inertia </t>
  </si>
  <si>
    <t>Deflection location,  x =</t>
  </si>
  <si>
    <t>Torque shock load factor,  Kt =</t>
  </si>
  <si>
    <t>Td*L / (J*G)</t>
  </si>
  <si>
    <t xml:space="preserve">    </t>
  </si>
  <si>
    <t>Bending moment shock load factor,  Km =</t>
  </si>
  <si>
    <t>Shaft transverse load,  W =</t>
  </si>
  <si>
    <t>in-lbs</t>
  </si>
  <si>
    <t>Moment at,  x =</t>
  </si>
  <si>
    <t>Design moment at x,  Md =</t>
  </si>
  <si>
    <t xml:space="preserve"> Moment at x,  Mx =</t>
  </si>
  <si>
    <t>Km*Mx</t>
  </si>
  <si>
    <t>W*x</t>
  </si>
  <si>
    <t xml:space="preserve">Section moment of Inertia </t>
  </si>
  <si>
    <t>c =</t>
  </si>
  <si>
    <t>B*H^3 / 12</t>
  </si>
  <si>
    <t>B</t>
  </si>
  <si>
    <t>ΣA =</t>
  </si>
  <si>
    <t>ΣA*h^2 + ΣIcg</t>
  </si>
  <si>
    <t>Shaft diameter,  D =</t>
  </si>
  <si>
    <t>lbf/in^2</t>
  </si>
  <si>
    <t>Pre-load in each bolt,  P =</t>
  </si>
  <si>
    <t>Outer contact diameter,  Do =</t>
  </si>
  <si>
    <t>Inner contact diameter,  Di =</t>
  </si>
  <si>
    <t>Coefficient of friction,  f =</t>
  </si>
  <si>
    <t>(2/3)*(Ro^3-Ri^3)/(Ro^2-Ri^2)</t>
  </si>
  <si>
    <t>Axial force,  Fa =</t>
  </si>
  <si>
    <t>Number of bolts,  Nb =</t>
  </si>
  <si>
    <t xml:space="preserve">Pick cell B84, Tools, Goal Seek, </t>
  </si>
  <si>
    <t>"Math Tools" tab.</t>
  </si>
  <si>
    <t>P*Nb</t>
  </si>
  <si>
    <t>Fa =</t>
  </si>
  <si>
    <t>Coupling friction torque capacity,  Tf =</t>
  </si>
  <si>
    <t>Fa*f*Rf*n</t>
  </si>
  <si>
    <t>Number of pairs of friction surfaces,  n =</t>
  </si>
  <si>
    <t>Coupling friction radius,  Rf =</t>
  </si>
  <si>
    <t>Answer:  Tf =</t>
  </si>
  <si>
    <t>Assume half of bolts are effective due differences in bolt holes and bolt diameters.</t>
  </si>
  <si>
    <t>Shear strength per bolt,  Pb =</t>
  </si>
  <si>
    <t>Bolt allowable shear stress,  Fs =</t>
  </si>
  <si>
    <t>Bolt circle diameter,  Dc =</t>
  </si>
  <si>
    <t>Answer:  Pb =</t>
  </si>
  <si>
    <t>Pb*(Dc/2)*(Nb / 2)</t>
  </si>
  <si>
    <t>Answer:  Tb =</t>
  </si>
  <si>
    <t>Shaft diameter, Ds =</t>
  </si>
  <si>
    <t>Answer:  Rf =</t>
  </si>
  <si>
    <t>π*D^4 / 32</t>
  </si>
  <si>
    <t>Key shear strength,  Pk =</t>
  </si>
  <si>
    <t>Bending deflection at x = 0,  Y =</t>
  </si>
  <si>
    <t>Cantilever bend'g deflection at x,  Yx =</t>
  </si>
  <si>
    <t>π*(Do^4 - Di^4) / 32</t>
  </si>
  <si>
    <t>12*33000*HP / (2*π*N)</t>
  </si>
  <si>
    <t>Principal stress,  F1 =</t>
  </si>
  <si>
    <t>Principal stress,  F2 =</t>
  </si>
  <si>
    <t>( ATAN(2*Sxy / (Fy - Fx) ) / 2</t>
  </si>
  <si>
    <t>Principal plane angle, A =</t>
  </si>
  <si>
    <t>Refer to the diagram above:</t>
  </si>
  <si>
    <t>Thread friction coefficient,  Ft =</t>
  </si>
  <si>
    <t>Screw outside diameter,  D =</t>
  </si>
  <si>
    <t>threads/in</t>
  </si>
  <si>
    <t>Bearing friction coefficient,  Fb =</t>
  </si>
  <si>
    <t>Acme thread depth,  H =</t>
  </si>
  <si>
    <t>0.5*(1/ TPI )+0.01</t>
  </si>
  <si>
    <t>Thread mean radius,  Rm =</t>
  </si>
  <si>
    <t>(D - H) / 2</t>
  </si>
  <si>
    <t>Rm =</t>
  </si>
  <si>
    <t>Answer:  H =</t>
  </si>
  <si>
    <t>n*(1/ TPI ) / (2*π*Rm)</t>
  </si>
  <si>
    <t>Answer:  Tan (Ah) =</t>
  </si>
  <si>
    <t>Answer:  Ah =</t>
  </si>
  <si>
    <t>Thread normal force angle,  Tan (An) =</t>
  </si>
  <si>
    <t>Tan (At)*Cos (Ah)</t>
  </si>
  <si>
    <t>Answer:  Tan (An) =</t>
  </si>
  <si>
    <t>Answer:  An =</t>
  </si>
  <si>
    <t>Thread helix angle,  Tan (Ah) =</t>
  </si>
  <si>
    <t>Screw thread turns per inch,  TPI =</t>
  </si>
  <si>
    <t>Thread angle,  At =</t>
  </si>
  <si>
    <t>* These loads may be applied gradually, suddenly, and repeatedly.</t>
  </si>
  <si>
    <t>* The average applied design stress must be multiplied by a stress concentration factor K.</t>
  </si>
  <si>
    <t>Thread multiple pitch lead number,  n =</t>
  </si>
  <si>
    <t>Power screw torque,   T =</t>
  </si>
  <si>
    <t>Load to be raised by power screw,  W =</t>
  </si>
  <si>
    <t>X =</t>
  </si>
  <si>
    <t>Y =</t>
  </si>
  <si>
    <t>W*(Rm*( X / Y) + Fb*Rb)</t>
  </si>
  <si>
    <t>Bearing mean radius,  Rb =</t>
  </si>
  <si>
    <t>(Tan (Ah) + Ft/ Cos (An))</t>
  </si>
  <si>
    <t>(1- Ft*Tan (Ah)/ Cos (An))</t>
  </si>
  <si>
    <t>Answer:  T =</t>
  </si>
  <si>
    <t xml:space="preserve"> A*B</t>
  </si>
  <si>
    <t xml:space="preserve"> 2 * 3</t>
  </si>
  <si>
    <t>X^n</t>
  </si>
  <si>
    <t>2^3</t>
  </si>
  <si>
    <t>A / B</t>
  </si>
  <si>
    <t>3 / 2</t>
  </si>
  <si>
    <t>Bearing center distance,  L2 =</t>
  </si>
  <si>
    <t>Flywheel overhang,  L1 =</t>
  </si>
  <si>
    <t>A + B =</t>
  </si>
  <si>
    <t xml:space="preserve"> A + B</t>
  </si>
  <si>
    <t>2 + 3 =</t>
  </si>
  <si>
    <t xml:space="preserve"> 2 + 3</t>
  </si>
  <si>
    <t>Stress (tension +) (compression -), S =</t>
  </si>
  <si>
    <t>Extension (+), Compression ( - ),  X =</t>
  </si>
  <si>
    <t>Transverse (contraction +) (expansion -) =</t>
  </si>
  <si>
    <t>Bending stress will be calculated.</t>
  </si>
  <si>
    <t>Max moment stress,  Sm =</t>
  </si>
  <si>
    <t>P * L</t>
  </si>
  <si>
    <t>P * a * b^2 / L^2</t>
  </si>
  <si>
    <t>b =</t>
  </si>
  <si>
    <t>L - a</t>
  </si>
  <si>
    <t xml:space="preserve">P * a * b / L </t>
  </si>
  <si>
    <t>P =</t>
  </si>
  <si>
    <t xml:space="preserve"> (-Tan (Ah) + Ft/ Cos (An)) =</t>
  </si>
  <si>
    <t>SCREW THREAD AVERAGE PRESSURE</t>
  </si>
  <si>
    <t>Thread height,  H =</t>
  </si>
  <si>
    <t>Screw thread average pressure,  P =</t>
  </si>
  <si>
    <t>Answer:  P =</t>
  </si>
  <si>
    <t>Brake shoe face width,  w =</t>
  </si>
  <si>
    <t>Drum internal radius,  Rd =</t>
  </si>
  <si>
    <t>Shoe heel angle,  A1 =</t>
  </si>
  <si>
    <t>Shoe angle,  A2 =</t>
  </si>
  <si>
    <t>Shoe mean angle,  Am =</t>
  </si>
  <si>
    <t>C =</t>
  </si>
  <si>
    <t>Shoe mean radius,  Rs =</t>
  </si>
  <si>
    <t>Calculate Brake Torque Capacity</t>
  </si>
  <si>
    <t>(Rd - Rd*Cos(A2)) - (Rs/2)*Sin^2(A2))</t>
  </si>
  <si>
    <t>Right shoe friction moment,  Mr =</t>
  </si>
  <si>
    <t>Mr =</t>
  </si>
  <si>
    <t>((f*Pm*w*Rd)/(Sin(Am))*(X)</t>
  </si>
  <si>
    <t>((Pm*w*Rd*Rs)/(Sin(Am))*(Y)</t>
  </si>
  <si>
    <t>Right shoe brake torque capacity,  Tr =</t>
  </si>
  <si>
    <t>Z =</t>
  </si>
  <si>
    <t>((Cos(A1)-Cos(A2)) / Sin(Am)</t>
  </si>
  <si>
    <t>Tr =</t>
  </si>
  <si>
    <t>f*Pm*w*Rd^2*(Z)</t>
  </si>
  <si>
    <t xml:space="preserve"> (0.5*A2) - (0.25*Sin(2*A2))</t>
  </si>
  <si>
    <t>Right normal forces moment,  Mn =</t>
  </si>
  <si>
    <t>Mn =</t>
  </si>
  <si>
    <t>(Mn - Mr) / C</t>
  </si>
  <si>
    <t>Brake cylinder force,  P =</t>
  </si>
  <si>
    <t>SPUR GEARS</t>
  </si>
  <si>
    <t>deg.</t>
  </si>
  <si>
    <t>N / Pd</t>
  </si>
  <si>
    <t>D + (2*A)</t>
  </si>
  <si>
    <t>D - (2*B)</t>
  </si>
  <si>
    <t>2*A</t>
  </si>
  <si>
    <t>Bore diameter =</t>
  </si>
  <si>
    <t>14.5 or 20</t>
  </si>
  <si>
    <t>Gear hub width =</t>
  </si>
  <si>
    <t>Gear hub diameter =</t>
  </si>
  <si>
    <t>-</t>
  </si>
  <si>
    <t>π*D / N</t>
  </si>
  <si>
    <t>D*Sin(90*.01745/N)</t>
  </si>
  <si>
    <t>D*Cos(Pa*.01745)</t>
  </si>
  <si>
    <t>GEAR TEETH STRENGTH</t>
  </si>
  <si>
    <t>Machines</t>
  </si>
  <si>
    <t>Stress</t>
  </si>
  <si>
    <t>Shaft</t>
  </si>
  <si>
    <t>Coupling</t>
  </si>
  <si>
    <t>Brake</t>
  </si>
  <si>
    <t>Gears</t>
  </si>
  <si>
    <t>Hyd Cylinders</t>
  </si>
  <si>
    <t>Vibration</t>
  </si>
  <si>
    <t>Actuator</t>
  </si>
  <si>
    <t>Shock Load</t>
  </si>
  <si>
    <t>Math Tools</t>
  </si>
  <si>
    <t>Pump displacement,   D =</t>
  </si>
  <si>
    <t>Extension in gallons,  V = v / 231 =</t>
  </si>
  <si>
    <t>Time to retract,  Tr = (D/d)^2 =</t>
  </si>
  <si>
    <t>Time to extend,  Te =</t>
  </si>
  <si>
    <t>Piston extends,  L =</t>
  </si>
  <si>
    <t xml:space="preserve">hp </t>
  </si>
  <si>
    <t>System efficiency e =</t>
  </si>
  <si>
    <t>Pump speed,  RPM =</t>
  </si>
  <si>
    <t>ft-lbs</t>
  </si>
  <si>
    <t xml:space="preserve">HP = </t>
  </si>
  <si>
    <t>Extend Power = e x (W x L/12)  / (Te x 550) =</t>
  </si>
  <si>
    <t>Retract Power = Extend Power x gpm/GPM =</t>
  </si>
  <si>
    <t>Piston diameter,  D =</t>
  </si>
  <si>
    <t>Piston rod diameter,  d =</t>
  </si>
  <si>
    <t xml:space="preserve"> Cylinder pipe internal diameter,  pd =</t>
  </si>
  <si>
    <t>Rod area,  a = Pi x D^2 / 4 =</t>
  </si>
  <si>
    <t>Retraction in gallons,  v = V x ( A - a)/A)=</t>
  </si>
  <si>
    <t>Retraction flow rate,  gpm = GPM x ( v / V)  =</t>
  </si>
  <si>
    <t>cu ft / min</t>
  </si>
  <si>
    <t>Extension fluid speed in pipe,  Fp  = EF x A / Pa =</t>
  </si>
  <si>
    <t>Extension flow, EF = GPM x 0.134 cu ft / gal =</t>
  </si>
  <si>
    <t>Piston extention pressure,  P = W / A =</t>
  </si>
  <si>
    <t>Piston extension or retration speed,  S = L / T =</t>
  </si>
  <si>
    <t>Piston extention volume,  V = A * L =</t>
  </si>
  <si>
    <t>Extension flow rate,  GPM = A x L x 60/(Te*231)  =</t>
  </si>
  <si>
    <t>cu in / min</t>
  </si>
  <si>
    <t>Extension flow, ef = EF x 1728 cu in / cu ft =</t>
  </si>
  <si>
    <t>5252 x HP / (2 x Pi)</t>
  </si>
  <si>
    <t>Torque =</t>
  </si>
  <si>
    <t>Type To value:     40000</t>
  </si>
  <si>
    <t>Pump speed =</t>
  </si>
  <si>
    <t>GPM x 231 / D</t>
  </si>
  <si>
    <t>100*GPM x P / (1741 x e%)</t>
  </si>
  <si>
    <t>Pump power,  HP =</t>
  </si>
  <si>
    <t xml:space="preserve"> HP x 63025 / rpm</t>
  </si>
  <si>
    <t>Pump Torque, T =</t>
  </si>
  <si>
    <t xml:space="preserve">Adjust a Value in a Cell having an Equation </t>
  </si>
  <si>
    <t>Answer b:</t>
  </si>
  <si>
    <t>Answer a: is found in Cell H66</t>
  </si>
  <si>
    <t>Answer d: is found in Cell ??</t>
  </si>
  <si>
    <t>Answer c: is found in Cell ??</t>
  </si>
  <si>
    <t>&lt;&lt; Unlocked Cell</t>
  </si>
  <si>
    <t>[Do not type inside Unlocked Cell because that will delete the equation in the Cell]</t>
  </si>
  <si>
    <t>EXAMPLE BELOW IS LOCKED</t>
  </si>
  <si>
    <t>Piston extension speed,  S = L / T =</t>
  </si>
  <si>
    <t>Answer b: see Example lines 86 to 114 below</t>
  </si>
  <si>
    <t>pitch diameter worm and wheel</t>
  </si>
  <si>
    <t>Pressure Angle A =</t>
  </si>
  <si>
    <t>Number of worm  teeth  t =</t>
  </si>
  <si>
    <t>Number of gear  teeth  T =</t>
  </si>
  <si>
    <t>Velocity ration  VR =</t>
  </si>
  <si>
    <t>T / t</t>
  </si>
  <si>
    <t>Worm pitch circle diameter  d =</t>
  </si>
  <si>
    <t>Worm lead   L =</t>
  </si>
  <si>
    <t>Worm to Gear centers  C =</t>
  </si>
  <si>
    <t>Torque gear Qg =</t>
  </si>
  <si>
    <t>Qw* t / T</t>
  </si>
  <si>
    <t>in-lb</t>
  </si>
  <si>
    <t xml:space="preserve">Power and torque transmission of </t>
  </si>
  <si>
    <t>worm and wheel is same as spur gears.</t>
  </si>
  <si>
    <t>Drive sprocket pitch diameter,  D1  =</t>
  </si>
  <si>
    <t>Driven sprocket pitch diameter,  D2  =</t>
  </si>
  <si>
    <t xml:space="preserve">Horsepower = </t>
  </si>
  <si>
    <t>(Torque ft-lb x Speed rpm) / 5252</t>
  </si>
  <si>
    <t>ft-lb</t>
  </si>
  <si>
    <t>Chain tight side tension,  T1  =</t>
  </si>
  <si>
    <t>Drive sprocket radius  R1 =</t>
  </si>
  <si>
    <t>Torque Q =</t>
  </si>
  <si>
    <t>Q / R1</t>
  </si>
  <si>
    <t xml:space="preserve">Roller Chain Drive </t>
  </si>
  <si>
    <t>Select Roller Chain Size</t>
  </si>
  <si>
    <t>Equal to or greater than "Measuring Load" =</t>
  </si>
  <si>
    <t>Roller Chain Size =</t>
  </si>
  <si>
    <t>RC Number =</t>
  </si>
  <si>
    <t>EXAMPLE</t>
  </si>
  <si>
    <t>V-Belt &amp; Chain</t>
  </si>
  <si>
    <t>(D1 / 12) / 2</t>
  </si>
  <si>
    <t>Small sprocket pitch circle diameter,  D1 =</t>
  </si>
  <si>
    <t>Large sprocket pitch circle diameter,  D2 =</t>
  </si>
  <si>
    <t>ft</t>
  </si>
  <si>
    <t>ML*HP*5252 / N</t>
  </si>
  <si>
    <t>RC80</t>
  </si>
  <si>
    <t>M236 MACHINE DESIGN SPREAD SHEETS</t>
  </si>
  <si>
    <t xml:space="preserve">PICK &amp; PLACE ROBOTS BY PHD </t>
  </si>
  <si>
    <t>https://www.phdinc.com/</t>
  </si>
  <si>
    <t>Load Correction Factor =</t>
  </si>
  <si>
    <t>Chain allowable tension,  T1  =</t>
  </si>
  <si>
    <t>0.65* T1</t>
  </si>
  <si>
    <t xml:space="preserve">ANSI Chain = </t>
  </si>
  <si>
    <t>Table below</t>
  </si>
  <si>
    <t>Circular pitch radius,  CP  =</t>
  </si>
  <si>
    <t>W*CP/2</t>
  </si>
  <si>
    <t>Worm wheel circular pitch,  Pc =</t>
  </si>
  <si>
    <t>1 / P</t>
  </si>
  <si>
    <t>Diametral Pitch P =</t>
  </si>
  <si>
    <t>Worm pitch = Gear pitch  p =</t>
  </si>
  <si>
    <t>p*t</t>
  </si>
  <si>
    <t>Torque Worm Qw =</t>
  </si>
  <si>
    <t>Addendum  a =</t>
  </si>
  <si>
    <t>d + 2*a</t>
  </si>
  <si>
    <t>(D + d) / 2</t>
  </si>
  <si>
    <t>T / P</t>
  </si>
  <si>
    <t>Gear Pitch Circle diameter,  D =</t>
  </si>
  <si>
    <t>Worm outside  diameter Dw =</t>
  </si>
  <si>
    <t>STRESS</t>
  </si>
  <si>
    <t>SHAFT</t>
  </si>
  <si>
    <t>COUPLING</t>
  </si>
  <si>
    <t>ACTUATOR</t>
  </si>
  <si>
    <t>BRAKE</t>
  </si>
  <si>
    <t>V-BELT &amp; CHAIN</t>
  </si>
  <si>
    <t>GEARS</t>
  </si>
  <si>
    <t>HYD CYLINDERS</t>
  </si>
  <si>
    <t>VIBRATION</t>
  </si>
  <si>
    <t>SHOCK &amp; LOAD</t>
  </si>
  <si>
    <t>MATH TOOLS</t>
  </si>
  <si>
    <t>Link</t>
  </si>
  <si>
    <t xml:space="preserve">John Andrew LLC </t>
  </si>
  <si>
    <t>CONTENTS</t>
  </si>
  <si>
    <t>END OF SECTION</t>
  </si>
  <si>
    <t>Copyright © 11/15/2022</t>
  </si>
  <si>
    <t>External force,  ± P =</t>
  </si>
  <si>
    <t>External shear force,  P =</t>
  </si>
  <si>
    <r>
      <t xml:space="preserve">3. </t>
    </r>
    <r>
      <rPr>
        <b/>
        <sz val="12"/>
        <color indexed="10"/>
        <rFont val="Arial"/>
        <family val="2"/>
      </rPr>
      <t>Answer:  X = will be calculated.</t>
    </r>
  </si>
  <si>
    <r>
      <t>X</t>
    </r>
    <r>
      <rPr>
        <b/>
        <vertAlign val="superscript"/>
        <sz val="12"/>
        <rFont val="Arial"/>
        <family val="2"/>
      </rPr>
      <t>n</t>
    </r>
    <r>
      <rPr>
        <b/>
        <sz val="12"/>
        <rFont val="Arial"/>
        <family val="2"/>
      </rPr>
      <t xml:space="preserve"> =</t>
    </r>
  </si>
  <si>
    <r>
      <t xml:space="preserve">4. Automatic calculations are </t>
    </r>
    <r>
      <rPr>
        <b/>
        <sz val="12"/>
        <color indexed="10"/>
        <rFont val="Arial"/>
        <family val="2"/>
      </rPr>
      <t>bold type</t>
    </r>
    <r>
      <rPr>
        <sz val="12"/>
        <color indexed="10"/>
        <rFont val="Arial"/>
        <family val="2"/>
      </rPr>
      <t>.</t>
    </r>
  </si>
  <si>
    <r>
      <t>2</t>
    </r>
    <r>
      <rPr>
        <b/>
        <vertAlign val="superscript"/>
        <sz val="12"/>
        <rFont val="Arial"/>
        <family val="2"/>
      </rPr>
      <t>3</t>
    </r>
    <r>
      <rPr>
        <b/>
        <sz val="12"/>
        <rFont val="Arial"/>
        <family val="2"/>
      </rPr>
      <t xml:space="preserve"> =</t>
    </r>
  </si>
  <si>
    <r>
      <t>Cantilever, M</t>
    </r>
    <r>
      <rPr>
        <b/>
        <vertAlign val="subscript"/>
        <sz val="12"/>
        <rFont val="Arial"/>
        <family val="2"/>
      </rPr>
      <t>MAX</t>
    </r>
    <r>
      <rPr>
        <b/>
        <sz val="12"/>
        <rFont val="Arial"/>
        <family val="2"/>
      </rPr>
      <t xml:space="preserve"> at B = </t>
    </r>
  </si>
  <si>
    <r>
      <t>Fixed ends, M</t>
    </r>
    <r>
      <rPr>
        <b/>
        <vertAlign val="subscript"/>
        <sz val="12"/>
        <rFont val="Arial"/>
        <family val="2"/>
      </rPr>
      <t xml:space="preserve">MAX, </t>
    </r>
    <r>
      <rPr>
        <b/>
        <sz val="12"/>
        <rFont val="Arial"/>
        <family val="2"/>
      </rPr>
      <t>at C ( a &lt; b ) =</t>
    </r>
  </si>
  <si>
    <r>
      <t>Pinned ends, M</t>
    </r>
    <r>
      <rPr>
        <b/>
        <vertAlign val="subscript"/>
        <sz val="12"/>
        <rFont val="Arial"/>
        <family val="2"/>
      </rPr>
      <t>MAX,</t>
    </r>
    <r>
      <rPr>
        <b/>
        <sz val="12"/>
        <rFont val="Arial"/>
        <family val="2"/>
      </rPr>
      <t xml:space="preserve"> at C =</t>
    </r>
  </si>
  <si>
    <r>
      <t>Applied moment from above,  M</t>
    </r>
    <r>
      <rPr>
        <vertAlign val="subscript"/>
        <sz val="12"/>
        <rFont val="Arial"/>
        <family val="2"/>
      </rPr>
      <t>MAX</t>
    </r>
    <r>
      <rPr>
        <sz val="12"/>
        <rFont val="Arial"/>
        <family val="2"/>
      </rPr>
      <t xml:space="preserve"> =</t>
    </r>
  </si>
  <si>
    <t xml:space="preserve">Circular Beam-2 </t>
  </si>
  <si>
    <t>SHAFTS</t>
  </si>
  <si>
    <r>
      <t>3.</t>
    </r>
    <r>
      <rPr>
        <sz val="12"/>
        <color indexed="10"/>
        <rFont val="Arial"/>
        <family val="2"/>
      </rPr>
      <t xml:space="preserve"> </t>
    </r>
    <r>
      <rPr>
        <b/>
        <sz val="12"/>
        <color indexed="10"/>
        <rFont val="Arial"/>
        <family val="2"/>
      </rPr>
      <t>Answer:  X = will be calculated.</t>
    </r>
  </si>
  <si>
    <r>
      <t>4.</t>
    </r>
    <r>
      <rPr>
        <sz val="12"/>
        <color indexed="10"/>
        <rFont val="Arial"/>
        <family val="2"/>
      </rPr>
      <t xml:space="preserve"> Automatic calculations are </t>
    </r>
    <r>
      <rPr>
        <b/>
        <sz val="12"/>
        <color indexed="10"/>
        <rFont val="Arial"/>
        <family val="2"/>
      </rPr>
      <t>bold type</t>
    </r>
    <r>
      <rPr>
        <sz val="12"/>
        <color indexed="10"/>
        <rFont val="Arial"/>
        <family val="2"/>
      </rPr>
      <t>.</t>
    </r>
  </si>
  <si>
    <r>
      <t>Shear stress due to Td,  S</t>
    </r>
    <r>
      <rPr>
        <b/>
        <vertAlign val="subscript"/>
        <sz val="12"/>
        <rFont val="Arial"/>
        <family val="2"/>
      </rPr>
      <t>T</t>
    </r>
    <r>
      <rPr>
        <b/>
        <sz val="12"/>
        <rFont val="Arial"/>
        <family val="2"/>
      </rPr>
      <t xml:space="preserve"> =</t>
    </r>
  </si>
  <si>
    <r>
      <t xml:space="preserve">Key slot half width / Slot depth, </t>
    </r>
    <r>
      <rPr>
        <b/>
        <sz val="12"/>
        <rFont val="Arial"/>
        <family val="2"/>
      </rPr>
      <t>y / h</t>
    </r>
    <r>
      <rPr>
        <sz val="12"/>
        <rFont val="Arial"/>
        <family val="2"/>
      </rPr>
      <t xml:space="preserve"> =</t>
    </r>
  </si>
  <si>
    <r>
      <t>Slot depth / Shaft radius,</t>
    </r>
    <r>
      <rPr>
        <b/>
        <sz val="12"/>
        <rFont val="Arial"/>
        <family val="2"/>
      </rPr>
      <t xml:space="preserve"> h / R</t>
    </r>
    <r>
      <rPr>
        <sz val="12"/>
        <rFont val="Arial"/>
        <family val="2"/>
      </rPr>
      <t xml:space="preserve"> =</t>
    </r>
  </si>
  <si>
    <t>Hub Poisson's ratio,  μh =</t>
  </si>
  <si>
    <t>Shaft Poisson's ratio,  μs =</t>
  </si>
  <si>
    <r>
      <t>Pitch</t>
    </r>
    <r>
      <rPr>
        <sz val="12"/>
        <rFont val="Arial"/>
        <family val="2"/>
      </rPr>
      <t xml:space="preserve"> (P) is the distance from a point on one thread to the corresponding point on the next thread.</t>
    </r>
  </si>
  <si>
    <r>
      <t>Lead</t>
    </r>
    <r>
      <rPr>
        <sz val="12"/>
        <rFont val="Arial"/>
        <family val="2"/>
      </rPr>
      <t xml:space="preserve"> (n*P) is the distance a nut advances each complete revolution.</t>
    </r>
  </si>
  <si>
    <t>4. Automatic calculations are bold type.</t>
  </si>
  <si>
    <t>Coefficient of friction,  μ =</t>
  </si>
  <si>
    <t xml:space="preserve">                     Pressure angle,  Pa =</t>
  </si>
  <si>
    <r>
      <t>Circular pitch</t>
    </r>
    <r>
      <rPr>
        <sz val="12"/>
        <rFont val="Arial"/>
        <family val="2"/>
      </rPr>
      <t xml:space="preserve"> (CP) is the pitch circle arc length  </t>
    </r>
  </si>
  <si>
    <r>
      <t>Diametral pitch</t>
    </r>
    <r>
      <rPr>
        <sz val="12"/>
        <rFont val="Arial"/>
        <family val="2"/>
      </rPr>
      <t xml:space="preserve"> (P) is the number of teeth per inch </t>
    </r>
  </si>
  <si>
    <r>
      <t xml:space="preserve">                     Pressure angle,  </t>
    </r>
    <r>
      <rPr>
        <b/>
        <sz val="12"/>
        <rFont val="Arial"/>
        <family val="2"/>
      </rPr>
      <t xml:space="preserve">Pa </t>
    </r>
    <r>
      <rPr>
        <sz val="12"/>
        <rFont val="Arial"/>
        <family val="2"/>
      </rPr>
      <t>=</t>
    </r>
  </si>
  <si>
    <r>
      <t xml:space="preserve">Diametral pitch,  </t>
    </r>
    <r>
      <rPr>
        <b/>
        <sz val="12"/>
        <rFont val="Arial"/>
        <family val="2"/>
      </rPr>
      <t>Pd</t>
    </r>
    <r>
      <rPr>
        <sz val="12"/>
        <rFont val="Franklin Gothic Medium"/>
        <family val="2"/>
      </rPr>
      <t xml:space="preserve"> =</t>
    </r>
  </si>
  <si>
    <r>
      <t xml:space="preserve">Number of gear teeth,  </t>
    </r>
    <r>
      <rPr>
        <sz val="12"/>
        <rFont val="Franklin Gothic Medium"/>
        <family val="2"/>
      </rPr>
      <t>N =</t>
    </r>
  </si>
  <si>
    <r>
      <t xml:space="preserve">Pitch circle diameter,  </t>
    </r>
    <r>
      <rPr>
        <b/>
        <sz val="12"/>
        <rFont val="Arial"/>
        <family val="2"/>
      </rPr>
      <t>D</t>
    </r>
    <r>
      <rPr>
        <sz val="12"/>
        <rFont val="Arial"/>
        <family val="2"/>
      </rPr>
      <t xml:space="preserve"> =</t>
    </r>
  </si>
  <si>
    <r>
      <t xml:space="preserve">Addendum,  </t>
    </r>
    <r>
      <rPr>
        <sz val="12"/>
        <rFont val="Franklin Gothic Medium"/>
        <family val="2"/>
      </rPr>
      <t>A =</t>
    </r>
  </si>
  <si>
    <r>
      <t xml:space="preserve">Dedendum,  </t>
    </r>
    <r>
      <rPr>
        <sz val="12"/>
        <rFont val="Franklin Gothic Medium"/>
        <family val="2"/>
      </rPr>
      <t>B =</t>
    </r>
  </si>
  <si>
    <r>
      <t xml:space="preserve">Addendum+Dedendum, </t>
    </r>
    <r>
      <rPr>
        <b/>
        <sz val="12"/>
        <rFont val="Arial"/>
        <family val="2"/>
      </rPr>
      <t>d</t>
    </r>
    <r>
      <rPr>
        <sz val="12"/>
        <rFont val="Franklin Gothic Medium"/>
        <family val="2"/>
      </rPr>
      <t xml:space="preserve"> =</t>
    </r>
  </si>
  <si>
    <r>
      <t xml:space="preserve">Clearance, </t>
    </r>
    <r>
      <rPr>
        <sz val="12"/>
        <rFont val="Franklin Gothic Medium"/>
        <family val="2"/>
      </rPr>
      <t>C =</t>
    </r>
  </si>
  <si>
    <r>
      <t xml:space="preserve">                                                   Outside diameter, </t>
    </r>
    <r>
      <rPr>
        <sz val="12"/>
        <rFont val="Franklin Gothic Medium"/>
        <family val="2"/>
      </rPr>
      <t>OD =</t>
    </r>
  </si>
  <si>
    <r>
      <t xml:space="preserve">                                 or               </t>
    </r>
    <r>
      <rPr>
        <sz val="12"/>
        <rFont val="Franklin Gothic Medium"/>
        <family val="2"/>
      </rPr>
      <t>OD =</t>
    </r>
  </si>
  <si>
    <r>
      <t xml:space="preserve">                                                        Root circle diameter,  </t>
    </r>
    <r>
      <rPr>
        <sz val="12"/>
        <rFont val="Franklin Gothic Medium"/>
        <family val="2"/>
      </rPr>
      <t>RD =</t>
    </r>
  </si>
  <si>
    <r>
      <t xml:space="preserve">                                 or               </t>
    </r>
    <r>
      <rPr>
        <sz val="12"/>
        <rFont val="Franklin Gothic Medium"/>
        <family val="2"/>
      </rPr>
      <t xml:space="preserve"> RD =</t>
    </r>
  </si>
  <si>
    <r>
      <t xml:space="preserve">                                    Base circle,  </t>
    </r>
    <r>
      <rPr>
        <sz val="12"/>
        <rFont val="Franklin Gothic Medium"/>
        <family val="2"/>
      </rPr>
      <t>BC =</t>
    </r>
  </si>
  <si>
    <r>
      <t xml:space="preserve">                                                 Circular pitch,  </t>
    </r>
    <r>
      <rPr>
        <sz val="12"/>
        <rFont val="Franklin Gothic Medium"/>
        <family val="2"/>
      </rPr>
      <t>CP =</t>
    </r>
  </si>
  <si>
    <r>
      <t xml:space="preserve">                                 or                   </t>
    </r>
    <r>
      <rPr>
        <sz val="12"/>
        <rFont val="Franklin Gothic Medium"/>
        <family val="2"/>
      </rPr>
      <t>CP =</t>
    </r>
  </si>
  <si>
    <r>
      <t xml:space="preserve">Chordal thickness,  </t>
    </r>
    <r>
      <rPr>
        <sz val="12"/>
        <rFont val="Franklin Gothic Medium"/>
        <family val="2"/>
      </rPr>
      <t>TC =</t>
    </r>
  </si>
  <si>
    <r>
      <t xml:space="preserve">Chordal addendum,  </t>
    </r>
    <r>
      <rPr>
        <sz val="12"/>
        <rFont val="Franklin Gothic Medium"/>
        <family val="2"/>
      </rPr>
      <t>AC =</t>
    </r>
  </si>
  <si>
    <r>
      <t xml:space="preserve">Working depth,  </t>
    </r>
    <r>
      <rPr>
        <sz val="12"/>
        <rFont val="Franklin Gothic Medium"/>
        <family val="2"/>
      </rPr>
      <t>WD =</t>
    </r>
  </si>
  <si>
    <t>Y below:</t>
  </si>
  <si>
    <t xml:space="preserve">Use the Lewis Form Factor </t>
  </si>
  <si>
    <r>
      <t xml:space="preserve">Select:  </t>
    </r>
    <r>
      <rPr>
        <b/>
        <sz val="12"/>
        <rFont val="Arial"/>
        <family val="2"/>
      </rPr>
      <t>Cell D24</t>
    </r>
    <r>
      <rPr>
        <sz val="12"/>
        <rFont val="Arial"/>
        <family val="2"/>
      </rPr>
      <t xml:space="preserve">  </t>
    </r>
  </si>
  <si>
    <r>
      <t xml:space="preserve">Select:  </t>
    </r>
    <r>
      <rPr>
        <b/>
        <sz val="12"/>
        <rFont val="Arial"/>
        <family val="2"/>
      </rPr>
      <t>Data &gt; What-if &gt; Goal Seek</t>
    </r>
  </si>
  <si>
    <r>
      <t xml:space="preserve">By changing cell:    </t>
    </r>
    <r>
      <rPr>
        <b/>
        <sz val="12"/>
        <rFont val="Arial"/>
        <family val="2"/>
      </rPr>
      <t>D20 &gt; OK</t>
    </r>
  </si>
  <si>
    <r>
      <t xml:space="preserve">Result in cell D20:  </t>
    </r>
    <r>
      <rPr>
        <b/>
        <sz val="12"/>
        <rFont val="Arial"/>
        <family val="2"/>
      </rPr>
      <t>3.97 hp</t>
    </r>
  </si>
  <si>
    <r>
      <t xml:space="preserve">Select:  </t>
    </r>
    <r>
      <rPr>
        <b/>
        <sz val="12"/>
        <rFont val="Arial"/>
        <family val="2"/>
      </rPr>
      <t>Cell H104  [Do not type in Cell 104]</t>
    </r>
  </si>
  <si>
    <r>
      <t xml:space="preserve">Type To value:      </t>
    </r>
    <r>
      <rPr>
        <b/>
        <sz val="12"/>
        <rFont val="Arial"/>
        <family val="2"/>
      </rPr>
      <t xml:space="preserve"> 20  in Goal Seek left</t>
    </r>
  </si>
  <si>
    <r>
      <t xml:space="preserve">By changing cell:    </t>
    </r>
    <r>
      <rPr>
        <b/>
        <sz val="12"/>
        <rFont val="Arial"/>
        <family val="2"/>
      </rPr>
      <t>H90 &gt; OK</t>
    </r>
  </si>
  <si>
    <r>
      <t xml:space="preserve">Result in cell H100:  </t>
    </r>
    <r>
      <rPr>
        <b/>
        <sz val="12"/>
        <rFont val="Arial"/>
        <family val="2"/>
      </rPr>
      <t>24.51</t>
    </r>
  </si>
  <si>
    <t>Piston area,  A = Pi x D^2 / 4 =</t>
  </si>
  <si>
    <t>Piston retraction pressure,  p = W / (A-a) =</t>
  </si>
  <si>
    <t>SEE MATH TOOLS FOR MORE</t>
  </si>
  <si>
    <t xml:space="preserve">We will assume, F(t) = Fm*Sin(ωt) </t>
  </si>
  <si>
    <t>Omega, ω is the angular frequency as defined below.</t>
  </si>
  <si>
    <t>SHOCK LOAD</t>
  </si>
  <si>
    <r>
      <t xml:space="preserve">Applied </t>
    </r>
    <r>
      <rPr>
        <b/>
        <sz val="12"/>
        <rFont val="Arial"/>
        <family val="2"/>
      </rPr>
      <t>Vertical</t>
    </r>
    <r>
      <rPr>
        <sz val="12"/>
        <rFont val="Arial"/>
        <family val="2"/>
      </rPr>
      <t xml:space="preserve"> Shock Acceleration,  Gv =</t>
    </r>
  </si>
  <si>
    <t xml:space="preserve">Unlock a worksheet with "Unprotect" </t>
  </si>
  <si>
    <t>Step-1</t>
  </si>
  <si>
    <t xml:space="preserve">HOME </t>
  </si>
  <si>
    <t>Step-2</t>
  </si>
  <si>
    <t xml:space="preserve">Format </t>
  </si>
  <si>
    <t>Step-3</t>
  </si>
  <si>
    <t>Unprotect Sheet</t>
  </si>
  <si>
    <t>Step-4</t>
  </si>
  <si>
    <t>OK</t>
  </si>
  <si>
    <t xml:space="preserve">Lock a worksheet with "Protect Sheet" </t>
  </si>
  <si>
    <t>Protect Sheet Box Opens</t>
  </si>
  <si>
    <t>Step-5</t>
  </si>
  <si>
    <t>NEW EXCEL</t>
  </si>
  <si>
    <t>OLD EXCEL</t>
  </si>
  <si>
    <t>Step-6</t>
  </si>
  <si>
    <t>Step-7</t>
  </si>
  <si>
    <t>Protect Sheet</t>
  </si>
  <si>
    <t>Password is not required.</t>
  </si>
  <si>
    <t>Check the "Protect Sheet" two boxes right &gt;&gt;</t>
  </si>
  <si>
    <t>Select Unlocked Cells</t>
  </si>
  <si>
    <t>Format Cells</t>
  </si>
  <si>
    <t>Step</t>
  </si>
  <si>
    <t>Enter</t>
  </si>
  <si>
    <t xml:space="preserve">GOAL SEEK </t>
  </si>
  <si>
    <t>H =</t>
  </si>
  <si>
    <t>Format</t>
  </si>
  <si>
    <t>llbs</t>
  </si>
  <si>
    <t>Horizontal force, H =</t>
  </si>
  <si>
    <t>TAN(A) =</t>
  </si>
  <si>
    <t>V/H</t>
  </si>
  <si>
    <t>Number</t>
  </si>
  <si>
    <t>Vertical force, V =</t>
  </si>
  <si>
    <t>number</t>
  </si>
  <si>
    <t>Decimal Places</t>
  </si>
  <si>
    <t>Angle  A =</t>
  </si>
  <si>
    <t>ATAN(V/H)</t>
  </si>
  <si>
    <t>Resultant force, R =</t>
  </si>
  <si>
    <t>( H^2 + V^2 )^(1/2)</t>
  </si>
  <si>
    <t>A radians =</t>
  </si>
  <si>
    <t>Angle, A =</t>
  </si>
  <si>
    <t>57.30 * ATAN(V / H)</t>
  </si>
  <si>
    <t>57.3*A</t>
  </si>
  <si>
    <t>GOAL SEEK method</t>
  </si>
  <si>
    <t>Step-1  Select the green cell C38 containing a formula.</t>
  </si>
  <si>
    <t>Step-2  Select: DATA  &gt; What-If Analysis &gt; Goal Seek</t>
  </si>
  <si>
    <t>Step-3  To value: 14, for example</t>
  </si>
  <si>
    <t>Step-4  Pick cell containing value to be changed by Excel: C34 or C35 &gt; OK</t>
  </si>
  <si>
    <t>Follow Steps&gt;&gt;</t>
  </si>
  <si>
    <t xml:space="preserve">57.3*A </t>
  </si>
  <si>
    <t>Select &gt; OK and "Goal Seek Status'&gt;&gt; will open &gt; OK</t>
  </si>
  <si>
    <t>MACHINES</t>
  </si>
  <si>
    <t xml:space="preserve">M236 MACHINE DESIGN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</si>
</sst>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000"/>
    <numFmt numFmtId="166" formatCode="0.00000"/>
    <numFmt numFmtId="167" formatCode="0.0"/>
    <numFmt numFmtId="168" formatCode="0.000000"/>
  </numFmts>
  <fonts count="22" x14ac:knownFonts="1">
    <font>
      <sz val="10"/>
      <name val="Arial"/>
    </font>
    <font>
      <sz val="8"/>
      <name val="Arial"/>
      <family val="2"/>
    </font>
    <font>
      <u/>
      <sz val="10"/>
      <color indexed="12"/>
      <name val="Arial"/>
      <family val="2"/>
    </font>
    <font>
      <b/>
      <sz val="12"/>
      <name val="Arial"/>
      <family val="2"/>
    </font>
    <font>
      <b/>
      <vertAlign val="subscript"/>
      <sz val="12"/>
      <name val="Arial"/>
      <family val="2"/>
    </font>
    <font>
      <sz val="14"/>
      <name val="Arial"/>
      <family val="2"/>
    </font>
    <font>
      <b/>
      <sz val="14"/>
      <name val="Arial"/>
      <family val="2"/>
    </font>
    <font>
      <b/>
      <sz val="12"/>
      <color rgb="FF000000"/>
      <name val="Arial"/>
      <family val="2"/>
    </font>
    <font>
      <b/>
      <u/>
      <sz val="12"/>
      <color indexed="12"/>
      <name val="Arial"/>
      <family val="2"/>
    </font>
    <font>
      <sz val="12"/>
      <name val="Arial"/>
      <family val="2"/>
    </font>
    <font>
      <sz val="12"/>
      <color indexed="10"/>
      <name val="Arial"/>
      <family val="2"/>
    </font>
    <font>
      <b/>
      <sz val="12"/>
      <color theme="1"/>
      <name val="Arial"/>
      <family val="2"/>
    </font>
    <font>
      <sz val="12"/>
      <color theme="1"/>
      <name val="Arial"/>
      <family val="2"/>
    </font>
    <font>
      <b/>
      <sz val="12"/>
      <color indexed="10"/>
      <name val="Arial"/>
      <family val="2"/>
    </font>
    <font>
      <b/>
      <vertAlign val="superscript"/>
      <sz val="12"/>
      <name val="Arial"/>
      <family val="2"/>
    </font>
    <font>
      <vertAlign val="subscript"/>
      <sz val="12"/>
      <name val="Arial"/>
      <family val="2"/>
    </font>
    <font>
      <sz val="12"/>
      <color indexed="15"/>
      <name val="Arial"/>
      <family val="2"/>
    </font>
    <font>
      <b/>
      <sz val="12"/>
      <color indexed="11"/>
      <name val="Arial"/>
      <family val="2"/>
    </font>
    <font>
      <sz val="12"/>
      <name val="Franklin Gothic Medium"/>
      <family val="2"/>
    </font>
    <font>
      <b/>
      <i/>
      <sz val="12"/>
      <name val="Arial"/>
      <family val="2"/>
    </font>
    <font>
      <u/>
      <sz val="12"/>
      <color indexed="12"/>
      <name val="Arial"/>
      <family val="2"/>
    </font>
    <font>
      <b/>
      <sz val="12"/>
      <color indexed="12"/>
      <name val="Arial"/>
      <family val="2"/>
    </font>
  </fonts>
  <fills count="9">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40"/>
        <bgColor indexed="64"/>
      </patternFill>
    </fill>
    <fill>
      <patternFill patternType="solid">
        <fgColor rgb="FFFFFF00"/>
        <bgColor indexed="64"/>
      </patternFill>
    </fill>
    <fill>
      <patternFill patternType="solid">
        <fgColor theme="0"/>
        <bgColor indexed="64"/>
      </patternFill>
    </fill>
    <fill>
      <patternFill patternType="solid">
        <fgColor indexed="11"/>
        <bgColor indexed="64"/>
      </patternFill>
    </fill>
    <fill>
      <patternFill patternType="solid">
        <fgColor rgb="FFFFC000"/>
        <bgColor indexed="64"/>
      </patternFill>
    </fill>
  </fills>
  <borders count="18">
    <border>
      <left/>
      <right/>
      <top/>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52">
    <xf numFmtId="0" fontId="0" fillId="0" borderId="0" xfId="0"/>
    <xf numFmtId="0" fontId="3" fillId="0" borderId="0" xfId="0" applyFont="1" applyAlignment="1">
      <alignment horizontal="left"/>
    </xf>
    <xf numFmtId="0" fontId="3" fillId="0" borderId="0" xfId="0" applyFont="1" applyAlignment="1">
      <alignment horizontal="right"/>
    </xf>
    <xf numFmtId="164" fontId="3" fillId="0" borderId="0" xfId="0" applyNumberFormat="1" applyFont="1" applyAlignment="1">
      <alignment horizontal="center"/>
    </xf>
    <xf numFmtId="0" fontId="3" fillId="0" borderId="0" xfId="0" applyFont="1"/>
    <xf numFmtId="0" fontId="3" fillId="0" borderId="0" xfId="0" applyFont="1" applyAlignment="1">
      <alignment horizontal="center"/>
    </xf>
    <xf numFmtId="164" fontId="3" fillId="0" borderId="0" xfId="0" applyNumberFormat="1" applyFont="1" applyAlignment="1">
      <alignment horizontal="left"/>
    </xf>
    <xf numFmtId="0" fontId="6" fillId="0" borderId="0" xfId="0" applyFont="1" applyAlignment="1">
      <alignment horizontal="left"/>
    </xf>
    <xf numFmtId="0" fontId="5" fillId="0" borderId="0" xfId="0" applyFont="1" applyAlignment="1">
      <alignment horizontal="center"/>
    </xf>
    <xf numFmtId="0" fontId="6" fillId="0" borderId="0" xfId="0" applyFont="1" applyProtection="1">
      <protection locked="0"/>
    </xf>
    <xf numFmtId="0" fontId="7" fillId="0" borderId="0" xfId="0" applyFont="1"/>
    <xf numFmtId="0" fontId="8" fillId="0" borderId="0" xfId="1" applyFont="1" applyAlignment="1" applyProtection="1">
      <alignment horizontal="left" vertical="center" readingOrder="1"/>
    </xf>
    <xf numFmtId="0" fontId="9" fillId="0" borderId="0" xfId="0" applyFont="1"/>
    <xf numFmtId="0" fontId="3" fillId="0" borderId="0" xfId="0" applyFont="1" applyAlignment="1" applyProtection="1">
      <alignment horizontal="center"/>
      <protection locked="0"/>
    </xf>
    <xf numFmtId="0" fontId="8" fillId="0" borderId="0" xfId="1" applyFont="1" applyBorder="1" applyAlignment="1" applyProtection="1">
      <protection locked="0"/>
    </xf>
    <xf numFmtId="15" fontId="9" fillId="0" borderId="0" xfId="0" applyNumberFormat="1" applyFont="1"/>
    <xf numFmtId="0" fontId="9" fillId="0" borderId="0" xfId="0" applyFont="1" applyProtection="1">
      <protection locked="0"/>
    </xf>
    <xf numFmtId="0" fontId="10" fillId="0" borderId="0" xfId="0" applyFont="1" applyAlignment="1">
      <alignment horizontal="left"/>
    </xf>
    <xf numFmtId="0" fontId="3" fillId="0" borderId="0" xfId="0" applyFont="1" applyAlignment="1" applyProtection="1">
      <alignment horizontal="right"/>
      <protection locked="0"/>
    </xf>
    <xf numFmtId="0" fontId="3" fillId="0" borderId="0" xfId="0" applyFont="1" applyProtection="1">
      <protection locked="0"/>
    </xf>
    <xf numFmtId="0" fontId="11" fillId="0" borderId="0" xfId="0" applyFont="1"/>
    <xf numFmtId="0" fontId="12" fillId="0" borderId="0" xfId="0" applyFont="1"/>
    <xf numFmtId="0" fontId="9" fillId="0" borderId="0" xfId="0" applyFont="1" applyAlignment="1">
      <alignment horizontal="left"/>
    </xf>
    <xf numFmtId="0" fontId="9" fillId="3" borderId="0" xfId="0" applyFont="1" applyFill="1"/>
    <xf numFmtId="16" fontId="3" fillId="0" borderId="0" xfId="0" quotePrefix="1" applyNumberFormat="1" applyFont="1" applyAlignment="1">
      <alignment horizontal="left"/>
    </xf>
    <xf numFmtId="0" fontId="9" fillId="0" borderId="0" xfId="0" quotePrefix="1" applyFont="1" applyAlignment="1">
      <alignment horizontal="right"/>
    </xf>
    <xf numFmtId="0" fontId="3" fillId="0" borderId="0" xfId="0" quotePrefix="1" applyFont="1" applyAlignment="1">
      <alignment horizontal="right"/>
    </xf>
    <xf numFmtId="0" fontId="9" fillId="0" borderId="0" xfId="0" applyFont="1" applyAlignment="1">
      <alignment horizontal="center"/>
    </xf>
    <xf numFmtId="0" fontId="9" fillId="0" borderId="0" xfId="0" applyFont="1" applyAlignment="1">
      <alignment horizontal="right"/>
    </xf>
    <xf numFmtId="0" fontId="13" fillId="0" borderId="0" xfId="0" applyFont="1"/>
    <xf numFmtId="0" fontId="13" fillId="0" borderId="0" xfId="0" applyFont="1" applyAlignment="1">
      <alignment horizontal="center"/>
    </xf>
    <xf numFmtId="0" fontId="9" fillId="0" borderId="8" xfId="0" applyFont="1" applyBorder="1" applyAlignment="1" applyProtection="1">
      <alignment horizontal="center"/>
      <protection locked="0"/>
    </xf>
    <xf numFmtId="0" fontId="9" fillId="0" borderId="14" xfId="0" applyFont="1" applyBorder="1" applyAlignment="1" applyProtection="1">
      <alignment horizontal="center"/>
      <protection locked="0"/>
    </xf>
    <xf numFmtId="167" fontId="9" fillId="0" borderId="14" xfId="0" applyNumberFormat="1" applyFont="1" applyBorder="1" applyAlignment="1" applyProtection="1">
      <alignment horizontal="center"/>
      <protection locked="0"/>
    </xf>
    <xf numFmtId="0" fontId="9" fillId="0" borderId="0" xfId="0" quotePrefix="1" applyFont="1" applyAlignment="1">
      <alignment horizontal="left"/>
    </xf>
    <xf numFmtId="167" fontId="9" fillId="0" borderId="9" xfId="0" applyNumberFormat="1" applyFont="1" applyBorder="1" applyAlignment="1" applyProtection="1">
      <alignment horizontal="center"/>
      <protection locked="0"/>
    </xf>
    <xf numFmtId="1" fontId="3" fillId="0" borderId="0" xfId="0" applyNumberFormat="1" applyFont="1" applyAlignment="1">
      <alignment horizontal="center"/>
    </xf>
    <xf numFmtId="2" fontId="3" fillId="0" borderId="0" xfId="0" applyNumberFormat="1" applyFont="1" applyAlignment="1">
      <alignment horizontal="center"/>
    </xf>
    <xf numFmtId="0" fontId="3" fillId="0" borderId="15" xfId="0" applyFont="1" applyBorder="1" applyAlignment="1">
      <alignment horizontal="right"/>
    </xf>
    <xf numFmtId="0" fontId="3" fillId="0" borderId="13" xfId="0" applyFont="1" applyBorder="1" applyAlignment="1">
      <alignment horizontal="center"/>
    </xf>
    <xf numFmtId="0" fontId="3" fillId="0" borderId="12" xfId="0" applyFont="1" applyBorder="1" applyAlignment="1">
      <alignment horizontal="center"/>
    </xf>
    <xf numFmtId="0" fontId="3" fillId="0" borderId="10" xfId="0" applyFont="1" applyBorder="1" applyAlignment="1">
      <alignment horizontal="right"/>
    </xf>
    <xf numFmtId="167" fontId="3" fillId="0" borderId="14" xfId="0" applyNumberFormat="1" applyFont="1" applyBorder="1" applyAlignment="1">
      <alignment horizontal="center"/>
    </xf>
    <xf numFmtId="2" fontId="3" fillId="0" borderId="2" xfId="0" applyNumberFormat="1" applyFont="1" applyBorder="1" applyAlignment="1">
      <alignment horizontal="center"/>
    </xf>
    <xf numFmtId="0" fontId="3" fillId="0" borderId="5" xfId="0" applyFont="1" applyBorder="1" applyAlignment="1">
      <alignment horizontal="right"/>
    </xf>
    <xf numFmtId="167" fontId="3" fillId="0" borderId="9" xfId="0" applyNumberFormat="1" applyFont="1" applyBorder="1" applyAlignment="1">
      <alignment horizontal="center"/>
    </xf>
    <xf numFmtId="2" fontId="3" fillId="0" borderId="4" xfId="0" applyNumberFormat="1" applyFont="1" applyBorder="1" applyAlignment="1">
      <alignment horizontal="center"/>
    </xf>
    <xf numFmtId="2" fontId="9" fillId="0" borderId="14" xfId="0" applyNumberFormat="1" applyFont="1" applyBorder="1" applyAlignment="1" applyProtection="1">
      <alignment horizontal="center"/>
      <protection locked="0"/>
    </xf>
    <xf numFmtId="1" fontId="9" fillId="0" borderId="9" xfId="0" applyNumberFormat="1" applyFont="1" applyBorder="1" applyAlignment="1" applyProtection="1">
      <alignment horizontal="center"/>
      <protection locked="0"/>
    </xf>
    <xf numFmtId="0" fontId="9" fillId="0" borderId="0" xfId="0" applyFont="1" applyAlignment="1" applyProtection="1">
      <alignment horizontal="right"/>
      <protection locked="0"/>
    </xf>
    <xf numFmtId="166" fontId="3" fillId="0" borderId="0" xfId="0" applyNumberFormat="1" applyFont="1" applyAlignment="1">
      <alignment horizontal="center"/>
    </xf>
    <xf numFmtId="165" fontId="3" fillId="0" borderId="0" xfId="0" applyNumberFormat="1" applyFont="1" applyAlignment="1">
      <alignment horizontal="center"/>
    </xf>
    <xf numFmtId="164" fontId="9" fillId="0" borderId="14" xfId="0" applyNumberFormat="1" applyFont="1" applyBorder="1" applyAlignment="1" applyProtection="1">
      <alignment horizontal="center"/>
      <protection locked="0"/>
    </xf>
    <xf numFmtId="1" fontId="9" fillId="0" borderId="14" xfId="0" applyNumberFormat="1" applyFont="1" applyBorder="1" applyAlignment="1" applyProtection="1">
      <alignment horizontal="center"/>
      <protection locked="0"/>
    </xf>
    <xf numFmtId="0" fontId="9" fillId="0" borderId="9" xfId="0" applyFont="1" applyBorder="1" applyAlignment="1" applyProtection="1">
      <alignment horizontal="center"/>
      <protection locked="0"/>
    </xf>
    <xf numFmtId="2" fontId="9" fillId="0" borderId="14" xfId="0" quotePrefix="1" applyNumberFormat="1" applyFont="1" applyBorder="1" applyAlignment="1" applyProtection="1">
      <alignment horizontal="center"/>
      <protection locked="0"/>
    </xf>
    <xf numFmtId="11" fontId="9" fillId="0" borderId="14" xfId="0" applyNumberFormat="1" applyFont="1" applyBorder="1" applyAlignment="1" applyProtection="1">
      <alignment horizontal="center"/>
      <protection locked="0"/>
    </xf>
    <xf numFmtId="0" fontId="3" fillId="0" borderId="0" xfId="0" applyFont="1" applyAlignment="1" applyProtection="1">
      <alignment horizontal="left"/>
      <protection locked="0"/>
    </xf>
    <xf numFmtId="0" fontId="9" fillId="0" borderId="0" xfId="0" applyFont="1" applyAlignment="1" applyProtection="1">
      <alignment horizontal="center"/>
      <protection locked="0"/>
    </xf>
    <xf numFmtId="0" fontId="9" fillId="0" borderId="0" xfId="0" quotePrefix="1" applyFont="1" applyAlignment="1">
      <alignment horizontal="center"/>
    </xf>
    <xf numFmtId="1" fontId="3" fillId="0" borderId="0" xfId="0" applyNumberFormat="1" applyFont="1" applyAlignment="1">
      <alignment horizontal="left"/>
    </xf>
    <xf numFmtId="0" fontId="3" fillId="0" borderId="0" xfId="0" quotePrefix="1" applyFont="1" applyAlignment="1">
      <alignment horizontal="center"/>
    </xf>
    <xf numFmtId="164" fontId="9" fillId="0" borderId="0" xfId="0" applyNumberFormat="1" applyFont="1"/>
    <xf numFmtId="164" fontId="9" fillId="0" borderId="8" xfId="0" applyNumberFormat="1" applyFont="1" applyBorder="1" applyAlignment="1" applyProtection="1">
      <alignment horizontal="center"/>
      <protection locked="0"/>
    </xf>
    <xf numFmtId="164" fontId="9" fillId="0" borderId="0" xfId="0" applyNumberFormat="1" applyFont="1" applyAlignment="1" applyProtection="1">
      <alignment horizontal="center"/>
      <protection locked="0"/>
    </xf>
    <xf numFmtId="164" fontId="9" fillId="0" borderId="9" xfId="0" applyNumberFormat="1" applyFont="1" applyBorder="1" applyAlignment="1" applyProtection="1">
      <alignment horizontal="center"/>
      <protection locked="0"/>
    </xf>
    <xf numFmtId="0" fontId="9" fillId="0" borderId="16" xfId="0" applyFont="1" applyBorder="1" applyAlignment="1">
      <alignment horizontal="right"/>
    </xf>
    <xf numFmtId="0" fontId="13" fillId="0" borderId="11" xfId="0" applyFont="1" applyBorder="1" applyAlignment="1">
      <alignment horizontal="center"/>
    </xf>
    <xf numFmtId="0" fontId="13" fillId="0" borderId="12" xfId="0" applyFont="1" applyBorder="1" applyAlignment="1">
      <alignment horizontal="right"/>
    </xf>
    <xf numFmtId="0" fontId="13" fillId="0" borderId="11" xfId="0" applyFont="1" applyBorder="1" applyAlignment="1">
      <alignment horizontal="left"/>
    </xf>
    <xf numFmtId="0" fontId="3" fillId="0" borderId="5" xfId="0" applyFont="1" applyBorder="1" applyAlignment="1">
      <alignment horizontal="center"/>
    </xf>
    <xf numFmtId="0" fontId="3" fillId="0" borderId="9" xfId="0" applyFont="1" applyBorder="1" applyAlignment="1">
      <alignment horizontal="center"/>
    </xf>
    <xf numFmtId="0" fontId="3" fillId="0" borderId="11" xfId="0" applyFont="1" applyBorder="1" applyAlignment="1">
      <alignment horizontal="center"/>
    </xf>
    <xf numFmtId="0" fontId="9" fillId="0" borderId="10" xfId="0" applyFont="1" applyBorder="1" applyAlignment="1" applyProtection="1">
      <alignment horizontal="center"/>
      <protection locked="0"/>
    </xf>
    <xf numFmtId="0" fontId="3" fillId="0" borderId="8" xfId="0" applyFont="1" applyBorder="1" applyAlignment="1">
      <alignment horizontal="center"/>
    </xf>
    <xf numFmtId="0" fontId="3" fillId="0" borderId="14" xfId="0" applyFont="1" applyBorder="1" applyAlignment="1">
      <alignment horizontal="center"/>
    </xf>
    <xf numFmtId="0" fontId="9" fillId="0" borderId="5" xfId="0" applyFont="1" applyBorder="1" applyAlignment="1" applyProtection="1">
      <alignment horizontal="center"/>
      <protection locked="0"/>
    </xf>
    <xf numFmtId="0" fontId="3" fillId="0" borderId="15"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164" fontId="3" fillId="0" borderId="8" xfId="0" applyNumberFormat="1" applyFont="1" applyBorder="1" applyAlignment="1">
      <alignment horizontal="center"/>
    </xf>
    <xf numFmtId="2" fontId="3" fillId="0" borderId="7" xfId="0" applyNumberFormat="1" applyFont="1" applyBorder="1" applyAlignment="1">
      <alignment horizontal="center"/>
    </xf>
    <xf numFmtId="2" fontId="3" fillId="0" borderId="8" xfId="0" applyNumberFormat="1" applyFont="1" applyBorder="1" applyAlignment="1">
      <alignment horizontal="center"/>
    </xf>
    <xf numFmtId="164" fontId="3" fillId="0" borderId="14" xfId="0" applyNumberFormat="1" applyFont="1" applyBorder="1" applyAlignment="1">
      <alignment horizontal="center"/>
    </xf>
    <xf numFmtId="2" fontId="3" fillId="0" borderId="14" xfId="0" applyNumberFormat="1" applyFont="1" applyBorder="1" applyAlignment="1">
      <alignment horizontal="center"/>
    </xf>
    <xf numFmtId="164" fontId="3" fillId="0" borderId="9" xfId="0" applyNumberFormat="1" applyFont="1" applyBorder="1" applyAlignment="1">
      <alignment horizontal="center"/>
    </xf>
    <xf numFmtId="2" fontId="3" fillId="0" borderId="9" xfId="0" applyNumberFormat="1" applyFont="1" applyBorder="1" applyAlignment="1">
      <alignment horizontal="center"/>
    </xf>
    <xf numFmtId="2" fontId="3" fillId="0" borderId="13" xfId="0" applyNumberFormat="1" applyFont="1" applyBorder="1" applyAlignment="1">
      <alignment horizontal="center"/>
    </xf>
    <xf numFmtId="0" fontId="13" fillId="0" borderId="0" xfId="0" applyFont="1" applyAlignment="1">
      <alignment horizontal="left"/>
    </xf>
    <xf numFmtId="1" fontId="9" fillId="0" borderId="8" xfId="0" applyNumberFormat="1" applyFont="1" applyBorder="1" applyAlignment="1" applyProtection="1">
      <alignment horizontal="center"/>
      <protection locked="0"/>
    </xf>
    <xf numFmtId="2" fontId="9" fillId="0" borderId="9" xfId="0" applyNumberFormat="1" applyFont="1" applyBorder="1" applyAlignment="1" applyProtection="1">
      <alignment horizontal="center"/>
      <protection locked="0"/>
    </xf>
    <xf numFmtId="0" fontId="13" fillId="0" borderId="17" xfId="0" applyFont="1" applyBorder="1" applyAlignment="1">
      <alignment horizontal="center"/>
    </xf>
    <xf numFmtId="2" fontId="3" fillId="0" borderId="1" xfId="0" applyNumberFormat="1" applyFont="1" applyBorder="1" applyAlignment="1">
      <alignment horizontal="center"/>
    </xf>
    <xf numFmtId="2" fontId="3" fillId="0" borderId="10" xfId="0" applyNumberFormat="1" applyFont="1" applyBorder="1" applyAlignment="1">
      <alignment horizontal="center"/>
    </xf>
    <xf numFmtId="2" fontId="3" fillId="0" borderId="5" xfId="0" applyNumberFormat="1" applyFont="1" applyBorder="1" applyAlignment="1">
      <alignment horizontal="center"/>
    </xf>
    <xf numFmtId="0" fontId="3" fillId="0" borderId="6" xfId="0" applyFont="1" applyBorder="1" applyAlignment="1">
      <alignment horizontal="center"/>
    </xf>
    <xf numFmtId="164" fontId="3" fillId="0" borderId="1" xfId="0" applyNumberFormat="1" applyFont="1" applyBorder="1" applyAlignment="1">
      <alignment horizontal="center"/>
    </xf>
    <xf numFmtId="164" fontId="3" fillId="0" borderId="10" xfId="0" applyNumberFormat="1" applyFont="1" applyBorder="1" applyAlignment="1">
      <alignment horizontal="center"/>
    </xf>
    <xf numFmtId="164" fontId="3" fillId="0" borderId="5" xfId="0" applyNumberFormat="1" applyFont="1" applyBorder="1" applyAlignment="1">
      <alignment horizontal="center"/>
    </xf>
    <xf numFmtId="1" fontId="3" fillId="0" borderId="8" xfId="0" applyNumberFormat="1" applyFont="1" applyBorder="1" applyAlignment="1">
      <alignment horizontal="center"/>
    </xf>
    <xf numFmtId="1" fontId="3" fillId="0" borderId="13" xfId="0" applyNumberFormat="1" applyFont="1" applyBorder="1" applyAlignment="1">
      <alignment horizontal="center"/>
    </xf>
    <xf numFmtId="168" fontId="3" fillId="0" borderId="0" xfId="0" applyNumberFormat="1" applyFont="1" applyAlignment="1">
      <alignment horizontal="center"/>
    </xf>
    <xf numFmtId="0" fontId="13" fillId="6" borderId="8" xfId="0" applyFont="1" applyFill="1" applyBorder="1" applyAlignment="1">
      <alignment horizontal="left"/>
    </xf>
    <xf numFmtId="0" fontId="13" fillId="6" borderId="14" xfId="0" applyFont="1" applyFill="1" applyBorder="1" applyAlignment="1">
      <alignment horizontal="left"/>
    </xf>
    <xf numFmtId="0" fontId="10" fillId="6" borderId="14" xfId="0" applyFont="1" applyFill="1" applyBorder="1" applyAlignment="1">
      <alignment horizontal="left"/>
    </xf>
    <xf numFmtId="0" fontId="10" fillId="6" borderId="9" xfId="0" applyFont="1" applyFill="1" applyBorder="1" applyAlignment="1">
      <alignment horizontal="left"/>
    </xf>
    <xf numFmtId="0" fontId="9" fillId="6" borderId="1" xfId="0" applyFont="1" applyFill="1" applyBorder="1" applyAlignment="1">
      <alignment horizontal="left"/>
    </xf>
    <xf numFmtId="0" fontId="9" fillId="6" borderId="6" xfId="0" applyFont="1" applyFill="1" applyBorder="1"/>
    <xf numFmtId="0" fontId="9" fillId="6" borderId="7" xfId="0" applyFont="1" applyFill="1" applyBorder="1"/>
    <xf numFmtId="0" fontId="3" fillId="6" borderId="10" xfId="0" applyFont="1" applyFill="1" applyBorder="1" applyAlignment="1">
      <alignment horizontal="left"/>
    </xf>
    <xf numFmtId="0" fontId="9" fillId="6" borderId="0" xfId="0" applyFont="1" applyFill="1"/>
    <xf numFmtId="0" fontId="9" fillId="6" borderId="2" xfId="0" applyFont="1" applyFill="1" applyBorder="1"/>
    <xf numFmtId="0" fontId="9" fillId="6" borderId="10" xfId="0" applyFont="1" applyFill="1" applyBorder="1"/>
    <xf numFmtId="0" fontId="3" fillId="6" borderId="5" xfId="0" applyFont="1" applyFill="1" applyBorder="1" applyAlignment="1">
      <alignment horizontal="left"/>
    </xf>
    <xf numFmtId="0" fontId="9" fillId="6" borderId="3" xfId="0" applyFont="1" applyFill="1" applyBorder="1"/>
    <xf numFmtId="0" fontId="9" fillId="6" borderId="4" xfId="0" applyFont="1" applyFill="1" applyBorder="1"/>
    <xf numFmtId="0" fontId="13" fillId="6" borderId="9" xfId="0" applyFont="1" applyFill="1" applyBorder="1" applyAlignment="1">
      <alignment horizontal="left"/>
    </xf>
    <xf numFmtId="0" fontId="16" fillId="3" borderId="0" xfId="0" applyFont="1" applyFill="1" applyAlignment="1">
      <alignment horizontal="right"/>
    </xf>
    <xf numFmtId="0" fontId="16" fillId="3" borderId="0" xfId="0" applyFont="1" applyFill="1" applyAlignment="1">
      <alignment horizontal="center"/>
    </xf>
    <xf numFmtId="0" fontId="16" fillId="3" borderId="0" xfId="0" applyFont="1" applyFill="1" applyAlignment="1">
      <alignment horizontal="left"/>
    </xf>
    <xf numFmtId="0" fontId="16" fillId="3" borderId="0" xfId="0" applyFont="1" applyFill="1"/>
    <xf numFmtId="1" fontId="9" fillId="0" borderId="0" xfId="0" applyNumberFormat="1" applyFont="1" applyAlignment="1">
      <alignment horizontal="center"/>
    </xf>
    <xf numFmtId="0" fontId="9" fillId="0" borderId="13" xfId="0" applyFont="1" applyBorder="1" applyAlignment="1" applyProtection="1">
      <alignment horizontal="center"/>
      <protection locked="0"/>
    </xf>
    <xf numFmtId="164" fontId="9" fillId="0" borderId="0" xfId="0" applyNumberFormat="1" applyFont="1" applyAlignment="1">
      <alignment horizontal="center"/>
    </xf>
    <xf numFmtId="0" fontId="9" fillId="3" borderId="0" xfId="0" applyFont="1" applyFill="1" applyAlignment="1">
      <alignment horizontal="right"/>
    </xf>
    <xf numFmtId="0" fontId="9" fillId="3" borderId="0" xfId="0" applyFont="1" applyFill="1" applyAlignment="1">
      <alignment horizontal="center"/>
    </xf>
    <xf numFmtId="0" fontId="9" fillId="3" borderId="0" xfId="0" applyFont="1" applyFill="1" applyAlignment="1">
      <alignment horizontal="left"/>
    </xf>
    <xf numFmtId="167" fontId="9" fillId="0" borderId="8" xfId="0" applyNumberFormat="1" applyFont="1" applyBorder="1" applyAlignment="1" applyProtection="1">
      <alignment horizontal="center"/>
      <protection locked="0"/>
    </xf>
    <xf numFmtId="167" fontId="9" fillId="0" borderId="0" xfId="0" applyNumberFormat="1" applyFont="1" applyAlignment="1" applyProtection="1">
      <alignment horizontal="center"/>
      <protection locked="0"/>
    </xf>
    <xf numFmtId="1" fontId="3" fillId="0" borderId="13" xfId="0" applyNumberFormat="1" applyFont="1" applyBorder="1" applyAlignment="1" applyProtection="1">
      <alignment horizontal="center"/>
      <protection locked="0"/>
    </xf>
    <xf numFmtId="0" fontId="17" fillId="0" borderId="0" xfId="0" applyFont="1" applyAlignment="1">
      <alignment horizontal="right"/>
    </xf>
    <xf numFmtId="164" fontId="9" fillId="0" borderId="13" xfId="0" applyNumberFormat="1" applyFont="1" applyBorder="1" applyAlignment="1" applyProtection="1">
      <alignment horizontal="center"/>
      <protection locked="0"/>
    </xf>
    <xf numFmtId="0" fontId="9" fillId="0" borderId="0" xfId="0" applyFont="1" applyAlignment="1" applyProtection="1">
      <alignment horizontal="left"/>
      <protection locked="0"/>
    </xf>
    <xf numFmtId="2" fontId="9" fillId="0" borderId="0" xfId="0" applyNumberFormat="1" applyFont="1" applyAlignment="1" applyProtection="1">
      <alignment horizontal="center"/>
      <protection locked="0"/>
    </xf>
    <xf numFmtId="167" fontId="3" fillId="0" borderId="0" xfId="0" applyNumberFormat="1" applyFont="1" applyAlignment="1" applyProtection="1">
      <alignment horizontal="center"/>
      <protection locked="0"/>
    </xf>
    <xf numFmtId="167" fontId="9" fillId="0" borderId="0" xfId="0" applyNumberFormat="1" applyFont="1" applyProtection="1">
      <protection locked="0"/>
    </xf>
    <xf numFmtId="0" fontId="9" fillId="0" borderId="14" xfId="0" applyFont="1" applyBorder="1" applyAlignment="1">
      <alignment horizontal="center"/>
    </xf>
    <xf numFmtId="0" fontId="9" fillId="0" borderId="9" xfId="0" applyFont="1" applyBorder="1" applyAlignment="1">
      <alignment horizontal="center"/>
    </xf>
    <xf numFmtId="0" fontId="3" fillId="0" borderId="0" xfId="0" applyFont="1" applyAlignment="1" applyProtection="1">
      <alignment horizontal="center"/>
      <protection hidden="1"/>
    </xf>
    <xf numFmtId="2" fontId="3" fillId="0" borderId="0" xfId="0" applyNumberFormat="1" applyFont="1" applyAlignment="1" applyProtection="1">
      <alignment horizontal="center"/>
      <protection hidden="1"/>
    </xf>
    <xf numFmtId="0" fontId="9" fillId="0" borderId="0" xfId="0" applyFont="1" applyProtection="1">
      <protection hidden="1"/>
    </xf>
    <xf numFmtId="167" fontId="3" fillId="0" borderId="0" xfId="0" applyNumberFormat="1" applyFont="1" applyAlignment="1" applyProtection="1">
      <alignment horizontal="center"/>
      <protection hidden="1"/>
    </xf>
    <xf numFmtId="2" fontId="9" fillId="0" borderId="0" xfId="0" applyNumberFormat="1" applyFont="1" applyAlignment="1" applyProtection="1">
      <alignment horizontal="center"/>
      <protection hidden="1"/>
    </xf>
    <xf numFmtId="0" fontId="13" fillId="0" borderId="0" xfId="0" applyFont="1" applyAlignment="1" applyProtection="1">
      <alignment horizontal="center"/>
      <protection locked="0"/>
    </xf>
    <xf numFmtId="2" fontId="9" fillId="0" borderId="8" xfId="0" applyNumberFormat="1" applyFont="1" applyBorder="1" applyAlignment="1" applyProtection="1">
      <alignment horizontal="center"/>
      <protection locked="0"/>
    </xf>
    <xf numFmtId="11" fontId="3" fillId="0" borderId="0" xfId="0" applyNumberFormat="1" applyFont="1" applyAlignment="1">
      <alignment horizontal="center"/>
    </xf>
    <xf numFmtId="0" fontId="3" fillId="3" borderId="0" xfId="0" applyFont="1" applyFill="1" applyAlignment="1">
      <alignment horizontal="center"/>
    </xf>
    <xf numFmtId="1" fontId="9" fillId="0" borderId="13" xfId="0" applyNumberFormat="1" applyFont="1" applyBorder="1" applyAlignment="1">
      <alignment horizontal="center"/>
    </xf>
    <xf numFmtId="167" fontId="9" fillId="0" borderId="8" xfId="0" applyNumberFormat="1" applyFont="1" applyBorder="1" applyAlignment="1">
      <alignment horizontal="center"/>
    </xf>
    <xf numFmtId="15" fontId="9" fillId="0" borderId="0" xfId="0" applyNumberFormat="1" applyFont="1" applyProtection="1">
      <protection locked="0"/>
    </xf>
    <xf numFmtId="164" fontId="9" fillId="0" borderId="8" xfId="0" applyNumberFormat="1" applyFont="1" applyBorder="1" applyAlignment="1">
      <alignment horizontal="center"/>
    </xf>
    <xf numFmtId="164" fontId="9" fillId="0" borderId="14" xfId="0" applyNumberFormat="1" applyFont="1" applyBorder="1" applyAlignment="1">
      <alignment horizontal="center"/>
    </xf>
    <xf numFmtId="164" fontId="9" fillId="0" borderId="9" xfId="0" applyNumberFormat="1" applyFont="1" applyBorder="1" applyAlignment="1">
      <alignment horizontal="center"/>
    </xf>
    <xf numFmtId="0" fontId="3" fillId="3" borderId="0" xfId="0" applyFont="1" applyFill="1" applyAlignment="1">
      <alignment horizontal="left"/>
    </xf>
    <xf numFmtId="0" fontId="13" fillId="0" borderId="0" xfId="0" applyFont="1" applyAlignment="1">
      <alignment horizontal="right"/>
    </xf>
    <xf numFmtId="0" fontId="3" fillId="0" borderId="1" xfId="0" applyFont="1" applyBorder="1" applyAlignment="1">
      <alignment horizontal="left"/>
    </xf>
    <xf numFmtId="0" fontId="9" fillId="0" borderId="6"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10" xfId="0" applyFont="1" applyBorder="1" applyAlignment="1">
      <alignment horizontal="center"/>
    </xf>
    <xf numFmtId="164" fontId="3" fillId="0" borderId="2" xfId="0" applyNumberFormat="1" applyFont="1" applyBorder="1" applyAlignment="1">
      <alignment horizontal="center"/>
    </xf>
    <xf numFmtId="164" fontId="3" fillId="0" borderId="3" xfId="0" applyNumberFormat="1" applyFont="1" applyBorder="1" applyAlignment="1">
      <alignment horizontal="center"/>
    </xf>
    <xf numFmtId="164" fontId="3" fillId="0" borderId="4" xfId="0" applyNumberFormat="1" applyFont="1" applyBorder="1" applyAlignment="1">
      <alignment horizontal="center"/>
    </xf>
    <xf numFmtId="0" fontId="3" fillId="0" borderId="9" xfId="0" applyFont="1" applyBorder="1" applyAlignment="1" applyProtection="1">
      <alignment horizontal="center"/>
      <protection locked="0"/>
    </xf>
    <xf numFmtId="0" fontId="3" fillId="0" borderId="13" xfId="0" applyFont="1" applyBorder="1" applyAlignment="1">
      <alignment horizontal="left"/>
    </xf>
    <xf numFmtId="0" fontId="9" fillId="0" borderId="10" xfId="0" applyFont="1" applyBorder="1" applyAlignment="1">
      <alignment horizontal="right"/>
    </xf>
    <xf numFmtId="0" fontId="9" fillId="0" borderId="2" xfId="0" applyFont="1" applyBorder="1" applyAlignment="1">
      <alignment horizontal="center"/>
    </xf>
    <xf numFmtId="0" fontId="9" fillId="0" borderId="5" xfId="0" applyFont="1" applyBorder="1" applyAlignment="1">
      <alignment horizontal="right"/>
    </xf>
    <xf numFmtId="0" fontId="9" fillId="0" borderId="3" xfId="0" applyFont="1" applyBorder="1" applyAlignment="1">
      <alignment horizontal="center"/>
    </xf>
    <xf numFmtId="0" fontId="9" fillId="0" borderId="4" xfId="0" applyFont="1" applyBorder="1" applyAlignment="1">
      <alignment horizontal="center"/>
    </xf>
    <xf numFmtId="0" fontId="13" fillId="6" borderId="0" xfId="0" applyFont="1" applyFill="1" applyAlignment="1">
      <alignment horizontal="left"/>
    </xf>
    <xf numFmtId="0" fontId="10" fillId="6" borderId="0" xfId="0" applyFont="1" applyFill="1" applyAlignment="1">
      <alignment horizontal="left"/>
    </xf>
    <xf numFmtId="0" fontId="3" fillId="0" borderId="1" xfId="0" applyFont="1" applyBorder="1" applyAlignment="1" applyProtection="1">
      <alignment horizontal="left"/>
      <protection locked="0"/>
    </xf>
    <xf numFmtId="0" fontId="9" fillId="0" borderId="6" xfId="0" applyFont="1" applyBorder="1"/>
    <xf numFmtId="0" fontId="9" fillId="0" borderId="6" xfId="0" applyFont="1" applyBorder="1" applyAlignment="1" applyProtection="1">
      <alignment horizontal="center"/>
      <protection locked="0"/>
    </xf>
    <xf numFmtId="0" fontId="9" fillId="0" borderId="6" xfId="0" applyFont="1" applyBorder="1" applyProtection="1">
      <protection locked="0"/>
    </xf>
    <xf numFmtId="0" fontId="9" fillId="0" borderId="7" xfId="0" applyFont="1" applyBorder="1" applyProtection="1">
      <protection locked="0"/>
    </xf>
    <xf numFmtId="0" fontId="3" fillId="0" borderId="5" xfId="0" applyFont="1" applyBorder="1" applyAlignment="1" applyProtection="1">
      <alignment horizontal="left"/>
      <protection locked="0"/>
    </xf>
    <xf numFmtId="0" fontId="9" fillId="0" borderId="3" xfId="0" applyFont="1" applyBorder="1"/>
    <xf numFmtId="0" fontId="9" fillId="0" borderId="3" xfId="0" applyFont="1" applyBorder="1" applyAlignment="1" applyProtection="1">
      <alignment horizontal="center"/>
      <protection locked="0"/>
    </xf>
    <xf numFmtId="0" fontId="9" fillId="0" borderId="3" xfId="0" applyFont="1" applyBorder="1" applyProtection="1">
      <protection locked="0"/>
    </xf>
    <xf numFmtId="0" fontId="9" fillId="0" borderId="4" xfId="0" applyFont="1" applyBorder="1" applyProtection="1">
      <protection locked="0"/>
    </xf>
    <xf numFmtId="2" fontId="9" fillId="0" borderId="13" xfId="0" applyNumberFormat="1" applyFont="1" applyBorder="1" applyAlignment="1" applyProtection="1">
      <alignment horizontal="center"/>
      <protection locked="0"/>
    </xf>
    <xf numFmtId="3" fontId="9" fillId="6" borderId="13" xfId="0" applyNumberFormat="1" applyFont="1" applyFill="1" applyBorder="1" applyAlignment="1" applyProtection="1">
      <alignment horizontal="left"/>
      <protection locked="0"/>
    </xf>
    <xf numFmtId="3" fontId="3" fillId="5" borderId="13" xfId="0" applyNumberFormat="1" applyFont="1" applyFill="1" applyBorder="1" applyAlignment="1" applyProtection="1">
      <alignment horizontal="left"/>
      <protection locked="0"/>
    </xf>
    <xf numFmtId="1" fontId="3" fillId="0" borderId="13" xfId="0" applyNumberFormat="1" applyFont="1" applyBorder="1" applyAlignment="1" applyProtection="1">
      <alignment horizontal="left"/>
      <protection locked="0"/>
    </xf>
    <xf numFmtId="167" fontId="3" fillId="0" borderId="13" xfId="0" applyNumberFormat="1" applyFont="1" applyBorder="1" applyAlignment="1" applyProtection="1">
      <alignment horizontal="center"/>
      <protection locked="0"/>
    </xf>
    <xf numFmtId="1" fontId="9" fillId="6" borderId="8" xfId="0" applyNumberFormat="1" applyFont="1" applyFill="1" applyBorder="1" applyAlignment="1" applyProtection="1">
      <alignment horizontal="center"/>
      <protection locked="0"/>
    </xf>
    <xf numFmtId="2" fontId="9" fillId="6" borderId="14" xfId="0" applyNumberFormat="1" applyFont="1" applyFill="1" applyBorder="1" applyAlignment="1" applyProtection="1">
      <alignment horizontal="center"/>
      <protection locked="0"/>
    </xf>
    <xf numFmtId="1" fontId="3" fillId="0" borderId="14" xfId="0" applyNumberFormat="1" applyFont="1" applyBorder="1" applyAlignment="1">
      <alignment horizontal="center"/>
    </xf>
    <xf numFmtId="1" fontId="3" fillId="6" borderId="14" xfId="0" applyNumberFormat="1" applyFont="1" applyFill="1" applyBorder="1" applyAlignment="1">
      <alignment horizontal="center"/>
    </xf>
    <xf numFmtId="2" fontId="3" fillId="5" borderId="13" xfId="0" applyNumberFormat="1" applyFont="1" applyFill="1" applyBorder="1" applyAlignment="1" applyProtection="1">
      <alignment horizontal="center"/>
      <protection locked="0"/>
    </xf>
    <xf numFmtId="1" fontId="9" fillId="6" borderId="8" xfId="0" applyNumberFormat="1" applyFont="1" applyFill="1" applyBorder="1" applyAlignment="1">
      <alignment horizontal="center"/>
    </xf>
    <xf numFmtId="2" fontId="9" fillId="0" borderId="14" xfId="0" applyNumberFormat="1" applyFont="1" applyBorder="1" applyAlignment="1">
      <alignment horizontal="center"/>
    </xf>
    <xf numFmtId="2" fontId="9" fillId="5" borderId="14" xfId="0" applyNumberFormat="1" applyFont="1" applyFill="1" applyBorder="1" applyAlignment="1">
      <alignment horizontal="center"/>
    </xf>
    <xf numFmtId="1" fontId="9" fillId="0" borderId="9" xfId="0" applyNumberFormat="1" applyFont="1" applyBorder="1" applyAlignment="1">
      <alignment horizontal="center"/>
    </xf>
    <xf numFmtId="2" fontId="3" fillId="5" borderId="14" xfId="0" applyNumberFormat="1" applyFont="1" applyFill="1" applyBorder="1" applyAlignment="1">
      <alignment horizontal="center"/>
    </xf>
    <xf numFmtId="2" fontId="9" fillId="6" borderId="14" xfId="0" applyNumberFormat="1" applyFont="1" applyFill="1" applyBorder="1" applyAlignment="1">
      <alignment horizontal="center"/>
    </xf>
    <xf numFmtId="2" fontId="9" fillId="5" borderId="14" xfId="0" applyNumberFormat="1" applyFont="1" applyFill="1" applyBorder="1" applyAlignment="1" applyProtection="1">
      <alignment horizontal="center"/>
      <protection locked="0"/>
    </xf>
    <xf numFmtId="167" fontId="3" fillId="0" borderId="0" xfId="0" applyNumberFormat="1" applyFont="1" applyAlignment="1">
      <alignment horizontal="center"/>
    </xf>
    <xf numFmtId="1" fontId="9" fillId="0" borderId="0" xfId="0" applyNumberFormat="1" applyFont="1" applyAlignment="1" applyProtection="1">
      <alignment horizontal="center"/>
      <protection locked="0"/>
    </xf>
    <xf numFmtId="164" fontId="3" fillId="2" borderId="13" xfId="0" applyNumberFormat="1" applyFont="1" applyFill="1" applyBorder="1" applyAlignment="1" applyProtection="1">
      <alignment horizontal="center"/>
      <protection locked="0"/>
    </xf>
    <xf numFmtId="164" fontId="3" fillId="0" borderId="0" xfId="0" applyNumberFormat="1" applyFont="1" applyAlignment="1" applyProtection="1">
      <alignment horizontal="center"/>
      <protection locked="0"/>
    </xf>
    <xf numFmtId="0" fontId="3" fillId="0" borderId="12" xfId="0" applyFont="1" applyBorder="1"/>
    <xf numFmtId="167" fontId="3" fillId="0" borderId="8" xfId="0" applyNumberFormat="1" applyFont="1" applyBorder="1" applyAlignment="1">
      <alignment horizontal="center"/>
    </xf>
    <xf numFmtId="11" fontId="9" fillId="0" borderId="8" xfId="0" applyNumberFormat="1" applyFont="1" applyBorder="1" applyAlignment="1" applyProtection="1">
      <alignment horizontal="center"/>
      <protection locked="0"/>
    </xf>
    <xf numFmtId="0" fontId="19" fillId="0" borderId="0" xfId="0" applyFont="1" applyAlignment="1">
      <alignment horizontal="left"/>
    </xf>
    <xf numFmtId="0" fontId="19" fillId="0" borderId="0" xfId="0" applyFont="1" applyAlignment="1">
      <alignment horizontal="center"/>
    </xf>
    <xf numFmtId="0" fontId="20" fillId="0" borderId="0" xfId="1" applyFont="1" applyAlignment="1" applyProtection="1"/>
    <xf numFmtId="0" fontId="20" fillId="0" borderId="0" xfId="1" applyFont="1" applyAlignment="1" applyProtection="1">
      <alignment horizontal="left"/>
    </xf>
    <xf numFmtId="0" fontId="20" fillId="0" borderId="0" xfId="1" applyFont="1" applyAlignment="1" applyProtection="1">
      <alignment horizontal="right"/>
    </xf>
    <xf numFmtId="1" fontId="13" fillId="0" borderId="0" xfId="0" applyNumberFormat="1" applyFont="1" applyAlignment="1">
      <alignment horizontal="center"/>
    </xf>
    <xf numFmtId="165" fontId="13" fillId="0" borderId="0" xfId="0" applyNumberFormat="1" applyFont="1" applyAlignment="1">
      <alignment horizontal="center"/>
    </xf>
    <xf numFmtId="2" fontId="13" fillId="0" borderId="0" xfId="0" applyNumberFormat="1" applyFont="1" applyAlignment="1">
      <alignment horizontal="center"/>
    </xf>
    <xf numFmtId="167" fontId="9" fillId="0" borderId="0" xfId="0" applyNumberFormat="1" applyFont="1" applyAlignment="1">
      <alignment horizontal="center"/>
    </xf>
    <xf numFmtId="2" fontId="9" fillId="0" borderId="0" xfId="0" applyNumberFormat="1" applyFont="1" applyAlignment="1">
      <alignment horizontal="center"/>
    </xf>
    <xf numFmtId="2" fontId="3" fillId="0" borderId="0" xfId="0" applyNumberFormat="1" applyFont="1" applyAlignment="1">
      <alignment horizontal="left"/>
    </xf>
    <xf numFmtId="2" fontId="3" fillId="6" borderId="0" xfId="0" applyNumberFormat="1" applyFont="1" applyFill="1" applyAlignment="1">
      <alignment horizontal="left"/>
    </xf>
    <xf numFmtId="1" fontId="13" fillId="0" borderId="0" xfId="0" applyNumberFormat="1" applyFont="1" applyAlignment="1" applyProtection="1">
      <alignment horizontal="center"/>
      <protection locked="0"/>
    </xf>
    <xf numFmtId="0" fontId="3" fillId="6" borderId="0" xfId="0" applyFont="1" applyFill="1" applyAlignment="1">
      <alignment horizontal="center"/>
    </xf>
    <xf numFmtId="165" fontId="9" fillId="0" borderId="0" xfId="0" applyNumberFormat="1" applyFont="1" applyAlignment="1" applyProtection="1">
      <alignment horizontal="center"/>
      <protection locked="0"/>
    </xf>
    <xf numFmtId="0" fontId="3" fillId="6" borderId="0" xfId="0" applyFont="1" applyFill="1" applyAlignment="1">
      <alignment horizontal="right"/>
    </xf>
    <xf numFmtId="0" fontId="9" fillId="6" borderId="0" xfId="0" applyFont="1" applyFill="1" applyAlignment="1">
      <alignment horizontal="center"/>
    </xf>
    <xf numFmtId="0" fontId="12" fillId="0" borderId="0" xfId="0" applyFont="1" applyAlignment="1">
      <alignment horizontal="right"/>
    </xf>
    <xf numFmtId="0" fontId="12" fillId="0" borderId="0" xfId="0" applyFont="1" applyProtection="1">
      <protection locked="0"/>
    </xf>
    <xf numFmtId="2" fontId="3" fillId="0" borderId="0" xfId="0" applyNumberFormat="1" applyFont="1" applyAlignment="1" applyProtection="1">
      <alignment horizontal="center"/>
      <protection locked="0"/>
    </xf>
    <xf numFmtId="0" fontId="11" fillId="0" borderId="0" xfId="0" applyFont="1" applyProtection="1">
      <protection locked="0"/>
    </xf>
    <xf numFmtId="0" fontId="12" fillId="0" borderId="0" xfId="0" applyFont="1" applyAlignment="1" applyProtection="1">
      <alignment horizontal="left"/>
      <protection locked="0"/>
    </xf>
    <xf numFmtId="0" fontId="12" fillId="0" borderId="0" xfId="0" quotePrefix="1" applyFont="1" applyAlignment="1" applyProtection="1">
      <alignment horizontal="right"/>
      <protection locked="0"/>
    </xf>
    <xf numFmtId="165" fontId="3" fillId="0" borderId="0" xfId="0" applyNumberFormat="1" applyFont="1" applyAlignment="1" applyProtection="1">
      <alignment horizontal="center"/>
      <protection locked="0"/>
    </xf>
    <xf numFmtId="168" fontId="3" fillId="0" borderId="0" xfId="0" applyNumberFormat="1" applyFont="1" applyAlignment="1" applyProtection="1">
      <alignment horizontal="center"/>
      <protection locked="0"/>
    </xf>
    <xf numFmtId="0" fontId="11" fillId="0" borderId="0" xfId="0" applyFont="1" applyAlignment="1" applyProtection="1">
      <alignment horizontal="center"/>
      <protection locked="0"/>
    </xf>
    <xf numFmtId="0" fontId="11" fillId="0" borderId="0" xfId="0" applyFont="1" applyAlignment="1" applyProtection="1">
      <alignment horizontal="left"/>
      <protection locked="0"/>
    </xf>
    <xf numFmtId="0" fontId="11" fillId="0" borderId="0" xfId="0" applyFont="1" applyAlignment="1" applyProtection="1">
      <alignment horizontal="right"/>
      <protection locked="0"/>
    </xf>
    <xf numFmtId="2" fontId="11" fillId="0" borderId="0" xfId="0" applyNumberFormat="1" applyFont="1" applyAlignment="1" applyProtection="1">
      <alignment horizontal="left"/>
      <protection locked="0"/>
    </xf>
    <xf numFmtId="0" fontId="12" fillId="0" borderId="0" xfId="0" applyFont="1" applyAlignment="1">
      <alignment horizontal="left"/>
    </xf>
    <xf numFmtId="2" fontId="3" fillId="4" borderId="13" xfId="0" applyNumberFormat="1" applyFont="1" applyFill="1" applyBorder="1" applyAlignment="1" applyProtection="1">
      <alignment horizontal="left"/>
      <protection locked="0"/>
    </xf>
    <xf numFmtId="0" fontId="11" fillId="0" borderId="0" xfId="0" applyFont="1" applyAlignment="1">
      <alignment horizontal="left"/>
    </xf>
    <xf numFmtId="2" fontId="3" fillId="2" borderId="13" xfId="0" applyNumberFormat="1" applyFont="1" applyFill="1" applyBorder="1" applyAlignment="1" applyProtection="1">
      <alignment horizontal="left"/>
      <protection locked="0"/>
    </xf>
    <xf numFmtId="165" fontId="11" fillId="0" borderId="0" xfId="0" applyNumberFormat="1" applyFont="1" applyAlignment="1" applyProtection="1">
      <alignment horizontal="left"/>
      <protection locked="0"/>
    </xf>
    <xf numFmtId="167" fontId="3" fillId="7" borderId="13" xfId="0" applyNumberFormat="1" applyFont="1" applyFill="1" applyBorder="1" applyAlignment="1" applyProtection="1">
      <alignment horizontal="left"/>
      <protection locked="0"/>
    </xf>
    <xf numFmtId="2" fontId="3" fillId="8" borderId="13" xfId="0" applyNumberFormat="1" applyFont="1" applyFill="1" applyBorder="1" applyAlignment="1" applyProtection="1">
      <alignment horizontal="left"/>
      <protection locked="0"/>
    </xf>
    <xf numFmtId="0" fontId="21" fillId="0" borderId="0" xfId="0" applyFont="1" applyAlignment="1">
      <alignment horizontal="left"/>
    </xf>
    <xf numFmtId="0" fontId="12" fillId="0" borderId="0" xfId="0" applyFont="1" applyAlignment="1" applyProtection="1">
      <alignment horizontal="right"/>
      <protection locked="0"/>
    </xf>
    <xf numFmtId="2" fontId="3" fillId="0" borderId="0" xfId="0" applyNumberFormat="1" applyFont="1" applyAlignment="1" applyProtection="1">
      <alignment horizontal="left"/>
      <protection locked="0"/>
    </xf>
    <xf numFmtId="2" fontId="3" fillId="2" borderId="0" xfId="0" applyNumberFormat="1" applyFont="1" applyFill="1" applyAlignment="1" applyProtection="1">
      <alignment horizontal="left"/>
      <protection locked="0"/>
    </xf>
    <xf numFmtId="0" fontId="11" fillId="0" borderId="0" xfId="0" applyFont="1" applyAlignment="1">
      <alignment horizontal="right"/>
    </xf>
    <xf numFmtId="165" fontId="11" fillId="0" borderId="0" xfId="0" applyNumberFormat="1" applyFont="1" applyAlignment="1">
      <alignment horizontal="left"/>
    </xf>
    <xf numFmtId="2" fontId="11" fillId="0" borderId="0" xfId="0" applyNumberFormat="1" applyFont="1" applyAlignment="1">
      <alignment horizontal="left"/>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KEY SLOT STRESS FACTOR</a:t>
            </a:r>
          </a:p>
        </c:rich>
      </c:tx>
      <c:layout>
        <c:manualLayout>
          <c:xMode val="edge"/>
          <c:yMode val="edge"/>
          <c:x val="0.24256292906178489"/>
          <c:y val="3.2500000000000001E-2"/>
        </c:manualLayout>
      </c:layout>
      <c:overlay val="0"/>
      <c:spPr>
        <a:noFill/>
        <a:ln w="25400">
          <a:noFill/>
        </a:ln>
      </c:spPr>
    </c:title>
    <c:autoTitleDeleted val="0"/>
    <c:plotArea>
      <c:layout>
        <c:manualLayout>
          <c:layoutTarget val="inner"/>
          <c:xMode val="edge"/>
          <c:yMode val="edge"/>
          <c:x val="0.17391304347826086"/>
          <c:y val="0.17750021667506918"/>
          <c:w val="0.67276887871853552"/>
          <c:h val="0.65000079345799988"/>
        </c:manualLayout>
      </c:layout>
      <c:lineChart>
        <c:grouping val="standard"/>
        <c:varyColors val="0"/>
        <c:ser>
          <c:idx val="0"/>
          <c:order val="0"/>
          <c:tx>
            <c:strRef>
              <c:f>'4 Coupling'!$D$42</c:f>
              <c:strCache>
                <c:ptCount val="1"/>
                <c:pt idx="0">
                  <c:v>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'4 Coupling'!$C$43:$C$47</c:f>
              <c:numCache>
                <c:formatCode>0.0</c:formatCode>
                <c:ptCount val="5"/>
                <c:pt idx="0">
                  <c:v>0.2</c:v>
                </c:pt>
                <c:pt idx="1">
                  <c:v>0.4</c:v>
                </c:pt>
                <c:pt idx="2">
                  <c:v>0.6</c:v>
                </c:pt>
                <c:pt idx="3">
                  <c:v>0.8</c:v>
                </c:pt>
                <c:pt idx="4">
                  <c:v>1</c:v>
                </c:pt>
              </c:numCache>
            </c:numRef>
          </c:cat>
          <c:val>
            <c:numRef>
              <c:f>'4 Coupling'!$D$43:$D$47</c:f>
              <c:numCache>
                <c:formatCode>0.00</c:formatCode>
                <c:ptCount val="5"/>
                <c:pt idx="0">
                  <c:v>2.0099999999999998</c:v>
                </c:pt>
                <c:pt idx="1">
                  <c:v>1.59</c:v>
                </c:pt>
                <c:pt idx="2">
                  <c:v>1.41</c:v>
                </c:pt>
                <c:pt idx="3">
                  <c:v>1.37</c:v>
                </c:pt>
                <c:pt idx="4">
                  <c:v>1.35</c:v>
                </c:pt>
              </c:numCache>
            </c:numRef>
          </c:val>
          <c:smooth val="0"/>
          <c:extLst>
            <c:ext xmlns:c16="http://schemas.microsoft.com/office/drawing/2014/chart" uri="{C3380CC4-5D6E-409C-BE32-E72D297353CC}">
              <c16:uniqueId val="{00000000-36A7-41DF-8AED-00389C9FCAB1}"/>
            </c:ext>
          </c:extLst>
        </c:ser>
        <c:ser>
          <c:idx val="1"/>
          <c:order val="1"/>
          <c:tx>
            <c:strRef>
              <c:f>'4 Coupling'!$E$42</c:f>
              <c:strCache>
                <c:ptCount val="1"/>
                <c:pt idx="0">
                  <c:v>B</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'4 Coupling'!$C$43:$C$47</c:f>
              <c:numCache>
                <c:formatCode>0.0</c:formatCode>
                <c:ptCount val="5"/>
                <c:pt idx="0">
                  <c:v>0.2</c:v>
                </c:pt>
                <c:pt idx="1">
                  <c:v>0.4</c:v>
                </c:pt>
                <c:pt idx="2">
                  <c:v>0.6</c:v>
                </c:pt>
                <c:pt idx="3">
                  <c:v>0.8</c:v>
                </c:pt>
                <c:pt idx="4">
                  <c:v>1</c:v>
                </c:pt>
              </c:numCache>
            </c:numRef>
          </c:cat>
          <c:val>
            <c:numRef>
              <c:f>'4 Coupling'!$E$43:$E$47</c:f>
              <c:numCache>
                <c:formatCode>0.00</c:formatCode>
                <c:ptCount val="5"/>
                <c:pt idx="0">
                  <c:v>1.91</c:v>
                </c:pt>
                <c:pt idx="1">
                  <c:v>1.5</c:v>
                </c:pt>
                <c:pt idx="2">
                  <c:v>1.32</c:v>
                </c:pt>
                <c:pt idx="3">
                  <c:v>1.28</c:v>
                </c:pt>
                <c:pt idx="4">
                  <c:v>1.25</c:v>
                </c:pt>
              </c:numCache>
            </c:numRef>
          </c:val>
          <c:smooth val="0"/>
          <c:extLst>
            <c:ext xmlns:c16="http://schemas.microsoft.com/office/drawing/2014/chart" uri="{C3380CC4-5D6E-409C-BE32-E72D297353CC}">
              <c16:uniqueId val="{00000001-36A7-41DF-8AED-00389C9FCAB1}"/>
            </c:ext>
          </c:extLst>
        </c:ser>
        <c:ser>
          <c:idx val="2"/>
          <c:order val="2"/>
          <c:tx>
            <c:strRef>
              <c:f>'4 Coupling'!$F$42</c:f>
              <c:strCache>
                <c:ptCount val="1"/>
                <c:pt idx="0">
                  <c:v>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'4 Coupling'!$C$43:$C$47</c:f>
              <c:numCache>
                <c:formatCode>0.0</c:formatCode>
                <c:ptCount val="5"/>
                <c:pt idx="0">
                  <c:v>0.2</c:v>
                </c:pt>
                <c:pt idx="1">
                  <c:v>0.4</c:v>
                </c:pt>
                <c:pt idx="2">
                  <c:v>0.6</c:v>
                </c:pt>
                <c:pt idx="3">
                  <c:v>0.8</c:v>
                </c:pt>
                <c:pt idx="4">
                  <c:v>1</c:v>
                </c:pt>
              </c:numCache>
            </c:numRef>
          </c:cat>
          <c:val>
            <c:numRef>
              <c:f>'4 Coupling'!$F$43:$F$47</c:f>
              <c:numCache>
                <c:formatCode>0.00</c:formatCode>
                <c:ptCount val="5"/>
                <c:pt idx="0">
                  <c:v>1.77</c:v>
                </c:pt>
                <c:pt idx="1">
                  <c:v>1.4</c:v>
                </c:pt>
                <c:pt idx="2">
                  <c:v>1.25</c:v>
                </c:pt>
                <c:pt idx="3">
                  <c:v>1.19</c:v>
                </c:pt>
                <c:pt idx="4">
                  <c:v>1.17</c:v>
                </c:pt>
              </c:numCache>
            </c:numRef>
          </c:val>
          <c:smooth val="0"/>
          <c:extLst>
            <c:ext xmlns:c16="http://schemas.microsoft.com/office/drawing/2014/chart" uri="{C3380CC4-5D6E-409C-BE32-E72D297353CC}">
              <c16:uniqueId val="{00000002-36A7-41DF-8AED-00389C9FCAB1}"/>
            </c:ext>
          </c:extLst>
        </c:ser>
        <c:ser>
          <c:idx val="3"/>
          <c:order val="3"/>
          <c:tx>
            <c:strRef>
              <c:f>'4 Coupling'!$G$42</c:f>
              <c:strCache>
                <c:ptCount val="1"/>
                <c:pt idx="0">
                  <c:v>D</c:v>
                </c:pt>
              </c:strCache>
            </c:strRef>
          </c:tx>
          <c:spPr>
            <a:ln w="12700">
              <a:solidFill>
                <a:srgbClr val="00FFFF"/>
              </a:solidFill>
              <a:prstDash val="solid"/>
            </a:ln>
          </c:spPr>
          <c:marker>
            <c:symbol val="x"/>
            <c:size val="5"/>
            <c:spPr>
              <a:noFill/>
              <a:ln>
                <a:solidFill>
                  <a:srgbClr val="00FFFF"/>
                </a:solidFill>
                <a:prstDash val="solid"/>
              </a:ln>
            </c:spPr>
          </c:marker>
          <c:cat>
            <c:numRef>
              <c:f>'4 Coupling'!$C$43:$C$47</c:f>
              <c:numCache>
                <c:formatCode>0.0</c:formatCode>
                <c:ptCount val="5"/>
                <c:pt idx="0">
                  <c:v>0.2</c:v>
                </c:pt>
                <c:pt idx="1">
                  <c:v>0.4</c:v>
                </c:pt>
                <c:pt idx="2">
                  <c:v>0.6</c:v>
                </c:pt>
                <c:pt idx="3">
                  <c:v>0.8</c:v>
                </c:pt>
                <c:pt idx="4">
                  <c:v>1</c:v>
                </c:pt>
              </c:numCache>
            </c:numRef>
          </c:cat>
          <c:val>
            <c:numRef>
              <c:f>'4 Coupling'!$G$43:$G$47</c:f>
              <c:numCache>
                <c:formatCode>0.00</c:formatCode>
                <c:ptCount val="5"/>
                <c:pt idx="0">
                  <c:v>1.62</c:v>
                </c:pt>
                <c:pt idx="1">
                  <c:v>1.3</c:v>
                </c:pt>
                <c:pt idx="2">
                  <c:v>1.18</c:v>
                </c:pt>
                <c:pt idx="3">
                  <c:v>1.1000000000000001</c:v>
                </c:pt>
                <c:pt idx="4">
                  <c:v>1.07</c:v>
                </c:pt>
              </c:numCache>
            </c:numRef>
          </c:val>
          <c:smooth val="0"/>
          <c:extLst>
            <c:ext xmlns:c16="http://schemas.microsoft.com/office/drawing/2014/chart" uri="{C3380CC4-5D6E-409C-BE32-E72D297353CC}">
              <c16:uniqueId val="{00000003-36A7-41DF-8AED-00389C9FCAB1}"/>
            </c:ext>
          </c:extLst>
        </c:ser>
        <c:dLbls>
          <c:showLegendKey val="0"/>
          <c:showVal val="0"/>
          <c:showCatName val="0"/>
          <c:showSerName val="0"/>
          <c:showPercent val="0"/>
          <c:showBubbleSize val="0"/>
        </c:dLbls>
        <c:marker val="1"/>
        <c:smooth val="0"/>
        <c:axId val="432537904"/>
        <c:axId val="1"/>
      </c:lineChart>
      <c:catAx>
        <c:axId val="4325379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975" b="1" i="0" u="none" strike="noStrike" baseline="0">
                    <a:solidFill>
                      <a:srgbClr val="000000"/>
                    </a:solidFill>
                    <a:latin typeface="Arial"/>
                    <a:ea typeface="Arial"/>
                    <a:cs typeface="Arial"/>
                  </a:defRPr>
                </a:pPr>
                <a:r>
                  <a:rPr lang="en-US"/>
                  <a:t>Key half slot width / Slot depth (y / h)</a:t>
                </a:r>
              </a:p>
            </c:rich>
          </c:tx>
          <c:layout>
            <c:manualLayout>
              <c:xMode val="edge"/>
              <c:yMode val="edge"/>
              <c:x val="0.2402745995423341"/>
              <c:y val="0.90500104986876639"/>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1"/>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US"/>
                  <a:t>Key Slot Stress Factor (Kk)</a:t>
                </a:r>
              </a:p>
            </c:rich>
          </c:tx>
          <c:layout>
            <c:manualLayout>
              <c:xMode val="edge"/>
              <c:yMode val="edge"/>
              <c:x val="3.6613272311212815E-2"/>
              <c:y val="0.29000026246719157"/>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432537904"/>
        <c:crosses val="autoZero"/>
        <c:crossBetween val="between"/>
        <c:majorUnit val="0.1"/>
      </c:valAx>
      <c:spPr>
        <a:solidFill>
          <a:srgbClr val="C0C0C0"/>
        </a:solidFill>
        <a:ln w="12700">
          <a:solidFill>
            <a:srgbClr val="808080"/>
          </a:solidFill>
          <a:prstDash val="solid"/>
        </a:ln>
      </c:spPr>
    </c:plotArea>
    <c:legend>
      <c:legendPos val="r"/>
      <c:layout>
        <c:manualLayout>
          <c:xMode val="edge"/>
          <c:yMode val="edge"/>
          <c:x val="0.87185354691075512"/>
          <c:y val="0.4550005249343832"/>
          <c:w val="0.10983981693363842"/>
          <c:h val="0.17500026246719153"/>
        </c:manualLayout>
      </c:layout>
      <c:overlay val="0"/>
      <c:spPr>
        <a:solidFill>
          <a:srgbClr val="FFFFFF"/>
        </a:solidFill>
        <a:ln w="3175">
          <a:solidFill>
            <a:srgbClr val="000000"/>
          </a:solidFill>
          <a:prstDash val="solid"/>
        </a:ln>
      </c:spPr>
      <c:txPr>
        <a:bodyPr/>
        <a:lstStyle/>
        <a:p>
          <a:pPr>
            <a:defRPr sz="89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10.xml.rels><?xml version="1.0" encoding="UTF-8" standalone="yes"?>
<Relationships xmlns="http://schemas.openxmlformats.org/package/2006/relationships"><Relationship Id="rId8" Type="http://schemas.openxmlformats.org/officeDocument/2006/relationships/image" Target="../media/image75.jpeg"/><Relationship Id="rId13" Type="http://schemas.openxmlformats.org/officeDocument/2006/relationships/image" Target="../media/image80.jpeg"/><Relationship Id="rId18" Type="http://schemas.openxmlformats.org/officeDocument/2006/relationships/image" Target="../media/image85.jpeg"/><Relationship Id="rId3" Type="http://schemas.openxmlformats.org/officeDocument/2006/relationships/image" Target="../media/image70.jpeg"/><Relationship Id="rId21" Type="http://schemas.openxmlformats.org/officeDocument/2006/relationships/image" Target="../media/image88.jpeg"/><Relationship Id="rId7" Type="http://schemas.openxmlformats.org/officeDocument/2006/relationships/image" Target="../media/image74.jpeg"/><Relationship Id="rId12" Type="http://schemas.openxmlformats.org/officeDocument/2006/relationships/image" Target="../media/image79.jpeg"/><Relationship Id="rId17" Type="http://schemas.openxmlformats.org/officeDocument/2006/relationships/image" Target="../media/image84.jpeg"/><Relationship Id="rId2" Type="http://schemas.openxmlformats.org/officeDocument/2006/relationships/image" Target="../media/image69.jpeg"/><Relationship Id="rId16" Type="http://schemas.openxmlformats.org/officeDocument/2006/relationships/image" Target="../media/image83.jpeg"/><Relationship Id="rId20" Type="http://schemas.openxmlformats.org/officeDocument/2006/relationships/image" Target="../media/image87.jpeg"/><Relationship Id="rId1" Type="http://schemas.openxmlformats.org/officeDocument/2006/relationships/image" Target="../media/image68.jpeg"/><Relationship Id="rId6" Type="http://schemas.openxmlformats.org/officeDocument/2006/relationships/image" Target="../media/image73.jpeg"/><Relationship Id="rId11" Type="http://schemas.openxmlformats.org/officeDocument/2006/relationships/image" Target="../media/image78.jpeg"/><Relationship Id="rId5" Type="http://schemas.openxmlformats.org/officeDocument/2006/relationships/image" Target="../media/image72.jpeg"/><Relationship Id="rId15" Type="http://schemas.openxmlformats.org/officeDocument/2006/relationships/image" Target="../media/image82.jpeg"/><Relationship Id="rId23" Type="http://schemas.openxmlformats.org/officeDocument/2006/relationships/image" Target="../media/image90.jpeg"/><Relationship Id="rId10" Type="http://schemas.openxmlformats.org/officeDocument/2006/relationships/image" Target="../media/image77.jpeg"/><Relationship Id="rId19" Type="http://schemas.openxmlformats.org/officeDocument/2006/relationships/image" Target="../media/image86.jpeg"/><Relationship Id="rId4" Type="http://schemas.openxmlformats.org/officeDocument/2006/relationships/image" Target="../media/image71.jpeg"/><Relationship Id="rId9" Type="http://schemas.openxmlformats.org/officeDocument/2006/relationships/image" Target="../media/image76.jpeg"/><Relationship Id="rId14" Type="http://schemas.openxmlformats.org/officeDocument/2006/relationships/image" Target="../media/image81.jpeg"/><Relationship Id="rId22" Type="http://schemas.openxmlformats.org/officeDocument/2006/relationships/image" Target="../media/image89.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93.jpeg"/><Relationship Id="rId7" Type="http://schemas.openxmlformats.org/officeDocument/2006/relationships/image" Target="../media/image97.jpeg"/><Relationship Id="rId2" Type="http://schemas.openxmlformats.org/officeDocument/2006/relationships/image" Target="../media/image92.jpeg"/><Relationship Id="rId1" Type="http://schemas.openxmlformats.org/officeDocument/2006/relationships/image" Target="../media/image91.jpeg"/><Relationship Id="rId6" Type="http://schemas.openxmlformats.org/officeDocument/2006/relationships/image" Target="../media/image96.jpeg"/><Relationship Id="rId5" Type="http://schemas.openxmlformats.org/officeDocument/2006/relationships/image" Target="../media/image95.jpeg"/><Relationship Id="rId4" Type="http://schemas.openxmlformats.org/officeDocument/2006/relationships/image" Target="../media/image9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00.jpg"/><Relationship Id="rId7" Type="http://schemas.openxmlformats.org/officeDocument/2006/relationships/image" Target="../media/image104.jpg"/><Relationship Id="rId2" Type="http://schemas.openxmlformats.org/officeDocument/2006/relationships/image" Target="../media/image99.tif"/><Relationship Id="rId1" Type="http://schemas.openxmlformats.org/officeDocument/2006/relationships/image" Target="../media/image98.tif"/><Relationship Id="rId6" Type="http://schemas.openxmlformats.org/officeDocument/2006/relationships/image" Target="../media/image103.jpg"/><Relationship Id="rId5" Type="http://schemas.openxmlformats.org/officeDocument/2006/relationships/image" Target="../media/image102.jpg"/><Relationship Id="rId4" Type="http://schemas.openxmlformats.org/officeDocument/2006/relationships/image" Target="../media/image101.jpg"/></Relationships>
</file>

<file path=xl/drawings/_rels/drawing2.xml.rels><?xml version="1.0" encoding="UTF-8" standalone="yes"?>
<Relationships xmlns="http://schemas.openxmlformats.org/package/2006/relationships"><Relationship Id="rId8" Type="http://schemas.openxmlformats.org/officeDocument/2006/relationships/image" Target="../media/image17.jpeg"/><Relationship Id="rId13" Type="http://schemas.openxmlformats.org/officeDocument/2006/relationships/image" Target="../media/image22.jpeg"/><Relationship Id="rId3" Type="http://schemas.openxmlformats.org/officeDocument/2006/relationships/image" Target="../media/image12.jpeg"/><Relationship Id="rId7" Type="http://schemas.openxmlformats.org/officeDocument/2006/relationships/image" Target="../media/image16.jpeg"/><Relationship Id="rId12" Type="http://schemas.openxmlformats.org/officeDocument/2006/relationships/image" Target="../media/image21.jpeg"/><Relationship Id="rId2" Type="http://schemas.openxmlformats.org/officeDocument/2006/relationships/image" Target="../media/image11.jpeg"/><Relationship Id="rId16" Type="http://schemas.openxmlformats.org/officeDocument/2006/relationships/image" Target="../media/image25.jpeg"/><Relationship Id="rId1" Type="http://schemas.openxmlformats.org/officeDocument/2006/relationships/image" Target="../media/image10.jpeg"/><Relationship Id="rId6" Type="http://schemas.openxmlformats.org/officeDocument/2006/relationships/image" Target="../media/image15.jpeg"/><Relationship Id="rId11" Type="http://schemas.openxmlformats.org/officeDocument/2006/relationships/image" Target="../media/image20.jpeg"/><Relationship Id="rId5" Type="http://schemas.openxmlformats.org/officeDocument/2006/relationships/image" Target="../media/image14.jpeg"/><Relationship Id="rId15" Type="http://schemas.openxmlformats.org/officeDocument/2006/relationships/image" Target="../media/image24.jpeg"/><Relationship Id="rId10" Type="http://schemas.openxmlformats.org/officeDocument/2006/relationships/image" Target="../media/image19.jpeg"/><Relationship Id="rId4" Type="http://schemas.openxmlformats.org/officeDocument/2006/relationships/image" Target="../media/image13.jpeg"/><Relationship Id="rId9" Type="http://schemas.openxmlformats.org/officeDocument/2006/relationships/image" Target="../media/image18.jpeg"/><Relationship Id="rId14" Type="http://schemas.openxmlformats.org/officeDocument/2006/relationships/image" Target="../media/image23.jpeg"/></Relationships>
</file>

<file path=xl/drawings/_rels/drawing3.xml.rels><?xml version="1.0" encoding="UTF-8" standalone="yes"?>
<Relationships xmlns="http://schemas.openxmlformats.org/package/2006/relationships"><Relationship Id="rId8" Type="http://schemas.openxmlformats.org/officeDocument/2006/relationships/image" Target="../media/image33.jpeg"/><Relationship Id="rId13" Type="http://schemas.openxmlformats.org/officeDocument/2006/relationships/image" Target="../media/image38.jpeg"/><Relationship Id="rId3" Type="http://schemas.openxmlformats.org/officeDocument/2006/relationships/image" Target="../media/image28.jpeg"/><Relationship Id="rId7" Type="http://schemas.openxmlformats.org/officeDocument/2006/relationships/image" Target="../media/image32.jpeg"/><Relationship Id="rId12" Type="http://schemas.openxmlformats.org/officeDocument/2006/relationships/image" Target="../media/image37.jpeg"/><Relationship Id="rId2" Type="http://schemas.openxmlformats.org/officeDocument/2006/relationships/image" Target="../media/image27.jpeg"/><Relationship Id="rId1" Type="http://schemas.openxmlformats.org/officeDocument/2006/relationships/image" Target="../media/image26.jpeg"/><Relationship Id="rId6" Type="http://schemas.openxmlformats.org/officeDocument/2006/relationships/image" Target="../media/image31.jpeg"/><Relationship Id="rId11" Type="http://schemas.openxmlformats.org/officeDocument/2006/relationships/image" Target="../media/image36.jpeg"/><Relationship Id="rId5" Type="http://schemas.openxmlformats.org/officeDocument/2006/relationships/image" Target="../media/image30.jpeg"/><Relationship Id="rId10" Type="http://schemas.openxmlformats.org/officeDocument/2006/relationships/image" Target="../media/image35.jpeg"/><Relationship Id="rId4" Type="http://schemas.openxmlformats.org/officeDocument/2006/relationships/image" Target="../media/image29.jpeg"/><Relationship Id="rId9" Type="http://schemas.openxmlformats.org/officeDocument/2006/relationships/image" Target="../media/image34.jpeg"/><Relationship Id="rId14" Type="http://schemas.openxmlformats.org/officeDocument/2006/relationships/image" Target="../media/image1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1.jpeg"/><Relationship Id="rId7" Type="http://schemas.openxmlformats.org/officeDocument/2006/relationships/image" Target="../media/image44.jpeg"/><Relationship Id="rId2" Type="http://schemas.openxmlformats.org/officeDocument/2006/relationships/image" Target="../media/image40.jpeg"/><Relationship Id="rId1" Type="http://schemas.openxmlformats.org/officeDocument/2006/relationships/image" Target="../media/image39.jpeg"/><Relationship Id="rId6" Type="http://schemas.openxmlformats.org/officeDocument/2006/relationships/image" Target="../media/image43.jpeg"/><Relationship Id="rId5" Type="http://schemas.openxmlformats.org/officeDocument/2006/relationships/chart" Target="../charts/chart1.xml"/><Relationship Id="rId4" Type="http://schemas.openxmlformats.org/officeDocument/2006/relationships/image" Target="../media/image4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47.jpeg"/><Relationship Id="rId2" Type="http://schemas.openxmlformats.org/officeDocument/2006/relationships/image" Target="../media/image46.jpeg"/><Relationship Id="rId1" Type="http://schemas.openxmlformats.org/officeDocument/2006/relationships/image" Target="../media/image45.jpeg"/><Relationship Id="rId4" Type="http://schemas.openxmlformats.org/officeDocument/2006/relationships/image" Target="../media/image4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50.jpeg"/><Relationship Id="rId1" Type="http://schemas.openxmlformats.org/officeDocument/2006/relationships/image" Target="../media/image49.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3.jpeg"/><Relationship Id="rId2" Type="http://schemas.openxmlformats.org/officeDocument/2006/relationships/image" Target="../media/image52.jpeg"/><Relationship Id="rId1" Type="http://schemas.openxmlformats.org/officeDocument/2006/relationships/image" Target="../media/image51.jpeg"/><Relationship Id="rId5" Type="http://schemas.openxmlformats.org/officeDocument/2006/relationships/image" Target="../media/image55.png"/><Relationship Id="rId4" Type="http://schemas.openxmlformats.org/officeDocument/2006/relationships/image" Target="../media/image54.png"/></Relationships>
</file>

<file path=xl/drawings/_rels/drawing8.xml.rels><?xml version="1.0" encoding="UTF-8" standalone="yes"?>
<Relationships xmlns="http://schemas.openxmlformats.org/package/2006/relationships"><Relationship Id="rId8" Type="http://schemas.openxmlformats.org/officeDocument/2006/relationships/image" Target="../media/image62.png"/><Relationship Id="rId3" Type="http://schemas.openxmlformats.org/officeDocument/2006/relationships/image" Target="../media/image58.jpeg"/><Relationship Id="rId7" Type="http://schemas.openxmlformats.org/officeDocument/2006/relationships/image" Target="../media/image61.jpeg"/><Relationship Id="rId2" Type="http://schemas.openxmlformats.org/officeDocument/2006/relationships/image" Target="../media/image57.jpeg"/><Relationship Id="rId1" Type="http://schemas.openxmlformats.org/officeDocument/2006/relationships/image" Target="../media/image56.jpeg"/><Relationship Id="rId6" Type="http://schemas.openxmlformats.org/officeDocument/2006/relationships/image" Target="../media/image8.jpeg"/><Relationship Id="rId5" Type="http://schemas.openxmlformats.org/officeDocument/2006/relationships/image" Target="../media/image60.jpeg"/><Relationship Id="rId4" Type="http://schemas.openxmlformats.org/officeDocument/2006/relationships/image" Target="../media/image59.jpeg"/></Relationships>
</file>

<file path=xl/drawings/_rels/drawing9.xml.rels><?xml version="1.0" encoding="UTF-8" standalone="yes"?>
<Relationships xmlns="http://schemas.openxmlformats.org/package/2006/relationships"><Relationship Id="rId3" Type="http://schemas.openxmlformats.org/officeDocument/2006/relationships/image" Target="../media/image65.gif"/><Relationship Id="rId2" Type="http://schemas.openxmlformats.org/officeDocument/2006/relationships/image" Target="../media/image64.gif"/><Relationship Id="rId1" Type="http://schemas.openxmlformats.org/officeDocument/2006/relationships/image" Target="../media/image63.jpeg"/><Relationship Id="rId5" Type="http://schemas.openxmlformats.org/officeDocument/2006/relationships/image" Target="../media/image67.gif"/><Relationship Id="rId4" Type="http://schemas.openxmlformats.org/officeDocument/2006/relationships/image" Target="../media/image66.gif"/></Relationships>
</file>

<file path=xl/drawings/drawing1.xml><?xml version="1.0" encoding="utf-8"?>
<xdr:wsDr xmlns:xdr="http://schemas.openxmlformats.org/drawingml/2006/spreadsheetDrawing" xmlns:a="http://schemas.openxmlformats.org/drawingml/2006/main">
  <xdr:twoCellAnchor editAs="oneCell">
    <xdr:from>
      <xdr:col>1</xdr:col>
      <xdr:colOff>62767</xdr:colOff>
      <xdr:row>26</xdr:row>
      <xdr:rowOff>77666</xdr:rowOff>
    </xdr:from>
    <xdr:to>
      <xdr:col>6</xdr:col>
      <xdr:colOff>311393</xdr:colOff>
      <xdr:row>37</xdr:row>
      <xdr:rowOff>119185</xdr:rowOff>
    </xdr:to>
    <xdr:pic>
      <xdr:nvPicPr>
        <xdr:cNvPr id="11468" name="Picture 1" descr="mobile-machinery BACK HOE-1">
          <a:extLst>
            <a:ext uri="{FF2B5EF4-FFF2-40B4-BE49-F238E27FC236}">
              <a16:creationId xmlns:a16="http://schemas.microsoft.com/office/drawing/2014/main" id="{4F983322-8E43-411A-8D14-4983ABF0A3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344" y="5157666"/>
          <a:ext cx="3301511" cy="219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446453</xdr:colOff>
      <xdr:row>156</xdr:row>
      <xdr:rowOff>129442</xdr:rowOff>
    </xdr:from>
    <xdr:to>
      <xdr:col>7</xdr:col>
      <xdr:colOff>484554</xdr:colOff>
      <xdr:row>169</xdr:row>
      <xdr:rowOff>35902</xdr:rowOff>
    </xdr:to>
    <xdr:pic>
      <xdr:nvPicPr>
        <xdr:cNvPr id="11469" name="Picture 2" descr="UBS-custom-packaging-machine">
          <a:extLst>
            <a:ext uri="{FF2B5EF4-FFF2-40B4-BE49-F238E27FC236}">
              <a16:creationId xmlns:a16="http://schemas.microsoft.com/office/drawing/2014/main" id="{445C4171-B7E6-4133-B34E-40357D6E1F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7607" y="30609442"/>
          <a:ext cx="3090985" cy="244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75467</xdr:colOff>
      <xdr:row>180</xdr:row>
      <xdr:rowOff>170961</xdr:rowOff>
    </xdr:from>
    <xdr:to>
      <xdr:col>8</xdr:col>
      <xdr:colOff>123092</xdr:colOff>
      <xdr:row>196</xdr:row>
      <xdr:rowOff>136035</xdr:rowOff>
    </xdr:to>
    <xdr:pic>
      <xdr:nvPicPr>
        <xdr:cNvPr id="11470" name="Picture 3" descr="FRONT SUSPENSION-1">
          <a:extLst>
            <a:ext uri="{FF2B5EF4-FFF2-40B4-BE49-F238E27FC236}">
              <a16:creationId xmlns:a16="http://schemas.microsoft.com/office/drawing/2014/main" id="{16B7890F-9B88-441B-88FF-FD0276D43B9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96621" y="35340192"/>
          <a:ext cx="3711086" cy="3091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312616</xdr:colOff>
      <xdr:row>129</xdr:row>
      <xdr:rowOff>81573</xdr:rowOff>
    </xdr:from>
    <xdr:to>
      <xdr:col>7</xdr:col>
      <xdr:colOff>312616</xdr:colOff>
      <xdr:row>145</xdr:row>
      <xdr:rowOff>56174</xdr:rowOff>
    </xdr:to>
    <xdr:pic>
      <xdr:nvPicPr>
        <xdr:cNvPr id="11471" name="Picture 4" descr="6948-pulverizing-machinery-hammer-mill-grinder-shredder-1">
          <a:extLst>
            <a:ext uri="{FF2B5EF4-FFF2-40B4-BE49-F238E27FC236}">
              <a16:creationId xmlns:a16="http://schemas.microsoft.com/office/drawing/2014/main" id="{EF8475B1-151E-4A3F-9E19-FC65D62761D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3770" y="25286188"/>
          <a:ext cx="3052884" cy="3100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55929</xdr:colOff>
      <xdr:row>214</xdr:row>
      <xdr:rowOff>81329</xdr:rowOff>
    </xdr:from>
    <xdr:to>
      <xdr:col>8</xdr:col>
      <xdr:colOff>27354</xdr:colOff>
      <xdr:row>226</xdr:row>
      <xdr:rowOff>135548</xdr:rowOff>
    </xdr:to>
    <xdr:pic>
      <xdr:nvPicPr>
        <xdr:cNvPr id="11472" name="Picture 5" descr="GEAR BOX OPEN-1">
          <a:extLst>
            <a:ext uri="{FF2B5EF4-FFF2-40B4-BE49-F238E27FC236}">
              <a16:creationId xmlns:a16="http://schemas.microsoft.com/office/drawing/2014/main" id="{D85D431C-BFD2-4902-948E-AFEFD2129C1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77083" y="41893637"/>
          <a:ext cx="3634886" cy="2398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165100</xdr:colOff>
      <xdr:row>270</xdr:row>
      <xdr:rowOff>9769</xdr:rowOff>
    </xdr:from>
    <xdr:to>
      <xdr:col>6</xdr:col>
      <xdr:colOff>555625</xdr:colOff>
      <xdr:row>285</xdr:row>
      <xdr:rowOff>189279</xdr:rowOff>
    </xdr:to>
    <xdr:pic>
      <xdr:nvPicPr>
        <xdr:cNvPr id="11473" name="Picture 6" descr="PRINTER MECHANISM-1">
          <a:extLst>
            <a:ext uri="{FF2B5EF4-FFF2-40B4-BE49-F238E27FC236}">
              <a16:creationId xmlns:a16="http://schemas.microsoft.com/office/drawing/2014/main" id="{2B947071-5715-46F6-9B74-30CCE25A3EA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386254" y="52763615"/>
          <a:ext cx="2832833" cy="3110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275981</xdr:colOff>
      <xdr:row>37</xdr:row>
      <xdr:rowOff>152642</xdr:rowOff>
    </xdr:from>
    <xdr:to>
      <xdr:col>5</xdr:col>
      <xdr:colOff>488462</xdr:colOff>
      <xdr:row>43</xdr:row>
      <xdr:rowOff>53730</xdr:rowOff>
    </xdr:to>
    <xdr:sp macro="" textlink="">
      <xdr:nvSpPr>
        <xdr:cNvPr id="11335" name="Text Box 7">
          <a:extLst>
            <a:ext uri="{FF2B5EF4-FFF2-40B4-BE49-F238E27FC236}">
              <a16:creationId xmlns:a16="http://schemas.microsoft.com/office/drawing/2014/main" id="{6728FE13-BB34-45A0-BF76-8A45BDA8D675}"/>
            </a:ext>
          </a:extLst>
        </xdr:cNvPr>
        <xdr:cNvSpPr txBox="1">
          <a:spLocks noChangeArrowheads="1"/>
        </xdr:cNvSpPr>
      </xdr:nvSpPr>
      <xdr:spPr bwMode="auto">
        <a:xfrm>
          <a:off x="1497135" y="7381873"/>
          <a:ext cx="2044212" cy="107339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lnSpc>
              <a:spcPts val="1000"/>
            </a:lnSpc>
            <a:defRPr sz="1000"/>
          </a:pPr>
          <a:endParaRPr lang="en-US" sz="1200" b="1" i="0" u="none" strike="noStrike" baseline="0">
            <a:solidFill>
              <a:srgbClr val="000000"/>
            </a:solidFill>
            <a:latin typeface="Arial"/>
            <a:cs typeface="Arial"/>
          </a:endParaRPr>
        </a:p>
        <a:p>
          <a:pPr algn="ctr" rtl="0">
            <a:lnSpc>
              <a:spcPts val="1000"/>
            </a:lnSpc>
            <a:defRPr sz="1000"/>
          </a:pPr>
          <a:r>
            <a:rPr lang="en-US" sz="1200" b="1" i="0" u="none" strike="noStrike" baseline="0">
              <a:solidFill>
                <a:srgbClr val="000000"/>
              </a:solidFill>
              <a:latin typeface="Arial"/>
              <a:cs typeface="Arial"/>
            </a:rPr>
            <a:t>Backhoe</a:t>
          </a:r>
          <a:endParaRPr lang="en-US" sz="1200" b="0" i="0" u="none" strike="noStrike" baseline="0">
            <a:solidFill>
              <a:srgbClr val="000000"/>
            </a:solidFill>
            <a:latin typeface="Arial"/>
            <a:cs typeface="Arial"/>
          </a:endParaRPr>
        </a:p>
        <a:p>
          <a:pPr algn="l" rtl="0">
            <a:lnSpc>
              <a:spcPts val="900"/>
            </a:lnSpc>
            <a:defRPr sz="1000"/>
          </a:pPr>
          <a:r>
            <a:rPr lang="en-US" sz="1200" b="0" i="0" u="none" strike="noStrike" baseline="0">
              <a:solidFill>
                <a:srgbClr val="000000"/>
              </a:solidFill>
              <a:latin typeface="Arial"/>
              <a:cs typeface="Arial"/>
            </a:rPr>
            <a:t>	</a:t>
          </a:r>
        </a:p>
        <a:p>
          <a:pPr algn="l" rtl="0">
            <a:lnSpc>
              <a:spcPts val="900"/>
            </a:lnSpc>
            <a:defRPr sz="1000"/>
          </a:pPr>
          <a:r>
            <a:rPr lang="en-US" sz="1200" b="0" i="0" u="none" strike="noStrike" baseline="0">
              <a:solidFill>
                <a:srgbClr val="000000"/>
              </a:solidFill>
              <a:latin typeface="Arial"/>
              <a:cs typeface="Arial"/>
            </a:rPr>
            <a:t>Above is the image in its original context on the page:                    	</a:t>
          </a:r>
        </a:p>
        <a:p>
          <a:pPr algn="l" rtl="0">
            <a:lnSpc>
              <a:spcPts val="900"/>
            </a:lnSpc>
            <a:defRPr sz="1000"/>
          </a:pPr>
          <a:r>
            <a:rPr lang="en-US" sz="1200" b="0" i="0" u="none" strike="noStrike" baseline="0">
              <a:solidFill>
                <a:srgbClr val="000000"/>
              </a:solidFill>
              <a:latin typeface="Arial"/>
              <a:cs typeface="Arial"/>
            </a:rPr>
            <a:t>www.chesterfieldgroup.co.uk/products/mobile.html</a:t>
          </a:r>
        </a:p>
      </xdr:txBody>
    </xdr:sp>
    <xdr:clientData/>
  </xdr:twoCellAnchor>
  <xdr:twoCellAnchor>
    <xdr:from>
      <xdr:col>1</xdr:col>
      <xdr:colOff>575897</xdr:colOff>
      <xdr:row>144</xdr:row>
      <xdr:rowOff>190011</xdr:rowOff>
    </xdr:from>
    <xdr:to>
      <xdr:col>8</xdr:col>
      <xdr:colOff>73270</xdr:colOff>
      <xdr:row>154</xdr:row>
      <xdr:rowOff>89877</xdr:rowOff>
    </xdr:to>
    <xdr:sp macro="" textlink="">
      <xdr:nvSpPr>
        <xdr:cNvPr id="11336" name="Text Box 8">
          <a:extLst>
            <a:ext uri="{FF2B5EF4-FFF2-40B4-BE49-F238E27FC236}">
              <a16:creationId xmlns:a16="http://schemas.microsoft.com/office/drawing/2014/main" id="{D03EF724-F625-4B13-8B92-C93C427D1A42}"/>
            </a:ext>
          </a:extLst>
        </xdr:cNvPr>
        <xdr:cNvSpPr txBox="1">
          <a:spLocks noChangeArrowheads="1"/>
        </xdr:cNvSpPr>
      </xdr:nvSpPr>
      <xdr:spPr bwMode="auto">
        <a:xfrm>
          <a:off x="1186474" y="28325396"/>
          <a:ext cx="3771411" cy="185371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INDUSTRIAL GRINDER</a:t>
          </a:r>
          <a:r>
            <a:rPr lang="en-US" sz="1000" b="0" i="0" u="none" strike="noStrike" baseline="0">
              <a:solidFill>
                <a:srgbClr val="000000"/>
              </a:solidFill>
              <a:latin typeface="Arial"/>
              <a:cs typeface="Arial"/>
            </a:rPr>
            <a:t>						          The replicable bearings have seals to keep the grease or oil lubricant in and the dust and grit out.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Quick release access panels are provided for clearing jams and cutter replacement.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 large, steel rod reinforced concrete pad, foundation is usually provided for absorbing dynamic shredding forces and shock loads.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2</xdr:col>
      <xdr:colOff>139457</xdr:colOff>
      <xdr:row>169</xdr:row>
      <xdr:rowOff>179022</xdr:rowOff>
    </xdr:from>
    <xdr:to>
      <xdr:col>8</xdr:col>
      <xdr:colOff>522654</xdr:colOff>
      <xdr:row>178</xdr:row>
      <xdr:rowOff>180731</xdr:rowOff>
    </xdr:to>
    <xdr:sp macro="" textlink="">
      <xdr:nvSpPr>
        <xdr:cNvPr id="11337" name="Text Box 9">
          <a:extLst>
            <a:ext uri="{FF2B5EF4-FFF2-40B4-BE49-F238E27FC236}">
              <a16:creationId xmlns:a16="http://schemas.microsoft.com/office/drawing/2014/main" id="{71E7EFCE-9D93-4D82-84DE-9B6E2BF06FCA}"/>
            </a:ext>
          </a:extLst>
        </xdr:cNvPr>
        <xdr:cNvSpPr txBox="1">
          <a:spLocks noChangeArrowheads="1"/>
        </xdr:cNvSpPr>
      </xdr:nvSpPr>
      <xdr:spPr bwMode="auto">
        <a:xfrm>
          <a:off x="1360611" y="33199022"/>
          <a:ext cx="4046658" cy="176017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endParaRPr lang="en-US" sz="1200" b="0"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Automated Packaging Machine</a:t>
          </a:r>
          <a:endParaRPr lang="en-US" sz="1200" b="0" i="0" u="none" strike="noStrike" baseline="0">
            <a:solidFill>
              <a:srgbClr val="000000"/>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200" b="0" i="0" u="none" strike="noStrike" baseline="0">
              <a:solidFill>
                <a:srgbClr val="000000"/>
              </a:solidFill>
              <a:latin typeface="Arial"/>
              <a:cs typeface="Arial"/>
            </a:rPr>
            <a:t>The relatively high cost of labor in the United States requires automated manufacturing and assembly to be price and quality competitive in  the world market.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200" b="0" i="0" baseline="0">
              <a:effectLst/>
              <a:latin typeface="Arial" panose="020B0604020202020204" pitchFamily="34" charset="0"/>
              <a:ea typeface="+mn-ea"/>
              <a:cs typeface="Arial" panose="020B0604020202020204" pitchFamily="34" charset="0"/>
            </a:rPr>
            <a:t>Above is the image in its original context on the page: www.mardenedwards.com/custom-packaging-machin…</a:t>
          </a:r>
          <a:endParaRPr lang="en-US" sz="1200">
            <a:effectLst/>
            <a:latin typeface="Arial" panose="020B0604020202020204" pitchFamily="34" charset="0"/>
            <a:cs typeface="Arial" panose="020B0604020202020204" pitchFamily="34" charset="0"/>
          </a:endParaRPr>
        </a:p>
        <a:p>
          <a:pPr algn="l" rtl="0">
            <a:defRPr sz="1000"/>
          </a:pPr>
          <a:r>
            <a:rPr lang="en-US" sz="1200" b="0" i="0" u="none" strike="noStrike" baseline="0">
              <a:solidFill>
                <a:srgbClr val="000000"/>
              </a:solidFill>
              <a:latin typeface="Arial" panose="020B0604020202020204" pitchFamily="34" charset="0"/>
              <a:cs typeface="Arial" panose="020B0604020202020204" pitchFamily="34" charset="0"/>
            </a:rPr>
            <a:t>ove is one example.</a:t>
          </a:r>
        </a:p>
      </xdr:txBody>
    </xdr:sp>
    <xdr:clientData/>
  </xdr:twoCellAnchor>
  <xdr:twoCellAnchor>
    <xdr:from>
      <xdr:col>1</xdr:col>
      <xdr:colOff>591037</xdr:colOff>
      <xdr:row>253</xdr:row>
      <xdr:rowOff>152644</xdr:rowOff>
    </xdr:from>
    <xdr:to>
      <xdr:col>8</xdr:col>
      <xdr:colOff>580535</xdr:colOff>
      <xdr:row>268</xdr:row>
      <xdr:rowOff>102577</xdr:rowOff>
    </xdr:to>
    <xdr:sp macro="" textlink="">
      <xdr:nvSpPr>
        <xdr:cNvPr id="11339" name="Text Box 11">
          <a:extLst>
            <a:ext uri="{FF2B5EF4-FFF2-40B4-BE49-F238E27FC236}">
              <a16:creationId xmlns:a16="http://schemas.microsoft.com/office/drawing/2014/main" id="{83BDEC59-D687-4C66-AF39-7E08888336A6}"/>
            </a:ext>
          </a:extLst>
        </xdr:cNvPr>
        <xdr:cNvSpPr txBox="1">
          <a:spLocks noChangeArrowheads="1"/>
        </xdr:cNvSpPr>
      </xdr:nvSpPr>
      <xdr:spPr bwMode="auto">
        <a:xfrm>
          <a:off x="1201614" y="49584952"/>
          <a:ext cx="4263536" cy="288070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200" b="1" i="0" u="none" strike="noStrike" baseline="0">
              <a:solidFill>
                <a:srgbClr val="000000"/>
              </a:solidFill>
              <a:latin typeface="Arial" panose="020B0604020202020204" pitchFamily="34" charset="0"/>
              <a:cs typeface="Arial" panose="020B0604020202020204" pitchFamily="34" charset="0"/>
            </a:rPr>
            <a:t>Wheel and Worm Gears</a:t>
          </a:r>
          <a:endParaRPr lang="en-US" sz="12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200" b="0" i="0" u="none" strike="noStrike" baseline="0">
              <a:solidFill>
                <a:srgbClr val="000000"/>
              </a:solidFill>
              <a:latin typeface="Arial" panose="020B0604020202020204" pitchFamily="34" charset="0"/>
              <a:cs typeface="Arial" panose="020B0604020202020204" pitchFamily="34" charset="0"/>
            </a:rPr>
            <a:t>Typical, "C-face worm gearbox below. C-face refers to the round flange used to attach a mating motor flange. Worm gears offer higher gear ratios in a smaller package than any other mechanism. A 40 to 1 ratio increases torque by a factor of 40 while reducing worm gear output shaft speed to 1/40 x input speed.  </a:t>
          </a:r>
        </a:p>
        <a:p>
          <a:pPr algn="l" rtl="0">
            <a:defRPr sz="1000"/>
          </a:pPr>
          <a:endParaRPr lang="en-US" sz="12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200" b="0" i="0" u="none" strike="noStrike" baseline="0">
              <a:solidFill>
                <a:srgbClr val="000000"/>
              </a:solidFill>
              <a:latin typeface="Arial" panose="020B0604020202020204" pitchFamily="34" charset="0"/>
              <a:cs typeface="Arial" panose="020B0604020202020204" pitchFamily="34" charset="0"/>
            </a:rPr>
            <a:t>The worm may have a single, double, or more thread. The axial pitch of the worm is equal to the circular pitch of the wheel. Select the, "Gears" tab at the bottom of the Excel Worksheet for more information about worm gears.</a:t>
          </a:r>
        </a:p>
        <a:p>
          <a:pPr algn="l" rtl="0">
            <a:defRPr sz="1000"/>
          </a:pPr>
          <a:endParaRPr lang="en-US" sz="1200" b="0" i="0" u="none" strike="noStrike" baseline="0">
            <a:solidFill>
              <a:srgbClr val="000000"/>
            </a:solidFill>
            <a:latin typeface="Arial" panose="020B0604020202020204" pitchFamily="34" charset="0"/>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200" b="0" i="0" baseline="0">
              <a:effectLst/>
              <a:latin typeface="Arial" panose="020B0604020202020204" pitchFamily="34" charset="0"/>
              <a:ea typeface="+mn-ea"/>
              <a:cs typeface="Arial" panose="020B0604020202020204" pitchFamily="34" charset="0"/>
            </a:rPr>
            <a:t>Above is the image in its original context on the page: www.global-b2b-network.com/b2b/17/25/751/gear...</a:t>
          </a:r>
          <a:endParaRPr lang="en-US" sz="1200">
            <a:effectLst/>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1</xdr:col>
      <xdr:colOff>181707</xdr:colOff>
      <xdr:row>44</xdr:row>
      <xdr:rowOff>10990</xdr:rowOff>
    </xdr:from>
    <xdr:to>
      <xdr:col>6</xdr:col>
      <xdr:colOff>277933</xdr:colOff>
      <xdr:row>59</xdr:row>
      <xdr:rowOff>95250</xdr:rowOff>
    </xdr:to>
    <xdr:pic>
      <xdr:nvPicPr>
        <xdr:cNvPr id="11478" name="Picture 17" descr="BACKHOE-ARM-1">
          <a:extLst>
            <a:ext uri="{FF2B5EF4-FFF2-40B4-BE49-F238E27FC236}">
              <a16:creationId xmlns:a16="http://schemas.microsoft.com/office/drawing/2014/main" id="{4FCCFF21-1680-47C4-B3F1-CE11ABD11B0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92284" y="8607913"/>
          <a:ext cx="3149111" cy="3015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xdr:row>
      <xdr:rowOff>19050</xdr:rowOff>
    </xdr:from>
    <xdr:to>
      <xdr:col>8</xdr:col>
      <xdr:colOff>9525</xdr:colOff>
      <xdr:row>24</xdr:row>
      <xdr:rowOff>127000</xdr:rowOff>
    </xdr:to>
    <xdr:sp macro="" textlink="">
      <xdr:nvSpPr>
        <xdr:cNvPr id="11342" name="Text Box 18">
          <a:extLst>
            <a:ext uri="{FF2B5EF4-FFF2-40B4-BE49-F238E27FC236}">
              <a16:creationId xmlns:a16="http://schemas.microsoft.com/office/drawing/2014/main" id="{346BF463-6258-4998-A307-1AC4C317233D}"/>
            </a:ext>
          </a:extLst>
        </xdr:cNvPr>
        <xdr:cNvSpPr txBox="1">
          <a:spLocks noChangeArrowheads="1"/>
        </xdr:cNvSpPr>
      </xdr:nvSpPr>
      <xdr:spPr bwMode="auto">
        <a:xfrm>
          <a:off x="610577" y="605204"/>
          <a:ext cx="4283563" cy="4211027"/>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MACHINE DESIGN </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This 8 PDH machine design course uses Excel's calculating and optimizing capabilities. Machine design includes: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1. A description of the needed machine in a written specification.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2. Feasibility studies comparing alternate designs and focused research.</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3. Preliminary; sketches, scale CAD drawings, materials selection, appearance and styling.</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4. Functional analysis; strength, stiffness, vibration, shock, fatigue, temperature, wear, lubrication. Customer endurance and maintenance cost estimate.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5. Producibility; machine tools, joining methods, material supply and handling, manual vs automated manufacture.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6. Cost to design and manufacture one or more models in small and large quantities.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7. Market place: present competition and life expectancy of the product.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8. Customer service system and facilities.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9. Outsource part or all; engineering, manufacturing, sales, warehousing, customer service.</a:t>
          </a:r>
        </a:p>
      </xdr:txBody>
    </xdr:sp>
    <xdr:clientData/>
  </xdr:twoCellAnchor>
  <xdr:twoCellAnchor>
    <xdr:from>
      <xdr:col>1</xdr:col>
      <xdr:colOff>37856</xdr:colOff>
      <xdr:row>60</xdr:row>
      <xdr:rowOff>41032</xdr:rowOff>
    </xdr:from>
    <xdr:to>
      <xdr:col>7</xdr:col>
      <xdr:colOff>610333</xdr:colOff>
      <xdr:row>82</xdr:row>
      <xdr:rowOff>156309</xdr:rowOff>
    </xdr:to>
    <xdr:sp macro="" textlink="">
      <xdr:nvSpPr>
        <xdr:cNvPr id="11283" name="Text Box 19">
          <a:extLst>
            <a:ext uri="{FF2B5EF4-FFF2-40B4-BE49-F238E27FC236}">
              <a16:creationId xmlns:a16="http://schemas.microsoft.com/office/drawing/2014/main" id="{1EA8A49D-D030-44EC-B505-06BB864372CB}"/>
            </a:ext>
          </a:extLst>
        </xdr:cNvPr>
        <xdr:cNvSpPr txBox="1">
          <a:spLocks noChangeArrowheads="1"/>
        </xdr:cNvSpPr>
      </xdr:nvSpPr>
      <xdr:spPr bwMode="auto">
        <a:xfrm>
          <a:off x="648433" y="11764109"/>
          <a:ext cx="4235938" cy="4413738"/>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200" b="1" i="0" u="none" strike="noStrike" baseline="0">
              <a:solidFill>
                <a:srgbClr val="000000"/>
              </a:solidFill>
              <a:latin typeface="Arial"/>
              <a:cs typeface="Arial"/>
            </a:rPr>
            <a:t>Strength and Stiffness Analysis</a:t>
          </a:r>
        </a:p>
        <a:p>
          <a:pPr algn="l" rtl="0">
            <a:defRPr sz="1000"/>
          </a:pPr>
          <a:r>
            <a:rPr lang="en-US" sz="1200" b="0" i="0" u="none" strike="noStrike" baseline="0">
              <a:solidFill>
                <a:srgbClr val="000000"/>
              </a:solidFill>
              <a:latin typeface="Arial"/>
              <a:cs typeface="Arial"/>
            </a:rPr>
            <a:t>The strength and stiffness analysis of the backhoe begins with a, "Free Body Diagram" of one of the members, shown above :</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Force F1 = Hydraulic pressure x piston area.</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Weight W = arm material volume x density.</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Force F3 = (Moments due to F1 and W) / (L1 x cos A4)</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Force F2 = ( (F1 cos A1) - (W sin A3) + (F3 cos A4) ) / cos A2</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Moment Mmax = F1 x cos A1 x L1</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Arm applied bending stress, S = K x Mmax D2 / (2 I)</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  I = arm area moment of inertial at D2 and</a:t>
          </a:r>
        </a:p>
        <a:p>
          <a:pPr algn="l" rtl="0">
            <a:defRPr sz="1000"/>
          </a:pPr>
          <a:r>
            <a:rPr lang="en-US" sz="1200" b="0" i="0" u="none" strike="noStrike" baseline="0">
              <a:solidFill>
                <a:srgbClr val="000000"/>
              </a:solidFill>
              <a:latin typeface="Arial"/>
              <a:cs typeface="Arial"/>
            </a:rPr>
            <a:t> K = combined vibration shock factor.</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Safety factor, SF = Material allowable stress / Applied stress</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The applied stress and safety factor must be calculated at each high stress point.</a:t>
          </a:r>
        </a:p>
      </xdr:txBody>
    </xdr:sp>
    <xdr:clientData/>
  </xdr:twoCellAnchor>
  <xdr:twoCellAnchor>
    <xdr:from>
      <xdr:col>1</xdr:col>
      <xdr:colOff>341190</xdr:colOff>
      <xdr:row>198</xdr:row>
      <xdr:rowOff>27354</xdr:rowOff>
    </xdr:from>
    <xdr:to>
      <xdr:col>8</xdr:col>
      <xdr:colOff>303090</xdr:colOff>
      <xdr:row>213</xdr:row>
      <xdr:rowOff>43962</xdr:rowOff>
    </xdr:to>
    <xdr:sp macro="" textlink="">
      <xdr:nvSpPr>
        <xdr:cNvPr id="11344" name="Text Box 22">
          <a:extLst>
            <a:ext uri="{FF2B5EF4-FFF2-40B4-BE49-F238E27FC236}">
              <a16:creationId xmlns:a16="http://schemas.microsoft.com/office/drawing/2014/main" id="{5C2B0642-3992-42F8-A81D-07DCE9D39FEE}"/>
            </a:ext>
          </a:extLst>
        </xdr:cNvPr>
        <xdr:cNvSpPr txBox="1">
          <a:spLocks noChangeArrowheads="1"/>
        </xdr:cNvSpPr>
      </xdr:nvSpPr>
      <xdr:spPr bwMode="auto">
        <a:xfrm>
          <a:off x="951767" y="38713508"/>
          <a:ext cx="4235938" cy="2947377"/>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200" b="1" i="0" u="none" strike="noStrike" baseline="0">
              <a:solidFill>
                <a:srgbClr val="000000"/>
              </a:solidFill>
              <a:latin typeface="Arial"/>
              <a:cs typeface="Arial"/>
            </a:rPr>
            <a:t>Automobile Independent Front Suspension</a:t>
          </a:r>
        </a:p>
        <a:p>
          <a:pPr algn="l" rtl="0">
            <a:defRPr sz="1000"/>
          </a:pPr>
          <a:r>
            <a:rPr lang="en-US" sz="1200" b="0" i="0" u="none" strike="noStrike" baseline="0">
              <a:solidFill>
                <a:srgbClr val="000000"/>
              </a:solidFill>
              <a:latin typeface="Arial"/>
              <a:cs typeface="Arial"/>
            </a:rPr>
            <a:t>Above is the image in its original context on the page: www.hyundai.co.in/tucson/tucson.asp?pageName=...</a:t>
          </a:r>
          <a:endParaRPr lang="en-US" sz="1200" b="1"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Coil springs absorb shock loads on bumps and rough roads in the front suspension above. Double acting shock absorbers dampen suspension oscillations.                                                                               				        Ball joints in the linkage provide swiveling action that allows the wheel and axle assembly to pivot while moving up and down.  				        				       The lower arm pivots on a bushing and shaft assembly attached to the frame cross member.  These components are applied in many other mechanisms. </a:t>
          </a:r>
        </a:p>
        <a:p>
          <a:pPr algn="l" rtl="0">
            <a:defRPr sz="1000"/>
          </a:pPr>
          <a:endParaRPr lang="en-US" sz="1200" b="0"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2</xdr:col>
      <xdr:colOff>171450</xdr:colOff>
      <xdr:row>235</xdr:row>
      <xdr:rowOff>147515</xdr:rowOff>
    </xdr:from>
    <xdr:to>
      <xdr:col>7</xdr:col>
      <xdr:colOff>553427</xdr:colOff>
      <xdr:row>253</xdr:row>
      <xdr:rowOff>52998</xdr:rowOff>
    </xdr:to>
    <xdr:pic>
      <xdr:nvPicPr>
        <xdr:cNvPr id="11482" name="Picture 23" descr="Worm_Gear_Speed_Reducer">
          <a:extLst>
            <a:ext uri="{FF2B5EF4-FFF2-40B4-BE49-F238E27FC236}">
              <a16:creationId xmlns:a16="http://schemas.microsoft.com/office/drawing/2014/main" id="{E8065EBE-33AC-4E9A-861D-D9A7DD51B00F}"/>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92604" y="46062900"/>
          <a:ext cx="3434861" cy="3422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487729</xdr:colOff>
      <xdr:row>286</xdr:row>
      <xdr:rowOff>120894</xdr:rowOff>
    </xdr:from>
    <xdr:to>
      <xdr:col>8</xdr:col>
      <xdr:colOff>487729</xdr:colOff>
      <xdr:row>300</xdr:row>
      <xdr:rowOff>20759</xdr:rowOff>
    </xdr:to>
    <xdr:sp macro="" textlink="">
      <xdr:nvSpPr>
        <xdr:cNvPr id="11347" name="Text Box 26">
          <a:extLst>
            <a:ext uri="{FF2B5EF4-FFF2-40B4-BE49-F238E27FC236}">
              <a16:creationId xmlns:a16="http://schemas.microsoft.com/office/drawing/2014/main" id="{80CD64A3-0E8B-43F4-8E60-1789D6459E4C}"/>
            </a:ext>
          </a:extLst>
        </xdr:cNvPr>
        <xdr:cNvSpPr txBox="1">
          <a:spLocks noChangeArrowheads="1"/>
        </xdr:cNvSpPr>
      </xdr:nvSpPr>
      <xdr:spPr bwMode="auto">
        <a:xfrm>
          <a:off x="1098306" y="56000894"/>
          <a:ext cx="4274038" cy="26352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200" b="1" i="0" u="none" strike="noStrike" baseline="0">
              <a:solidFill>
                <a:srgbClr val="000000"/>
              </a:solidFill>
              <a:latin typeface="Arial" panose="020B0604020202020204" pitchFamily="34" charset="0"/>
              <a:cs typeface="Arial" panose="020B0604020202020204" pitchFamily="34" charset="0"/>
            </a:rPr>
            <a:t>Laser Jet Printer</a:t>
          </a:r>
        </a:p>
        <a:p>
          <a:pPr algn="l" rtl="0">
            <a:defRPr sz="1000"/>
          </a:pPr>
          <a:endParaRPr lang="en-US" sz="12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200" b="0" i="0" u="none" strike="noStrike" baseline="0">
              <a:solidFill>
                <a:srgbClr val="000000"/>
              </a:solidFill>
              <a:latin typeface="Arial" panose="020B0604020202020204" pitchFamily="34" charset="0"/>
              <a:cs typeface="Arial" panose="020B0604020202020204" pitchFamily="34" charset="0"/>
            </a:rPr>
            <a:t>The computerized printer above has many moving parts: linkages, gears, shafts, bushings, bearings, etc, for manipulating sheets of paper. The design and analysis of the light weight plastic components of such a printer requires the same principals as do many heavy duty machines with steel and aluminum parts.</a:t>
          </a:r>
        </a:p>
        <a:p>
          <a:pPr algn="l" rtl="0">
            <a:defRPr sz="1000"/>
          </a:pPr>
          <a:endParaRPr lang="en-US" sz="1200" b="0" i="0" u="none" strike="noStrike" baseline="0">
            <a:solidFill>
              <a:srgbClr val="000000"/>
            </a:solidFill>
            <a:latin typeface="Arial" panose="020B0604020202020204" pitchFamily="34" charset="0"/>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200" b="0" i="0" u="none" strike="noStrike" baseline="0">
              <a:solidFill>
                <a:srgbClr val="000000"/>
              </a:solidFill>
              <a:latin typeface="Arial" panose="020B0604020202020204" pitchFamily="34" charset="0"/>
              <a:cs typeface="Arial" panose="020B0604020202020204" pitchFamily="34" charset="0"/>
            </a:rPr>
            <a:t>Observance of functional quality control in the design stage has improved their reliability in recent years.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200" b="0" i="0" baseline="0">
              <a:effectLst/>
              <a:latin typeface="Arial" panose="020B0604020202020204" pitchFamily="34" charset="0"/>
              <a:ea typeface="+mn-ea"/>
              <a:cs typeface="Arial" panose="020B0604020202020204" pitchFamily="34" charset="0"/>
            </a:rPr>
            <a:t>Above is the image in its original context on the page: news.thomasnet.com/fullstory/531589</a:t>
          </a:r>
          <a:endParaRPr lang="en-US" sz="1200">
            <a:effectLst/>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12211</xdr:colOff>
      <xdr:row>102</xdr:row>
      <xdr:rowOff>160704</xdr:rowOff>
    </xdr:from>
    <xdr:to>
      <xdr:col>8</xdr:col>
      <xdr:colOff>356088</xdr:colOff>
      <xdr:row>128</xdr:row>
      <xdr:rowOff>175846</xdr:rowOff>
    </xdr:to>
    <xdr:sp macro="" textlink="">
      <xdr:nvSpPr>
        <xdr:cNvPr id="11352" name="Text Box 88">
          <a:extLst>
            <a:ext uri="{FF2B5EF4-FFF2-40B4-BE49-F238E27FC236}">
              <a16:creationId xmlns:a16="http://schemas.microsoft.com/office/drawing/2014/main" id="{D863D2D4-5862-426C-B970-C31E464202C3}"/>
            </a:ext>
          </a:extLst>
        </xdr:cNvPr>
        <xdr:cNvSpPr txBox="1">
          <a:spLocks noChangeArrowheads="1"/>
        </xdr:cNvSpPr>
      </xdr:nvSpPr>
      <xdr:spPr bwMode="auto">
        <a:xfrm>
          <a:off x="622788" y="20089935"/>
          <a:ext cx="4617915" cy="5095142"/>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Pick and Place Robot</a:t>
          </a: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A gripper is attached at the bottom end of the vertical </a:t>
          </a:r>
          <a:r>
            <a:rPr lang="en-US" sz="1200" b="1" i="0" u="none" strike="noStrike" baseline="0">
              <a:solidFill>
                <a:srgbClr val="000000"/>
              </a:solidFill>
              <a:latin typeface="Arial"/>
              <a:cs typeface="Arial"/>
            </a:rPr>
            <a:t>X</a:t>
          </a:r>
          <a:r>
            <a:rPr lang="en-US" sz="1200" b="0" i="0" u="none" strike="noStrike" baseline="0">
              <a:solidFill>
                <a:srgbClr val="000000"/>
              </a:solidFill>
              <a:latin typeface="Arial"/>
              <a:cs typeface="Arial"/>
            </a:rPr>
            <a:t> direction actuator. The vertical actuator is supported by a horizontal </a:t>
          </a:r>
          <a:r>
            <a:rPr lang="en-US" sz="1200" b="1" i="0" u="none" strike="noStrike" baseline="0">
              <a:solidFill>
                <a:srgbClr val="000000"/>
              </a:solidFill>
              <a:latin typeface="Arial"/>
              <a:cs typeface="Arial"/>
            </a:rPr>
            <a:t>Y</a:t>
          </a:r>
          <a:r>
            <a:rPr lang="en-US" sz="1200" b="0" i="0" u="none" strike="noStrike" baseline="0">
              <a:solidFill>
                <a:srgbClr val="000000"/>
              </a:solidFill>
              <a:latin typeface="Arial"/>
              <a:cs typeface="Arial"/>
            </a:rPr>
            <a:t> direction actuator. The Y direction actuator is moved in the horizontal </a:t>
          </a:r>
          <a:r>
            <a:rPr lang="en-US" sz="1200" b="1" i="0" u="none" strike="noStrike" baseline="0">
              <a:solidFill>
                <a:srgbClr val="000000"/>
              </a:solidFill>
              <a:latin typeface="Arial"/>
              <a:cs typeface="Arial"/>
            </a:rPr>
            <a:t>Z</a:t>
          </a:r>
          <a:r>
            <a:rPr lang="en-US" sz="1200" b="0" i="0" u="none" strike="noStrike" baseline="0">
              <a:solidFill>
                <a:srgbClr val="000000"/>
              </a:solidFill>
              <a:latin typeface="Arial"/>
              <a:cs typeface="Arial"/>
            </a:rPr>
            <a:t> direction by the bottom actuator.</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This pick-and-place robot can be programmed to move the gripper rapidly from point to point anywhere in the X, Y, Z three dimensional zone. For more click on the, "Pwr Screw" tab at the bottom of the display.</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Shredder</a:t>
          </a:r>
        </a:p>
        <a:p>
          <a:pPr algn="l" rtl="0">
            <a:defRPr sz="1000"/>
          </a:pPr>
          <a:r>
            <a:rPr lang="en-US" sz="1200" b="0" i="0" u="none" strike="noStrike" baseline="0">
              <a:solidFill>
                <a:srgbClr val="000000"/>
              </a:solidFill>
              <a:latin typeface="Arial"/>
              <a:cs typeface="Arial"/>
            </a:rPr>
            <a:t>Above is the image in its original context on the page: www.traderscity.com/.../</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Material to be shredded falls by gravity or is conveyed into the top inlet. </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A rotating disc with replicable cutters in its circumference performs the shredding. The tensile stress in a rotating disc, S = V2 x </a:t>
          </a:r>
          <a:r>
            <a:rPr lang="el-GR" sz="1200" b="0" i="0" u="none" strike="noStrike" baseline="0">
              <a:solidFill>
                <a:srgbClr val="000000"/>
              </a:solidFill>
              <a:latin typeface="Arial"/>
              <a:cs typeface="Arial"/>
            </a:rPr>
            <a:t>ρ / 3 </a:t>
          </a:r>
          <a:r>
            <a:rPr lang="en-US" sz="1200" b="0" i="0" u="none" strike="noStrike" baseline="0">
              <a:solidFill>
                <a:srgbClr val="000000"/>
              </a:solidFill>
              <a:latin typeface="Arial"/>
              <a:cs typeface="Arial"/>
            </a:rPr>
            <a:t>lbf/in2.</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The disc is mounted and keyed to a shaft supported by roller bearings on  each side. The shaft is directly coupled to a three phase electric motor.</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The coupling joining the motor and disc shafts is covered by a safety guard.</a:t>
          </a:r>
        </a:p>
      </xdr:txBody>
    </xdr:sp>
    <xdr:clientData/>
  </xdr:twoCellAnchor>
  <xdr:twoCellAnchor editAs="oneCell">
    <xdr:from>
      <xdr:col>1</xdr:col>
      <xdr:colOff>151424</xdr:colOff>
      <xdr:row>84</xdr:row>
      <xdr:rowOff>21141</xdr:rowOff>
    </xdr:from>
    <xdr:to>
      <xdr:col>7</xdr:col>
      <xdr:colOff>268655</xdr:colOff>
      <xdr:row>98</xdr:row>
      <xdr:rowOff>122203</xdr:rowOff>
    </xdr:to>
    <xdr:pic>
      <xdr:nvPicPr>
        <xdr:cNvPr id="21" name="Picture 20" descr="PHD AUROMATION-2">
          <a:extLst>
            <a:ext uri="{FF2B5EF4-FFF2-40B4-BE49-F238E27FC236}">
              <a16:creationId xmlns:a16="http://schemas.microsoft.com/office/drawing/2014/main" id="{9E41E513-A2CA-478B-B67E-9EB4CA8C67A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62001" y="16433449"/>
          <a:ext cx="3780692" cy="2836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6349</xdr:colOff>
      <xdr:row>22</xdr:row>
      <xdr:rowOff>12700</xdr:rowOff>
    </xdr:from>
    <xdr:to>
      <xdr:col>15</xdr:col>
      <xdr:colOff>600074</xdr:colOff>
      <xdr:row>31</xdr:row>
      <xdr:rowOff>15875</xdr:rowOff>
    </xdr:to>
    <xdr:sp macro="" textlink="">
      <xdr:nvSpPr>
        <xdr:cNvPr id="2" name="TextBox 1">
          <a:extLst>
            <a:ext uri="{FF2B5EF4-FFF2-40B4-BE49-F238E27FC236}">
              <a16:creationId xmlns:a16="http://schemas.microsoft.com/office/drawing/2014/main" id="{8B58E650-C9D7-41A0-93E9-8D71E44404CA}"/>
            </a:ext>
          </a:extLst>
        </xdr:cNvPr>
        <xdr:cNvSpPr txBox="1"/>
      </xdr:nvSpPr>
      <xdr:spPr>
        <a:xfrm>
          <a:off x="1228724" y="3619500"/>
          <a:ext cx="4251325" cy="186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Arial" panose="020B0604020202020204" pitchFamily="34" charset="0"/>
              <a:ea typeface="+mn-ea"/>
              <a:cs typeface="Arial" panose="020B0604020202020204" pitchFamily="34" charset="0"/>
            </a:rPr>
            <a:t>DISCLAIMER: The materials contained in the online course are not intended as a representation or warranty on the part of John</a:t>
          </a:r>
          <a:r>
            <a:rPr lang="en-US" sz="1200" baseline="0">
              <a:solidFill>
                <a:schemeClr val="dk1"/>
              </a:solidFill>
              <a:effectLst/>
              <a:latin typeface="Arial" panose="020B0604020202020204" pitchFamily="34" charset="0"/>
              <a:ea typeface="+mn-ea"/>
              <a:cs typeface="Arial" panose="020B0604020202020204" pitchFamily="34" charset="0"/>
            </a:rPr>
            <a:t> Andrew LLC</a:t>
          </a:r>
          <a:r>
            <a:rPr lang="en-US" sz="1200">
              <a:solidFill>
                <a:schemeClr val="dk1"/>
              </a:solidFill>
              <a:effectLst/>
              <a:latin typeface="Arial" panose="020B0604020202020204" pitchFamily="34" charset="0"/>
              <a:ea typeface="+mn-ea"/>
              <a:cs typeface="Arial" panose="020B0604020202020204" pitchFamily="34" charset="0"/>
            </a:rPr>
            <a:t> or any other person/organization named herein. The materials are for general information only. They are not a substitute for competent professional advice. Application of this information to a specific project should be reviewed by a registered professional engineer. Anyone making use of the information set forth herein does so at their own risk and assumes any and all resulting liability arising therefrom. </a:t>
          </a:r>
        </a:p>
        <a:p>
          <a:r>
            <a:rPr lang="en-US" sz="1200">
              <a:solidFill>
                <a:schemeClr val="dk1"/>
              </a:solidFill>
              <a:effectLst/>
              <a:latin typeface="Arial" panose="020B0604020202020204" pitchFamily="34" charset="0"/>
              <a:ea typeface="+mn-ea"/>
              <a:cs typeface="Arial" panose="020B0604020202020204" pitchFamily="34" charset="0"/>
            </a:rPr>
            <a:t> </a:t>
          </a:r>
        </a:p>
        <a:p>
          <a:endParaRPr lang="en-US" sz="1100"/>
        </a:p>
      </xdr:txBody>
    </xdr:sp>
    <xdr:clientData/>
  </xdr:twoCellAnchor>
  <xdr:twoCellAnchor>
    <xdr:from>
      <xdr:col>2</xdr:col>
      <xdr:colOff>19537</xdr:colOff>
      <xdr:row>227</xdr:row>
      <xdr:rowOff>170961</xdr:rowOff>
    </xdr:from>
    <xdr:to>
      <xdr:col>8</xdr:col>
      <xdr:colOff>175845</xdr:colOff>
      <xdr:row>235</xdr:row>
      <xdr:rowOff>14654</xdr:rowOff>
    </xdr:to>
    <xdr:sp macro="" textlink="">
      <xdr:nvSpPr>
        <xdr:cNvPr id="3" name="TextBox 2">
          <a:extLst>
            <a:ext uri="{FF2B5EF4-FFF2-40B4-BE49-F238E27FC236}">
              <a16:creationId xmlns:a16="http://schemas.microsoft.com/office/drawing/2014/main" id="{E7C2554D-A9DA-23C8-6BF9-A9CB191C973F}"/>
            </a:ext>
          </a:extLst>
        </xdr:cNvPr>
        <xdr:cNvSpPr txBox="1"/>
      </xdr:nvSpPr>
      <xdr:spPr>
        <a:xfrm>
          <a:off x="1240691" y="44523269"/>
          <a:ext cx="3819769" cy="14067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r>
            <a:rPr lang="en-US" sz="1200" b="1" i="0" baseline="0">
              <a:solidFill>
                <a:schemeClr val="dk1"/>
              </a:solidFill>
              <a:effectLst/>
              <a:latin typeface="Arial" panose="020B0604020202020204" pitchFamily="34" charset="0"/>
              <a:ea typeface="+mn-ea"/>
              <a:cs typeface="Arial" panose="020B0604020202020204" pitchFamily="34" charset="0"/>
            </a:rPr>
            <a:t>Spur Gears</a:t>
          </a:r>
          <a:endParaRPr lang="en-US" sz="1200">
            <a:effectLst/>
            <a:latin typeface="Arial" panose="020B0604020202020204" pitchFamily="34" charset="0"/>
            <a:cs typeface="Arial" panose="020B0604020202020204" pitchFamily="34" charset="0"/>
          </a:endParaRPr>
        </a:p>
        <a:p>
          <a:pPr rtl="0"/>
          <a:r>
            <a:rPr lang="en-US" sz="1200" b="0" i="0" baseline="0">
              <a:solidFill>
                <a:schemeClr val="dk1"/>
              </a:solidFill>
              <a:effectLst/>
              <a:latin typeface="Arial" panose="020B0604020202020204" pitchFamily="34" charset="0"/>
              <a:ea typeface="+mn-ea"/>
              <a:cs typeface="Arial" panose="020B0604020202020204" pitchFamily="34" charset="0"/>
            </a:rPr>
            <a:t>Image in its original context on the page: www.usedmills.net/machinery-equipment/feed/</a:t>
          </a:r>
          <a:endParaRPr lang="en-US" sz="1200">
            <a:effectLst/>
            <a:latin typeface="Arial" panose="020B0604020202020204" pitchFamily="34" charset="0"/>
            <a:cs typeface="Arial" panose="020B0604020202020204" pitchFamily="34" charset="0"/>
          </a:endParaRPr>
        </a:p>
        <a:p>
          <a:pPr rtl="0"/>
          <a:endParaRPr lang="en-US" sz="1200" b="0" i="0" baseline="0">
            <a:solidFill>
              <a:schemeClr val="dk1"/>
            </a:solidFill>
            <a:effectLst/>
            <a:latin typeface="Arial" panose="020B0604020202020204" pitchFamily="34" charset="0"/>
            <a:ea typeface="+mn-ea"/>
            <a:cs typeface="Arial" panose="020B0604020202020204" pitchFamily="34" charset="0"/>
          </a:endParaRPr>
        </a:p>
        <a:p>
          <a:pPr rtl="0"/>
          <a:r>
            <a:rPr lang="en-US" sz="1200" b="0" i="0" baseline="0">
              <a:solidFill>
                <a:schemeClr val="dk1"/>
              </a:solidFill>
              <a:effectLst/>
              <a:latin typeface="Arial" panose="020B0604020202020204" pitchFamily="34" charset="0"/>
              <a:ea typeface="+mn-ea"/>
              <a:cs typeface="Arial" panose="020B0604020202020204" pitchFamily="34" charset="0"/>
            </a:rPr>
            <a:t>Select the, "Gears" tab at the bottom of the Excel Worksheet for more information about spur gears.</a:t>
          </a:r>
          <a:endParaRPr lang="en-US" sz="1200">
            <a:effectLst/>
            <a:latin typeface="Arial" panose="020B0604020202020204" pitchFamily="34" charset="0"/>
            <a:cs typeface="Arial" panose="020B0604020202020204" pitchFamily="34" charset="0"/>
          </a:endParaRPr>
        </a:p>
        <a:p>
          <a:endParaRPr lang="en-US" sz="1100"/>
        </a:p>
      </xdr:txBody>
    </xdr:sp>
    <xdr:clientData/>
  </xdr:twoCellAnchor>
  <xdr:twoCellAnchor>
    <xdr:from>
      <xdr:col>9</xdr:col>
      <xdr:colOff>6349</xdr:colOff>
      <xdr:row>22</xdr:row>
      <xdr:rowOff>12700</xdr:rowOff>
    </xdr:from>
    <xdr:to>
      <xdr:col>15</xdr:col>
      <xdr:colOff>600074</xdr:colOff>
      <xdr:row>31</xdr:row>
      <xdr:rowOff>15875</xdr:rowOff>
    </xdr:to>
    <xdr:sp macro="" textlink="">
      <xdr:nvSpPr>
        <xdr:cNvPr id="4" name="TextBox 3">
          <a:extLst>
            <a:ext uri="{FF2B5EF4-FFF2-40B4-BE49-F238E27FC236}">
              <a16:creationId xmlns:a16="http://schemas.microsoft.com/office/drawing/2014/main" id="{A537770A-B02F-4850-AB7C-77CA8123368E}"/>
            </a:ext>
          </a:extLst>
        </xdr:cNvPr>
        <xdr:cNvSpPr txBox="1"/>
      </xdr:nvSpPr>
      <xdr:spPr>
        <a:xfrm>
          <a:off x="5215791" y="4335585"/>
          <a:ext cx="5227271" cy="171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Arial" panose="020B0604020202020204" pitchFamily="34" charset="0"/>
              <a:ea typeface="+mn-ea"/>
              <a:cs typeface="Arial" panose="020B0604020202020204" pitchFamily="34" charset="0"/>
            </a:rPr>
            <a:t>DISCLAIMER: The materials contained in the online course are not intended as a representation or warranty on the part of John</a:t>
          </a:r>
          <a:r>
            <a:rPr lang="en-US" sz="1200" baseline="0">
              <a:solidFill>
                <a:schemeClr val="dk1"/>
              </a:solidFill>
              <a:effectLst/>
              <a:latin typeface="Arial" panose="020B0604020202020204" pitchFamily="34" charset="0"/>
              <a:ea typeface="+mn-ea"/>
              <a:cs typeface="Arial" panose="020B0604020202020204" pitchFamily="34" charset="0"/>
            </a:rPr>
            <a:t> Andrew LLC</a:t>
          </a:r>
          <a:r>
            <a:rPr lang="en-US" sz="1200">
              <a:solidFill>
                <a:schemeClr val="dk1"/>
              </a:solidFill>
              <a:effectLst/>
              <a:latin typeface="Arial" panose="020B0604020202020204" pitchFamily="34" charset="0"/>
              <a:ea typeface="+mn-ea"/>
              <a:cs typeface="Arial" panose="020B0604020202020204" pitchFamily="34" charset="0"/>
            </a:rPr>
            <a:t> or any other person/organization named herein. The materials are for general information only. They are not a substitute for competent professional advice. Application of this information to a specific project should be reviewed by a registered professional engineer. Anyone making use of the information set forth herein does so at their own risk and assumes any and all resulting liability arising therefrom. </a:t>
          </a:r>
        </a:p>
        <a:p>
          <a:r>
            <a:rPr lang="en-US" sz="1200">
              <a:solidFill>
                <a:schemeClr val="dk1"/>
              </a:solidFill>
              <a:effectLst/>
              <a:latin typeface="Arial" panose="020B0604020202020204" pitchFamily="34" charset="0"/>
              <a:ea typeface="+mn-ea"/>
              <a:cs typeface="Arial" panose="020B0604020202020204" pitchFamily="34" charset="0"/>
            </a:rPr>
            <a:t> </a:t>
          </a:r>
        </a:p>
        <a:p>
          <a:endParaRPr lang="en-US" sz="1100"/>
        </a:p>
      </xdr:txBody>
    </xdr:sp>
    <xdr:clientData/>
  </xdr:twoCellAnchor>
  <xdr:twoCellAnchor>
    <xdr:from>
      <xdr:col>9</xdr:col>
      <xdr:colOff>6349</xdr:colOff>
      <xdr:row>22</xdr:row>
      <xdr:rowOff>12700</xdr:rowOff>
    </xdr:from>
    <xdr:to>
      <xdr:col>15</xdr:col>
      <xdr:colOff>600074</xdr:colOff>
      <xdr:row>31</xdr:row>
      <xdr:rowOff>15875</xdr:rowOff>
    </xdr:to>
    <xdr:sp macro="" textlink="">
      <xdr:nvSpPr>
        <xdr:cNvPr id="5" name="TextBox 4">
          <a:extLst>
            <a:ext uri="{FF2B5EF4-FFF2-40B4-BE49-F238E27FC236}">
              <a16:creationId xmlns:a16="http://schemas.microsoft.com/office/drawing/2014/main" id="{5450D032-BCFC-4882-AB10-C9D3D20DD1C8}"/>
            </a:ext>
          </a:extLst>
        </xdr:cNvPr>
        <xdr:cNvSpPr txBox="1"/>
      </xdr:nvSpPr>
      <xdr:spPr>
        <a:xfrm>
          <a:off x="5215791" y="4335585"/>
          <a:ext cx="5227271" cy="171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Arial" panose="020B0604020202020204" pitchFamily="34" charset="0"/>
              <a:ea typeface="+mn-ea"/>
              <a:cs typeface="Arial" panose="020B0604020202020204" pitchFamily="34" charset="0"/>
            </a:rPr>
            <a:t>DISCLAIMER: The materials contained in the online course are not intended as a representation or warranty on the part of John</a:t>
          </a:r>
          <a:r>
            <a:rPr lang="en-US" sz="1200" baseline="0">
              <a:solidFill>
                <a:schemeClr val="dk1"/>
              </a:solidFill>
              <a:effectLst/>
              <a:latin typeface="Arial" panose="020B0604020202020204" pitchFamily="34" charset="0"/>
              <a:ea typeface="+mn-ea"/>
              <a:cs typeface="Arial" panose="020B0604020202020204" pitchFamily="34" charset="0"/>
            </a:rPr>
            <a:t> Andrew LLC</a:t>
          </a:r>
          <a:r>
            <a:rPr lang="en-US" sz="1200">
              <a:solidFill>
                <a:schemeClr val="dk1"/>
              </a:solidFill>
              <a:effectLst/>
              <a:latin typeface="Arial" panose="020B0604020202020204" pitchFamily="34" charset="0"/>
              <a:ea typeface="+mn-ea"/>
              <a:cs typeface="Arial" panose="020B0604020202020204" pitchFamily="34" charset="0"/>
            </a:rPr>
            <a:t> or any other person/organization named herein. The materials are for general information only. They are not a substitute for competent professional advice. Application of this information to a specific project should be reviewed by a registered professional engineer. Anyone making use of the information set forth herein does so at their own risk and assumes any and all resulting liability arising therefrom. </a:t>
          </a:r>
        </a:p>
        <a:p>
          <a:r>
            <a:rPr lang="en-US" sz="1200">
              <a:solidFill>
                <a:schemeClr val="dk1"/>
              </a:solidFill>
              <a:effectLst/>
              <a:latin typeface="Arial" panose="020B0604020202020204" pitchFamily="34" charset="0"/>
              <a:ea typeface="+mn-ea"/>
              <a:cs typeface="Arial" panose="020B0604020202020204" pitchFamily="34" charset="0"/>
            </a:rPr>
            <a:t> </a:t>
          </a:r>
        </a:p>
        <a:p>
          <a:endParaRPr lang="en-US" sz="1100"/>
        </a:p>
      </xdr:txBody>
    </xdr:sp>
    <xdr:clientData/>
  </xdr:twoCellAnchor>
  <xdr:twoCellAnchor>
    <xdr:from>
      <xdr:col>9</xdr:col>
      <xdr:colOff>6349</xdr:colOff>
      <xdr:row>22</xdr:row>
      <xdr:rowOff>12700</xdr:rowOff>
    </xdr:from>
    <xdr:to>
      <xdr:col>15</xdr:col>
      <xdr:colOff>600074</xdr:colOff>
      <xdr:row>31</xdr:row>
      <xdr:rowOff>15875</xdr:rowOff>
    </xdr:to>
    <xdr:sp macro="" textlink="">
      <xdr:nvSpPr>
        <xdr:cNvPr id="6" name="TextBox 5">
          <a:extLst>
            <a:ext uri="{FF2B5EF4-FFF2-40B4-BE49-F238E27FC236}">
              <a16:creationId xmlns:a16="http://schemas.microsoft.com/office/drawing/2014/main" id="{252158E6-7613-4CA4-A559-29E8A606C5A2}"/>
            </a:ext>
          </a:extLst>
        </xdr:cNvPr>
        <xdr:cNvSpPr txBox="1"/>
      </xdr:nvSpPr>
      <xdr:spPr>
        <a:xfrm>
          <a:off x="5215791" y="4335585"/>
          <a:ext cx="5227271" cy="171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Arial" panose="020B0604020202020204" pitchFamily="34" charset="0"/>
              <a:ea typeface="+mn-ea"/>
              <a:cs typeface="Arial" panose="020B0604020202020204" pitchFamily="34" charset="0"/>
            </a:rPr>
            <a:t>DISCLAIMER: The materials contained in the online course are not intended as a representation or warranty on the part of John</a:t>
          </a:r>
          <a:r>
            <a:rPr lang="en-US" sz="1200" baseline="0">
              <a:solidFill>
                <a:schemeClr val="dk1"/>
              </a:solidFill>
              <a:effectLst/>
              <a:latin typeface="Arial" panose="020B0604020202020204" pitchFamily="34" charset="0"/>
              <a:ea typeface="+mn-ea"/>
              <a:cs typeface="Arial" panose="020B0604020202020204" pitchFamily="34" charset="0"/>
            </a:rPr>
            <a:t> Andrew LLC</a:t>
          </a:r>
          <a:r>
            <a:rPr lang="en-US" sz="1200">
              <a:solidFill>
                <a:schemeClr val="dk1"/>
              </a:solidFill>
              <a:effectLst/>
              <a:latin typeface="Arial" panose="020B0604020202020204" pitchFamily="34" charset="0"/>
              <a:ea typeface="+mn-ea"/>
              <a:cs typeface="Arial" panose="020B0604020202020204" pitchFamily="34" charset="0"/>
            </a:rPr>
            <a:t> or any other person/organization named herein. The materials are for general information only. They are not a substitute for competent professional advice. Application of this information to a specific project should be reviewed by a registered professional engineer. Anyone making use of the information set forth herein does so at their own risk and assumes any and all resulting liability arising therefrom. </a:t>
          </a:r>
        </a:p>
        <a:p>
          <a:r>
            <a:rPr lang="en-US" sz="1200">
              <a:solidFill>
                <a:schemeClr val="dk1"/>
              </a:solidFill>
              <a:effectLst/>
              <a:latin typeface="Arial" panose="020B0604020202020204" pitchFamily="34" charset="0"/>
              <a:ea typeface="+mn-ea"/>
              <a:cs typeface="Arial" panose="020B0604020202020204" pitchFamily="34" charset="0"/>
            </a:rPr>
            <a:t> </a:t>
          </a: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1133475</xdr:colOff>
      <xdr:row>40</xdr:row>
      <xdr:rowOff>57150</xdr:rowOff>
    </xdr:from>
    <xdr:to>
      <xdr:col>2</xdr:col>
      <xdr:colOff>400050</xdr:colOff>
      <xdr:row>48</xdr:row>
      <xdr:rowOff>180975</xdr:rowOff>
    </xdr:to>
    <xdr:pic>
      <xdr:nvPicPr>
        <xdr:cNvPr id="10529" name="Picture 1" descr="SINE-WAVE-1">
          <a:extLst>
            <a:ext uri="{FF2B5EF4-FFF2-40B4-BE49-F238E27FC236}">
              <a16:creationId xmlns:a16="http://schemas.microsoft.com/office/drawing/2014/main" id="{3680C94D-D04D-4C5F-B5B3-DC0ABE6AC4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3475" y="6381750"/>
          <a:ext cx="3476625"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438149</xdr:colOff>
      <xdr:row>152</xdr:row>
      <xdr:rowOff>92075</xdr:rowOff>
    </xdr:from>
    <xdr:to>
      <xdr:col>6</xdr:col>
      <xdr:colOff>555332</xdr:colOff>
      <xdr:row>169</xdr:row>
      <xdr:rowOff>101600</xdr:rowOff>
    </xdr:to>
    <xdr:pic>
      <xdr:nvPicPr>
        <xdr:cNvPr id="10530" name="Picture 2" descr="GRAPG-TRANSMISSIBILITY">
          <a:extLst>
            <a:ext uri="{FF2B5EF4-FFF2-40B4-BE49-F238E27FC236}">
              <a16:creationId xmlns:a16="http://schemas.microsoft.com/office/drawing/2014/main" id="{7F83154D-822B-4631-A2C7-28404DDE16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00399" y="30064075"/>
          <a:ext cx="4193883" cy="3355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209550</xdr:colOff>
      <xdr:row>185</xdr:row>
      <xdr:rowOff>95250</xdr:rowOff>
    </xdr:from>
    <xdr:to>
      <xdr:col>4</xdr:col>
      <xdr:colOff>438150</xdr:colOff>
      <xdr:row>197</xdr:row>
      <xdr:rowOff>28575</xdr:rowOff>
    </xdr:to>
    <xdr:pic>
      <xdr:nvPicPr>
        <xdr:cNvPr id="10531" name="Picture 3" descr="SPRINGS-SERIES">
          <a:extLst>
            <a:ext uri="{FF2B5EF4-FFF2-40B4-BE49-F238E27FC236}">
              <a16:creationId xmlns:a16="http://schemas.microsoft.com/office/drawing/2014/main" id="{D426DEAA-7AC3-443C-81EA-CC2A6B6057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19650" y="30784800"/>
          <a:ext cx="838200" cy="232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174</xdr:row>
      <xdr:rowOff>38100</xdr:rowOff>
    </xdr:from>
    <xdr:to>
      <xdr:col>4</xdr:col>
      <xdr:colOff>523875</xdr:colOff>
      <xdr:row>182</xdr:row>
      <xdr:rowOff>180975</xdr:rowOff>
    </xdr:to>
    <xdr:pic>
      <xdr:nvPicPr>
        <xdr:cNvPr id="10532" name="Picture 4" descr="SPRINGS-PARALEL">
          <a:extLst>
            <a:ext uri="{FF2B5EF4-FFF2-40B4-BE49-F238E27FC236}">
              <a16:creationId xmlns:a16="http://schemas.microsoft.com/office/drawing/2014/main" id="{C341A342-8D9A-42EB-B6D8-3A631BCA24F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48200" y="28917900"/>
          <a:ext cx="1095375"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2727325</xdr:colOff>
      <xdr:row>210</xdr:row>
      <xdr:rowOff>28575</xdr:rowOff>
    </xdr:from>
    <xdr:to>
      <xdr:col>6</xdr:col>
      <xdr:colOff>117900</xdr:colOff>
      <xdr:row>219</xdr:row>
      <xdr:rowOff>76200</xdr:rowOff>
    </xdr:to>
    <xdr:pic>
      <xdr:nvPicPr>
        <xdr:cNvPr id="10533" name="Picture 5" descr="SHAFT-CRIT-SPEED-1">
          <a:extLst>
            <a:ext uri="{FF2B5EF4-FFF2-40B4-BE49-F238E27FC236}">
              <a16:creationId xmlns:a16="http://schemas.microsoft.com/office/drawing/2014/main" id="{46A037A1-FD1D-4B42-B803-6242405A759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27325" y="41468675"/>
          <a:ext cx="4229525"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504825</xdr:colOff>
      <xdr:row>378</xdr:row>
      <xdr:rowOff>76200</xdr:rowOff>
    </xdr:from>
    <xdr:to>
      <xdr:col>3</xdr:col>
      <xdr:colOff>276225</xdr:colOff>
      <xdr:row>387</xdr:row>
      <xdr:rowOff>107950</xdr:rowOff>
    </xdr:to>
    <xdr:pic>
      <xdr:nvPicPr>
        <xdr:cNvPr id="10534" name="Picture 6" descr="BALANCE-1">
          <a:extLst>
            <a:ext uri="{FF2B5EF4-FFF2-40B4-BE49-F238E27FC236}">
              <a16:creationId xmlns:a16="http://schemas.microsoft.com/office/drawing/2014/main" id="{CB497094-6A50-41EA-B262-5675E4F3DA9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143250" y="63827025"/>
          <a:ext cx="1952625"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669925</xdr:colOff>
      <xdr:row>390</xdr:row>
      <xdr:rowOff>101600</xdr:rowOff>
    </xdr:from>
    <xdr:to>
      <xdr:col>5</xdr:col>
      <xdr:colOff>393700</xdr:colOff>
      <xdr:row>403</xdr:row>
      <xdr:rowOff>63500</xdr:rowOff>
    </xdr:to>
    <xdr:pic>
      <xdr:nvPicPr>
        <xdr:cNvPr id="10535" name="Picture 7" descr="BALANCE-2">
          <a:extLst>
            <a:ext uri="{FF2B5EF4-FFF2-40B4-BE49-F238E27FC236}">
              <a16:creationId xmlns:a16="http://schemas.microsoft.com/office/drawing/2014/main" id="{A815C757-CC8D-4B43-AC46-A5C285FC793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432175" y="77108050"/>
          <a:ext cx="3190875" cy="2520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854075</xdr:colOff>
      <xdr:row>407</xdr:row>
      <xdr:rowOff>9525</xdr:rowOff>
    </xdr:from>
    <xdr:to>
      <xdr:col>5</xdr:col>
      <xdr:colOff>82550</xdr:colOff>
      <xdr:row>416</xdr:row>
      <xdr:rowOff>69850</xdr:rowOff>
    </xdr:to>
    <xdr:pic>
      <xdr:nvPicPr>
        <xdr:cNvPr id="10536" name="Picture 8" descr="BALANCE-CRANK-3">
          <a:extLst>
            <a:ext uri="{FF2B5EF4-FFF2-40B4-BE49-F238E27FC236}">
              <a16:creationId xmlns:a16="http://schemas.microsoft.com/office/drawing/2014/main" id="{A9C889B0-E37E-4052-AA8C-79BAFC054B0E}"/>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616325" y="80362425"/>
          <a:ext cx="2695575" cy="183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514350</xdr:colOff>
      <xdr:row>440</xdr:row>
      <xdr:rowOff>9525</xdr:rowOff>
    </xdr:from>
    <xdr:to>
      <xdr:col>4</xdr:col>
      <xdr:colOff>19050</xdr:colOff>
      <xdr:row>448</xdr:row>
      <xdr:rowOff>6350</xdr:rowOff>
    </xdr:to>
    <xdr:pic>
      <xdr:nvPicPr>
        <xdr:cNvPr id="10537" name="Picture 13" descr="MOTOR-COMPRESSOR">
          <a:extLst>
            <a:ext uri="{FF2B5EF4-FFF2-40B4-BE49-F238E27FC236}">
              <a16:creationId xmlns:a16="http://schemas.microsoft.com/office/drawing/2014/main" id="{202250F9-B306-4B2E-85F0-DAFA49E7928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152775" y="75914250"/>
          <a:ext cx="2295525"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484</xdr:row>
      <xdr:rowOff>76200</xdr:rowOff>
    </xdr:from>
    <xdr:to>
      <xdr:col>3</xdr:col>
      <xdr:colOff>133350</xdr:colOff>
      <xdr:row>492</xdr:row>
      <xdr:rowOff>114300</xdr:rowOff>
    </xdr:to>
    <xdr:pic>
      <xdr:nvPicPr>
        <xdr:cNvPr id="10538" name="Picture 14" descr="MOTOR-DRUM">
          <a:extLst>
            <a:ext uri="{FF2B5EF4-FFF2-40B4-BE49-F238E27FC236}">
              <a16:creationId xmlns:a16="http://schemas.microsoft.com/office/drawing/2014/main" id="{AB139951-65F9-4BB7-9FA8-5A6896C73255}"/>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914650" y="83124675"/>
          <a:ext cx="203835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609600</xdr:colOff>
      <xdr:row>541</xdr:row>
      <xdr:rowOff>114300</xdr:rowOff>
    </xdr:from>
    <xdr:to>
      <xdr:col>3</xdr:col>
      <xdr:colOff>428625</xdr:colOff>
      <xdr:row>565</xdr:row>
      <xdr:rowOff>190500</xdr:rowOff>
    </xdr:to>
    <xdr:pic>
      <xdr:nvPicPr>
        <xdr:cNvPr id="10539" name="Picture 15" descr="BARRY-CONT-633A-1">
          <a:extLst>
            <a:ext uri="{FF2B5EF4-FFF2-40B4-BE49-F238E27FC236}">
              <a16:creationId xmlns:a16="http://schemas.microsoft.com/office/drawing/2014/main" id="{3CB097C3-4554-45CA-9E88-C12AEEBDE638}"/>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09600" y="93297375"/>
          <a:ext cx="4638675" cy="489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569</xdr:row>
      <xdr:rowOff>76200</xdr:rowOff>
    </xdr:from>
    <xdr:to>
      <xdr:col>4</xdr:col>
      <xdr:colOff>114300</xdr:colOff>
      <xdr:row>598</xdr:row>
      <xdr:rowOff>114300</xdr:rowOff>
    </xdr:to>
    <xdr:pic>
      <xdr:nvPicPr>
        <xdr:cNvPr id="10540" name="Picture 16" descr="BARRY-CONT-633A-2">
          <a:extLst>
            <a:ext uri="{FF2B5EF4-FFF2-40B4-BE49-F238E27FC236}">
              <a16:creationId xmlns:a16="http://schemas.microsoft.com/office/drawing/2014/main" id="{A335FFD5-118C-4831-94A4-538691C225A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42900" y="98764725"/>
          <a:ext cx="5200650" cy="584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990600</xdr:colOff>
      <xdr:row>607</xdr:row>
      <xdr:rowOff>133350</xdr:rowOff>
    </xdr:from>
    <xdr:to>
      <xdr:col>2</xdr:col>
      <xdr:colOff>552450</xdr:colOff>
      <xdr:row>624</xdr:row>
      <xdr:rowOff>123825</xdr:rowOff>
    </xdr:to>
    <xdr:pic>
      <xdr:nvPicPr>
        <xdr:cNvPr id="10541" name="Picture 17" descr="BARRY-CONT-633A-4-2">
          <a:extLst>
            <a:ext uri="{FF2B5EF4-FFF2-40B4-BE49-F238E27FC236}">
              <a16:creationId xmlns:a16="http://schemas.microsoft.com/office/drawing/2014/main" id="{465E14C9-D812-4B9B-9A2B-669E67739012}"/>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90600" y="106270425"/>
          <a:ext cx="3771900" cy="339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647700</xdr:colOff>
      <xdr:row>627</xdr:row>
      <xdr:rowOff>76200</xdr:rowOff>
    </xdr:from>
    <xdr:to>
      <xdr:col>3</xdr:col>
      <xdr:colOff>38100</xdr:colOff>
      <xdr:row>645</xdr:row>
      <xdr:rowOff>60325</xdr:rowOff>
    </xdr:to>
    <xdr:pic>
      <xdr:nvPicPr>
        <xdr:cNvPr id="10542" name="Picture 18" descr="BARRY-CONT-633A-5-2">
          <a:extLst>
            <a:ext uri="{FF2B5EF4-FFF2-40B4-BE49-F238E27FC236}">
              <a16:creationId xmlns:a16="http://schemas.microsoft.com/office/drawing/2014/main" id="{734F4354-E8D7-46ED-99EE-290688B90A82}"/>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47700" y="110261400"/>
          <a:ext cx="4210050" cy="3590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1289050</xdr:colOff>
      <xdr:row>9</xdr:row>
      <xdr:rowOff>168275</xdr:rowOff>
    </xdr:from>
    <xdr:to>
      <xdr:col>6</xdr:col>
      <xdr:colOff>83290</xdr:colOff>
      <xdr:row>22</xdr:row>
      <xdr:rowOff>184150</xdr:rowOff>
    </xdr:to>
    <xdr:pic>
      <xdr:nvPicPr>
        <xdr:cNvPr id="10543" name="Picture 22" descr="DAMPED-VIBS-1">
          <a:extLst>
            <a:ext uri="{FF2B5EF4-FFF2-40B4-BE49-F238E27FC236}">
              <a16:creationId xmlns:a16="http://schemas.microsoft.com/office/drawing/2014/main" id="{961EBC7A-0FF8-47B8-86D9-45723F3AEC39}"/>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51300" y="1939925"/>
          <a:ext cx="2870940" cy="257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1060450</xdr:colOff>
      <xdr:row>51</xdr:row>
      <xdr:rowOff>117474</xdr:rowOff>
    </xdr:from>
    <xdr:to>
      <xdr:col>4</xdr:col>
      <xdr:colOff>89450</xdr:colOff>
      <xdr:row>61</xdr:row>
      <xdr:rowOff>114299</xdr:rowOff>
    </xdr:to>
    <xdr:pic>
      <xdr:nvPicPr>
        <xdr:cNvPr id="10544" name="Picture 23" descr="MOTOR-UNDAMPED-1">
          <a:extLst>
            <a:ext uri="{FF2B5EF4-FFF2-40B4-BE49-F238E27FC236}">
              <a16:creationId xmlns:a16="http://schemas.microsoft.com/office/drawing/2014/main" id="{0D943CEB-1DDA-428B-BEF2-184622F6E0CC}"/>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60450" y="10169524"/>
          <a:ext cx="4648750" cy="196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1701800</xdr:colOff>
      <xdr:row>129</xdr:row>
      <xdr:rowOff>79374</xdr:rowOff>
    </xdr:from>
    <xdr:to>
      <xdr:col>2</xdr:col>
      <xdr:colOff>274275</xdr:colOff>
      <xdr:row>146</xdr:row>
      <xdr:rowOff>101599</xdr:rowOff>
    </xdr:to>
    <xdr:pic>
      <xdr:nvPicPr>
        <xdr:cNvPr id="10545" name="Picture 24" descr="MASS-SPRING-TRANSMISSIBILITY">
          <a:extLst>
            <a:ext uri="{FF2B5EF4-FFF2-40B4-BE49-F238E27FC236}">
              <a16:creationId xmlns:a16="http://schemas.microsoft.com/office/drawing/2014/main" id="{F98A2BE4-CAB1-4510-8636-BEF50EB93A03}"/>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01800" y="25523824"/>
          <a:ext cx="2973025" cy="336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609599</xdr:colOff>
      <xdr:row>251</xdr:row>
      <xdr:rowOff>0</xdr:rowOff>
    </xdr:from>
    <xdr:to>
      <xdr:col>5</xdr:col>
      <xdr:colOff>232610</xdr:colOff>
      <xdr:row>256</xdr:row>
      <xdr:rowOff>158750</xdr:rowOff>
    </xdr:to>
    <xdr:pic>
      <xdr:nvPicPr>
        <xdr:cNvPr id="10546" name="Picture 25" descr="BEAM-1">
          <a:extLst>
            <a:ext uri="{FF2B5EF4-FFF2-40B4-BE49-F238E27FC236}">
              <a16:creationId xmlns:a16="http://schemas.microsoft.com/office/drawing/2014/main" id="{8683F67C-626B-49A4-92C5-3F8CDE78BD0D}"/>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800599" y="49530000"/>
          <a:ext cx="1451811" cy="114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66675</xdr:colOff>
      <xdr:row>261</xdr:row>
      <xdr:rowOff>85725</xdr:rowOff>
    </xdr:from>
    <xdr:to>
      <xdr:col>5</xdr:col>
      <xdr:colOff>296822</xdr:colOff>
      <xdr:row>267</xdr:row>
      <xdr:rowOff>82550</xdr:rowOff>
    </xdr:to>
    <xdr:pic>
      <xdr:nvPicPr>
        <xdr:cNvPr id="10547" name="Picture 26" descr="BEAM-2">
          <a:extLst>
            <a:ext uri="{FF2B5EF4-FFF2-40B4-BE49-F238E27FC236}">
              <a16:creationId xmlns:a16="http://schemas.microsoft.com/office/drawing/2014/main" id="{1D6FF6B7-AFB8-4E02-AF41-3092D1A07234}"/>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867275" y="51596925"/>
          <a:ext cx="1449347" cy="1184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590549</xdr:colOff>
      <xdr:row>299</xdr:row>
      <xdr:rowOff>142875</xdr:rowOff>
    </xdr:from>
    <xdr:to>
      <xdr:col>5</xdr:col>
      <xdr:colOff>214858</xdr:colOff>
      <xdr:row>306</xdr:row>
      <xdr:rowOff>101600</xdr:rowOff>
    </xdr:to>
    <xdr:pic>
      <xdr:nvPicPr>
        <xdr:cNvPr id="10548" name="Picture 27" descr="BEAM-3">
          <a:extLst>
            <a:ext uri="{FF2B5EF4-FFF2-40B4-BE49-F238E27FC236}">
              <a16:creationId xmlns:a16="http://schemas.microsoft.com/office/drawing/2014/main" id="{90E0DA34-B4AD-44A7-B44B-2626C8D56F9A}"/>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781549" y="59172475"/>
          <a:ext cx="1453109"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285</xdr:row>
      <xdr:rowOff>66675</xdr:rowOff>
    </xdr:from>
    <xdr:to>
      <xdr:col>5</xdr:col>
      <xdr:colOff>368300</xdr:colOff>
      <xdr:row>292</xdr:row>
      <xdr:rowOff>169608</xdr:rowOff>
    </xdr:to>
    <xdr:pic>
      <xdr:nvPicPr>
        <xdr:cNvPr id="10549" name="Picture 28" descr="BEAM-4">
          <a:extLst>
            <a:ext uri="{FF2B5EF4-FFF2-40B4-BE49-F238E27FC236}">
              <a16:creationId xmlns:a16="http://schemas.microsoft.com/office/drawing/2014/main" id="{3367EBDA-D8FD-4A26-AFC9-96AB96853999}"/>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838700" y="56327675"/>
          <a:ext cx="1549400" cy="1487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82550</xdr:colOff>
      <xdr:row>311</xdr:row>
      <xdr:rowOff>12700</xdr:rowOff>
    </xdr:from>
    <xdr:to>
      <xdr:col>5</xdr:col>
      <xdr:colOff>237134</xdr:colOff>
      <xdr:row>318</xdr:row>
      <xdr:rowOff>38100</xdr:rowOff>
    </xdr:to>
    <xdr:pic>
      <xdr:nvPicPr>
        <xdr:cNvPr id="10550" name="Picture 30" descr="BEAM-6">
          <a:extLst>
            <a:ext uri="{FF2B5EF4-FFF2-40B4-BE49-F238E27FC236}">
              <a16:creationId xmlns:a16="http://schemas.microsoft.com/office/drawing/2014/main" id="{615372C6-D151-4B94-858C-605EB8436954}"/>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883150" y="61417200"/>
          <a:ext cx="1373784"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xdr:colOff>
      <xdr:row>273</xdr:row>
      <xdr:rowOff>28575</xdr:rowOff>
    </xdr:from>
    <xdr:to>
      <xdr:col>5</xdr:col>
      <xdr:colOff>374240</xdr:colOff>
      <xdr:row>280</xdr:row>
      <xdr:rowOff>114300</xdr:rowOff>
    </xdr:to>
    <xdr:pic>
      <xdr:nvPicPr>
        <xdr:cNvPr id="10551" name="Picture 36" descr="BEAM-w-PINNED">
          <a:extLst>
            <a:ext uri="{FF2B5EF4-FFF2-40B4-BE49-F238E27FC236}">
              <a16:creationId xmlns:a16="http://schemas.microsoft.com/office/drawing/2014/main" id="{1333EECB-D5E1-4EC8-A18F-2A717A46719D}"/>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829175" y="53914675"/>
          <a:ext cx="1564865" cy="147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66675</xdr:colOff>
      <xdr:row>44</xdr:row>
      <xdr:rowOff>28575</xdr:rowOff>
    </xdr:from>
    <xdr:to>
      <xdr:col>4</xdr:col>
      <xdr:colOff>400050</xdr:colOff>
      <xdr:row>46</xdr:row>
      <xdr:rowOff>95250</xdr:rowOff>
    </xdr:to>
    <xdr:sp macro="" textlink="">
      <xdr:nvSpPr>
        <xdr:cNvPr id="10367" name="Text Box 127">
          <a:extLst>
            <a:ext uri="{FF2B5EF4-FFF2-40B4-BE49-F238E27FC236}">
              <a16:creationId xmlns:a16="http://schemas.microsoft.com/office/drawing/2014/main" id="{92D27992-EA41-460F-9970-61C75D3DBA9B}"/>
            </a:ext>
          </a:extLst>
        </xdr:cNvPr>
        <xdr:cNvSpPr txBox="1">
          <a:spLocks noChangeArrowheads="1"/>
        </xdr:cNvSpPr>
      </xdr:nvSpPr>
      <xdr:spPr bwMode="auto">
        <a:xfrm>
          <a:off x="4676775" y="7000875"/>
          <a:ext cx="942975" cy="3905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Displacement vs Time Graph</a:t>
          </a:r>
        </a:p>
      </xdr:txBody>
    </xdr:sp>
    <xdr:clientData/>
  </xdr:twoCellAnchor>
  <xdr:twoCellAnchor>
    <xdr:from>
      <xdr:col>0</xdr:col>
      <xdr:colOff>247650</xdr:colOff>
      <xdr:row>327</xdr:row>
      <xdr:rowOff>57150</xdr:rowOff>
    </xdr:from>
    <xdr:to>
      <xdr:col>0</xdr:col>
      <xdr:colOff>2362200</xdr:colOff>
      <xdr:row>333</xdr:row>
      <xdr:rowOff>114300</xdr:rowOff>
    </xdr:to>
    <xdr:sp macro="" textlink="">
      <xdr:nvSpPr>
        <xdr:cNvPr id="10368" name="Text Box 128">
          <a:extLst>
            <a:ext uri="{FF2B5EF4-FFF2-40B4-BE49-F238E27FC236}">
              <a16:creationId xmlns:a16="http://schemas.microsoft.com/office/drawing/2014/main" id="{467FF8F1-7CEC-44E5-8759-0030E4B6AEB3}"/>
            </a:ext>
          </a:extLst>
        </xdr:cNvPr>
        <xdr:cNvSpPr txBox="1">
          <a:spLocks noChangeArrowheads="1"/>
        </xdr:cNvSpPr>
      </xdr:nvSpPr>
      <xdr:spPr bwMode="auto">
        <a:xfrm>
          <a:off x="247650" y="55416450"/>
          <a:ext cx="2114550" cy="10382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Circular Stiffness Factors</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Circular Plate, simply supported edges,  K = 4.99.</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Circular Plate, fixed supported edges,  K = 10.2.</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333375</xdr:colOff>
      <xdr:row>19</xdr:row>
      <xdr:rowOff>114300</xdr:rowOff>
    </xdr:from>
    <xdr:to>
      <xdr:col>0</xdr:col>
      <xdr:colOff>2495550</xdr:colOff>
      <xdr:row>22</xdr:row>
      <xdr:rowOff>28575</xdr:rowOff>
    </xdr:to>
    <xdr:sp macro="" textlink="">
      <xdr:nvSpPr>
        <xdr:cNvPr id="10369" name="Text Box 129">
          <a:extLst>
            <a:ext uri="{FF2B5EF4-FFF2-40B4-BE49-F238E27FC236}">
              <a16:creationId xmlns:a16="http://schemas.microsoft.com/office/drawing/2014/main" id="{C07053DA-DEAE-4A55-AA3C-F2C2221D5B65}"/>
            </a:ext>
          </a:extLst>
        </xdr:cNvPr>
        <xdr:cNvSpPr txBox="1">
          <a:spLocks noChangeArrowheads="1"/>
        </xdr:cNvSpPr>
      </xdr:nvSpPr>
      <xdr:spPr bwMode="auto">
        <a:xfrm>
          <a:off x="333375" y="2981325"/>
          <a:ext cx="2162175" cy="40005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100" b="1" i="0" u="none" strike="noStrike" baseline="0">
              <a:solidFill>
                <a:srgbClr val="000000"/>
              </a:solidFill>
              <a:latin typeface="Arial"/>
              <a:cs typeface="Arial"/>
            </a:rPr>
            <a:t>See, "Math Tools" for Vibration Forcing Function Calculations.</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478915</xdr:colOff>
      <xdr:row>6</xdr:row>
      <xdr:rowOff>158751</xdr:rowOff>
    </xdr:from>
    <xdr:to>
      <xdr:col>1</xdr:col>
      <xdr:colOff>102979</xdr:colOff>
      <xdr:row>16</xdr:row>
      <xdr:rowOff>152401</xdr:rowOff>
    </xdr:to>
    <xdr:pic>
      <xdr:nvPicPr>
        <xdr:cNvPr id="13362" name="Picture 9" descr="SHOCK-1">
          <a:extLst>
            <a:ext uri="{FF2B5EF4-FFF2-40B4-BE49-F238E27FC236}">
              <a16:creationId xmlns:a16="http://schemas.microsoft.com/office/drawing/2014/main" id="{0F1D1A87-1A25-402A-948C-F39EE096F8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915" y="1371601"/>
          <a:ext cx="2506964"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730250</xdr:colOff>
      <xdr:row>7</xdr:row>
      <xdr:rowOff>12700</xdr:rowOff>
    </xdr:from>
    <xdr:to>
      <xdr:col>5</xdr:col>
      <xdr:colOff>46139</xdr:colOff>
      <xdr:row>16</xdr:row>
      <xdr:rowOff>152400</xdr:rowOff>
    </xdr:to>
    <xdr:pic>
      <xdr:nvPicPr>
        <xdr:cNvPr id="13363" name="Picture 10" descr="SHOCK-2">
          <a:extLst>
            <a:ext uri="{FF2B5EF4-FFF2-40B4-BE49-F238E27FC236}">
              <a16:creationId xmlns:a16="http://schemas.microsoft.com/office/drawing/2014/main" id="{29AB9D91-0E9F-483B-8C1A-1EC153FB39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13150" y="1422400"/>
          <a:ext cx="2541689" cy="191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771525</xdr:colOff>
      <xdr:row>23</xdr:row>
      <xdr:rowOff>95250</xdr:rowOff>
    </xdr:from>
    <xdr:to>
      <xdr:col>0</xdr:col>
      <xdr:colOff>2438400</xdr:colOff>
      <xdr:row>31</xdr:row>
      <xdr:rowOff>12700</xdr:rowOff>
    </xdr:to>
    <xdr:pic>
      <xdr:nvPicPr>
        <xdr:cNvPr id="13364" name="Picture 11" descr="SHOCK-3">
          <a:extLst>
            <a:ext uri="{FF2B5EF4-FFF2-40B4-BE49-F238E27FC236}">
              <a16:creationId xmlns:a16="http://schemas.microsoft.com/office/drawing/2014/main" id="{FA766B4D-F3FD-45E0-A27D-2A9631BDA39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1525" y="3609975"/>
          <a:ext cx="1666875"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1009650</xdr:colOff>
      <xdr:row>22</xdr:row>
      <xdr:rowOff>66675</xdr:rowOff>
    </xdr:from>
    <xdr:to>
      <xdr:col>4</xdr:col>
      <xdr:colOff>504825</xdr:colOff>
      <xdr:row>32</xdr:row>
      <xdr:rowOff>12700</xdr:rowOff>
    </xdr:to>
    <xdr:pic>
      <xdr:nvPicPr>
        <xdr:cNvPr id="13365" name="Picture 12" descr="SHOCK-4">
          <a:extLst>
            <a:ext uri="{FF2B5EF4-FFF2-40B4-BE49-F238E27FC236}">
              <a16:creationId xmlns:a16="http://schemas.microsoft.com/office/drawing/2014/main" id="{18D3703E-6099-44E9-B7A4-AAB37D00633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62375" y="3381375"/>
          <a:ext cx="172402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285750</xdr:colOff>
      <xdr:row>98</xdr:row>
      <xdr:rowOff>76200</xdr:rowOff>
    </xdr:from>
    <xdr:to>
      <xdr:col>4</xdr:col>
      <xdr:colOff>485775</xdr:colOff>
      <xdr:row>110</xdr:row>
      <xdr:rowOff>95250</xdr:rowOff>
    </xdr:to>
    <xdr:pic>
      <xdr:nvPicPr>
        <xdr:cNvPr id="13366" name="Picture 19" descr="SPRING-ISOLATOR-4">
          <a:extLst>
            <a:ext uri="{FF2B5EF4-FFF2-40B4-BE49-F238E27FC236}">
              <a16:creationId xmlns:a16="http://schemas.microsoft.com/office/drawing/2014/main" id="{4E97E550-3B5F-427B-9D83-1D94589C633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38475" y="15773400"/>
          <a:ext cx="24288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166</xdr:row>
      <xdr:rowOff>57150</xdr:rowOff>
    </xdr:from>
    <xdr:to>
      <xdr:col>4</xdr:col>
      <xdr:colOff>609600</xdr:colOff>
      <xdr:row>181</xdr:row>
      <xdr:rowOff>139700</xdr:rowOff>
    </xdr:to>
    <xdr:pic>
      <xdr:nvPicPr>
        <xdr:cNvPr id="13367" name="Picture 20" descr="SPRING-ISOLATOR-1">
          <a:extLst>
            <a:ext uri="{FF2B5EF4-FFF2-40B4-BE49-F238E27FC236}">
              <a16:creationId xmlns:a16="http://schemas.microsoft.com/office/drawing/2014/main" id="{62696A2C-BDDC-46FC-BB38-1A02A6BB844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0975" y="26765250"/>
          <a:ext cx="5410200" cy="309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914400</xdr:colOff>
      <xdr:row>141</xdr:row>
      <xdr:rowOff>114300</xdr:rowOff>
    </xdr:from>
    <xdr:to>
      <xdr:col>4</xdr:col>
      <xdr:colOff>523875</xdr:colOff>
      <xdr:row>161</xdr:row>
      <xdr:rowOff>114300</xdr:rowOff>
    </xdr:to>
    <xdr:pic>
      <xdr:nvPicPr>
        <xdr:cNvPr id="13368" name="Picture 21" descr="SPRING-ISOLATOR-5">
          <a:extLst>
            <a:ext uri="{FF2B5EF4-FFF2-40B4-BE49-F238E27FC236}">
              <a16:creationId xmlns:a16="http://schemas.microsoft.com/office/drawing/2014/main" id="{8C731FEF-5DD0-43A5-AFA5-77041372AFF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14400" y="22774275"/>
          <a:ext cx="4591050" cy="401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19051</xdr:colOff>
      <xdr:row>10</xdr:row>
      <xdr:rowOff>57150</xdr:rowOff>
    </xdr:from>
    <xdr:to>
      <xdr:col>10</xdr:col>
      <xdr:colOff>1382326</xdr:colOff>
      <xdr:row>24</xdr:row>
      <xdr:rowOff>82550</xdr:rowOff>
    </xdr:to>
    <xdr:pic>
      <xdr:nvPicPr>
        <xdr:cNvPr id="2" name="Picture 1">
          <a:extLst>
            <a:ext uri="{FF2B5EF4-FFF2-40B4-BE49-F238E27FC236}">
              <a16:creationId xmlns:a16="http://schemas.microsoft.com/office/drawing/2014/main" id="{0A903194-DC90-4A4D-8D67-B5C0C97C7C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29276" y="2038350"/>
          <a:ext cx="2528500" cy="2800350"/>
        </a:xfrm>
        <a:prstGeom prst="rect">
          <a:avLst/>
        </a:prstGeom>
      </xdr:spPr>
    </xdr:pic>
    <xdr:clientData/>
  </xdr:twoCellAnchor>
  <xdr:twoCellAnchor editAs="oneCell">
    <xdr:from>
      <xdr:col>1</xdr:col>
      <xdr:colOff>419100</xdr:colOff>
      <xdr:row>23</xdr:row>
      <xdr:rowOff>66675</xdr:rowOff>
    </xdr:from>
    <xdr:to>
      <xdr:col>2</xdr:col>
      <xdr:colOff>920750</xdr:colOff>
      <xdr:row>30</xdr:row>
      <xdr:rowOff>82550</xdr:rowOff>
    </xdr:to>
    <xdr:pic>
      <xdr:nvPicPr>
        <xdr:cNvPr id="4" name="Picture 3">
          <a:extLst>
            <a:ext uri="{FF2B5EF4-FFF2-40B4-BE49-F238E27FC236}">
              <a16:creationId xmlns:a16="http://schemas.microsoft.com/office/drawing/2014/main" id="{AB129C86-992C-4174-AA81-74AE8C3A5AC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1525" y="4600575"/>
          <a:ext cx="2124075" cy="1352550"/>
        </a:xfrm>
        <a:prstGeom prst="rect">
          <a:avLst/>
        </a:prstGeom>
      </xdr:spPr>
    </xdr:pic>
    <xdr:clientData/>
  </xdr:twoCellAnchor>
  <xdr:twoCellAnchor editAs="oneCell">
    <xdr:from>
      <xdr:col>4</xdr:col>
      <xdr:colOff>0</xdr:colOff>
      <xdr:row>10</xdr:row>
      <xdr:rowOff>38100</xdr:rowOff>
    </xdr:from>
    <xdr:to>
      <xdr:col>7</xdr:col>
      <xdr:colOff>513938</xdr:colOff>
      <xdr:row>26</xdr:row>
      <xdr:rowOff>95250</xdr:rowOff>
    </xdr:to>
    <xdr:pic>
      <xdr:nvPicPr>
        <xdr:cNvPr id="5" name="Picture 4">
          <a:extLst>
            <a:ext uri="{FF2B5EF4-FFF2-40B4-BE49-F238E27FC236}">
              <a16:creationId xmlns:a16="http://schemas.microsoft.com/office/drawing/2014/main" id="{5A80127A-F6FE-4296-9E59-C8DD829A1F1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305175" y="2019300"/>
          <a:ext cx="2237963" cy="3209925"/>
        </a:xfrm>
        <a:prstGeom prst="rect">
          <a:avLst/>
        </a:prstGeom>
      </xdr:spPr>
    </xdr:pic>
    <xdr:clientData/>
  </xdr:twoCellAnchor>
  <xdr:twoCellAnchor editAs="oneCell">
    <xdr:from>
      <xdr:col>4</xdr:col>
      <xdr:colOff>9525</xdr:colOff>
      <xdr:row>3</xdr:row>
      <xdr:rowOff>95251</xdr:rowOff>
    </xdr:from>
    <xdr:to>
      <xdr:col>6</xdr:col>
      <xdr:colOff>120650</xdr:colOff>
      <xdr:row>7</xdr:row>
      <xdr:rowOff>144972</xdr:rowOff>
    </xdr:to>
    <xdr:pic>
      <xdr:nvPicPr>
        <xdr:cNvPr id="6" name="Picture 5">
          <a:extLst>
            <a:ext uri="{FF2B5EF4-FFF2-40B4-BE49-F238E27FC236}">
              <a16:creationId xmlns:a16="http://schemas.microsoft.com/office/drawing/2014/main" id="{ECDFFCEF-8D2A-4011-BF59-7D5632061FE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314700" y="676276"/>
          <a:ext cx="1266825" cy="852996"/>
        </a:xfrm>
        <a:prstGeom prst="rect">
          <a:avLst/>
        </a:prstGeom>
      </xdr:spPr>
    </xdr:pic>
    <xdr:clientData/>
  </xdr:twoCellAnchor>
  <xdr:twoCellAnchor editAs="oneCell">
    <xdr:from>
      <xdr:col>10</xdr:col>
      <xdr:colOff>714375</xdr:colOff>
      <xdr:row>31</xdr:row>
      <xdr:rowOff>9525</xdr:rowOff>
    </xdr:from>
    <xdr:to>
      <xdr:col>17</xdr:col>
      <xdr:colOff>161138</xdr:colOff>
      <xdr:row>51</xdr:row>
      <xdr:rowOff>82550</xdr:rowOff>
    </xdr:to>
    <xdr:pic>
      <xdr:nvPicPr>
        <xdr:cNvPr id="7" name="Picture 6">
          <a:extLst>
            <a:ext uri="{FF2B5EF4-FFF2-40B4-BE49-F238E27FC236}">
              <a16:creationId xmlns:a16="http://schemas.microsoft.com/office/drawing/2014/main" id="{056B1455-1488-4130-B295-92C3EC134CF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486650" y="6153150"/>
          <a:ext cx="4368013" cy="4105275"/>
        </a:xfrm>
        <a:prstGeom prst="rect">
          <a:avLst/>
        </a:prstGeom>
      </xdr:spPr>
    </xdr:pic>
    <xdr:clientData/>
  </xdr:twoCellAnchor>
  <xdr:twoCellAnchor editAs="oneCell">
    <xdr:from>
      <xdr:col>1</xdr:col>
      <xdr:colOff>0</xdr:colOff>
      <xdr:row>47</xdr:row>
      <xdr:rowOff>0</xdr:rowOff>
    </xdr:from>
    <xdr:to>
      <xdr:col>2</xdr:col>
      <xdr:colOff>387350</xdr:colOff>
      <xdr:row>54</xdr:row>
      <xdr:rowOff>44450</xdr:rowOff>
    </xdr:to>
    <xdr:pic>
      <xdr:nvPicPr>
        <xdr:cNvPr id="8" name="Picture 7">
          <a:extLst>
            <a:ext uri="{FF2B5EF4-FFF2-40B4-BE49-F238E27FC236}">
              <a16:creationId xmlns:a16="http://schemas.microsoft.com/office/drawing/2014/main" id="{FCC7EED1-7D6D-4BD2-965B-9674D3758C6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52400" y="9401175"/>
          <a:ext cx="2009775" cy="1390650"/>
        </a:xfrm>
        <a:prstGeom prst="rect">
          <a:avLst/>
        </a:prstGeom>
      </xdr:spPr>
    </xdr:pic>
    <xdr:clientData/>
  </xdr:twoCellAnchor>
  <xdr:twoCellAnchor editAs="oneCell">
    <xdr:from>
      <xdr:col>3</xdr:col>
      <xdr:colOff>0</xdr:colOff>
      <xdr:row>47</xdr:row>
      <xdr:rowOff>0</xdr:rowOff>
    </xdr:from>
    <xdr:to>
      <xdr:col>7</xdr:col>
      <xdr:colOff>6350</xdr:colOff>
      <xdr:row>54</xdr:row>
      <xdr:rowOff>76200</xdr:rowOff>
    </xdr:to>
    <xdr:pic>
      <xdr:nvPicPr>
        <xdr:cNvPr id="9" name="Picture 8">
          <a:extLst>
            <a:ext uri="{FF2B5EF4-FFF2-40B4-BE49-F238E27FC236}">
              <a16:creationId xmlns:a16="http://schemas.microsoft.com/office/drawing/2014/main" id="{FA317CF9-3307-43A5-8865-70E46886E24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571750" y="9401175"/>
          <a:ext cx="2466975" cy="1419225"/>
        </a:xfrm>
        <a:prstGeom prst="rect">
          <a:avLst/>
        </a:prstGeom>
      </xdr:spPr>
    </xdr:pic>
    <xdr:clientData/>
  </xdr:twoCellAnchor>
  <xdr:oneCellAnchor>
    <xdr:from>
      <xdr:col>8</xdr:col>
      <xdr:colOff>19051</xdr:colOff>
      <xdr:row>10</xdr:row>
      <xdr:rowOff>57150</xdr:rowOff>
    </xdr:from>
    <xdr:ext cx="2528500" cy="2800350"/>
    <xdr:pic>
      <xdr:nvPicPr>
        <xdr:cNvPr id="3" name="Picture 2">
          <a:extLst>
            <a:ext uri="{FF2B5EF4-FFF2-40B4-BE49-F238E27FC236}">
              <a16:creationId xmlns:a16="http://schemas.microsoft.com/office/drawing/2014/main" id="{4A6254DD-7D73-4DA2-9CA7-13B5E4F7F4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8376" y="2066925"/>
          <a:ext cx="2528500" cy="2800350"/>
        </a:xfrm>
        <a:prstGeom prst="rect">
          <a:avLst/>
        </a:prstGeom>
      </xdr:spPr>
    </xdr:pic>
    <xdr:clientData/>
  </xdr:oneCellAnchor>
  <xdr:oneCellAnchor>
    <xdr:from>
      <xdr:col>1</xdr:col>
      <xdr:colOff>419100</xdr:colOff>
      <xdr:row>23</xdr:row>
      <xdr:rowOff>66675</xdr:rowOff>
    </xdr:from>
    <xdr:ext cx="2124075" cy="1371600"/>
    <xdr:pic>
      <xdr:nvPicPr>
        <xdr:cNvPr id="10" name="Picture 9">
          <a:extLst>
            <a:ext uri="{FF2B5EF4-FFF2-40B4-BE49-F238E27FC236}">
              <a16:creationId xmlns:a16="http://schemas.microsoft.com/office/drawing/2014/main" id="{E80CE85F-B606-4B86-9FD8-2DCAD3E823F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1500" y="4657725"/>
          <a:ext cx="2124075" cy="1371600"/>
        </a:xfrm>
        <a:prstGeom prst="rect">
          <a:avLst/>
        </a:prstGeom>
      </xdr:spPr>
    </xdr:pic>
    <xdr:clientData/>
  </xdr:oneCellAnchor>
  <xdr:oneCellAnchor>
    <xdr:from>
      <xdr:col>4</xdr:col>
      <xdr:colOff>0</xdr:colOff>
      <xdr:row>10</xdr:row>
      <xdr:rowOff>38100</xdr:rowOff>
    </xdr:from>
    <xdr:ext cx="2237963" cy="3209925"/>
    <xdr:pic>
      <xdr:nvPicPr>
        <xdr:cNvPr id="11" name="Picture 10">
          <a:extLst>
            <a:ext uri="{FF2B5EF4-FFF2-40B4-BE49-F238E27FC236}">
              <a16:creationId xmlns:a16="http://schemas.microsoft.com/office/drawing/2014/main" id="{12F906CA-53AD-4E4B-A330-2A1E14FB1E6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24275" y="2047875"/>
          <a:ext cx="2237963" cy="3209925"/>
        </a:xfrm>
        <a:prstGeom prst="rect">
          <a:avLst/>
        </a:prstGeom>
      </xdr:spPr>
    </xdr:pic>
    <xdr:clientData/>
  </xdr:oneCellAnchor>
  <xdr:oneCellAnchor>
    <xdr:from>
      <xdr:col>4</xdr:col>
      <xdr:colOff>9525</xdr:colOff>
      <xdr:row>3</xdr:row>
      <xdr:rowOff>95251</xdr:rowOff>
    </xdr:from>
    <xdr:ext cx="1266825" cy="852996"/>
    <xdr:pic>
      <xdr:nvPicPr>
        <xdr:cNvPr id="12" name="Picture 11">
          <a:extLst>
            <a:ext uri="{FF2B5EF4-FFF2-40B4-BE49-F238E27FC236}">
              <a16:creationId xmlns:a16="http://schemas.microsoft.com/office/drawing/2014/main" id="{D06CF9E0-71AF-4048-A106-C41373B8363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733800" y="704851"/>
          <a:ext cx="1266825" cy="852996"/>
        </a:xfrm>
        <a:prstGeom prst="rect">
          <a:avLst/>
        </a:prstGeom>
      </xdr:spPr>
    </xdr:pic>
    <xdr:clientData/>
  </xdr:oneCellAnchor>
  <xdr:oneCellAnchor>
    <xdr:from>
      <xdr:col>10</xdr:col>
      <xdr:colOff>714375</xdr:colOff>
      <xdr:row>31</xdr:row>
      <xdr:rowOff>9525</xdr:rowOff>
    </xdr:from>
    <xdr:ext cx="4368013" cy="4105275"/>
    <xdr:pic>
      <xdr:nvPicPr>
        <xdr:cNvPr id="13" name="Picture 12">
          <a:extLst>
            <a:ext uri="{FF2B5EF4-FFF2-40B4-BE49-F238E27FC236}">
              <a16:creationId xmlns:a16="http://schemas.microsoft.com/office/drawing/2014/main" id="{5169BD0C-D8D1-4DFE-9FC4-12B87A1034B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905750" y="6153150"/>
          <a:ext cx="4368013" cy="4105275"/>
        </a:xfrm>
        <a:prstGeom prst="rect">
          <a:avLst/>
        </a:prstGeom>
      </xdr:spPr>
    </xdr:pic>
    <xdr:clientData/>
  </xdr:oneCellAnchor>
  <xdr:oneCellAnchor>
    <xdr:from>
      <xdr:col>1</xdr:col>
      <xdr:colOff>0</xdr:colOff>
      <xdr:row>47</xdr:row>
      <xdr:rowOff>0</xdr:rowOff>
    </xdr:from>
    <xdr:ext cx="2009775" cy="1390650"/>
    <xdr:pic>
      <xdr:nvPicPr>
        <xdr:cNvPr id="14" name="Picture 13">
          <a:extLst>
            <a:ext uri="{FF2B5EF4-FFF2-40B4-BE49-F238E27FC236}">
              <a16:creationId xmlns:a16="http://schemas.microsoft.com/office/drawing/2014/main" id="{9199AC93-BFC9-4EC7-9873-C6B1B311951C}"/>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52400" y="9401175"/>
          <a:ext cx="2009775" cy="1390650"/>
        </a:xfrm>
        <a:prstGeom prst="rect">
          <a:avLst/>
        </a:prstGeom>
      </xdr:spPr>
    </xdr:pic>
    <xdr:clientData/>
  </xdr:oneCellAnchor>
  <xdr:oneCellAnchor>
    <xdr:from>
      <xdr:col>3</xdr:col>
      <xdr:colOff>0</xdr:colOff>
      <xdr:row>47</xdr:row>
      <xdr:rowOff>0</xdr:rowOff>
    </xdr:from>
    <xdr:ext cx="2466975" cy="1419225"/>
    <xdr:pic>
      <xdr:nvPicPr>
        <xdr:cNvPr id="15" name="Picture 14">
          <a:extLst>
            <a:ext uri="{FF2B5EF4-FFF2-40B4-BE49-F238E27FC236}">
              <a16:creationId xmlns:a16="http://schemas.microsoft.com/office/drawing/2014/main" id="{5BF80AAD-D879-4601-86A7-5F60A59A7F2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990850" y="9401175"/>
          <a:ext cx="2466975" cy="14192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378</xdr:row>
      <xdr:rowOff>161925</xdr:rowOff>
    </xdr:from>
    <xdr:to>
      <xdr:col>1</xdr:col>
      <xdr:colOff>0</xdr:colOff>
      <xdr:row>380</xdr:row>
      <xdr:rowOff>0</xdr:rowOff>
    </xdr:to>
    <xdr:sp macro="" textlink="">
      <xdr:nvSpPr>
        <xdr:cNvPr id="1431" name="Line 115">
          <a:extLst>
            <a:ext uri="{FF2B5EF4-FFF2-40B4-BE49-F238E27FC236}">
              <a16:creationId xmlns:a16="http://schemas.microsoft.com/office/drawing/2014/main" id="{EAB2E7B9-6DEB-47DA-B760-F111168D14A4}"/>
            </a:ext>
          </a:extLst>
        </xdr:cNvPr>
        <xdr:cNvSpPr>
          <a:spLocks noChangeShapeType="1"/>
        </xdr:cNvSpPr>
      </xdr:nvSpPr>
      <xdr:spPr bwMode="auto">
        <a:xfrm>
          <a:off x="2505075" y="6755130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336550</xdr:colOff>
      <xdr:row>171</xdr:row>
      <xdr:rowOff>127000</xdr:rowOff>
    </xdr:from>
    <xdr:to>
      <xdr:col>1</xdr:col>
      <xdr:colOff>669925</xdr:colOff>
      <xdr:row>187</xdr:row>
      <xdr:rowOff>190500</xdr:rowOff>
    </xdr:to>
    <xdr:sp macro="" textlink="">
      <xdr:nvSpPr>
        <xdr:cNvPr id="1152" name="Text Box 128">
          <a:extLst>
            <a:ext uri="{FF2B5EF4-FFF2-40B4-BE49-F238E27FC236}">
              <a16:creationId xmlns:a16="http://schemas.microsoft.com/office/drawing/2014/main" id="{3E4F77B8-F77F-45D6-8110-8CF56425CABF}"/>
            </a:ext>
          </a:extLst>
        </xdr:cNvPr>
        <xdr:cNvSpPr txBox="1">
          <a:spLocks noChangeArrowheads="1"/>
        </xdr:cNvSpPr>
      </xdr:nvSpPr>
      <xdr:spPr bwMode="auto">
        <a:xfrm>
          <a:off x="336550" y="33966150"/>
          <a:ext cx="2955925" cy="32131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lnSpc>
              <a:spcPts val="1000"/>
            </a:lnSpc>
            <a:defRPr sz="1000"/>
          </a:pPr>
          <a:r>
            <a:rPr lang="en-US" sz="1100" b="1" i="0" u="none" strike="noStrike" baseline="0">
              <a:solidFill>
                <a:srgbClr val="000000"/>
              </a:solidFill>
              <a:latin typeface="Arial"/>
              <a:cs typeface="Arial"/>
            </a:rPr>
            <a:t>Stress Element</a:t>
          </a:r>
          <a:endParaRPr lang="en-US" sz="1100" b="0" i="0" u="none" strike="noStrike" baseline="0">
            <a:solidFill>
              <a:srgbClr val="000000"/>
            </a:solidFill>
            <a:latin typeface="Arial"/>
            <a:cs typeface="Arial"/>
          </a:endParaRPr>
        </a:p>
        <a:p>
          <a:pPr algn="l" rtl="0">
            <a:lnSpc>
              <a:spcPts val="1000"/>
            </a:lnSpc>
            <a:defRPr sz="1000"/>
          </a:pPr>
          <a:r>
            <a:rPr lang="en-US" sz="1100" b="0" i="0" u="none" strike="noStrike" baseline="0">
              <a:solidFill>
                <a:srgbClr val="000000"/>
              </a:solidFill>
              <a:latin typeface="Arial"/>
              <a:cs typeface="Arial"/>
            </a:rPr>
            <a:t>The stress element right is at the point of interest in the machine part subjected to operating: forces, moments, and torques.</a:t>
          </a:r>
        </a:p>
        <a:p>
          <a:pPr algn="l" rtl="0">
            <a:lnSpc>
              <a:spcPts val="1000"/>
            </a:lnSpc>
            <a:defRPr sz="1000"/>
          </a:pPr>
          <a:endParaRPr lang="en-US" sz="1100" b="0" i="0" u="none" strike="noStrike" baseline="0">
            <a:solidFill>
              <a:srgbClr val="000000"/>
            </a:solidFill>
            <a:latin typeface="Arial"/>
            <a:cs typeface="Arial"/>
          </a:endParaRPr>
        </a:p>
        <a:p>
          <a:pPr algn="l" rtl="0">
            <a:lnSpc>
              <a:spcPts val="1000"/>
            </a:lnSpc>
            <a:defRPr sz="1000"/>
          </a:pPr>
          <a:r>
            <a:rPr lang="en-US" sz="1100" b="1" i="0" u="none" strike="noStrike" baseline="0">
              <a:solidFill>
                <a:srgbClr val="000000"/>
              </a:solidFill>
              <a:latin typeface="Arial"/>
              <a:cs typeface="Arial"/>
            </a:rPr>
            <a:t>Direct Stresses</a:t>
          </a:r>
          <a:r>
            <a:rPr lang="en-US" sz="1100" b="0" i="0" u="none" strike="noStrike" baseline="0">
              <a:solidFill>
                <a:srgbClr val="000000"/>
              </a:solidFill>
              <a:latin typeface="Arial"/>
              <a:cs typeface="Arial"/>
            </a:rPr>
            <a:t>:</a:t>
          </a:r>
        </a:p>
        <a:p>
          <a:pPr algn="l" rtl="0">
            <a:lnSpc>
              <a:spcPts val="1000"/>
            </a:lnSpc>
            <a:defRPr sz="1000"/>
          </a:pPr>
          <a:r>
            <a:rPr lang="en-US" sz="1100" b="0" i="0" u="none" strike="noStrike" baseline="0">
              <a:solidFill>
                <a:srgbClr val="000000"/>
              </a:solidFill>
              <a:latin typeface="Arial"/>
              <a:cs typeface="Arial"/>
            </a:rPr>
            <a:t>Horizontal,  +Fx = tension, -Fx = compression.</a:t>
          </a:r>
        </a:p>
        <a:p>
          <a:pPr algn="l" rtl="0">
            <a:lnSpc>
              <a:spcPts val="1000"/>
            </a:lnSpc>
            <a:defRPr sz="1000"/>
          </a:pPr>
          <a:r>
            <a:rPr lang="en-US" sz="1100" b="0" i="0" u="none" strike="noStrike" baseline="0">
              <a:solidFill>
                <a:srgbClr val="000000"/>
              </a:solidFill>
              <a:latin typeface="Arial"/>
              <a:cs typeface="Arial"/>
            </a:rPr>
            <a:t>Vertical,     +Fy = tension, -Fy = compression.</a:t>
          </a:r>
        </a:p>
        <a:p>
          <a:pPr algn="l" rtl="0">
            <a:lnSpc>
              <a:spcPts val="1000"/>
            </a:lnSpc>
            <a:defRPr sz="1000"/>
          </a:pPr>
          <a:endParaRPr lang="en-US" sz="1100" b="0" i="0" u="none" strike="noStrike" baseline="0">
            <a:solidFill>
              <a:srgbClr val="000000"/>
            </a:solidFill>
            <a:latin typeface="Arial"/>
            <a:cs typeface="Arial"/>
          </a:endParaRPr>
        </a:p>
        <a:p>
          <a:pPr algn="l" rtl="0">
            <a:lnSpc>
              <a:spcPts val="1000"/>
            </a:lnSpc>
            <a:defRPr sz="1000"/>
          </a:pPr>
          <a:r>
            <a:rPr lang="en-US" sz="1100" b="1" i="0" u="none" strike="noStrike" baseline="0">
              <a:solidFill>
                <a:srgbClr val="000000"/>
              </a:solidFill>
              <a:latin typeface="Arial"/>
              <a:cs typeface="Arial"/>
            </a:rPr>
            <a:t>Shear stress:</a:t>
          </a:r>
          <a:endParaRPr lang="en-US" sz="1100" b="0" i="0" u="none" strike="noStrike" baseline="0">
            <a:solidFill>
              <a:srgbClr val="000000"/>
            </a:solidFill>
            <a:latin typeface="Arial"/>
            <a:cs typeface="Arial"/>
          </a:endParaRPr>
        </a:p>
        <a:p>
          <a:pPr algn="l" rtl="0">
            <a:lnSpc>
              <a:spcPts val="1000"/>
            </a:lnSpc>
            <a:defRPr sz="1000"/>
          </a:pPr>
          <a:r>
            <a:rPr lang="en-US" sz="1100" b="0" i="0" u="none" strike="noStrike" baseline="0">
              <a:solidFill>
                <a:srgbClr val="000000"/>
              </a:solidFill>
              <a:latin typeface="Arial"/>
              <a:cs typeface="Arial"/>
            </a:rPr>
            <a:t>Shear stress,  Sxy = normal to x and y planes.</a:t>
          </a:r>
        </a:p>
        <a:p>
          <a:pPr algn="l" rtl="0">
            <a:lnSpc>
              <a:spcPts val="1000"/>
            </a:lnSpc>
            <a:defRPr sz="1000"/>
          </a:pPr>
          <a:endParaRPr lang="en-US" sz="1100" b="0" i="0" u="none" strike="noStrike" baseline="0">
            <a:solidFill>
              <a:srgbClr val="000000"/>
            </a:solidFill>
            <a:latin typeface="Arial"/>
            <a:cs typeface="Arial"/>
          </a:endParaRPr>
        </a:p>
        <a:p>
          <a:pPr algn="l" rtl="0">
            <a:lnSpc>
              <a:spcPts val="1000"/>
            </a:lnSpc>
            <a:defRPr sz="1000"/>
          </a:pPr>
          <a:endParaRPr lang="en-US" sz="1100" b="0" i="0" u="none" strike="noStrike" baseline="0">
            <a:solidFill>
              <a:srgbClr val="000000"/>
            </a:solidFill>
            <a:latin typeface="Arial"/>
            <a:cs typeface="Arial"/>
          </a:endParaRPr>
        </a:p>
        <a:p>
          <a:pPr algn="l" rtl="0">
            <a:lnSpc>
              <a:spcPts val="1000"/>
            </a:lnSpc>
            <a:defRPr sz="1000"/>
          </a:pPr>
          <a:endParaRPr lang="en-US" sz="1100" b="0" i="0" u="none" strike="noStrike" baseline="0">
            <a:solidFill>
              <a:srgbClr val="000000"/>
            </a:solidFill>
            <a:latin typeface="Arial"/>
            <a:cs typeface="Arial"/>
          </a:endParaRPr>
        </a:p>
        <a:p>
          <a:pPr algn="l" rtl="0">
            <a:lnSpc>
              <a:spcPts val="1000"/>
            </a:lnSpc>
            <a:defRPr sz="1000"/>
          </a:pPr>
          <a:r>
            <a:rPr lang="en-US" sz="1100" b="1" i="0" u="none" strike="noStrike" baseline="0">
              <a:solidFill>
                <a:srgbClr val="000000"/>
              </a:solidFill>
              <a:latin typeface="Arial"/>
              <a:cs typeface="Arial"/>
            </a:rPr>
            <a:t>Principal Stress Plane:</a:t>
          </a:r>
        </a:p>
        <a:p>
          <a:pPr algn="l" rtl="0">
            <a:lnSpc>
              <a:spcPts val="1000"/>
            </a:lnSpc>
            <a:defRPr sz="1000"/>
          </a:pPr>
          <a:r>
            <a:rPr lang="en-US" sz="1100" b="0" i="0" u="none" strike="noStrike" baseline="0">
              <a:solidFill>
                <a:srgbClr val="000000"/>
              </a:solidFill>
              <a:latin typeface="Arial"/>
              <a:cs typeface="Arial"/>
            </a:rPr>
            <a:t>The vector sum of the direct and shear stresses, called the principal stress F1, acts on the principal plane angle A degrees, see right. </a:t>
          </a:r>
        </a:p>
        <a:p>
          <a:pPr algn="l" rtl="0">
            <a:lnSpc>
              <a:spcPts val="1000"/>
            </a:lnSpc>
            <a:defRPr sz="1000"/>
          </a:pPr>
          <a:endParaRPr lang="en-US" sz="1100" b="0" i="0" u="none" strike="noStrike" baseline="0">
            <a:solidFill>
              <a:srgbClr val="000000"/>
            </a:solidFill>
            <a:latin typeface="Arial"/>
            <a:cs typeface="Arial"/>
          </a:endParaRPr>
        </a:p>
        <a:p>
          <a:pPr algn="l" rtl="0">
            <a:lnSpc>
              <a:spcPts val="1000"/>
            </a:lnSpc>
            <a:defRPr sz="1000"/>
          </a:pPr>
          <a:r>
            <a:rPr lang="en-US" sz="1100" b="0" i="0" u="none" strike="noStrike" baseline="0">
              <a:solidFill>
                <a:srgbClr val="000000"/>
              </a:solidFill>
              <a:latin typeface="Arial"/>
              <a:cs typeface="Arial"/>
            </a:rPr>
            <a:t>There is zero shear force on a principal plane. Angle A may be calculated from the equation:</a:t>
          </a:r>
        </a:p>
        <a:p>
          <a:pPr algn="l" rtl="0">
            <a:lnSpc>
              <a:spcPts val="1000"/>
            </a:lnSpc>
            <a:defRPr sz="1000"/>
          </a:pPr>
          <a:endParaRPr lang="en-US" sz="1100" b="0" i="0" u="none" strike="noStrike" baseline="0">
            <a:solidFill>
              <a:srgbClr val="000000"/>
            </a:solidFill>
            <a:latin typeface="Arial"/>
            <a:cs typeface="Arial"/>
          </a:endParaRPr>
        </a:p>
        <a:p>
          <a:pPr algn="l" rtl="0">
            <a:lnSpc>
              <a:spcPts val="1000"/>
            </a:lnSpc>
            <a:defRPr sz="1000"/>
          </a:pPr>
          <a:r>
            <a:rPr lang="en-US" sz="1100" b="0" i="0" u="none" strike="noStrike" baseline="0">
              <a:solidFill>
                <a:srgbClr val="000000"/>
              </a:solidFill>
              <a:latin typeface="Arial"/>
              <a:cs typeface="Arial"/>
            </a:rPr>
            <a:t>     </a:t>
          </a:r>
          <a:r>
            <a:rPr lang="en-US" sz="1100" b="1" i="0" u="none" strike="noStrike" baseline="0">
              <a:solidFill>
                <a:srgbClr val="000000"/>
              </a:solidFill>
              <a:latin typeface="Arial"/>
              <a:cs typeface="Arial"/>
            </a:rPr>
            <a:t>       Tan 2A = 2 x Sxy / ( Fy - Fx)</a:t>
          </a:r>
        </a:p>
        <a:p>
          <a:pPr algn="l" rtl="0">
            <a:lnSpc>
              <a:spcPts val="1000"/>
            </a:lnSpc>
            <a:defRPr sz="1000"/>
          </a:pPr>
          <a:endParaRPr lang="en-US" sz="1100" b="1" i="0" u="none" strike="noStrike" baseline="0">
            <a:solidFill>
              <a:srgbClr val="000000"/>
            </a:solidFill>
            <a:latin typeface="Arial"/>
            <a:cs typeface="Arial"/>
          </a:endParaRPr>
        </a:p>
        <a:p>
          <a:pPr algn="l" rtl="0">
            <a:lnSpc>
              <a:spcPts val="1000"/>
            </a:lnSpc>
            <a:defRPr sz="1000"/>
          </a:pPr>
          <a:endParaRPr lang="en-US" sz="1100" b="1" i="0" u="none" strike="noStrike" baseline="0">
            <a:solidFill>
              <a:srgbClr val="000000"/>
            </a:solidFill>
            <a:latin typeface="Arial"/>
            <a:cs typeface="Arial"/>
          </a:endParaRPr>
        </a:p>
        <a:p>
          <a:pPr algn="l" rtl="0">
            <a:lnSpc>
              <a:spcPts val="1000"/>
            </a:lnSpc>
            <a:defRPr sz="1000"/>
          </a:pPr>
          <a:endParaRPr lang="en-US" sz="1100" b="1" i="0" u="none" strike="noStrike" baseline="0">
            <a:solidFill>
              <a:srgbClr val="000000"/>
            </a:solidFill>
            <a:latin typeface="Arial"/>
            <a:cs typeface="Arial"/>
          </a:endParaRPr>
        </a:p>
        <a:p>
          <a:pPr algn="l" rtl="0">
            <a:lnSpc>
              <a:spcPts val="900"/>
            </a:lnSpc>
            <a:defRPr sz="1000"/>
          </a:pPr>
          <a:endParaRPr lang="en-US" sz="1000" b="1" i="0" u="none" strike="noStrike" baseline="0">
            <a:solidFill>
              <a:srgbClr val="000000"/>
            </a:solidFill>
            <a:latin typeface="Arial"/>
            <a:cs typeface="Arial"/>
          </a:endParaRPr>
        </a:p>
        <a:p>
          <a:pPr algn="l" rtl="0">
            <a:lnSpc>
              <a:spcPts val="1000"/>
            </a:lnSpc>
            <a:defRPr sz="1000"/>
          </a:pPr>
          <a:endParaRPr lang="en-US" sz="1000" b="1" i="0" u="none" strike="noStrike" baseline="0">
            <a:solidFill>
              <a:srgbClr val="000000"/>
            </a:solidFill>
            <a:latin typeface="Arial"/>
            <a:cs typeface="Arial"/>
          </a:endParaRPr>
        </a:p>
        <a:p>
          <a:pPr algn="l" rtl="0">
            <a:lnSpc>
              <a:spcPts val="900"/>
            </a:lnSpc>
            <a:defRPr sz="1000"/>
          </a:pPr>
          <a:endParaRPr lang="en-US" sz="1000" b="1" i="0" u="none" strike="noStrike" baseline="0">
            <a:solidFill>
              <a:srgbClr val="000000"/>
            </a:solidFill>
            <a:latin typeface="Arial"/>
            <a:cs typeface="Arial"/>
          </a:endParaRPr>
        </a:p>
        <a:p>
          <a:pPr algn="l" rtl="0">
            <a:lnSpc>
              <a:spcPts val="1000"/>
            </a:lnSpc>
            <a:defRPr sz="1000"/>
          </a:pPr>
          <a:endParaRPr lang="en-US" sz="1000" b="1" i="0" u="none" strike="noStrike" baseline="0">
            <a:solidFill>
              <a:srgbClr val="000000"/>
            </a:solidFill>
            <a:latin typeface="Arial"/>
            <a:cs typeface="Arial"/>
          </a:endParaRPr>
        </a:p>
        <a:p>
          <a:pPr algn="l" rtl="0">
            <a:lnSpc>
              <a:spcPts val="900"/>
            </a:lnSpc>
            <a:defRPr sz="1000"/>
          </a:pPr>
          <a:endParaRPr lang="en-US" sz="1000" b="1" i="0" u="none" strike="noStrike" baseline="0">
            <a:solidFill>
              <a:srgbClr val="000000"/>
            </a:solidFill>
            <a:latin typeface="Arial"/>
            <a:cs typeface="Arial"/>
          </a:endParaRPr>
        </a:p>
        <a:p>
          <a:pPr algn="l" rtl="0">
            <a:lnSpc>
              <a:spcPts val="900"/>
            </a:lnSpc>
            <a:defRPr sz="1000"/>
          </a:pPr>
          <a:endParaRPr lang="en-US" sz="1000" b="1" i="0" u="none" strike="noStrike" baseline="0">
            <a:solidFill>
              <a:srgbClr val="000000"/>
            </a:solidFill>
            <a:latin typeface="Arial"/>
            <a:cs typeface="Arial"/>
          </a:endParaRPr>
        </a:p>
      </xdr:txBody>
    </xdr:sp>
    <xdr:clientData/>
  </xdr:twoCellAnchor>
  <xdr:twoCellAnchor editAs="oneCell">
    <xdr:from>
      <xdr:col>1</xdr:col>
      <xdr:colOff>1047750</xdr:colOff>
      <xdr:row>168</xdr:row>
      <xdr:rowOff>95250</xdr:rowOff>
    </xdr:from>
    <xdr:to>
      <xdr:col>4</xdr:col>
      <xdr:colOff>76200</xdr:colOff>
      <xdr:row>177</xdr:row>
      <xdr:rowOff>171450</xdr:rowOff>
    </xdr:to>
    <xdr:pic>
      <xdr:nvPicPr>
        <xdr:cNvPr id="1433" name="Picture 129" descr="PRIN STRESS ELEMENT-1">
          <a:extLst>
            <a:ext uri="{FF2B5EF4-FFF2-40B4-BE49-F238E27FC236}">
              <a16:creationId xmlns:a16="http://schemas.microsoft.com/office/drawing/2014/main" id="{F4546EB7-1C86-48C2-905B-2114328311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2825" y="28765500"/>
          <a:ext cx="1809750"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1028700</xdr:colOff>
      <xdr:row>181</xdr:row>
      <xdr:rowOff>95250</xdr:rowOff>
    </xdr:from>
    <xdr:to>
      <xdr:col>4</xdr:col>
      <xdr:colOff>114300</xdr:colOff>
      <xdr:row>191</xdr:row>
      <xdr:rowOff>12700</xdr:rowOff>
    </xdr:to>
    <xdr:pic>
      <xdr:nvPicPr>
        <xdr:cNvPr id="1434" name="Picture 130" descr="PRIN STRESS ELEMENT-2">
          <a:extLst>
            <a:ext uri="{FF2B5EF4-FFF2-40B4-BE49-F238E27FC236}">
              <a16:creationId xmlns:a16="http://schemas.microsoft.com/office/drawing/2014/main" id="{642D4809-F693-41C5-B2CC-7ABA02561D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775" y="30908625"/>
          <a:ext cx="186690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1035050</xdr:colOff>
      <xdr:row>195</xdr:row>
      <xdr:rowOff>146050</xdr:rowOff>
    </xdr:from>
    <xdr:to>
      <xdr:col>4</xdr:col>
      <xdr:colOff>349250</xdr:colOff>
      <xdr:row>206</xdr:row>
      <xdr:rowOff>25400</xdr:rowOff>
    </xdr:to>
    <xdr:pic>
      <xdr:nvPicPr>
        <xdr:cNvPr id="1435" name="Picture 131" descr="PRIN STRESS ELEMENT-3">
          <a:extLst>
            <a:ext uri="{FF2B5EF4-FFF2-40B4-BE49-F238E27FC236}">
              <a16:creationId xmlns:a16="http://schemas.microsoft.com/office/drawing/2014/main" id="{EDFBBB5D-A20A-4637-8277-039ED2646D2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57600" y="38709600"/>
          <a:ext cx="2222500" cy="204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2044700</xdr:colOff>
      <xdr:row>220</xdr:row>
      <xdr:rowOff>57150</xdr:rowOff>
    </xdr:from>
    <xdr:to>
      <xdr:col>4</xdr:col>
      <xdr:colOff>151765</xdr:colOff>
      <xdr:row>230</xdr:row>
      <xdr:rowOff>88900</xdr:rowOff>
    </xdr:to>
    <xdr:pic>
      <xdr:nvPicPr>
        <xdr:cNvPr id="1436" name="Picture 132" descr="POWER TRANS SHAFT-T-V-H">
          <a:extLst>
            <a:ext uri="{FF2B5EF4-FFF2-40B4-BE49-F238E27FC236}">
              <a16:creationId xmlns:a16="http://schemas.microsoft.com/office/drawing/2014/main" id="{DCBAC2DD-1E8D-4D72-BFB4-4E49A0C9C4B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44700" y="43541950"/>
          <a:ext cx="4111625"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628650</xdr:colOff>
      <xdr:row>33</xdr:row>
      <xdr:rowOff>47625</xdr:rowOff>
    </xdr:from>
    <xdr:to>
      <xdr:col>1</xdr:col>
      <xdr:colOff>1186815</xdr:colOff>
      <xdr:row>45</xdr:row>
      <xdr:rowOff>12700</xdr:rowOff>
    </xdr:to>
    <xdr:pic>
      <xdr:nvPicPr>
        <xdr:cNvPr id="1437" name="Picture 133" descr="MACHINE COMPONENTS">
          <a:extLst>
            <a:ext uri="{FF2B5EF4-FFF2-40B4-BE49-F238E27FC236}">
              <a16:creationId xmlns:a16="http://schemas.microsoft.com/office/drawing/2014/main" id="{89D3D091-D33B-46AC-8DC0-C1956FDA5F4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28650" y="4572000"/>
          <a:ext cx="3467100" cy="2371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412750</xdr:colOff>
      <xdr:row>193</xdr:row>
      <xdr:rowOff>190500</xdr:rowOff>
    </xdr:from>
    <xdr:to>
      <xdr:col>1</xdr:col>
      <xdr:colOff>612775</xdr:colOff>
      <xdr:row>207</xdr:row>
      <xdr:rowOff>107950</xdr:rowOff>
    </xdr:to>
    <xdr:sp macro="" textlink="">
      <xdr:nvSpPr>
        <xdr:cNvPr id="1159" name="Text Box 135">
          <a:extLst>
            <a:ext uri="{FF2B5EF4-FFF2-40B4-BE49-F238E27FC236}">
              <a16:creationId xmlns:a16="http://schemas.microsoft.com/office/drawing/2014/main" id="{51CA2F87-77EF-4C0F-BD20-1DFFD0ADADA4}"/>
            </a:ext>
          </a:extLst>
        </xdr:cNvPr>
        <xdr:cNvSpPr txBox="1">
          <a:spLocks noChangeArrowheads="1"/>
        </xdr:cNvSpPr>
      </xdr:nvSpPr>
      <xdr:spPr bwMode="auto">
        <a:xfrm>
          <a:off x="412750" y="38360350"/>
          <a:ext cx="2822575" cy="267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100" b="1" i="0" u="none" strike="noStrike" baseline="0">
              <a:solidFill>
                <a:srgbClr val="000000"/>
              </a:solidFill>
              <a:latin typeface="Arial"/>
              <a:cs typeface="Arial"/>
            </a:rPr>
            <a:t>Principal Stresses:</a:t>
          </a: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Two principal stresses, F1 and F2 are required to balance the horizontal and vertical applied stresses, Fx, Fy, and Sxy. </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The maximum shear stress acts at 45 degrees to the principal stresses, shown right. </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The maximum shear stress is given by:</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                  Smax = ( F2 - F1 ) / 2</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The principal stress equations are given below.</a:t>
          </a:r>
        </a:p>
      </xdr:txBody>
    </xdr:sp>
    <xdr:clientData/>
  </xdr:twoCellAnchor>
  <xdr:twoCellAnchor>
    <xdr:from>
      <xdr:col>1</xdr:col>
      <xdr:colOff>0</xdr:colOff>
      <xdr:row>437</xdr:row>
      <xdr:rowOff>152400</xdr:rowOff>
    </xdr:from>
    <xdr:to>
      <xdr:col>1</xdr:col>
      <xdr:colOff>0</xdr:colOff>
      <xdr:row>438</xdr:row>
      <xdr:rowOff>161925</xdr:rowOff>
    </xdr:to>
    <xdr:sp macro="" textlink="">
      <xdr:nvSpPr>
        <xdr:cNvPr id="1439" name="Line 144">
          <a:extLst>
            <a:ext uri="{FF2B5EF4-FFF2-40B4-BE49-F238E27FC236}">
              <a16:creationId xmlns:a16="http://schemas.microsoft.com/office/drawing/2014/main" id="{EB7D39A4-3017-4018-9A96-06CE69F7FEDE}"/>
            </a:ext>
          </a:extLst>
        </xdr:cNvPr>
        <xdr:cNvSpPr>
          <a:spLocks noChangeShapeType="1"/>
        </xdr:cNvSpPr>
      </xdr:nvSpPr>
      <xdr:spPr bwMode="auto">
        <a:xfrm flipH="1">
          <a:off x="2505075" y="77476350"/>
          <a:ext cx="0" cy="180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533400</xdr:colOff>
      <xdr:row>363</xdr:row>
      <xdr:rowOff>9525</xdr:rowOff>
    </xdr:from>
    <xdr:to>
      <xdr:col>4</xdr:col>
      <xdr:colOff>495300</xdr:colOff>
      <xdr:row>371</xdr:row>
      <xdr:rowOff>44450</xdr:rowOff>
    </xdr:to>
    <xdr:pic>
      <xdr:nvPicPr>
        <xdr:cNvPr id="1440" name="Picture 151" descr="I RECTANGULAR">
          <a:extLst>
            <a:ext uri="{FF2B5EF4-FFF2-40B4-BE49-F238E27FC236}">
              <a16:creationId xmlns:a16="http://schemas.microsoft.com/office/drawing/2014/main" id="{3D25A799-0D50-4AEE-BFF4-695792756B0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524375" y="64265175"/>
          <a:ext cx="12573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376</xdr:row>
      <xdr:rowOff>0</xdr:rowOff>
    </xdr:from>
    <xdr:to>
      <xdr:col>0</xdr:col>
      <xdr:colOff>2343150</xdr:colOff>
      <xdr:row>386</xdr:row>
      <xdr:rowOff>57150</xdr:rowOff>
    </xdr:to>
    <xdr:pic>
      <xdr:nvPicPr>
        <xdr:cNvPr id="1441" name="Picture 156" descr="I-SECTION">
          <a:extLst>
            <a:ext uri="{FF2B5EF4-FFF2-40B4-BE49-F238E27FC236}">
              <a16:creationId xmlns:a16="http://schemas.microsoft.com/office/drawing/2014/main" id="{2221202F-0D90-4F70-9592-B617DAA04A3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1925" y="67065525"/>
          <a:ext cx="2181225" cy="207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388</xdr:row>
      <xdr:rowOff>85725</xdr:rowOff>
    </xdr:from>
    <xdr:to>
      <xdr:col>0</xdr:col>
      <xdr:colOff>2324100</xdr:colOff>
      <xdr:row>398</xdr:row>
      <xdr:rowOff>114300</xdr:rowOff>
    </xdr:to>
    <xdr:pic>
      <xdr:nvPicPr>
        <xdr:cNvPr id="1442" name="Picture 157" descr="C-SECTION">
          <a:extLst>
            <a:ext uri="{FF2B5EF4-FFF2-40B4-BE49-F238E27FC236}">
              <a16:creationId xmlns:a16="http://schemas.microsoft.com/office/drawing/2014/main" id="{1AE90BBF-1ECA-4544-A2A1-3DF3D434358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7150" y="69208650"/>
          <a:ext cx="226695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443</xdr:row>
      <xdr:rowOff>76200</xdr:rowOff>
    </xdr:from>
    <xdr:to>
      <xdr:col>0</xdr:col>
      <xdr:colOff>2495550</xdr:colOff>
      <xdr:row>452</xdr:row>
      <xdr:rowOff>165100</xdr:rowOff>
    </xdr:to>
    <xdr:pic>
      <xdr:nvPicPr>
        <xdr:cNvPr id="1443" name="Picture 160" descr="U-SECTION">
          <a:extLst>
            <a:ext uri="{FF2B5EF4-FFF2-40B4-BE49-F238E27FC236}">
              <a16:creationId xmlns:a16="http://schemas.microsoft.com/office/drawing/2014/main" id="{61342FE5-C9D4-4C34-81AF-4EE8CF55D16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78409800"/>
          <a:ext cx="249555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460</xdr:row>
      <xdr:rowOff>38100</xdr:rowOff>
    </xdr:from>
    <xdr:to>
      <xdr:col>0</xdr:col>
      <xdr:colOff>2190750</xdr:colOff>
      <xdr:row>469</xdr:row>
      <xdr:rowOff>114300</xdr:rowOff>
    </xdr:to>
    <xdr:pic>
      <xdr:nvPicPr>
        <xdr:cNvPr id="1444" name="Picture 161" descr="H-SECTION">
          <a:extLst>
            <a:ext uri="{FF2B5EF4-FFF2-40B4-BE49-F238E27FC236}">
              <a16:creationId xmlns:a16="http://schemas.microsoft.com/office/drawing/2014/main" id="{05C6ECA0-C64A-4397-87C1-E610A6D5A6E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00025" y="81191100"/>
          <a:ext cx="1990725"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1231900</xdr:colOff>
      <xdr:row>332</xdr:row>
      <xdr:rowOff>12700</xdr:rowOff>
    </xdr:from>
    <xdr:to>
      <xdr:col>3</xdr:col>
      <xdr:colOff>53340</xdr:colOff>
      <xdr:row>342</xdr:row>
      <xdr:rowOff>136525</xdr:rowOff>
    </xdr:to>
    <xdr:pic>
      <xdr:nvPicPr>
        <xdr:cNvPr id="1445" name="Picture 162" descr="CURVED BEAM-2">
          <a:extLst>
            <a:ext uri="{FF2B5EF4-FFF2-40B4-BE49-F238E27FC236}">
              <a16:creationId xmlns:a16="http://schemas.microsoft.com/office/drawing/2014/main" id="{AEFB51CC-CA16-46A1-A44F-89B6B2CC94C3}"/>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31900" y="65570100"/>
          <a:ext cx="4140200" cy="209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600075</xdr:colOff>
      <xdr:row>285</xdr:row>
      <xdr:rowOff>190500</xdr:rowOff>
    </xdr:from>
    <xdr:to>
      <xdr:col>3</xdr:col>
      <xdr:colOff>486410</xdr:colOff>
      <xdr:row>297</xdr:row>
      <xdr:rowOff>104775</xdr:rowOff>
    </xdr:to>
    <xdr:pic>
      <xdr:nvPicPr>
        <xdr:cNvPr id="1446" name="Picture 163" descr="CURVED BEAM-1">
          <a:extLst>
            <a:ext uri="{FF2B5EF4-FFF2-40B4-BE49-F238E27FC236}">
              <a16:creationId xmlns:a16="http://schemas.microsoft.com/office/drawing/2014/main" id="{5CA7D43C-F2D3-4593-A3B7-B7F6003D6031}"/>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00075" y="56483250"/>
          <a:ext cx="5235575" cy="2276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221</xdr:row>
      <xdr:rowOff>133351</xdr:rowOff>
    </xdr:from>
    <xdr:to>
      <xdr:col>0</xdr:col>
      <xdr:colOff>1800225</xdr:colOff>
      <xdr:row>228</xdr:row>
      <xdr:rowOff>69850</xdr:rowOff>
    </xdr:to>
    <xdr:sp macro="" textlink="">
      <xdr:nvSpPr>
        <xdr:cNvPr id="1263" name="Text Box 239">
          <a:extLst>
            <a:ext uri="{FF2B5EF4-FFF2-40B4-BE49-F238E27FC236}">
              <a16:creationId xmlns:a16="http://schemas.microsoft.com/office/drawing/2014/main" id="{77DA4EFC-FFFC-4D24-B36F-825DCE9FCF01}"/>
            </a:ext>
          </a:extLst>
        </xdr:cNvPr>
        <xdr:cNvSpPr txBox="1">
          <a:spLocks noChangeArrowheads="1"/>
        </xdr:cNvSpPr>
      </xdr:nvSpPr>
      <xdr:spPr bwMode="auto">
        <a:xfrm>
          <a:off x="228600" y="43815001"/>
          <a:ext cx="1571625" cy="1314449"/>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See Math Tab below for Excel's Goal Seek.</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Use Excel's, "Goal Seek" to optimize shaft diameter</a:t>
          </a:r>
          <a:r>
            <a:rPr lang="en-US" sz="1000" b="0" i="0" u="none" strike="noStrike" baseline="0">
              <a:solidFill>
                <a:srgbClr val="000000"/>
              </a:solidFill>
              <a:latin typeface="Arial"/>
              <a:cs typeface="Arial"/>
            </a:rPr>
            <a:t>. </a:t>
          </a:r>
        </a:p>
      </xdr:txBody>
    </xdr:sp>
    <xdr:clientData/>
  </xdr:twoCellAnchor>
  <xdr:twoCellAnchor editAs="oneCell">
    <xdr:from>
      <xdr:col>0</xdr:col>
      <xdr:colOff>1095375</xdr:colOff>
      <xdr:row>77</xdr:row>
      <xdr:rowOff>66675</xdr:rowOff>
    </xdr:from>
    <xdr:to>
      <xdr:col>3</xdr:col>
      <xdr:colOff>240665</xdr:colOff>
      <xdr:row>81</xdr:row>
      <xdr:rowOff>158750</xdr:rowOff>
    </xdr:to>
    <xdr:pic>
      <xdr:nvPicPr>
        <xdr:cNvPr id="1448" name="Picture 240" descr="TENSION-COMPRESSION">
          <a:extLst>
            <a:ext uri="{FF2B5EF4-FFF2-40B4-BE49-F238E27FC236}">
              <a16:creationId xmlns:a16="http://schemas.microsoft.com/office/drawing/2014/main" id="{2DD7ACC1-A48C-47F0-AE2D-D8069494E004}"/>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95375" y="12773025"/>
          <a:ext cx="42195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523875</xdr:colOff>
      <xdr:row>105</xdr:row>
      <xdr:rowOff>82550</xdr:rowOff>
    </xdr:from>
    <xdr:to>
      <xdr:col>5</xdr:col>
      <xdr:colOff>136525</xdr:colOff>
      <xdr:row>114</xdr:row>
      <xdr:rowOff>76200</xdr:rowOff>
    </xdr:to>
    <xdr:pic>
      <xdr:nvPicPr>
        <xdr:cNvPr id="1449" name="Picture 241" descr="BEAM SHEAR STRESS">
          <a:extLst>
            <a:ext uri="{FF2B5EF4-FFF2-40B4-BE49-F238E27FC236}">
              <a16:creationId xmlns:a16="http://schemas.microsoft.com/office/drawing/2014/main" id="{48B9D218-04C1-46F2-B156-61E05610AAFC}"/>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146425" y="20904200"/>
          <a:ext cx="3327400" cy="176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171450</xdr:colOff>
      <xdr:row>103</xdr:row>
      <xdr:rowOff>171451</xdr:rowOff>
    </xdr:from>
    <xdr:to>
      <xdr:col>1</xdr:col>
      <xdr:colOff>298450</xdr:colOff>
      <xdr:row>117</xdr:row>
      <xdr:rowOff>133350</xdr:rowOff>
    </xdr:to>
    <xdr:sp macro="" textlink="">
      <xdr:nvSpPr>
        <xdr:cNvPr id="1266" name="Text Box 242">
          <a:extLst>
            <a:ext uri="{FF2B5EF4-FFF2-40B4-BE49-F238E27FC236}">
              <a16:creationId xmlns:a16="http://schemas.microsoft.com/office/drawing/2014/main" id="{98564FA0-E260-4111-B021-7F36370485BC}"/>
            </a:ext>
          </a:extLst>
        </xdr:cNvPr>
        <xdr:cNvSpPr txBox="1">
          <a:spLocks noChangeArrowheads="1"/>
        </xdr:cNvSpPr>
      </xdr:nvSpPr>
      <xdr:spPr bwMode="auto">
        <a:xfrm>
          <a:off x="171450" y="20599401"/>
          <a:ext cx="2749550" cy="2717799"/>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100" b="1" i="0" u="none" strike="noStrike" baseline="0">
              <a:solidFill>
                <a:srgbClr val="000000"/>
              </a:solidFill>
              <a:latin typeface="Arial"/>
              <a:cs typeface="Arial"/>
            </a:rPr>
            <a:t>Shear Stress Distribution</a:t>
          </a: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A stress element at the center of the beam reacts to the vertical load P with a vertical up shear stress vector at the right end and down at the other. </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This is balanced by horizontal right acting top and left acting bottom shear stress vectors. </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A stress element at the top or bottom surface of the beam cannot have a vertical stress vector. </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The shear stress distribution is parabolic.</a:t>
          </a:r>
        </a:p>
        <a:p>
          <a:pPr algn="l" rtl="0">
            <a:defRPr sz="1000"/>
          </a:pPr>
          <a:endParaRPr lang="en-US" sz="1100" b="0" i="0" u="none" strike="noStrike" baseline="0">
            <a:solidFill>
              <a:srgbClr val="000000"/>
            </a:solidFill>
            <a:latin typeface="Arial"/>
            <a:cs typeface="Arial"/>
          </a:endParaRPr>
        </a:p>
      </xdr:txBody>
    </xdr:sp>
    <xdr:clientData/>
  </xdr:twoCellAnchor>
  <xdr:twoCellAnchor editAs="oneCell">
    <xdr:from>
      <xdr:col>0</xdr:col>
      <xdr:colOff>266700</xdr:colOff>
      <xdr:row>137</xdr:row>
      <xdr:rowOff>104775</xdr:rowOff>
    </xdr:from>
    <xdr:to>
      <xdr:col>3</xdr:col>
      <xdr:colOff>438785</xdr:colOff>
      <xdr:row>146</xdr:row>
      <xdr:rowOff>127000</xdr:rowOff>
    </xdr:to>
    <xdr:pic>
      <xdr:nvPicPr>
        <xdr:cNvPr id="1451" name="Picture 243" descr="ROD &amp; TUBE SHEAR FACTORS">
          <a:extLst>
            <a:ext uri="{FF2B5EF4-FFF2-40B4-BE49-F238E27FC236}">
              <a16:creationId xmlns:a16="http://schemas.microsoft.com/office/drawing/2014/main" id="{7D73E998-9E90-40DA-8F32-36539391E264}"/>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66700" y="22564725"/>
          <a:ext cx="527685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402</xdr:row>
      <xdr:rowOff>123825</xdr:rowOff>
    </xdr:from>
    <xdr:to>
      <xdr:col>3</xdr:col>
      <xdr:colOff>269240</xdr:colOff>
      <xdr:row>409</xdr:row>
      <xdr:rowOff>44450</xdr:rowOff>
    </xdr:to>
    <xdr:pic>
      <xdr:nvPicPr>
        <xdr:cNvPr id="1452" name="Picture 245" descr="BEAMS-1-2-3">
          <a:extLst>
            <a:ext uri="{FF2B5EF4-FFF2-40B4-BE49-F238E27FC236}">
              <a16:creationId xmlns:a16="http://schemas.microsoft.com/office/drawing/2014/main" id="{C37ACFE2-B8FD-44DD-B72B-E2AA38DCAA71}"/>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66700" y="71570850"/>
          <a:ext cx="507682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475</xdr:row>
      <xdr:rowOff>47625</xdr:rowOff>
    </xdr:from>
    <xdr:to>
      <xdr:col>3</xdr:col>
      <xdr:colOff>345440</xdr:colOff>
      <xdr:row>481</xdr:row>
      <xdr:rowOff>165100</xdr:rowOff>
    </xdr:to>
    <xdr:pic>
      <xdr:nvPicPr>
        <xdr:cNvPr id="1453" name="Picture 246" descr="BEAMS-1-2-3">
          <a:extLst>
            <a:ext uri="{FF2B5EF4-FFF2-40B4-BE49-F238E27FC236}">
              <a16:creationId xmlns:a16="http://schemas.microsoft.com/office/drawing/2014/main" id="{D6731300-7C4F-4E02-8396-CDE009990F8A}"/>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42900" y="83686650"/>
          <a:ext cx="507682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85725</xdr:colOff>
      <xdr:row>493</xdr:row>
      <xdr:rowOff>76200</xdr:rowOff>
    </xdr:from>
    <xdr:to>
      <xdr:col>4</xdr:col>
      <xdr:colOff>628650</xdr:colOff>
      <xdr:row>495</xdr:row>
      <xdr:rowOff>133350</xdr:rowOff>
    </xdr:to>
    <xdr:sp macro="" textlink="">
      <xdr:nvSpPr>
        <xdr:cNvPr id="1271" name="Text Box 247">
          <a:extLst>
            <a:ext uri="{FF2B5EF4-FFF2-40B4-BE49-F238E27FC236}">
              <a16:creationId xmlns:a16="http://schemas.microsoft.com/office/drawing/2014/main" id="{F74D424B-50F6-4599-994E-18A58432143A}"/>
            </a:ext>
          </a:extLst>
        </xdr:cNvPr>
        <xdr:cNvSpPr txBox="1">
          <a:spLocks noChangeArrowheads="1"/>
        </xdr:cNvSpPr>
      </xdr:nvSpPr>
      <xdr:spPr bwMode="auto">
        <a:xfrm>
          <a:off x="4714875" y="86744175"/>
          <a:ext cx="1200150" cy="4000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Ref: AISC Manual of Steel Construction.</a:t>
          </a:r>
        </a:p>
      </xdr:txBody>
    </xdr:sp>
    <xdr:clientData/>
  </xdr:twoCellAnchor>
  <xdr:twoCellAnchor>
    <xdr:from>
      <xdr:col>3</xdr:col>
      <xdr:colOff>38100</xdr:colOff>
      <xdr:row>419</xdr:row>
      <xdr:rowOff>0</xdr:rowOff>
    </xdr:from>
    <xdr:to>
      <xdr:col>4</xdr:col>
      <xdr:colOff>581025</xdr:colOff>
      <xdr:row>421</xdr:row>
      <xdr:rowOff>57150</xdr:rowOff>
    </xdr:to>
    <xdr:sp macro="" textlink="">
      <xdr:nvSpPr>
        <xdr:cNvPr id="1272" name="Text Box 248">
          <a:extLst>
            <a:ext uri="{FF2B5EF4-FFF2-40B4-BE49-F238E27FC236}">
              <a16:creationId xmlns:a16="http://schemas.microsoft.com/office/drawing/2014/main" id="{9E90D7B8-65E5-41F7-9C41-CABF3C544863}"/>
            </a:ext>
          </a:extLst>
        </xdr:cNvPr>
        <xdr:cNvSpPr txBox="1">
          <a:spLocks noChangeArrowheads="1"/>
        </xdr:cNvSpPr>
      </xdr:nvSpPr>
      <xdr:spPr bwMode="auto">
        <a:xfrm>
          <a:off x="4667250" y="74237850"/>
          <a:ext cx="1200150" cy="4000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Ref: AISC Manual of Steel Construction.</a:t>
          </a:r>
        </a:p>
      </xdr:txBody>
    </xdr:sp>
    <xdr:clientData/>
  </xdr:twoCellAnchor>
  <xdr:twoCellAnchor>
    <xdr:from>
      <xdr:col>3</xdr:col>
      <xdr:colOff>209550</xdr:colOff>
      <xdr:row>36</xdr:row>
      <xdr:rowOff>91440</xdr:rowOff>
    </xdr:from>
    <xdr:to>
      <xdr:col>5</xdr:col>
      <xdr:colOff>403860</xdr:colOff>
      <xdr:row>43</xdr:row>
      <xdr:rowOff>15240</xdr:rowOff>
    </xdr:to>
    <xdr:sp macro="" textlink="">
      <xdr:nvSpPr>
        <xdr:cNvPr id="1274" name="Text Box 250">
          <a:extLst>
            <a:ext uri="{FF2B5EF4-FFF2-40B4-BE49-F238E27FC236}">
              <a16:creationId xmlns:a16="http://schemas.microsoft.com/office/drawing/2014/main" id="{657497F9-B00C-4CB5-B1EB-09A31CC677A5}"/>
            </a:ext>
          </a:extLst>
        </xdr:cNvPr>
        <xdr:cNvSpPr txBox="1">
          <a:spLocks noChangeArrowheads="1"/>
        </xdr:cNvSpPr>
      </xdr:nvSpPr>
      <xdr:spPr bwMode="auto">
        <a:xfrm>
          <a:off x="5048250" y="7292340"/>
          <a:ext cx="1619250" cy="12573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Reference: Design of Machine Elements, by V.M. Faires, published by: The Macmillan Company, New York/Collier-Macmillan Limited, London, England.</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38100</xdr:colOff>
      <xdr:row>336</xdr:row>
      <xdr:rowOff>19050</xdr:rowOff>
    </xdr:from>
    <xdr:to>
      <xdr:col>4</xdr:col>
      <xdr:colOff>485775</xdr:colOff>
      <xdr:row>342</xdr:row>
      <xdr:rowOff>41275</xdr:rowOff>
    </xdr:to>
    <xdr:pic>
      <xdr:nvPicPr>
        <xdr:cNvPr id="7347" name="Picture 1" descr="SECTION-T-ROUND">
          <a:extLst>
            <a:ext uri="{FF2B5EF4-FFF2-40B4-BE49-F238E27FC236}">
              <a16:creationId xmlns:a16="http://schemas.microsoft.com/office/drawing/2014/main" id="{92EE4E95-EE2F-45ED-96C8-24981936B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59102625"/>
          <a:ext cx="10572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457200</xdr:colOff>
      <xdr:row>348</xdr:row>
      <xdr:rowOff>66675</xdr:rowOff>
    </xdr:from>
    <xdr:to>
      <xdr:col>4</xdr:col>
      <xdr:colOff>381000</xdr:colOff>
      <xdr:row>354</xdr:row>
      <xdr:rowOff>0</xdr:rowOff>
    </xdr:to>
    <xdr:pic>
      <xdr:nvPicPr>
        <xdr:cNvPr id="7348" name="Picture 2" descr="SECTION-T-HOLLOW">
          <a:extLst>
            <a:ext uri="{FF2B5EF4-FFF2-40B4-BE49-F238E27FC236}">
              <a16:creationId xmlns:a16="http://schemas.microsoft.com/office/drawing/2014/main" id="{7E8C024C-FCB0-4025-AE15-EF6CAC46AA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24375" y="61179075"/>
          <a:ext cx="11430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47625</xdr:colOff>
      <xdr:row>433</xdr:row>
      <xdr:rowOff>66675</xdr:rowOff>
    </xdr:from>
    <xdr:to>
      <xdr:col>4</xdr:col>
      <xdr:colOff>485775</xdr:colOff>
      <xdr:row>439</xdr:row>
      <xdr:rowOff>22225</xdr:rowOff>
    </xdr:to>
    <xdr:pic>
      <xdr:nvPicPr>
        <xdr:cNvPr id="7349" name="Picture 8" descr="SECTION-BEND-ROUND">
          <a:extLst>
            <a:ext uri="{FF2B5EF4-FFF2-40B4-BE49-F238E27FC236}">
              <a16:creationId xmlns:a16="http://schemas.microsoft.com/office/drawing/2014/main" id="{46B5FB81-2753-461D-8360-B72868692CE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24400" y="76333350"/>
          <a:ext cx="104775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440</xdr:row>
      <xdr:rowOff>9525</xdr:rowOff>
    </xdr:from>
    <xdr:to>
      <xdr:col>4</xdr:col>
      <xdr:colOff>466725</xdr:colOff>
      <xdr:row>446</xdr:row>
      <xdr:rowOff>31750</xdr:rowOff>
    </xdr:to>
    <xdr:pic>
      <xdr:nvPicPr>
        <xdr:cNvPr id="7350" name="Picture 9" descr="SECTION-BEND-HOLLOW">
          <a:extLst>
            <a:ext uri="{FF2B5EF4-FFF2-40B4-BE49-F238E27FC236}">
              <a16:creationId xmlns:a16="http://schemas.microsoft.com/office/drawing/2014/main" id="{E6F91DC9-A52C-43F2-A292-BC44F4DF3D7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86300" y="77428725"/>
          <a:ext cx="10668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xdr:colOff>
      <xdr:row>358</xdr:row>
      <xdr:rowOff>85725</xdr:rowOff>
    </xdr:from>
    <xdr:to>
      <xdr:col>4</xdr:col>
      <xdr:colOff>342900</xdr:colOff>
      <xdr:row>364</xdr:row>
      <xdr:rowOff>187325</xdr:rowOff>
    </xdr:to>
    <xdr:pic>
      <xdr:nvPicPr>
        <xdr:cNvPr id="7351" name="Picture 12" descr="SECTION-T-SQUARE">
          <a:extLst>
            <a:ext uri="{FF2B5EF4-FFF2-40B4-BE49-F238E27FC236}">
              <a16:creationId xmlns:a16="http://schemas.microsoft.com/office/drawing/2014/main" id="{1C3DFA45-625A-483B-9F49-0679255DD7D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591050" y="62845950"/>
          <a:ext cx="103822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504825</xdr:colOff>
      <xdr:row>368</xdr:row>
      <xdr:rowOff>123825</xdr:rowOff>
    </xdr:from>
    <xdr:to>
      <xdr:col>4</xdr:col>
      <xdr:colOff>485775</xdr:colOff>
      <xdr:row>377</xdr:row>
      <xdr:rowOff>149225</xdr:rowOff>
    </xdr:to>
    <xdr:pic>
      <xdr:nvPicPr>
        <xdr:cNvPr id="7352" name="Picture 13" descr="SECTION-T-RECTANG">
          <a:extLst>
            <a:ext uri="{FF2B5EF4-FFF2-40B4-BE49-F238E27FC236}">
              <a16:creationId xmlns:a16="http://schemas.microsoft.com/office/drawing/2014/main" id="{646C108B-5687-4D30-830B-5E45CAC097D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572000" y="65674875"/>
          <a:ext cx="1200150"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571500</xdr:colOff>
      <xdr:row>447</xdr:row>
      <xdr:rowOff>66675</xdr:rowOff>
    </xdr:from>
    <xdr:to>
      <xdr:col>4</xdr:col>
      <xdr:colOff>581025</xdr:colOff>
      <xdr:row>453</xdr:row>
      <xdr:rowOff>98425</xdr:rowOff>
    </xdr:to>
    <xdr:pic>
      <xdr:nvPicPr>
        <xdr:cNvPr id="7353" name="Picture 14" descr="SECTION-BEND-SQUARE">
          <a:extLst>
            <a:ext uri="{FF2B5EF4-FFF2-40B4-BE49-F238E27FC236}">
              <a16:creationId xmlns:a16="http://schemas.microsoft.com/office/drawing/2014/main" id="{7B3BDC13-104C-4864-BD87-877085E6D67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638675" y="78638400"/>
          <a:ext cx="12287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1143000</xdr:colOff>
      <xdr:row>293</xdr:row>
      <xdr:rowOff>114300</xdr:rowOff>
    </xdr:from>
    <xdr:to>
      <xdr:col>2</xdr:col>
      <xdr:colOff>419100</xdr:colOff>
      <xdr:row>300</xdr:row>
      <xdr:rowOff>15875</xdr:rowOff>
    </xdr:to>
    <xdr:pic>
      <xdr:nvPicPr>
        <xdr:cNvPr id="7354" name="Picture 49" descr="SHAFT-TWIST-1">
          <a:extLst>
            <a:ext uri="{FF2B5EF4-FFF2-40B4-BE49-F238E27FC236}">
              <a16:creationId xmlns:a16="http://schemas.microsoft.com/office/drawing/2014/main" id="{22B8FD53-5B9E-4C26-BF32-06F933C8600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43000" y="52244625"/>
          <a:ext cx="3343275"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1657350</xdr:colOff>
      <xdr:row>381</xdr:row>
      <xdr:rowOff>114300</xdr:rowOff>
    </xdr:from>
    <xdr:to>
      <xdr:col>2</xdr:col>
      <xdr:colOff>571500</xdr:colOff>
      <xdr:row>389</xdr:row>
      <xdr:rowOff>127000</xdr:rowOff>
    </xdr:to>
    <xdr:pic>
      <xdr:nvPicPr>
        <xdr:cNvPr id="7355" name="Picture 51" descr="CANTILEVER SHAFT">
          <a:extLst>
            <a:ext uri="{FF2B5EF4-FFF2-40B4-BE49-F238E27FC236}">
              <a16:creationId xmlns:a16="http://schemas.microsoft.com/office/drawing/2014/main" id="{D585A065-9358-462A-A86C-FA791B08F8D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657350" y="67808475"/>
          <a:ext cx="298132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1171575</xdr:colOff>
      <xdr:row>105</xdr:row>
      <xdr:rowOff>47625</xdr:rowOff>
    </xdr:from>
    <xdr:to>
      <xdr:col>3</xdr:col>
      <xdr:colOff>152400</xdr:colOff>
      <xdr:row>127</xdr:row>
      <xdr:rowOff>180975</xdr:rowOff>
    </xdr:to>
    <xdr:pic>
      <xdr:nvPicPr>
        <xdr:cNvPr id="7356" name="Picture 54" descr="POWER SHAFT-1 MOMENTS">
          <a:extLst>
            <a:ext uri="{FF2B5EF4-FFF2-40B4-BE49-F238E27FC236}">
              <a16:creationId xmlns:a16="http://schemas.microsoft.com/office/drawing/2014/main" id="{D250AB91-DA19-4BAB-82D3-F89E0ABFEFB6}"/>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71575" y="20754975"/>
          <a:ext cx="3883025" cy="446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9</xdr:row>
      <xdr:rowOff>1</xdr:rowOff>
    </xdr:from>
    <xdr:to>
      <xdr:col>4</xdr:col>
      <xdr:colOff>152400</xdr:colOff>
      <xdr:row>44</xdr:row>
      <xdr:rowOff>50801</xdr:rowOff>
    </xdr:to>
    <xdr:sp macro="" textlink="">
      <xdr:nvSpPr>
        <xdr:cNvPr id="7223" name="Text Box 55">
          <a:extLst>
            <a:ext uri="{FF2B5EF4-FFF2-40B4-BE49-F238E27FC236}">
              <a16:creationId xmlns:a16="http://schemas.microsoft.com/office/drawing/2014/main" id="{ED6D0268-EFC0-4785-9067-C218D63ACDA1}"/>
            </a:ext>
          </a:extLst>
        </xdr:cNvPr>
        <xdr:cNvSpPr txBox="1">
          <a:spLocks noChangeArrowheads="1"/>
        </xdr:cNvSpPr>
      </xdr:nvSpPr>
      <xdr:spPr bwMode="auto">
        <a:xfrm>
          <a:off x="285750" y="1784351"/>
          <a:ext cx="5378450" cy="69405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100" b="1" i="0" u="none" strike="noStrike" baseline="0">
              <a:solidFill>
                <a:srgbClr val="000000"/>
              </a:solidFill>
              <a:latin typeface="Arial"/>
              <a:cs typeface="Arial"/>
            </a:rPr>
            <a:t>DESIGN OF POWER TRANSMISSION SHAFTING</a:t>
          </a:r>
        </a:p>
        <a:p>
          <a:pPr algn="l" rtl="0">
            <a:defRPr sz="1000"/>
          </a:pPr>
          <a:r>
            <a:rPr lang="en-US" sz="1100" b="0" i="0" u="none" strike="noStrike" baseline="0">
              <a:solidFill>
                <a:srgbClr val="000000"/>
              </a:solidFill>
              <a:latin typeface="Arial"/>
              <a:cs typeface="Arial"/>
            </a:rPr>
            <a:t>The objective is to calculate the shaft size having the strength and rigidity required to transmit an applied torque. The strength in torsion, of shafts made of ductile materials are usually calculated on the basis of the maximum shear theory.</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ASME Code states that for shaft made of a specified ASTM steel:</a:t>
          </a:r>
        </a:p>
        <a:p>
          <a:pPr algn="l" rtl="0">
            <a:defRPr sz="1000"/>
          </a:pPr>
          <a:r>
            <a:rPr lang="en-US" sz="1100" b="0" i="0" u="none" strike="noStrike" baseline="0">
              <a:solidFill>
                <a:srgbClr val="000000"/>
              </a:solidFill>
              <a:latin typeface="Arial"/>
              <a:cs typeface="Arial"/>
            </a:rPr>
            <a:t>Ss(allowable) = 30% of Sy but not over 18% of Sult for shafts without keyways. </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These values are to be reduced by 25% if the shafts have keyways.</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Shaft design includes the determination of shaft diameter having the strength and rigidity to transmit motor or engine power under various operating conditions. </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Shafts are usually round and may be solid or hollow. </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Shaft torsional shear stress: Ss = T*R / J</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Polar moment of area:            J = </a:t>
          </a:r>
          <a:r>
            <a:rPr lang="el-GR" sz="1100" b="0" i="0" u="none" strike="noStrike" baseline="0">
              <a:solidFill>
                <a:srgbClr val="000000"/>
              </a:solidFill>
              <a:latin typeface="Arial"/>
              <a:cs typeface="Arial"/>
            </a:rPr>
            <a:t>π*</a:t>
          </a:r>
          <a:r>
            <a:rPr lang="en-US" sz="1100" b="0" i="0" u="none" strike="noStrike" baseline="0">
              <a:solidFill>
                <a:srgbClr val="000000"/>
              </a:solidFill>
              <a:latin typeface="Arial"/>
              <a:cs typeface="Arial"/>
            </a:rPr>
            <a:t>D^4 / 32              for solid shafts</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                                            J = </a:t>
          </a:r>
          <a:r>
            <a:rPr lang="el-GR" sz="1100" b="0" i="0" u="none" strike="noStrike" baseline="0">
              <a:solidFill>
                <a:srgbClr val="000000"/>
              </a:solidFill>
              <a:latin typeface="Arial"/>
              <a:cs typeface="Arial"/>
            </a:rPr>
            <a:t>π*(</a:t>
          </a:r>
          <a:r>
            <a:rPr lang="en-US" sz="1100" b="0" i="0" u="none" strike="noStrike" baseline="0">
              <a:solidFill>
                <a:srgbClr val="000000"/>
              </a:solidFill>
              <a:latin typeface="Arial"/>
              <a:cs typeface="Arial"/>
            </a:rPr>
            <a:t>D^4 - d^4) / 32     for hollow shafts</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Shaft bending stress:            Sb = M*R / I</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Moment of area:                      I = </a:t>
          </a:r>
          <a:r>
            <a:rPr lang="el-GR" sz="1100" b="0" i="0" u="none" strike="noStrike" baseline="0">
              <a:solidFill>
                <a:srgbClr val="000000"/>
              </a:solidFill>
              <a:latin typeface="Arial"/>
              <a:cs typeface="Arial"/>
            </a:rPr>
            <a:t>π*</a:t>
          </a:r>
          <a:r>
            <a:rPr lang="en-US" sz="1100" b="0" i="0" u="none" strike="noStrike" baseline="0">
              <a:solidFill>
                <a:srgbClr val="000000"/>
              </a:solidFill>
              <a:latin typeface="Arial"/>
              <a:cs typeface="Arial"/>
            </a:rPr>
            <a:t>D^4 / 64              for solid shafts</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                                             I = </a:t>
          </a:r>
          <a:r>
            <a:rPr lang="el-GR" sz="1100" b="0" i="0" u="none" strike="noStrike" baseline="0">
              <a:solidFill>
                <a:srgbClr val="000000"/>
              </a:solidFill>
              <a:latin typeface="Arial"/>
              <a:cs typeface="Arial"/>
            </a:rPr>
            <a:t>π*(</a:t>
          </a:r>
          <a:r>
            <a:rPr lang="en-US" sz="1100" b="0" i="0" u="none" strike="noStrike" baseline="0">
              <a:solidFill>
                <a:srgbClr val="000000"/>
              </a:solidFill>
              <a:latin typeface="Arial"/>
              <a:cs typeface="Arial"/>
            </a:rPr>
            <a:t>D^4 - d^4) / 64     for hollow shafts</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The ASME Code equation for shafts subjected to: torsion, bending, axial load, shock, and fatigue is:</a:t>
          </a:r>
        </a:p>
        <a:p>
          <a:pPr algn="l" rtl="0">
            <a:defRPr sz="1000"/>
          </a:pPr>
          <a:r>
            <a:rPr lang="en-US" sz="1100" b="0" i="0" u="none" strike="noStrike" baseline="0">
              <a:solidFill>
                <a:srgbClr val="000000"/>
              </a:solidFill>
              <a:latin typeface="Arial"/>
              <a:cs typeface="Arial"/>
            </a:rPr>
            <a:t>Shaft diameter cubed,   </a:t>
          </a:r>
        </a:p>
        <a:p>
          <a:pPr algn="l" rtl="0">
            <a:defRPr sz="1000"/>
          </a:pPr>
          <a:r>
            <a:rPr lang="en-US" sz="1100" b="0" i="0" u="none" strike="noStrike" baseline="0">
              <a:solidFill>
                <a:srgbClr val="000000"/>
              </a:solidFill>
              <a:latin typeface="Arial"/>
              <a:cs typeface="Arial"/>
            </a:rPr>
            <a:t>                     D^3 = (16/</a:t>
          </a:r>
          <a:r>
            <a:rPr lang="el-GR" sz="1100" b="0" i="0" u="none" strike="noStrike" baseline="0">
              <a:solidFill>
                <a:srgbClr val="000000"/>
              </a:solidFill>
              <a:latin typeface="Arial"/>
              <a:cs typeface="Arial"/>
            </a:rPr>
            <a:t>π*</a:t>
          </a:r>
          <a:r>
            <a:rPr lang="en-US" sz="1100" b="0" i="0" u="none" strike="noStrike" baseline="0">
              <a:solidFill>
                <a:srgbClr val="000000"/>
              </a:solidFill>
              <a:latin typeface="Arial"/>
              <a:cs typeface="Arial"/>
            </a:rPr>
            <a:t>Ss(1-K^4))*[ ( (KbMb + (</a:t>
          </a:r>
          <a:r>
            <a:rPr lang="el-GR" sz="1100" b="0" i="0" u="none" strike="noStrike" baseline="0">
              <a:solidFill>
                <a:srgbClr val="000000"/>
              </a:solidFill>
              <a:latin typeface="Arial"/>
              <a:cs typeface="Arial"/>
            </a:rPr>
            <a:t>α*</a:t>
          </a:r>
          <a:r>
            <a:rPr lang="en-US" sz="1100" b="0" i="0" u="none" strike="noStrike" baseline="0">
              <a:solidFill>
                <a:srgbClr val="000000"/>
              </a:solidFill>
              <a:latin typeface="Arial"/>
              <a:cs typeface="Arial"/>
            </a:rPr>
            <a:t>F</a:t>
          </a:r>
          <a:r>
            <a:rPr lang="el-GR" sz="1100" b="0" i="0" u="none" strike="noStrike" baseline="-25000">
              <a:solidFill>
                <a:srgbClr val="000000"/>
              </a:solidFill>
              <a:latin typeface="Arial"/>
              <a:cs typeface="Arial"/>
            </a:rPr>
            <a:t>α</a:t>
          </a:r>
          <a:r>
            <a:rPr lang="el-GR" sz="1100" b="0" i="0" u="none" strike="noStrike" baseline="0">
              <a:solidFill>
                <a:srgbClr val="000000"/>
              </a:solidFill>
              <a:latin typeface="Arial"/>
              <a:cs typeface="Arial"/>
            </a:rPr>
            <a:t>*</a:t>
          </a:r>
          <a:r>
            <a:rPr lang="en-US" sz="1100" b="0" i="0" u="none" strike="noStrike" baseline="0">
              <a:solidFill>
                <a:srgbClr val="000000"/>
              </a:solidFill>
              <a:latin typeface="Arial"/>
              <a:cs typeface="Arial"/>
            </a:rPr>
            <a:t>D*(1+K^2)/8 ]^2 + (Kt*T)^2 ]^0.5</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Shaft diameter cubed with no axial load,   </a:t>
          </a:r>
        </a:p>
        <a:p>
          <a:pPr algn="l" rtl="0">
            <a:defRPr sz="1000"/>
          </a:pPr>
          <a:r>
            <a:rPr lang="en-US" sz="1100" b="0" i="0" u="none" strike="noStrike" baseline="0">
              <a:solidFill>
                <a:srgbClr val="000000"/>
              </a:solidFill>
              <a:latin typeface="Arial"/>
              <a:cs typeface="Arial"/>
            </a:rPr>
            <a:t>                      D^3 = (16/</a:t>
          </a:r>
          <a:r>
            <a:rPr lang="el-GR" sz="1100" b="0" i="0" u="none" strike="noStrike" baseline="0">
              <a:solidFill>
                <a:srgbClr val="000000"/>
              </a:solidFill>
              <a:latin typeface="Arial"/>
              <a:cs typeface="Arial"/>
            </a:rPr>
            <a:t>π*</a:t>
          </a:r>
          <a:r>
            <a:rPr lang="en-US" sz="1100" b="0" i="0" u="none" strike="noStrike" baseline="0">
              <a:solidFill>
                <a:srgbClr val="000000"/>
              </a:solidFill>
              <a:latin typeface="Arial"/>
              <a:cs typeface="Arial"/>
            </a:rPr>
            <a:t>Ss)*[ (KbMb)^2 + (Kt*T)^2 ]^0.5</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                      K = D/d           D = Shaft outside diameter,        d = inside diameter</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                      Kb = combined shock &amp; fatigue bending factor</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                      Kt = combined shock &amp; fatigue torsion factor</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                    </a:t>
          </a:r>
        </a:p>
      </xdr:txBody>
    </xdr:sp>
    <xdr:clientData/>
  </xdr:twoCellAnchor>
  <xdr:twoCellAnchor>
    <xdr:from>
      <xdr:col>0</xdr:col>
      <xdr:colOff>292100</xdr:colOff>
      <xdr:row>45</xdr:row>
      <xdr:rowOff>101601</xdr:rowOff>
    </xdr:from>
    <xdr:to>
      <xdr:col>4</xdr:col>
      <xdr:colOff>165100</xdr:colOff>
      <xdr:row>62</xdr:row>
      <xdr:rowOff>19051</xdr:rowOff>
    </xdr:to>
    <xdr:sp macro="" textlink="">
      <xdr:nvSpPr>
        <xdr:cNvPr id="7224" name="Text Box 56">
          <a:extLst>
            <a:ext uri="{FF2B5EF4-FFF2-40B4-BE49-F238E27FC236}">
              <a16:creationId xmlns:a16="http://schemas.microsoft.com/office/drawing/2014/main" id="{4232755A-BE60-4767-AD88-ABEB56F7B0C6}"/>
            </a:ext>
          </a:extLst>
        </xdr:cNvPr>
        <xdr:cNvSpPr txBox="1">
          <a:spLocks noChangeArrowheads="1"/>
        </xdr:cNvSpPr>
      </xdr:nvSpPr>
      <xdr:spPr bwMode="auto">
        <a:xfrm>
          <a:off x="292100" y="8972551"/>
          <a:ext cx="5384800" cy="3263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endParaRPr lang="el-GR" sz="1000" b="0" i="0" u="none" strike="noStrike" baseline="0">
            <a:solidFill>
              <a:srgbClr val="000000"/>
            </a:solidFill>
            <a:latin typeface="Arial"/>
            <a:cs typeface="Arial"/>
          </a:endParaRPr>
        </a:p>
        <a:p>
          <a:pPr algn="l" rtl="0">
            <a:defRPr sz="1000"/>
          </a:pPr>
          <a:r>
            <a:rPr lang="el-GR" sz="1000" b="0" i="0" u="none" strike="noStrike" baseline="0">
              <a:solidFill>
                <a:srgbClr val="000000"/>
              </a:solidFill>
              <a:latin typeface="Arial"/>
              <a:cs typeface="Arial"/>
            </a:rPr>
            <a:t>  </a:t>
          </a:r>
          <a:r>
            <a:rPr lang="el-GR" sz="1100" b="0" i="0" u="none" strike="noStrike" baseline="0">
              <a:solidFill>
                <a:srgbClr val="000000"/>
              </a:solidFill>
              <a:latin typeface="Arial"/>
              <a:cs typeface="Arial"/>
            </a:rPr>
            <a:t>α = </a:t>
          </a:r>
          <a:r>
            <a:rPr lang="en-US" sz="1100" b="0" i="0" u="none" strike="noStrike" baseline="0">
              <a:solidFill>
                <a:srgbClr val="000000"/>
              </a:solidFill>
              <a:latin typeface="Arial"/>
              <a:cs typeface="Arial"/>
            </a:rPr>
            <a:t>column factor = 1 / (1 - 0.0044*(L/k)^2 for L/k &lt; 115</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                      L = Shaft length                  k = (I/A)^0.5 = Shaft radius of gyration</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                      A = Shaft section area</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For rotating shafts: Kb = 1.5, Kt = 1.0 for gradually applied load</a:t>
          </a:r>
        </a:p>
        <a:p>
          <a:pPr algn="l" rtl="0">
            <a:defRPr sz="1000"/>
          </a:pPr>
          <a:r>
            <a:rPr lang="en-US" sz="1100" b="0" i="0" u="none" strike="noStrike" baseline="0">
              <a:solidFill>
                <a:srgbClr val="000000"/>
              </a:solidFill>
              <a:latin typeface="Arial"/>
              <a:cs typeface="Arial"/>
            </a:rPr>
            <a:t>                            </a:t>
          </a:r>
        </a:p>
        <a:p>
          <a:pPr algn="l" rtl="0">
            <a:defRPr sz="1000"/>
          </a:pPr>
          <a:r>
            <a:rPr lang="en-US" sz="1100" b="0" i="0" u="none" strike="noStrike" baseline="0">
              <a:solidFill>
                <a:srgbClr val="000000"/>
              </a:solidFill>
              <a:latin typeface="Arial"/>
              <a:cs typeface="Arial"/>
            </a:rPr>
            <a:t>                             Kb = 2.0, Kt = 1.5 for suddenly applied load &amp; minor shock</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                             Kb = 3.0, Kt = 3.0 for suddenly applied load &amp; heavy shock</a:t>
          </a:r>
        </a:p>
        <a:p>
          <a:pPr algn="l" rtl="0">
            <a:defRPr sz="1000"/>
          </a:pPr>
          <a:endParaRPr lang="en-US" sz="1100" b="0"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Power Transmission Shaft Design Calculations</a:t>
          </a: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Input shaft data for your problem below and Excel will calculate the answers, Excel' "Goal Seek" may be used to optimize the design of shafts, see the Math Tools tab below.</a:t>
          </a:r>
        </a:p>
      </xdr:txBody>
    </xdr:sp>
    <xdr:clientData/>
  </xdr:twoCellAnchor>
  <xdr:twoCellAnchor editAs="oneCell">
    <xdr:from>
      <xdr:col>0</xdr:col>
      <xdr:colOff>914400</xdr:colOff>
      <xdr:row>211</xdr:row>
      <xdr:rowOff>66675</xdr:rowOff>
    </xdr:from>
    <xdr:to>
      <xdr:col>3</xdr:col>
      <xdr:colOff>28575</xdr:colOff>
      <xdr:row>223</xdr:row>
      <xdr:rowOff>168275</xdr:rowOff>
    </xdr:to>
    <xdr:pic>
      <xdr:nvPicPr>
        <xdr:cNvPr id="7359" name="Picture 64" descr="SHAFT WITH 3 DIAMETERS">
          <a:extLst>
            <a:ext uri="{FF2B5EF4-FFF2-40B4-BE49-F238E27FC236}">
              <a16:creationId xmlns:a16="http://schemas.microsoft.com/office/drawing/2014/main" id="{BE3EBCEA-02D4-4FB1-8ECE-8385626B85CA}"/>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14400" y="37814250"/>
          <a:ext cx="3790950" cy="2505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869950</xdr:colOff>
      <xdr:row>498</xdr:row>
      <xdr:rowOff>19050</xdr:rowOff>
    </xdr:from>
    <xdr:to>
      <xdr:col>3</xdr:col>
      <xdr:colOff>342900</xdr:colOff>
      <xdr:row>511</xdr:row>
      <xdr:rowOff>158750</xdr:rowOff>
    </xdr:to>
    <xdr:sp macro="" textlink="">
      <xdr:nvSpPr>
        <xdr:cNvPr id="7234" name="Text Box 66">
          <a:extLst>
            <a:ext uri="{FF2B5EF4-FFF2-40B4-BE49-F238E27FC236}">
              <a16:creationId xmlns:a16="http://schemas.microsoft.com/office/drawing/2014/main" id="{5DC74E7F-1D99-453D-A436-E868D8131F6A}"/>
            </a:ext>
          </a:extLst>
        </xdr:cNvPr>
        <xdr:cNvSpPr txBox="1">
          <a:spLocks noChangeArrowheads="1"/>
        </xdr:cNvSpPr>
      </xdr:nvSpPr>
      <xdr:spPr bwMode="auto">
        <a:xfrm>
          <a:off x="869950" y="98431350"/>
          <a:ext cx="4375150" cy="26987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100" b="1" i="0" u="none" strike="noStrike" baseline="0">
              <a:solidFill>
                <a:srgbClr val="000000"/>
              </a:solidFill>
              <a:latin typeface="Arial"/>
              <a:cs typeface="Arial"/>
            </a:rPr>
            <a:t>BULK MATERIAL BELT CONVEYOR SHAFTING SPECIFICATION</a:t>
          </a:r>
        </a:p>
        <a:p>
          <a:pPr algn="l" rtl="0">
            <a:defRPr sz="1000"/>
          </a:pPr>
          <a:r>
            <a:rPr lang="en-US" sz="1100" b="1" i="0" u="none" strike="noStrike" baseline="0">
              <a:solidFill>
                <a:srgbClr val="000000"/>
              </a:solidFill>
              <a:latin typeface="Arial"/>
              <a:cs typeface="Arial"/>
            </a:rPr>
            <a:t>See PDHonline courses: M262 an M263 by the author of this course for more information.</a:t>
          </a:r>
          <a:endParaRPr lang="en-US" sz="1100" b="0"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				              Pulley Shafts:</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All shafts shall have one fixed type bearing; the balance on</a:t>
          </a:r>
        </a:p>
        <a:p>
          <a:pPr algn="l" rtl="0">
            <a:defRPr sz="1000"/>
          </a:pPr>
          <a:r>
            <a:rPr lang="en-US" sz="1100" b="0" i="0" u="none" strike="noStrike" baseline="0">
              <a:solidFill>
                <a:srgbClr val="000000"/>
              </a:solidFill>
              <a:latin typeface="Arial"/>
              <a:cs typeface="Arial"/>
            </a:rPr>
            <a:t>  the shaft shall be expansion type.</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Pulleys and pulley shafts shall be sized for combined torsional and bending static and fatigue stresses.</a:t>
          </a:r>
        </a:p>
        <a:p>
          <a:pPr algn="l" rtl="0">
            <a:defRPr sz="1000"/>
          </a:pPr>
          <a:endParaRPr lang="en-US" sz="1100" b="0" i="0" u="none" strike="noStrike" baseline="0">
            <a:solidFill>
              <a:srgbClr val="000000"/>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b="0" i="0" baseline="0">
              <a:effectLst/>
              <a:latin typeface="Arial" panose="020B0604020202020204" pitchFamily="34" charset="0"/>
              <a:ea typeface="+mn-ea"/>
              <a:cs typeface="Arial" panose="020B0604020202020204" pitchFamily="34" charset="0"/>
            </a:rPr>
            <a:t>Shaft keys shall be the square parallel type and keyways adjacent to bearings shall be round end, all other keyways may be the run-out type.</a:t>
          </a:r>
          <a:endParaRPr lang="en-US" sz="1100">
            <a:effectLst/>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0</xdr:col>
      <xdr:colOff>698500</xdr:colOff>
      <xdr:row>470</xdr:row>
      <xdr:rowOff>19050</xdr:rowOff>
    </xdr:from>
    <xdr:to>
      <xdr:col>4</xdr:col>
      <xdr:colOff>688975</xdr:colOff>
      <xdr:row>496</xdr:row>
      <xdr:rowOff>168275</xdr:rowOff>
    </xdr:to>
    <xdr:pic>
      <xdr:nvPicPr>
        <xdr:cNvPr id="7361" name="Picture 67" descr="BELT-CONVEYORS-ASSY-1">
          <a:extLst>
            <a:ext uri="{FF2B5EF4-FFF2-40B4-BE49-F238E27FC236}">
              <a16:creationId xmlns:a16="http://schemas.microsoft.com/office/drawing/2014/main" id="{61889EBC-B535-4A6A-BE86-91A66C26EA03}"/>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98500" y="92919550"/>
          <a:ext cx="5502275" cy="526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565150</xdr:colOff>
      <xdr:row>531</xdr:row>
      <xdr:rowOff>114300</xdr:rowOff>
    </xdr:from>
    <xdr:to>
      <xdr:col>5</xdr:col>
      <xdr:colOff>460375</xdr:colOff>
      <xdr:row>545</xdr:row>
      <xdr:rowOff>28575</xdr:rowOff>
    </xdr:to>
    <xdr:pic>
      <xdr:nvPicPr>
        <xdr:cNvPr id="7362" name="Picture 68" descr="BELT-CONVEYORS-DWG">
          <a:extLst>
            <a:ext uri="{FF2B5EF4-FFF2-40B4-BE49-F238E27FC236}">
              <a16:creationId xmlns:a16="http://schemas.microsoft.com/office/drawing/2014/main" id="{64C66F30-5182-4CAD-B34F-F6F722B6646C}"/>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65150" y="105022650"/>
          <a:ext cx="6207125" cy="267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850901</xdr:colOff>
      <xdr:row>512</xdr:row>
      <xdr:rowOff>139701</xdr:rowOff>
    </xdr:from>
    <xdr:to>
      <xdr:col>3</xdr:col>
      <xdr:colOff>342900</xdr:colOff>
      <xdr:row>530</xdr:row>
      <xdr:rowOff>133350</xdr:rowOff>
    </xdr:to>
    <xdr:sp macro="" textlink="">
      <xdr:nvSpPr>
        <xdr:cNvPr id="7237" name="Text Box 69">
          <a:extLst>
            <a:ext uri="{FF2B5EF4-FFF2-40B4-BE49-F238E27FC236}">
              <a16:creationId xmlns:a16="http://schemas.microsoft.com/office/drawing/2014/main" id="{838252A0-7613-4B2E-B1F3-38DA9C4BBB99}"/>
            </a:ext>
          </a:extLst>
        </xdr:cNvPr>
        <xdr:cNvSpPr txBox="1">
          <a:spLocks noChangeArrowheads="1"/>
        </xdr:cNvSpPr>
      </xdr:nvSpPr>
      <xdr:spPr bwMode="auto">
        <a:xfrm>
          <a:off x="850901" y="101307901"/>
          <a:ext cx="4394199" cy="3536949"/>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endParaRPr lang="en-US" sz="1100" b="0"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Pulleys:</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The head pulley on the Reclaim Conveyor shall be welded 304-SS so as not to interfere with tramp metal removal by the magnet.</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All pulleys shall be welded steel crown faced, selected in accordance with ratings established by the Mechanical Power Transmission Association Standard No.301-1965 and U.S.A. </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Standard No.B105.1-1966.  In no case shall the pulley shaft loads as listed in the rating tables of these standards be exceeded.</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All pulleys shall be crowned.</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All drive pulleys shall be furnished with 1/2 inch thick vulcanized herringbone grooved lagging.</a:t>
          </a:r>
        </a:p>
        <a:p>
          <a:pPr algn="l" rtl="0">
            <a:defRPr sz="1000"/>
          </a:pPr>
          <a:r>
            <a:rPr lang="en-US" sz="1100" b="0" i="0" u="none" strike="noStrike" baseline="0">
              <a:solidFill>
                <a:srgbClr val="000000"/>
              </a:solidFill>
              <a:latin typeface="Arial"/>
              <a:cs typeface="Arial"/>
            </a:rPr>
            <a:t>				                       Snub pulleys adjacent to drive pulleys shall have a minimum diameter of 16 inches.</a:t>
          </a:r>
        </a:p>
      </xdr:txBody>
    </xdr:sp>
    <xdr:clientData/>
  </xdr:twoCellAnchor>
  <xdr:twoCellAnchor editAs="oneCell">
    <xdr:from>
      <xdr:col>0</xdr:col>
      <xdr:colOff>892175</xdr:colOff>
      <xdr:row>64</xdr:row>
      <xdr:rowOff>133350</xdr:rowOff>
    </xdr:from>
    <xdr:to>
      <xdr:col>3</xdr:col>
      <xdr:colOff>92075</xdr:colOff>
      <xdr:row>74</xdr:row>
      <xdr:rowOff>171450</xdr:rowOff>
    </xdr:to>
    <xdr:pic>
      <xdr:nvPicPr>
        <xdr:cNvPr id="7364" name="Picture 132" descr="POWER TRANS SHAFT-T-V-H">
          <a:extLst>
            <a:ext uri="{FF2B5EF4-FFF2-40B4-BE49-F238E27FC236}">
              <a16:creationId xmlns:a16="http://schemas.microsoft.com/office/drawing/2014/main" id="{B512F4CB-4A0A-4BC2-B9B7-6937F67E52E9}"/>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92175" y="12744450"/>
          <a:ext cx="4102100" cy="200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885825</xdr:colOff>
      <xdr:row>177</xdr:row>
      <xdr:rowOff>82550</xdr:rowOff>
    </xdr:from>
    <xdr:to>
      <xdr:col>6</xdr:col>
      <xdr:colOff>219075</xdr:colOff>
      <xdr:row>185</xdr:row>
      <xdr:rowOff>190500</xdr:rowOff>
    </xdr:to>
    <xdr:pic>
      <xdr:nvPicPr>
        <xdr:cNvPr id="3184" name="Picture 2" descr="SHAFT-IN-HUB">
          <a:extLst>
            <a:ext uri="{FF2B5EF4-FFF2-40B4-BE49-F238E27FC236}">
              <a16:creationId xmlns:a16="http://schemas.microsoft.com/office/drawing/2014/main" id="{4D22F985-2D66-4240-8646-E20248111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1275" y="28975050"/>
          <a:ext cx="3473450" cy="168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1936750</xdr:colOff>
      <xdr:row>102</xdr:row>
      <xdr:rowOff>63500</xdr:rowOff>
    </xdr:from>
    <xdr:to>
      <xdr:col>1</xdr:col>
      <xdr:colOff>1527175</xdr:colOff>
      <xdr:row>113</xdr:row>
      <xdr:rowOff>53975</xdr:rowOff>
    </xdr:to>
    <xdr:pic>
      <xdr:nvPicPr>
        <xdr:cNvPr id="3185" name="Picture 17" descr="HUB KEY-1">
          <a:extLst>
            <a:ext uri="{FF2B5EF4-FFF2-40B4-BE49-F238E27FC236}">
              <a16:creationId xmlns:a16="http://schemas.microsoft.com/office/drawing/2014/main" id="{050EAB77-5221-49D2-9FEF-CB74BB1353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6750" y="16725900"/>
          <a:ext cx="2555875" cy="215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381000</xdr:colOff>
      <xdr:row>89</xdr:row>
      <xdr:rowOff>57150</xdr:rowOff>
    </xdr:from>
    <xdr:to>
      <xdr:col>0</xdr:col>
      <xdr:colOff>2286000</xdr:colOff>
      <xdr:row>97</xdr:row>
      <xdr:rowOff>133350</xdr:rowOff>
    </xdr:to>
    <xdr:pic>
      <xdr:nvPicPr>
        <xdr:cNvPr id="3186" name="Picture 18" descr="HUB KEY-2">
          <a:extLst>
            <a:ext uri="{FF2B5EF4-FFF2-40B4-BE49-F238E27FC236}">
              <a16:creationId xmlns:a16="http://schemas.microsoft.com/office/drawing/2014/main" id="{FA1C8592-747A-4CD0-8435-3E35CFF2F36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14706600"/>
          <a:ext cx="190500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2762250</xdr:colOff>
      <xdr:row>89</xdr:row>
      <xdr:rowOff>133350</xdr:rowOff>
    </xdr:from>
    <xdr:to>
      <xdr:col>3</xdr:col>
      <xdr:colOff>304800</xdr:colOff>
      <xdr:row>96</xdr:row>
      <xdr:rowOff>123825</xdr:rowOff>
    </xdr:to>
    <xdr:pic>
      <xdr:nvPicPr>
        <xdr:cNvPr id="3187" name="Picture 19" descr="HUB KEY-3">
          <a:extLst>
            <a:ext uri="{FF2B5EF4-FFF2-40B4-BE49-F238E27FC236}">
              <a16:creationId xmlns:a16="http://schemas.microsoft.com/office/drawing/2014/main" id="{10DBAED2-35D2-4436-8380-6B118961585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62250" y="14782800"/>
          <a:ext cx="24955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175</xdr:row>
      <xdr:rowOff>76200</xdr:rowOff>
    </xdr:from>
    <xdr:to>
      <xdr:col>1</xdr:col>
      <xdr:colOff>749300</xdr:colOff>
      <xdr:row>188</xdr:row>
      <xdr:rowOff>44450</xdr:rowOff>
    </xdr:to>
    <xdr:sp macro="" textlink="">
      <xdr:nvSpPr>
        <xdr:cNvPr id="3092" name="Text Box 20">
          <a:extLst>
            <a:ext uri="{FF2B5EF4-FFF2-40B4-BE49-F238E27FC236}">
              <a16:creationId xmlns:a16="http://schemas.microsoft.com/office/drawing/2014/main" id="{A75ECC66-C34D-49C4-B6A6-DBA2C3B99203}"/>
            </a:ext>
          </a:extLst>
        </xdr:cNvPr>
        <xdr:cNvSpPr txBox="1">
          <a:spLocks noChangeArrowheads="1"/>
        </xdr:cNvSpPr>
      </xdr:nvSpPr>
      <xdr:spPr bwMode="auto">
        <a:xfrm>
          <a:off x="409575" y="34651950"/>
          <a:ext cx="3305175" cy="252730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panose="020B0604020202020204" pitchFamily="34" charset="0"/>
              <a:cs typeface="Arial" panose="020B0604020202020204" pitchFamily="34" charset="0"/>
            </a:rPr>
            <a:t>Hub - Shaft Interference Fits</a:t>
          </a:r>
          <a:endParaRPr lang="en-US" sz="1200" b="0" i="0" u="none" strike="noStrike" baseline="0">
            <a:solidFill>
              <a:srgbClr val="000000"/>
            </a:solidFill>
            <a:latin typeface="Arial" panose="020B0604020202020204" pitchFamily="34" charset="0"/>
            <a:cs typeface="Arial" panose="020B0604020202020204" pitchFamily="34" charset="0"/>
          </a:endParaRPr>
        </a:p>
        <a:p>
          <a:pPr rtl="0"/>
          <a:endParaRPr lang="en-US" sz="1200" b="0" i="0" u="none" strike="noStrike" baseline="0">
            <a:solidFill>
              <a:srgbClr val="000000"/>
            </a:solidFill>
            <a:latin typeface="Arial" panose="020B0604020202020204" pitchFamily="34" charset="0"/>
            <a:cs typeface="Arial" panose="020B0604020202020204" pitchFamily="34" charset="0"/>
          </a:endParaRPr>
        </a:p>
        <a:p>
          <a:pPr rtl="0"/>
          <a:r>
            <a:rPr lang="en-US" sz="1200" b="0" i="0" u="none" strike="noStrike" baseline="0">
              <a:solidFill>
                <a:srgbClr val="000000"/>
              </a:solidFill>
              <a:latin typeface="Arial" panose="020B0604020202020204" pitchFamily="34" charset="0"/>
              <a:cs typeface="Arial" panose="020B0604020202020204" pitchFamily="34" charset="0"/>
            </a:rPr>
            <a:t>These ridged or, "shrink fits" are used for connecting hubs to shafts, sometimes in addition to keys. </a:t>
          </a:r>
        </a:p>
        <a:p>
          <a:pPr rtl="0"/>
          <a:endParaRPr lang="en-US" sz="1200" b="0" i="0" u="none" strike="noStrike" baseline="0">
            <a:solidFill>
              <a:srgbClr val="000000"/>
            </a:solidFill>
            <a:latin typeface="Arial" panose="020B0604020202020204" pitchFamily="34" charset="0"/>
            <a:cs typeface="Arial" panose="020B0604020202020204" pitchFamily="34" charset="0"/>
          </a:endParaRPr>
        </a:p>
        <a:p>
          <a:pPr rtl="0"/>
          <a:r>
            <a:rPr lang="en-US" sz="1200" b="0" i="0" u="none" strike="noStrike" baseline="0">
              <a:solidFill>
                <a:srgbClr val="000000"/>
              </a:solidFill>
              <a:latin typeface="Arial" panose="020B0604020202020204" pitchFamily="34" charset="0"/>
              <a:cs typeface="Arial" panose="020B0604020202020204" pitchFamily="34" charset="0"/>
            </a:rPr>
            <a:t>Often the computed stress is allowed to approach the yield stress because the stress decreases away from the bore.                                       </a:t>
          </a:r>
        </a:p>
        <a:p>
          <a:pPr rtl="0"/>
          <a:endParaRPr lang="en-US" sz="1200" b="0" i="0" u="none" strike="noStrike" baseline="0">
            <a:solidFill>
              <a:srgbClr val="000000"/>
            </a:solidFill>
            <a:effectLst/>
            <a:latin typeface="Arial" panose="020B0604020202020204" pitchFamily="34" charset="0"/>
            <a:ea typeface="+mn-ea"/>
            <a:cs typeface="Arial" panose="020B0604020202020204" pitchFamily="34" charset="0"/>
          </a:endParaRPr>
        </a:p>
        <a:p>
          <a:pPr rtl="0"/>
          <a:r>
            <a:rPr lang="en-US" sz="1200" b="1" i="0" baseline="0">
              <a:effectLst/>
              <a:latin typeface="Arial" panose="020B0604020202020204" pitchFamily="34" charset="0"/>
              <a:ea typeface="+mn-ea"/>
              <a:cs typeface="Arial" panose="020B0604020202020204" pitchFamily="34" charset="0"/>
            </a:rPr>
            <a:t>Shaft in Hub</a:t>
          </a:r>
          <a:endParaRPr lang="en-US" sz="1200">
            <a:effectLst/>
            <a:latin typeface="Arial" panose="020B0604020202020204" pitchFamily="34" charset="0"/>
            <a:cs typeface="Arial" panose="020B0604020202020204" pitchFamily="34" charset="0"/>
          </a:endParaRPr>
        </a:p>
        <a:p>
          <a:pPr rtl="0"/>
          <a:r>
            <a:rPr lang="en-US" sz="1200" b="0" i="0" baseline="0">
              <a:effectLst/>
              <a:latin typeface="Arial" panose="020B0604020202020204" pitchFamily="34" charset="0"/>
              <a:ea typeface="+mn-ea"/>
              <a:cs typeface="Arial" panose="020B0604020202020204" pitchFamily="34" charset="0"/>
            </a:rPr>
            <a:t>The hub is the outer ring, Do to Dc. The shaft is the inner ring, Dc to Di</a:t>
          </a:r>
          <a:endParaRPr lang="en-US" sz="1200">
            <a:effectLst/>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101600</xdr:colOff>
      <xdr:row>27</xdr:row>
      <xdr:rowOff>130175</xdr:rowOff>
    </xdr:from>
    <xdr:to>
      <xdr:col>1</xdr:col>
      <xdr:colOff>1435100</xdr:colOff>
      <xdr:row>51</xdr:row>
      <xdr:rowOff>9525</xdr:rowOff>
    </xdr:to>
    <xdr:graphicFrame macro="">
      <xdr:nvGraphicFramePr>
        <xdr:cNvPr id="3189" name="Chart 28">
          <a:extLst>
            <a:ext uri="{FF2B5EF4-FFF2-40B4-BE49-F238E27FC236}">
              <a16:creationId xmlns:a16="http://schemas.microsoft.com/office/drawing/2014/main" id="{9C0BE0BB-AEA7-440A-8D12-7930491B71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161924</xdr:colOff>
      <xdr:row>2</xdr:row>
      <xdr:rowOff>88900</xdr:rowOff>
    </xdr:from>
    <xdr:to>
      <xdr:col>1</xdr:col>
      <xdr:colOff>177799</xdr:colOff>
      <xdr:row>15</xdr:row>
      <xdr:rowOff>88900</xdr:rowOff>
    </xdr:to>
    <xdr:sp macro="" textlink="">
      <xdr:nvSpPr>
        <xdr:cNvPr id="3104" name="Text Box 32">
          <a:extLst>
            <a:ext uri="{FF2B5EF4-FFF2-40B4-BE49-F238E27FC236}">
              <a16:creationId xmlns:a16="http://schemas.microsoft.com/office/drawing/2014/main" id="{544D2517-9126-4D1C-8797-21AEFDC264BF}"/>
            </a:ext>
          </a:extLst>
        </xdr:cNvPr>
        <xdr:cNvSpPr txBox="1">
          <a:spLocks noChangeArrowheads="1"/>
        </xdr:cNvSpPr>
      </xdr:nvSpPr>
      <xdr:spPr bwMode="auto">
        <a:xfrm>
          <a:off x="161924" y="476250"/>
          <a:ext cx="2981325" cy="21145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100" b="1" i="0" u="none" strike="noStrike" baseline="0">
              <a:solidFill>
                <a:srgbClr val="000000"/>
              </a:solidFill>
              <a:latin typeface="Arial"/>
              <a:cs typeface="Arial"/>
            </a:rPr>
            <a:t>RIGID COUPLING DESIGN</a:t>
          </a:r>
        </a:p>
        <a:p>
          <a:pPr algn="l" rtl="0">
            <a:defRPr sz="1000"/>
          </a:pPr>
          <a:r>
            <a:rPr lang="en-US" sz="1100" b="0" i="0" u="none" strike="noStrike" baseline="0">
              <a:solidFill>
                <a:srgbClr val="000000"/>
              </a:solidFill>
              <a:latin typeface="Arial"/>
              <a:cs typeface="Arial"/>
            </a:rPr>
            <a:t>Couplings are used to connect rotating shafts continuously. </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Clutches are used to connect rotating shafts temporarily.</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Rigid couplings are used for accurately aligned shafts in slow speed  applications. </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Refer to  ASME code and coupling vendor design values.</a:t>
          </a: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0</xdr:col>
      <xdr:colOff>533400</xdr:colOff>
      <xdr:row>17</xdr:row>
      <xdr:rowOff>28575</xdr:rowOff>
    </xdr:from>
    <xdr:to>
      <xdr:col>1</xdr:col>
      <xdr:colOff>206375</xdr:colOff>
      <xdr:row>24</xdr:row>
      <xdr:rowOff>38100</xdr:rowOff>
    </xdr:to>
    <xdr:pic>
      <xdr:nvPicPr>
        <xdr:cNvPr id="3191" name="Picture 35" descr="HUB KEY-4">
          <a:extLst>
            <a:ext uri="{FF2B5EF4-FFF2-40B4-BE49-F238E27FC236}">
              <a16:creationId xmlns:a16="http://schemas.microsoft.com/office/drawing/2014/main" id="{57CEB2D9-60C7-4202-B507-A3B335173FB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33400" y="2847975"/>
          <a:ext cx="2638425" cy="1387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387350</xdr:colOff>
      <xdr:row>1</xdr:row>
      <xdr:rowOff>69850</xdr:rowOff>
    </xdr:from>
    <xdr:to>
      <xdr:col>4</xdr:col>
      <xdr:colOff>101600</xdr:colOff>
      <xdr:row>12</xdr:row>
      <xdr:rowOff>79375</xdr:rowOff>
    </xdr:to>
    <xdr:pic>
      <xdr:nvPicPr>
        <xdr:cNvPr id="3192" name="Picture 36" descr="HUB KEY-0">
          <a:extLst>
            <a:ext uri="{FF2B5EF4-FFF2-40B4-BE49-F238E27FC236}">
              <a16:creationId xmlns:a16="http://schemas.microsoft.com/office/drawing/2014/main" id="{F1EE9DE5-3B65-4D24-9A14-712A49D6D89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352800" y="266700"/>
          <a:ext cx="2622550" cy="217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74</xdr:row>
      <xdr:rowOff>9525</xdr:rowOff>
    </xdr:from>
    <xdr:to>
      <xdr:col>3</xdr:col>
      <xdr:colOff>447675</xdr:colOff>
      <xdr:row>76</xdr:row>
      <xdr:rowOff>66675</xdr:rowOff>
    </xdr:to>
    <xdr:sp macro="" textlink="">
      <xdr:nvSpPr>
        <xdr:cNvPr id="3109" name="Text Box 37">
          <a:extLst>
            <a:ext uri="{FF2B5EF4-FFF2-40B4-BE49-F238E27FC236}">
              <a16:creationId xmlns:a16="http://schemas.microsoft.com/office/drawing/2014/main" id="{312DE210-D872-4BC9-BB1C-74B79F761B44}"/>
            </a:ext>
          </a:extLst>
        </xdr:cNvPr>
        <xdr:cNvSpPr txBox="1">
          <a:spLocks noChangeArrowheads="1"/>
        </xdr:cNvSpPr>
      </xdr:nvSpPr>
      <xdr:spPr bwMode="auto">
        <a:xfrm>
          <a:off x="4333875" y="12211050"/>
          <a:ext cx="1066800" cy="3810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Apply to graph above.</a:t>
          </a:r>
        </a:p>
      </xdr:txBody>
    </xdr:sp>
    <xdr:clientData/>
  </xdr:twoCellAnchor>
  <xdr:twoCellAnchor>
    <xdr:from>
      <xdr:col>1</xdr:col>
      <xdr:colOff>1438275</xdr:colOff>
      <xdr:row>80</xdr:row>
      <xdr:rowOff>142875</xdr:rowOff>
    </xdr:from>
    <xdr:to>
      <xdr:col>3</xdr:col>
      <xdr:colOff>619125</xdr:colOff>
      <xdr:row>81</xdr:row>
      <xdr:rowOff>152400</xdr:rowOff>
    </xdr:to>
    <xdr:sp macro="" textlink="">
      <xdr:nvSpPr>
        <xdr:cNvPr id="3110" name="Text Box 38">
          <a:extLst>
            <a:ext uri="{FF2B5EF4-FFF2-40B4-BE49-F238E27FC236}">
              <a16:creationId xmlns:a16="http://schemas.microsoft.com/office/drawing/2014/main" id="{AB986F74-A50C-45B3-A808-49C7548515D9}"/>
            </a:ext>
          </a:extLst>
        </xdr:cNvPr>
        <xdr:cNvSpPr txBox="1">
          <a:spLocks noChangeArrowheads="1"/>
        </xdr:cNvSpPr>
      </xdr:nvSpPr>
      <xdr:spPr bwMode="auto">
        <a:xfrm>
          <a:off x="4267200" y="13325475"/>
          <a:ext cx="1304925" cy="1714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&lt;From above graph.</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88900</xdr:colOff>
      <xdr:row>34</xdr:row>
      <xdr:rowOff>152400</xdr:rowOff>
    </xdr:from>
    <xdr:to>
      <xdr:col>4</xdr:col>
      <xdr:colOff>79375</xdr:colOff>
      <xdr:row>40</xdr:row>
      <xdr:rowOff>184150</xdr:rowOff>
    </xdr:to>
    <xdr:pic>
      <xdr:nvPicPr>
        <xdr:cNvPr id="4150" name="Picture 1" descr="SCREW-THREAD-3">
          <a:extLst>
            <a:ext uri="{FF2B5EF4-FFF2-40B4-BE49-F238E27FC236}">
              <a16:creationId xmlns:a16="http://schemas.microsoft.com/office/drawing/2014/main" id="{1323F8BB-CEF8-4A2A-875E-80C6D8555A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54350" y="6877050"/>
          <a:ext cx="2695575" cy="1212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241300</xdr:colOff>
      <xdr:row>33</xdr:row>
      <xdr:rowOff>66675</xdr:rowOff>
    </xdr:from>
    <xdr:to>
      <xdr:col>0</xdr:col>
      <xdr:colOff>2451100</xdr:colOff>
      <xdr:row>41</xdr:row>
      <xdr:rowOff>98425</xdr:rowOff>
    </xdr:to>
    <xdr:pic>
      <xdr:nvPicPr>
        <xdr:cNvPr id="4151" name="Picture 2" descr="SCREW-THREAD-1">
          <a:extLst>
            <a:ext uri="{FF2B5EF4-FFF2-40B4-BE49-F238E27FC236}">
              <a16:creationId xmlns:a16="http://schemas.microsoft.com/office/drawing/2014/main" id="{52E8631C-A86D-4C01-941E-0204CFCBAF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00" y="6594475"/>
          <a:ext cx="22098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358775</xdr:colOff>
      <xdr:row>2</xdr:row>
      <xdr:rowOff>9525</xdr:rowOff>
    </xdr:from>
    <xdr:to>
      <xdr:col>3</xdr:col>
      <xdr:colOff>482600</xdr:colOff>
      <xdr:row>16</xdr:row>
      <xdr:rowOff>76200</xdr:rowOff>
    </xdr:to>
    <xdr:sp macro="" textlink="">
      <xdr:nvSpPr>
        <xdr:cNvPr id="4116" name="Text Box 20">
          <a:extLst>
            <a:ext uri="{FF2B5EF4-FFF2-40B4-BE49-F238E27FC236}">
              <a16:creationId xmlns:a16="http://schemas.microsoft.com/office/drawing/2014/main" id="{7012A10B-7722-4CBF-999C-D1D8ECFCD63C}"/>
            </a:ext>
          </a:extLst>
        </xdr:cNvPr>
        <xdr:cNvSpPr txBox="1">
          <a:spLocks noChangeArrowheads="1"/>
        </xdr:cNvSpPr>
      </xdr:nvSpPr>
      <xdr:spPr bwMode="auto">
        <a:xfrm>
          <a:off x="358775" y="434975"/>
          <a:ext cx="5267325" cy="28225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100" b="1" i="0" u="none" strike="noStrike" baseline="0">
              <a:solidFill>
                <a:srgbClr val="000000"/>
              </a:solidFill>
              <a:latin typeface="Arial"/>
              <a:cs typeface="Arial"/>
            </a:rPr>
            <a:t>POWER SCREWS</a:t>
          </a: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Motor driven: screw jacks, linear actuators, and clamps are examples of power screws.</a:t>
          </a:r>
        </a:p>
        <a:p>
          <a:pPr algn="l" rtl="0">
            <a:defRPr sz="1000"/>
          </a:pPr>
          <a:r>
            <a:rPr lang="en-US" sz="1100" b="0" i="0" u="none" strike="noStrike" baseline="0">
              <a:solidFill>
                <a:srgbClr val="000000"/>
              </a:solidFill>
              <a:latin typeface="Arial"/>
              <a:cs typeface="Arial"/>
            </a:rPr>
            <a:t>The essential components are a nut engaging the helical screw threads of a shaft.</a:t>
          </a:r>
        </a:p>
        <a:p>
          <a:pPr algn="l" rtl="0">
            <a:defRPr sz="1000"/>
          </a:pPr>
          <a:r>
            <a:rPr lang="en-US" sz="1100" b="0" i="0" u="none" strike="noStrike" baseline="0">
              <a:solidFill>
                <a:srgbClr val="000000"/>
              </a:solidFill>
              <a:latin typeface="Arial"/>
              <a:cs typeface="Arial"/>
            </a:rPr>
            <a:t>A nut will advance one screw thread pitch per one 360 degree rotation on a single pitch screw. </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A nut will advance two screw thread pitches per one 360 degree rotation on a double pitch screw, etc.</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The actuator nut below advances or retreats as the motor shaft turns clockwise or ant-clockwise. </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The nut is prevented from rotating by the upper and lower guide slots. The control system of a stepper motor rotates the shaft through a series of small angles very accurately repeatedly. The linear travel of the lug &amp; nut is precise and lockable.</a:t>
          </a:r>
        </a:p>
      </xdr:txBody>
    </xdr:sp>
    <xdr:clientData/>
  </xdr:twoCellAnchor>
  <xdr:twoCellAnchor editAs="oneCell">
    <xdr:from>
      <xdr:col>0</xdr:col>
      <xdr:colOff>285750</xdr:colOff>
      <xdr:row>17</xdr:row>
      <xdr:rowOff>31750</xdr:rowOff>
    </xdr:from>
    <xdr:to>
      <xdr:col>4</xdr:col>
      <xdr:colOff>9525</xdr:colOff>
      <xdr:row>26</xdr:row>
      <xdr:rowOff>82550</xdr:rowOff>
    </xdr:to>
    <xdr:pic>
      <xdr:nvPicPr>
        <xdr:cNvPr id="4153" name="Picture 22" descr="ACTUATOR">
          <a:extLst>
            <a:ext uri="{FF2B5EF4-FFF2-40B4-BE49-F238E27FC236}">
              <a16:creationId xmlns:a16="http://schemas.microsoft.com/office/drawing/2014/main" id="{063B91BC-8F01-44EB-AB8E-C86D5499F7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3409950"/>
          <a:ext cx="5394325" cy="182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184150</xdr:colOff>
      <xdr:row>88</xdr:row>
      <xdr:rowOff>142875</xdr:rowOff>
    </xdr:from>
    <xdr:to>
      <xdr:col>5</xdr:col>
      <xdr:colOff>581025</xdr:colOff>
      <xdr:row>94</xdr:row>
      <xdr:rowOff>15875</xdr:rowOff>
    </xdr:to>
    <xdr:pic>
      <xdr:nvPicPr>
        <xdr:cNvPr id="4154" name="Picture 23" descr="ACME-THREAD-0">
          <a:extLst>
            <a:ext uri="{FF2B5EF4-FFF2-40B4-BE49-F238E27FC236}">
              <a16:creationId xmlns:a16="http://schemas.microsoft.com/office/drawing/2014/main" id="{BEE3FB89-B041-4B53-A482-2E54EECA118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27650" y="17719675"/>
          <a:ext cx="15335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2305050</xdr:colOff>
      <xdr:row>31</xdr:row>
      <xdr:rowOff>38100</xdr:rowOff>
    </xdr:from>
    <xdr:to>
      <xdr:col>4</xdr:col>
      <xdr:colOff>552450</xdr:colOff>
      <xdr:row>44</xdr:row>
      <xdr:rowOff>184150</xdr:rowOff>
    </xdr:to>
    <xdr:pic>
      <xdr:nvPicPr>
        <xdr:cNvPr id="5152" name="Picture 1" descr="BRAKE-1">
          <a:extLst>
            <a:ext uri="{FF2B5EF4-FFF2-40B4-BE49-F238E27FC236}">
              <a16:creationId xmlns:a16="http://schemas.microsoft.com/office/drawing/2014/main" id="{BF8A34C3-0541-4A56-B80F-33A9A79BF8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5172075"/>
          <a:ext cx="3514725" cy="275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381000</xdr:colOff>
      <xdr:row>10</xdr:row>
      <xdr:rowOff>28575</xdr:rowOff>
    </xdr:from>
    <xdr:to>
      <xdr:col>4</xdr:col>
      <xdr:colOff>762000</xdr:colOff>
      <xdr:row>21</xdr:row>
      <xdr:rowOff>88900</xdr:rowOff>
    </xdr:to>
    <xdr:pic>
      <xdr:nvPicPr>
        <xdr:cNvPr id="5153" name="Picture 5" descr="DISC BRAKE">
          <a:extLst>
            <a:ext uri="{FF2B5EF4-FFF2-40B4-BE49-F238E27FC236}">
              <a16:creationId xmlns:a16="http://schemas.microsoft.com/office/drawing/2014/main" id="{DD0D18FA-66E8-4EE4-A014-479595D40F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71975" y="1704975"/>
          <a:ext cx="1657350" cy="2276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196850</xdr:colOff>
      <xdr:row>9</xdr:row>
      <xdr:rowOff>22225</xdr:rowOff>
    </xdr:from>
    <xdr:to>
      <xdr:col>1</xdr:col>
      <xdr:colOff>930275</xdr:colOff>
      <xdr:row>16</xdr:row>
      <xdr:rowOff>31750</xdr:rowOff>
    </xdr:to>
    <xdr:sp macro="" textlink="">
      <xdr:nvSpPr>
        <xdr:cNvPr id="5126" name="Text Box 6">
          <a:extLst>
            <a:ext uri="{FF2B5EF4-FFF2-40B4-BE49-F238E27FC236}">
              <a16:creationId xmlns:a16="http://schemas.microsoft.com/office/drawing/2014/main" id="{392484FC-3AE9-40C8-8FD4-32617B66AD38}"/>
            </a:ext>
          </a:extLst>
        </xdr:cNvPr>
        <xdr:cNvSpPr txBox="1">
          <a:spLocks noChangeArrowheads="1"/>
        </xdr:cNvSpPr>
      </xdr:nvSpPr>
      <xdr:spPr bwMode="auto">
        <a:xfrm>
          <a:off x="196850" y="1533525"/>
          <a:ext cx="3514725" cy="1120775"/>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100" b="1" i="0" u="none" strike="noStrike" baseline="0">
              <a:solidFill>
                <a:srgbClr val="000000"/>
              </a:solidFill>
              <a:latin typeface="Arial"/>
              <a:cs typeface="Arial"/>
            </a:rPr>
            <a:t>DISC BRAKE</a:t>
          </a: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A sectional view of a generic disc brake with calipers is illustrated right. </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Equal and opposite clamping forces, F lbf acting at mean radius Rm inches provide rotation stopping torque T in-lbf.</a:t>
          </a:r>
        </a:p>
      </xdr:txBody>
    </xdr:sp>
    <xdr:clientData/>
  </xdr:twoCellAnchor>
  <xdr:twoCellAnchor>
    <xdr:from>
      <xdr:col>0</xdr:col>
      <xdr:colOff>381000</xdr:colOff>
      <xdr:row>35</xdr:row>
      <xdr:rowOff>123825</xdr:rowOff>
    </xdr:from>
    <xdr:to>
      <xdr:col>0</xdr:col>
      <xdr:colOff>2124075</xdr:colOff>
      <xdr:row>41</xdr:row>
      <xdr:rowOff>31750</xdr:rowOff>
    </xdr:to>
    <xdr:sp macro="" textlink="">
      <xdr:nvSpPr>
        <xdr:cNvPr id="5127" name="Text Box 7">
          <a:extLst>
            <a:ext uri="{FF2B5EF4-FFF2-40B4-BE49-F238E27FC236}">
              <a16:creationId xmlns:a16="http://schemas.microsoft.com/office/drawing/2014/main" id="{7655172E-3E82-464F-944F-152ED28FB448}"/>
            </a:ext>
          </a:extLst>
        </xdr:cNvPr>
        <xdr:cNvSpPr txBox="1">
          <a:spLocks noChangeArrowheads="1"/>
        </xdr:cNvSpPr>
      </xdr:nvSpPr>
      <xdr:spPr bwMode="auto">
        <a:xfrm>
          <a:off x="381000" y="7038975"/>
          <a:ext cx="1743075" cy="1089025"/>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lnSpc>
              <a:spcPts val="1300"/>
            </a:lnSpc>
            <a:defRPr sz="1000"/>
          </a:pPr>
          <a:r>
            <a:rPr lang="en-US" sz="1200" b="1" i="0" u="none" strike="noStrike" baseline="0">
              <a:solidFill>
                <a:srgbClr val="000000"/>
              </a:solidFill>
              <a:latin typeface="Arial"/>
              <a:cs typeface="Arial"/>
            </a:rPr>
            <a:t>SHOE BRAKE </a:t>
          </a:r>
          <a:endParaRPr lang="en-US" sz="1200" b="0" i="0" u="none" strike="noStrike" baseline="0">
            <a:solidFill>
              <a:srgbClr val="000000"/>
            </a:solidFill>
            <a:latin typeface="Arial"/>
            <a:cs typeface="Arial"/>
          </a:endParaRPr>
        </a:p>
        <a:p>
          <a:pPr algn="l" rtl="0">
            <a:lnSpc>
              <a:spcPts val="1000"/>
            </a:lnSpc>
            <a:defRPr sz="1000"/>
          </a:pPr>
          <a:r>
            <a:rPr lang="en-US" sz="1200" b="0" i="0" u="none" strike="noStrike" baseline="0">
              <a:solidFill>
                <a:srgbClr val="000000"/>
              </a:solidFill>
              <a:latin typeface="Arial"/>
              <a:cs typeface="Arial"/>
            </a:rPr>
            <a:t> stopping capacity is proportional to the normal force of brake shoe against the drum and coefficient of friction.</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4</xdr:row>
      <xdr:rowOff>142875</xdr:rowOff>
    </xdr:from>
    <xdr:to>
      <xdr:col>5</xdr:col>
      <xdr:colOff>85725</xdr:colOff>
      <xdr:row>16</xdr:row>
      <xdr:rowOff>44450</xdr:rowOff>
    </xdr:to>
    <xdr:pic>
      <xdr:nvPicPr>
        <xdr:cNvPr id="8224" name="Picture 1" descr="PULLEY-1">
          <a:extLst>
            <a:ext uri="{FF2B5EF4-FFF2-40B4-BE49-F238E27FC236}">
              <a16:creationId xmlns:a16="http://schemas.microsoft.com/office/drawing/2014/main" id="{3D3E167C-E9C5-44BE-9B61-BF0378F42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0800" y="1000125"/>
          <a:ext cx="3486150"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1196975</xdr:colOff>
      <xdr:row>36</xdr:row>
      <xdr:rowOff>25400</xdr:rowOff>
    </xdr:from>
    <xdr:to>
      <xdr:col>3</xdr:col>
      <xdr:colOff>6350</xdr:colOff>
      <xdr:row>49</xdr:row>
      <xdr:rowOff>101600</xdr:rowOff>
    </xdr:to>
    <xdr:pic>
      <xdr:nvPicPr>
        <xdr:cNvPr id="8225" name="Picture 12" descr="V-BELT-DRIVE-1">
          <a:extLst>
            <a:ext uri="{FF2B5EF4-FFF2-40B4-BE49-F238E27FC236}">
              <a16:creationId xmlns:a16="http://schemas.microsoft.com/office/drawing/2014/main" id="{6F3B9A3B-94DF-46C7-BC60-E990D5E48F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6975" y="7137400"/>
          <a:ext cx="4079875" cy="263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10</xdr:row>
      <xdr:rowOff>0</xdr:rowOff>
    </xdr:from>
    <xdr:to>
      <xdr:col>0</xdr:col>
      <xdr:colOff>2219325</xdr:colOff>
      <xdr:row>20</xdr:row>
      <xdr:rowOff>9525</xdr:rowOff>
    </xdr:to>
    <xdr:sp macro="" textlink="">
      <xdr:nvSpPr>
        <xdr:cNvPr id="8205" name="Text Box 13">
          <a:extLst>
            <a:ext uri="{FF2B5EF4-FFF2-40B4-BE49-F238E27FC236}">
              <a16:creationId xmlns:a16="http://schemas.microsoft.com/office/drawing/2014/main" id="{C62F5FF6-F2E0-46D4-8AE9-9C46230402B2}"/>
            </a:ext>
          </a:extLst>
        </xdr:cNvPr>
        <xdr:cNvSpPr txBox="1">
          <a:spLocks noChangeArrowheads="1"/>
        </xdr:cNvSpPr>
      </xdr:nvSpPr>
      <xdr:spPr bwMode="auto">
        <a:xfrm>
          <a:off x="38100" y="1838325"/>
          <a:ext cx="2181225" cy="1628775"/>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100" b="1" i="0" u="none" strike="noStrike" baseline="0">
              <a:solidFill>
                <a:srgbClr val="000000"/>
              </a:solidFill>
              <a:latin typeface="Arial"/>
              <a:cs typeface="Arial"/>
            </a:rPr>
            <a:t>V-BELT DRIVES</a:t>
          </a: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V-belts are used to transmit power from motors to machinery.</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Sheaves have a V-groove. Pulleys have a flat circumference.</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A V-belt may be used in combination with a drive sheave on a motor shaft and a pulley on the driven shaft.</a:t>
          </a:r>
        </a:p>
      </xdr:txBody>
    </xdr:sp>
    <xdr:clientData/>
  </xdr:twoCellAnchor>
  <xdr:twoCellAnchor editAs="oneCell">
    <xdr:from>
      <xdr:col>10</xdr:col>
      <xdr:colOff>276225</xdr:colOff>
      <xdr:row>5</xdr:row>
      <xdr:rowOff>9525</xdr:rowOff>
    </xdr:from>
    <xdr:to>
      <xdr:col>15</xdr:col>
      <xdr:colOff>38100</xdr:colOff>
      <xdr:row>16</xdr:row>
      <xdr:rowOff>101600</xdr:rowOff>
    </xdr:to>
    <xdr:pic>
      <xdr:nvPicPr>
        <xdr:cNvPr id="5" name="Picture 1" descr="PULLEY-1">
          <a:extLst>
            <a:ext uri="{FF2B5EF4-FFF2-40B4-BE49-F238E27FC236}">
              <a16:creationId xmlns:a16="http://schemas.microsoft.com/office/drawing/2014/main" id="{50A5E18F-1F20-43C8-B0DA-D377A1C96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25100" y="1028700"/>
          <a:ext cx="3486150"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10</xdr:row>
      <xdr:rowOff>0</xdr:rowOff>
    </xdr:from>
    <xdr:to>
      <xdr:col>10</xdr:col>
      <xdr:colOff>19050</xdr:colOff>
      <xdr:row>19</xdr:row>
      <xdr:rowOff>47625</xdr:rowOff>
    </xdr:to>
    <xdr:sp macro="" textlink="">
      <xdr:nvSpPr>
        <xdr:cNvPr id="7" name="Text Box 13">
          <a:extLst>
            <a:ext uri="{FF2B5EF4-FFF2-40B4-BE49-F238E27FC236}">
              <a16:creationId xmlns:a16="http://schemas.microsoft.com/office/drawing/2014/main" id="{040D45F3-EB3A-4416-97A5-18FAD2703124}"/>
            </a:ext>
          </a:extLst>
        </xdr:cNvPr>
        <xdr:cNvSpPr txBox="1">
          <a:spLocks noChangeArrowheads="1"/>
        </xdr:cNvSpPr>
      </xdr:nvSpPr>
      <xdr:spPr bwMode="auto">
        <a:xfrm>
          <a:off x="6391275" y="1838325"/>
          <a:ext cx="2486025" cy="15049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100" b="1" i="0" u="none" strike="noStrike" baseline="0">
              <a:solidFill>
                <a:srgbClr val="000000"/>
              </a:solidFill>
              <a:latin typeface="Arial"/>
              <a:cs typeface="Arial"/>
            </a:rPr>
            <a:t>ROLLER CHAIN DRIVES</a:t>
          </a: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Roller Chains are used to transmit power from motors to machinery.</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Sprocket teeth engage chain rollers .</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A roller chain may be used in combination with a drive sprocket on a motor shaft and a sprocket on a driven shaft.</a:t>
          </a:r>
        </a:p>
      </xdr:txBody>
    </xdr:sp>
    <xdr:clientData/>
  </xdr:twoCellAnchor>
  <xdr:twoCellAnchor>
    <xdr:from>
      <xdr:col>8</xdr:col>
      <xdr:colOff>225425</xdr:colOff>
      <xdr:row>32</xdr:row>
      <xdr:rowOff>155576</xdr:rowOff>
    </xdr:from>
    <xdr:to>
      <xdr:col>15</xdr:col>
      <xdr:colOff>330200</xdr:colOff>
      <xdr:row>50</xdr:row>
      <xdr:rowOff>58731</xdr:rowOff>
    </xdr:to>
    <xdr:pic>
      <xdr:nvPicPr>
        <xdr:cNvPr id="8" name="Picture 7" descr="CHAIN-EXAMPLE-1A">
          <a:extLst>
            <a:ext uri="{FF2B5EF4-FFF2-40B4-BE49-F238E27FC236}">
              <a16:creationId xmlns:a16="http://schemas.microsoft.com/office/drawing/2014/main" id="{03CCC853-8EF2-45EC-84C1-F5AD3748F3B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43925" y="6480176"/>
          <a:ext cx="5165725" cy="3446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70</xdr:row>
      <xdr:rowOff>133350</xdr:rowOff>
    </xdr:from>
    <xdr:to>
      <xdr:col>14</xdr:col>
      <xdr:colOff>371475</xdr:colOff>
      <xdr:row>94</xdr:row>
      <xdr:rowOff>3175</xdr:rowOff>
    </xdr:to>
    <xdr:pic>
      <xdr:nvPicPr>
        <xdr:cNvPr id="9" name="Picture 8">
          <a:extLst>
            <a:ext uri="{FF2B5EF4-FFF2-40B4-BE49-F238E27FC236}">
              <a16:creationId xmlns:a16="http://schemas.microsoft.com/office/drawing/2014/main" id="{F0EBD220-652D-470C-B830-12709DC666C9}"/>
            </a:ext>
          </a:extLst>
        </xdr:cNvPr>
        <xdr:cNvPicPr/>
      </xdr:nvPicPr>
      <xdr:blipFill>
        <a:blip xmlns:r="http://schemas.openxmlformats.org/officeDocument/2006/relationships" r:embed="rId4"/>
        <a:stretch>
          <a:fillRect/>
        </a:stretch>
      </xdr:blipFill>
      <xdr:spPr>
        <a:xfrm>
          <a:off x="6400800" y="11668125"/>
          <a:ext cx="5943600" cy="4530725"/>
        </a:xfrm>
        <a:prstGeom prst="rect">
          <a:avLst/>
        </a:prstGeom>
      </xdr:spPr>
    </xdr:pic>
    <xdr:clientData/>
  </xdr:twoCellAnchor>
  <xdr:twoCellAnchor editAs="oneCell">
    <xdr:from>
      <xdr:col>6</xdr:col>
      <xdr:colOff>28575</xdr:colOff>
      <xdr:row>105</xdr:row>
      <xdr:rowOff>9525</xdr:rowOff>
    </xdr:from>
    <xdr:to>
      <xdr:col>14</xdr:col>
      <xdr:colOff>57785</xdr:colOff>
      <xdr:row>117</xdr:row>
      <xdr:rowOff>95250</xdr:rowOff>
    </xdr:to>
    <xdr:pic>
      <xdr:nvPicPr>
        <xdr:cNvPr id="11" name="Picture 10">
          <a:extLst>
            <a:ext uri="{FF2B5EF4-FFF2-40B4-BE49-F238E27FC236}">
              <a16:creationId xmlns:a16="http://schemas.microsoft.com/office/drawing/2014/main" id="{DB546E44-A7F9-46A4-9435-769D345CEC27}"/>
            </a:ext>
          </a:extLst>
        </xdr:cNvPr>
        <xdr:cNvPicPr/>
      </xdr:nvPicPr>
      <xdr:blipFill>
        <a:blip xmlns:r="http://schemas.openxmlformats.org/officeDocument/2006/relationships" r:embed="rId5"/>
        <a:stretch>
          <a:fillRect/>
        </a:stretch>
      </xdr:blipFill>
      <xdr:spPr>
        <a:xfrm>
          <a:off x="7639050" y="16983075"/>
          <a:ext cx="5610860" cy="25050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133351</xdr:colOff>
      <xdr:row>5</xdr:row>
      <xdr:rowOff>92075</xdr:rowOff>
    </xdr:from>
    <xdr:to>
      <xdr:col>7</xdr:col>
      <xdr:colOff>592089</xdr:colOff>
      <xdr:row>18</xdr:row>
      <xdr:rowOff>37041</xdr:rowOff>
    </xdr:to>
    <xdr:pic>
      <xdr:nvPicPr>
        <xdr:cNvPr id="9290" name="Picture 2" descr="3D-GEAR-SHAFT-BRG">
          <a:extLst>
            <a:ext uri="{FF2B5EF4-FFF2-40B4-BE49-F238E27FC236}">
              <a16:creationId xmlns:a16="http://schemas.microsoft.com/office/drawing/2014/main" id="{868ED9F9-833B-457C-ABCA-AFD0D356E8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518" y="1102783"/>
          <a:ext cx="3755446" cy="2490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80</xdr:row>
      <xdr:rowOff>85725</xdr:rowOff>
    </xdr:from>
    <xdr:to>
      <xdr:col>1</xdr:col>
      <xdr:colOff>638175</xdr:colOff>
      <xdr:row>90</xdr:row>
      <xdr:rowOff>99484</xdr:rowOff>
    </xdr:to>
    <xdr:pic>
      <xdr:nvPicPr>
        <xdr:cNvPr id="9291" name="Picture 3" descr="GEARS-TWO">
          <a:extLst>
            <a:ext uri="{FF2B5EF4-FFF2-40B4-BE49-F238E27FC236}">
              <a16:creationId xmlns:a16="http://schemas.microsoft.com/office/drawing/2014/main" id="{F13C7B05-4191-42A4-9A90-C3938D90C8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13382625"/>
          <a:ext cx="2847975"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782108</xdr:colOff>
      <xdr:row>82</xdr:row>
      <xdr:rowOff>5291</xdr:rowOff>
    </xdr:from>
    <xdr:to>
      <xdr:col>3</xdr:col>
      <xdr:colOff>579966</xdr:colOff>
      <xdr:row>89</xdr:row>
      <xdr:rowOff>120649</xdr:rowOff>
    </xdr:to>
    <xdr:pic>
      <xdr:nvPicPr>
        <xdr:cNvPr id="9292" name="Picture 4" descr="TOOTH-STRESS">
          <a:extLst>
            <a:ext uri="{FF2B5EF4-FFF2-40B4-BE49-F238E27FC236}">
              <a16:creationId xmlns:a16="http://schemas.microsoft.com/office/drawing/2014/main" id="{9953B018-06BB-4DCA-845A-78A24FAC387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48025" y="16181916"/>
          <a:ext cx="1745191"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685800</xdr:colOff>
      <xdr:row>142</xdr:row>
      <xdr:rowOff>76200</xdr:rowOff>
    </xdr:from>
    <xdr:to>
      <xdr:col>5</xdr:col>
      <xdr:colOff>8466</xdr:colOff>
      <xdr:row>149</xdr:row>
      <xdr:rowOff>23283</xdr:rowOff>
    </xdr:to>
    <xdr:pic>
      <xdr:nvPicPr>
        <xdr:cNvPr id="9293" name="Picture 5" descr="GEAR-C-FACTOR">
          <a:extLst>
            <a:ext uri="{FF2B5EF4-FFF2-40B4-BE49-F238E27FC236}">
              <a16:creationId xmlns:a16="http://schemas.microsoft.com/office/drawing/2014/main" id="{0F9BDBCB-9166-4843-9692-70128ABE025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85800" y="22917150"/>
          <a:ext cx="490537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1943100</xdr:colOff>
      <xdr:row>50</xdr:row>
      <xdr:rowOff>93133</xdr:rowOff>
    </xdr:from>
    <xdr:to>
      <xdr:col>4</xdr:col>
      <xdr:colOff>27517</xdr:colOff>
      <xdr:row>63</xdr:row>
      <xdr:rowOff>178858</xdr:rowOff>
    </xdr:to>
    <xdr:pic>
      <xdr:nvPicPr>
        <xdr:cNvPr id="9294" name="Picture 8" descr="GEARS-1">
          <a:extLst>
            <a:ext uri="{FF2B5EF4-FFF2-40B4-BE49-F238E27FC236}">
              <a16:creationId xmlns:a16="http://schemas.microsoft.com/office/drawing/2014/main" id="{112A60BE-8C55-4EDE-BB5E-1FA731117DF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43100" y="9993841"/>
          <a:ext cx="3259667" cy="2631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1434571</xdr:colOff>
      <xdr:row>196</xdr:row>
      <xdr:rowOff>173566</xdr:rowOff>
    </xdr:from>
    <xdr:to>
      <xdr:col>3</xdr:col>
      <xdr:colOff>652463</xdr:colOff>
      <xdr:row>214</xdr:row>
      <xdr:rowOff>13758</xdr:rowOff>
    </xdr:to>
    <xdr:pic>
      <xdr:nvPicPr>
        <xdr:cNvPr id="9295" name="Picture 30" descr="Worm_Gear_Speed_Reducer">
          <a:extLst>
            <a:ext uri="{FF2B5EF4-FFF2-40B4-BE49-F238E27FC236}">
              <a16:creationId xmlns:a16="http://schemas.microsoft.com/office/drawing/2014/main" id="{CC04C788-F584-485F-A5FF-BD011F50B61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434571" y="38755108"/>
          <a:ext cx="3631142" cy="3364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952500</xdr:colOff>
      <xdr:row>188</xdr:row>
      <xdr:rowOff>123825</xdr:rowOff>
    </xdr:from>
    <xdr:to>
      <xdr:col>4</xdr:col>
      <xdr:colOff>151342</xdr:colOff>
      <xdr:row>195</xdr:row>
      <xdr:rowOff>57150</xdr:rowOff>
    </xdr:to>
    <xdr:pic>
      <xdr:nvPicPr>
        <xdr:cNvPr id="9296" name="Picture 31" descr="WORM-WHEEL-LEAD-ANGLE">
          <a:extLst>
            <a:ext uri="{FF2B5EF4-FFF2-40B4-BE49-F238E27FC236}">
              <a16:creationId xmlns:a16="http://schemas.microsoft.com/office/drawing/2014/main" id="{C13E8677-265B-4811-AEA7-FA424C6A79A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52500" y="31518225"/>
          <a:ext cx="4171950"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288926</xdr:colOff>
      <xdr:row>214</xdr:row>
      <xdr:rowOff>111602</xdr:rowOff>
    </xdr:from>
    <xdr:to>
      <xdr:col>8</xdr:col>
      <xdr:colOff>21804</xdr:colOff>
      <xdr:row>226</xdr:row>
      <xdr:rowOff>44960</xdr:rowOff>
    </xdr:to>
    <xdr:pic>
      <xdr:nvPicPr>
        <xdr:cNvPr id="2" name="Picture 1">
          <a:extLst>
            <a:ext uri="{FF2B5EF4-FFF2-40B4-BE49-F238E27FC236}">
              <a16:creationId xmlns:a16="http://schemas.microsoft.com/office/drawing/2014/main" id="{9428E993-A2A4-4682-A6EF-71D9C7F60DD0}"/>
            </a:ext>
          </a:extLst>
        </xdr:cNvPr>
        <xdr:cNvPicPr>
          <a:picLocks noChangeAspect="1"/>
        </xdr:cNvPicPr>
      </xdr:nvPicPr>
      <xdr:blipFill>
        <a:blip xmlns:r="http://schemas.openxmlformats.org/officeDocument/2006/relationships" r:embed="rId8"/>
        <a:stretch>
          <a:fillRect/>
        </a:stretch>
      </xdr:blipFill>
      <xdr:spPr>
        <a:xfrm>
          <a:off x="4495801" y="35623977"/>
          <a:ext cx="2942275" cy="226698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76200</xdr:colOff>
      <xdr:row>58</xdr:row>
      <xdr:rowOff>38100</xdr:rowOff>
    </xdr:from>
    <xdr:to>
      <xdr:col>10</xdr:col>
      <xdr:colOff>485775</xdr:colOff>
      <xdr:row>64</xdr:row>
      <xdr:rowOff>19050</xdr:rowOff>
    </xdr:to>
    <xdr:sp macro="" textlink="">
      <xdr:nvSpPr>
        <xdr:cNvPr id="14393" name="Rectangle 1">
          <a:extLst>
            <a:ext uri="{FF2B5EF4-FFF2-40B4-BE49-F238E27FC236}">
              <a16:creationId xmlns:a16="http://schemas.microsoft.com/office/drawing/2014/main" id="{63B227D9-DB76-4203-BD05-04F2C94C7BC6}"/>
            </a:ext>
          </a:extLst>
        </xdr:cNvPr>
        <xdr:cNvSpPr>
          <a:spLocks noChangeArrowheads="1"/>
        </xdr:cNvSpPr>
      </xdr:nvSpPr>
      <xdr:spPr bwMode="auto">
        <a:xfrm>
          <a:off x="4352925" y="1895475"/>
          <a:ext cx="409575" cy="971550"/>
        </a:xfrm>
        <a:prstGeom prst="rect">
          <a:avLst/>
        </a:prstGeom>
        <a:solidFill>
          <a:srgbClr val="FFFFFF"/>
        </a:solidFill>
        <a:ln w="9525">
          <a:solidFill>
            <a:srgbClr val="000000"/>
          </a:solidFill>
          <a:miter lim="800000"/>
          <a:headEnd/>
          <a:tailEnd/>
        </a:ln>
      </xdr:spPr>
    </xdr:sp>
    <xdr:clientData/>
  </xdr:twoCellAnchor>
  <xdr:twoCellAnchor>
    <xdr:from>
      <xdr:col>10</xdr:col>
      <xdr:colOff>133350</xdr:colOff>
      <xdr:row>58</xdr:row>
      <xdr:rowOff>85725</xdr:rowOff>
    </xdr:from>
    <xdr:to>
      <xdr:col>10</xdr:col>
      <xdr:colOff>428625</xdr:colOff>
      <xdr:row>63</xdr:row>
      <xdr:rowOff>123825</xdr:rowOff>
    </xdr:to>
    <xdr:sp macro="" textlink="">
      <xdr:nvSpPr>
        <xdr:cNvPr id="14394" name="Rectangle 3">
          <a:extLst>
            <a:ext uri="{FF2B5EF4-FFF2-40B4-BE49-F238E27FC236}">
              <a16:creationId xmlns:a16="http://schemas.microsoft.com/office/drawing/2014/main" id="{924F288B-32EA-41C4-853F-CBAB54605535}"/>
            </a:ext>
          </a:extLst>
        </xdr:cNvPr>
        <xdr:cNvSpPr>
          <a:spLocks noChangeArrowheads="1"/>
        </xdr:cNvSpPr>
      </xdr:nvSpPr>
      <xdr:spPr bwMode="auto">
        <a:xfrm>
          <a:off x="4410075" y="1943100"/>
          <a:ext cx="295275" cy="857250"/>
        </a:xfrm>
        <a:prstGeom prst="rect">
          <a:avLst/>
        </a:prstGeom>
        <a:solidFill>
          <a:srgbClr val="FFFFFF"/>
        </a:solidFill>
        <a:ln w="9525">
          <a:solidFill>
            <a:srgbClr val="000000"/>
          </a:solidFill>
          <a:miter lim="800000"/>
          <a:headEnd/>
          <a:tailEnd/>
        </a:ln>
      </xdr:spPr>
    </xdr:sp>
    <xdr:clientData/>
  </xdr:twoCellAnchor>
  <xdr:twoCellAnchor>
    <xdr:from>
      <xdr:col>10</xdr:col>
      <xdr:colOff>142875</xdr:colOff>
      <xdr:row>60</xdr:row>
      <xdr:rowOff>152400</xdr:rowOff>
    </xdr:from>
    <xdr:to>
      <xdr:col>10</xdr:col>
      <xdr:colOff>419100</xdr:colOff>
      <xdr:row>62</xdr:row>
      <xdr:rowOff>9525</xdr:rowOff>
    </xdr:to>
    <xdr:sp macro="" textlink="">
      <xdr:nvSpPr>
        <xdr:cNvPr id="14395" name="Rectangle 4">
          <a:extLst>
            <a:ext uri="{FF2B5EF4-FFF2-40B4-BE49-F238E27FC236}">
              <a16:creationId xmlns:a16="http://schemas.microsoft.com/office/drawing/2014/main" id="{4F33D1EF-D55C-42B0-B49B-21E5F5649808}"/>
            </a:ext>
          </a:extLst>
        </xdr:cNvPr>
        <xdr:cNvSpPr>
          <a:spLocks noChangeArrowheads="1"/>
        </xdr:cNvSpPr>
      </xdr:nvSpPr>
      <xdr:spPr bwMode="auto">
        <a:xfrm>
          <a:off x="4419600" y="2333625"/>
          <a:ext cx="276225" cy="190500"/>
        </a:xfrm>
        <a:prstGeom prst="rect">
          <a:avLst/>
        </a:prstGeom>
        <a:solidFill>
          <a:srgbClr val="FFFF00"/>
        </a:solidFill>
        <a:ln w="9525">
          <a:solidFill>
            <a:srgbClr val="000000"/>
          </a:solidFill>
          <a:miter lim="800000"/>
          <a:headEnd/>
          <a:tailEnd/>
        </a:ln>
      </xdr:spPr>
    </xdr:sp>
    <xdr:clientData/>
  </xdr:twoCellAnchor>
  <xdr:twoCellAnchor>
    <xdr:from>
      <xdr:col>10</xdr:col>
      <xdr:colOff>238125</xdr:colOff>
      <xdr:row>55</xdr:row>
      <xdr:rowOff>47625</xdr:rowOff>
    </xdr:from>
    <xdr:to>
      <xdr:col>10</xdr:col>
      <xdr:colOff>314325</xdr:colOff>
      <xdr:row>60</xdr:row>
      <xdr:rowOff>152400</xdr:rowOff>
    </xdr:to>
    <xdr:sp macro="" textlink="">
      <xdr:nvSpPr>
        <xdr:cNvPr id="14396" name="Rectangle 5">
          <a:extLst>
            <a:ext uri="{FF2B5EF4-FFF2-40B4-BE49-F238E27FC236}">
              <a16:creationId xmlns:a16="http://schemas.microsoft.com/office/drawing/2014/main" id="{FE8055CB-4C6C-470D-AA21-624C0B7F3929}"/>
            </a:ext>
          </a:extLst>
        </xdr:cNvPr>
        <xdr:cNvSpPr>
          <a:spLocks noChangeArrowheads="1"/>
        </xdr:cNvSpPr>
      </xdr:nvSpPr>
      <xdr:spPr bwMode="auto">
        <a:xfrm>
          <a:off x="6057900" y="1905000"/>
          <a:ext cx="76200" cy="1247775"/>
        </a:xfrm>
        <a:prstGeom prst="rect">
          <a:avLst/>
        </a:prstGeom>
        <a:solidFill>
          <a:srgbClr val="FFFFFF"/>
        </a:solidFill>
        <a:ln w="9525">
          <a:solidFill>
            <a:srgbClr val="000000"/>
          </a:solidFill>
          <a:miter lim="800000"/>
          <a:headEnd/>
          <a:tailEnd/>
        </a:ln>
      </xdr:spPr>
    </xdr:sp>
    <xdr:clientData/>
  </xdr:twoCellAnchor>
  <xdr:twoCellAnchor>
    <xdr:from>
      <xdr:col>10</xdr:col>
      <xdr:colOff>314325</xdr:colOff>
      <xdr:row>63</xdr:row>
      <xdr:rowOff>57150</xdr:rowOff>
    </xdr:from>
    <xdr:to>
      <xdr:col>11</xdr:col>
      <xdr:colOff>76200</xdr:colOff>
      <xdr:row>63</xdr:row>
      <xdr:rowOff>57150</xdr:rowOff>
    </xdr:to>
    <xdr:sp macro="" textlink="">
      <xdr:nvSpPr>
        <xdr:cNvPr id="14397" name="Line 6">
          <a:extLst>
            <a:ext uri="{FF2B5EF4-FFF2-40B4-BE49-F238E27FC236}">
              <a16:creationId xmlns:a16="http://schemas.microsoft.com/office/drawing/2014/main" id="{C18671D3-B270-4D75-AB90-B4BB4F14307E}"/>
            </a:ext>
          </a:extLst>
        </xdr:cNvPr>
        <xdr:cNvSpPr>
          <a:spLocks noChangeShapeType="1"/>
        </xdr:cNvSpPr>
      </xdr:nvSpPr>
      <xdr:spPr bwMode="auto">
        <a:xfrm flipH="1">
          <a:off x="4591050" y="2733675"/>
          <a:ext cx="3714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390525</xdr:colOff>
      <xdr:row>58</xdr:row>
      <xdr:rowOff>142875</xdr:rowOff>
    </xdr:from>
    <xdr:to>
      <xdr:col>11</xdr:col>
      <xdr:colOff>133350</xdr:colOff>
      <xdr:row>58</xdr:row>
      <xdr:rowOff>142875</xdr:rowOff>
    </xdr:to>
    <xdr:sp macro="" textlink="">
      <xdr:nvSpPr>
        <xdr:cNvPr id="14398" name="Line 7">
          <a:extLst>
            <a:ext uri="{FF2B5EF4-FFF2-40B4-BE49-F238E27FC236}">
              <a16:creationId xmlns:a16="http://schemas.microsoft.com/office/drawing/2014/main" id="{8206F7D8-170E-4873-B5FA-3E9B13EF5E27}"/>
            </a:ext>
          </a:extLst>
        </xdr:cNvPr>
        <xdr:cNvSpPr>
          <a:spLocks noChangeShapeType="1"/>
        </xdr:cNvSpPr>
      </xdr:nvSpPr>
      <xdr:spPr bwMode="auto">
        <a:xfrm>
          <a:off x="4667250" y="2000250"/>
          <a:ext cx="3524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53</xdr:row>
      <xdr:rowOff>142875</xdr:rowOff>
    </xdr:from>
    <xdr:to>
      <xdr:col>10</xdr:col>
      <xdr:colOff>561975</xdr:colOff>
      <xdr:row>55</xdr:row>
      <xdr:rowOff>47625</xdr:rowOff>
    </xdr:to>
    <xdr:sp macro="" textlink="">
      <xdr:nvSpPr>
        <xdr:cNvPr id="14343" name="Text Box 8">
          <a:extLst>
            <a:ext uri="{FF2B5EF4-FFF2-40B4-BE49-F238E27FC236}">
              <a16:creationId xmlns:a16="http://schemas.microsoft.com/office/drawing/2014/main" id="{89CE37D2-B956-4817-9C8A-FECAC4A6B88E}"/>
            </a:ext>
          </a:extLst>
        </xdr:cNvPr>
        <xdr:cNvSpPr txBox="1">
          <a:spLocks noChangeArrowheads="1"/>
        </xdr:cNvSpPr>
      </xdr:nvSpPr>
      <xdr:spPr bwMode="auto">
        <a:xfrm>
          <a:off x="4276725" y="1162050"/>
          <a:ext cx="561975" cy="247650"/>
        </a:xfrm>
        <a:prstGeom prst="rect">
          <a:avLst/>
        </a:prstGeom>
        <a:solidFill>
          <a:srgbClr val="CCFFCC"/>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W</a:t>
          </a:r>
        </a:p>
      </xdr:txBody>
    </xdr:sp>
    <xdr:clientData/>
  </xdr:twoCellAnchor>
  <xdr:twoCellAnchor>
    <xdr:from>
      <xdr:col>11</xdr:col>
      <xdr:colOff>104775</xdr:colOff>
      <xdr:row>62</xdr:row>
      <xdr:rowOff>142875</xdr:rowOff>
    </xdr:from>
    <xdr:to>
      <xdr:col>11</xdr:col>
      <xdr:colOff>428625</xdr:colOff>
      <xdr:row>64</xdr:row>
      <xdr:rowOff>38100</xdr:rowOff>
    </xdr:to>
    <xdr:sp macro="" textlink="">
      <xdr:nvSpPr>
        <xdr:cNvPr id="14344" name="Text Box 9">
          <a:extLst>
            <a:ext uri="{FF2B5EF4-FFF2-40B4-BE49-F238E27FC236}">
              <a16:creationId xmlns:a16="http://schemas.microsoft.com/office/drawing/2014/main" id="{E4BD9580-C9D4-4CBA-BE5C-E4AD48CC4065}"/>
            </a:ext>
          </a:extLst>
        </xdr:cNvPr>
        <xdr:cNvSpPr txBox="1">
          <a:spLocks noChangeArrowheads="1"/>
        </xdr:cNvSpPr>
      </xdr:nvSpPr>
      <xdr:spPr bwMode="auto">
        <a:xfrm>
          <a:off x="4991100" y="2657475"/>
          <a:ext cx="323850" cy="2286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P</a:t>
          </a:r>
        </a:p>
      </xdr:txBody>
    </xdr:sp>
    <xdr:clientData/>
  </xdr:twoCellAnchor>
  <xdr:twoCellAnchor editAs="oneCell">
    <xdr:from>
      <xdr:col>3</xdr:col>
      <xdr:colOff>460375</xdr:colOff>
      <xdr:row>1</xdr:row>
      <xdr:rowOff>158750</xdr:rowOff>
    </xdr:from>
    <xdr:to>
      <xdr:col>8</xdr:col>
      <xdr:colOff>539750</xdr:colOff>
      <xdr:row>16</xdr:row>
      <xdr:rowOff>85725</xdr:rowOff>
    </xdr:to>
    <xdr:pic>
      <xdr:nvPicPr>
        <xdr:cNvPr id="12" name="Picture 11" descr="HYD CIRCUIT-1.jpg">
          <a:extLst>
            <a:ext uri="{FF2B5EF4-FFF2-40B4-BE49-F238E27FC236}">
              <a16:creationId xmlns:a16="http://schemas.microsoft.com/office/drawing/2014/main" id="{E34CFEF6-0DEB-452F-B78C-965488936C45}"/>
            </a:ext>
          </a:extLst>
        </xdr:cNvPr>
        <xdr:cNvPicPr>
          <a:picLocks noChangeAspect="1"/>
        </xdr:cNvPicPr>
      </xdr:nvPicPr>
      <xdr:blipFill>
        <a:blip xmlns:r="http://schemas.openxmlformats.org/officeDocument/2006/relationships" r:embed="rId1" cstate="print"/>
        <a:stretch>
          <a:fillRect/>
        </a:stretch>
      </xdr:blipFill>
      <xdr:spPr>
        <a:xfrm>
          <a:off x="2206625" y="387350"/>
          <a:ext cx="3762375" cy="2879725"/>
        </a:xfrm>
        <a:prstGeom prst="rect">
          <a:avLst/>
        </a:prstGeom>
      </xdr:spPr>
    </xdr:pic>
    <xdr:clientData/>
  </xdr:twoCellAnchor>
  <xdr:twoCellAnchor editAs="oneCell">
    <xdr:from>
      <xdr:col>5</xdr:col>
      <xdr:colOff>390525</xdr:colOff>
      <xdr:row>18</xdr:row>
      <xdr:rowOff>66675</xdr:rowOff>
    </xdr:from>
    <xdr:to>
      <xdr:col>8</xdr:col>
      <xdr:colOff>400050</xdr:colOff>
      <xdr:row>25</xdr:row>
      <xdr:rowOff>0</xdr:rowOff>
    </xdr:to>
    <xdr:pic>
      <xdr:nvPicPr>
        <xdr:cNvPr id="7" name="Picture 6">
          <a:extLst>
            <a:ext uri="{FF2B5EF4-FFF2-40B4-BE49-F238E27FC236}">
              <a16:creationId xmlns:a16="http://schemas.microsoft.com/office/drawing/2014/main" id="{2A4AE110-2FEA-410F-A337-A4896891A4C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62350" y="4181475"/>
          <a:ext cx="2009775" cy="1390650"/>
        </a:xfrm>
        <a:prstGeom prst="rect">
          <a:avLst/>
        </a:prstGeom>
      </xdr:spPr>
    </xdr:pic>
    <xdr:clientData/>
  </xdr:twoCellAnchor>
  <xdr:twoCellAnchor editAs="oneCell">
    <xdr:from>
      <xdr:col>4</xdr:col>
      <xdr:colOff>523875</xdr:colOff>
      <xdr:row>25</xdr:row>
      <xdr:rowOff>146050</xdr:rowOff>
    </xdr:from>
    <xdr:to>
      <xdr:col>8</xdr:col>
      <xdr:colOff>381000</xdr:colOff>
      <xdr:row>32</xdr:row>
      <xdr:rowOff>168275</xdr:rowOff>
    </xdr:to>
    <xdr:pic>
      <xdr:nvPicPr>
        <xdr:cNvPr id="9" name="Picture 8">
          <a:extLst>
            <a:ext uri="{FF2B5EF4-FFF2-40B4-BE49-F238E27FC236}">
              <a16:creationId xmlns:a16="http://schemas.microsoft.com/office/drawing/2014/main" id="{2B69132B-E149-4306-9CA3-542B428D708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365625" y="5099050"/>
          <a:ext cx="2600325" cy="1400175"/>
        </a:xfrm>
        <a:prstGeom prst="rect">
          <a:avLst/>
        </a:prstGeom>
      </xdr:spPr>
    </xdr:pic>
    <xdr:clientData/>
  </xdr:twoCellAnchor>
  <xdr:twoCellAnchor>
    <xdr:from>
      <xdr:col>12</xdr:col>
      <xdr:colOff>38101</xdr:colOff>
      <xdr:row>51</xdr:row>
      <xdr:rowOff>120650</xdr:rowOff>
    </xdr:from>
    <xdr:to>
      <xdr:col>19</xdr:col>
      <xdr:colOff>504825</xdr:colOff>
      <xdr:row>66</xdr:row>
      <xdr:rowOff>190501</xdr:rowOff>
    </xdr:to>
    <xdr:sp macro="" textlink="">
      <xdr:nvSpPr>
        <xdr:cNvPr id="16" name="TextBox 15">
          <a:extLst>
            <a:ext uri="{FF2B5EF4-FFF2-40B4-BE49-F238E27FC236}">
              <a16:creationId xmlns:a16="http://schemas.microsoft.com/office/drawing/2014/main" id="{CCAAC3E2-9153-4A53-9F4C-9F0A2C1894C4}"/>
            </a:ext>
          </a:extLst>
        </xdr:cNvPr>
        <xdr:cNvSpPr txBox="1"/>
      </xdr:nvSpPr>
      <xdr:spPr>
        <a:xfrm>
          <a:off x="8032751" y="10318750"/>
          <a:ext cx="4956174" cy="3041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latin typeface="Arial" panose="020B0604020202020204" pitchFamily="34" charset="0"/>
              <a:cs typeface="Arial" panose="020B0604020202020204" pitchFamily="34" charset="0"/>
            </a:rPr>
            <a:t>A pump supplies oil at 20 gpm to a 2 inch diameter </a:t>
          </a:r>
        </a:p>
        <a:p>
          <a:pPr algn="ctr"/>
          <a:r>
            <a:rPr lang="en-US" sz="1200" b="1">
              <a:latin typeface="Arial" panose="020B0604020202020204" pitchFamily="34" charset="0"/>
              <a:cs typeface="Arial" panose="020B0604020202020204" pitchFamily="34" charset="0"/>
            </a:rPr>
            <a:t>double acting cyclinder. </a:t>
          </a:r>
        </a:p>
        <a:p>
          <a:endParaRPr lang="en-US" sz="1200">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If the load is 1000 lbs, extending and retracting and thr rod diameter</a:t>
          </a:r>
          <a:r>
            <a:rPr lang="en-US" sz="1200" b="1" baseline="0">
              <a:latin typeface="Arial" panose="020B0604020202020204" pitchFamily="34" charset="0"/>
              <a:cs typeface="Arial" panose="020B0604020202020204" pitchFamily="34" charset="0"/>
            </a:rPr>
            <a:t> is 1.00 inch find: </a:t>
          </a:r>
        </a:p>
        <a:p>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a. Hydraulic pressure during the extend stroke.               				               </a:t>
          </a:r>
        </a:p>
        <a:p>
          <a:r>
            <a:rPr lang="en-US" sz="1200" b="1" baseline="0">
              <a:latin typeface="Arial" panose="020B0604020202020204" pitchFamily="34" charset="0"/>
              <a:cs typeface="Arial" panose="020B0604020202020204" pitchFamily="34" charset="0"/>
            </a:rPr>
            <a:t>b. Piston velocity during extend stroke.                            			                                       </a:t>
          </a:r>
        </a:p>
        <a:p>
          <a:r>
            <a:rPr lang="en-US" sz="1200" b="1" baseline="0">
              <a:latin typeface="Arial" panose="020B0604020202020204" pitchFamily="34" charset="0"/>
              <a:cs typeface="Arial" panose="020B0604020202020204" pitchFamily="34" charset="0"/>
            </a:rPr>
            <a:t>c. Cylinder horse power during extend stoke.                   				               </a:t>
          </a:r>
        </a:p>
        <a:p>
          <a:r>
            <a:rPr lang="en-US" sz="1200" b="1" baseline="0">
              <a:latin typeface="Arial" panose="020B0604020202020204" pitchFamily="34" charset="0"/>
              <a:cs typeface="Arial" panose="020B0604020202020204" pitchFamily="34" charset="0"/>
            </a:rPr>
            <a:t> d. Hydraulic pressure during the retracting stroke.              			                                 </a:t>
          </a:r>
        </a:p>
        <a:p>
          <a:r>
            <a:rPr lang="en-US" sz="1200" b="1" baseline="0">
              <a:latin typeface="Arial" panose="020B0604020202020204" pitchFamily="34" charset="0"/>
              <a:cs typeface="Arial" panose="020B0604020202020204" pitchFamily="34" charset="0"/>
            </a:rPr>
            <a:t> e</a:t>
          </a:r>
          <a:r>
            <a:rPr lang="en-US" sz="1200" b="1" baseline="0">
              <a:solidFill>
                <a:schemeClr val="dk1"/>
              </a:solidFill>
              <a:effectLst/>
              <a:latin typeface="Arial" panose="020B0604020202020204" pitchFamily="34" charset="0"/>
              <a:ea typeface="+mn-ea"/>
              <a:cs typeface="Arial" panose="020B0604020202020204" pitchFamily="34" charset="0"/>
            </a:rPr>
            <a:t>. Cylinder horse power during extend stoke. </a:t>
          </a:r>
          <a:r>
            <a:rPr lang="en-US" sz="1200" b="1" baseline="0">
              <a:latin typeface="Arial" panose="020B0604020202020204" pitchFamily="34" charset="0"/>
              <a:cs typeface="Arial" panose="020B0604020202020204" pitchFamily="34" charset="0"/>
            </a:rPr>
            <a:t>   </a:t>
          </a:r>
          <a:endParaRPr lang="en-US" sz="1200" b="1">
            <a:latin typeface="Arial" panose="020B0604020202020204" pitchFamily="34" charset="0"/>
            <a:cs typeface="Arial" panose="020B0604020202020204" pitchFamily="34" charset="0"/>
          </a:endParaRPr>
        </a:p>
      </xdr:txBody>
    </xdr:sp>
    <xdr:clientData/>
  </xdr:twoCellAnchor>
  <xdr:twoCellAnchor>
    <xdr:from>
      <xdr:col>10</xdr:col>
      <xdr:colOff>76200</xdr:colOff>
      <xdr:row>91</xdr:row>
      <xdr:rowOff>38100</xdr:rowOff>
    </xdr:from>
    <xdr:to>
      <xdr:col>10</xdr:col>
      <xdr:colOff>485775</xdr:colOff>
      <xdr:row>97</xdr:row>
      <xdr:rowOff>19050</xdr:rowOff>
    </xdr:to>
    <xdr:sp macro="" textlink="">
      <xdr:nvSpPr>
        <xdr:cNvPr id="20" name="Rectangle 1">
          <a:extLst>
            <a:ext uri="{FF2B5EF4-FFF2-40B4-BE49-F238E27FC236}">
              <a16:creationId xmlns:a16="http://schemas.microsoft.com/office/drawing/2014/main" id="{958D50F1-F024-470B-B946-A29CA839E12C}"/>
            </a:ext>
          </a:extLst>
        </xdr:cNvPr>
        <xdr:cNvSpPr>
          <a:spLocks noChangeArrowheads="1"/>
        </xdr:cNvSpPr>
      </xdr:nvSpPr>
      <xdr:spPr bwMode="auto">
        <a:xfrm>
          <a:off x="7572375" y="13677900"/>
          <a:ext cx="409575" cy="1371600"/>
        </a:xfrm>
        <a:prstGeom prst="rect">
          <a:avLst/>
        </a:prstGeom>
        <a:solidFill>
          <a:srgbClr val="FFFFFF"/>
        </a:solidFill>
        <a:ln w="9525">
          <a:solidFill>
            <a:srgbClr val="000000"/>
          </a:solidFill>
          <a:miter lim="800000"/>
          <a:headEnd/>
          <a:tailEnd/>
        </a:ln>
      </xdr:spPr>
    </xdr:sp>
    <xdr:clientData/>
  </xdr:twoCellAnchor>
  <xdr:twoCellAnchor>
    <xdr:from>
      <xdr:col>10</xdr:col>
      <xdr:colOff>133350</xdr:colOff>
      <xdr:row>91</xdr:row>
      <xdr:rowOff>85725</xdr:rowOff>
    </xdr:from>
    <xdr:to>
      <xdr:col>10</xdr:col>
      <xdr:colOff>428625</xdr:colOff>
      <xdr:row>96</xdr:row>
      <xdr:rowOff>123825</xdr:rowOff>
    </xdr:to>
    <xdr:sp macro="" textlink="">
      <xdr:nvSpPr>
        <xdr:cNvPr id="21" name="Rectangle 3">
          <a:extLst>
            <a:ext uri="{FF2B5EF4-FFF2-40B4-BE49-F238E27FC236}">
              <a16:creationId xmlns:a16="http://schemas.microsoft.com/office/drawing/2014/main" id="{269BBD04-5971-40E2-A81B-B43354D12E50}"/>
            </a:ext>
          </a:extLst>
        </xdr:cNvPr>
        <xdr:cNvSpPr>
          <a:spLocks noChangeArrowheads="1"/>
        </xdr:cNvSpPr>
      </xdr:nvSpPr>
      <xdr:spPr bwMode="auto">
        <a:xfrm>
          <a:off x="7629525" y="13725525"/>
          <a:ext cx="295275" cy="1200150"/>
        </a:xfrm>
        <a:prstGeom prst="rect">
          <a:avLst/>
        </a:prstGeom>
        <a:solidFill>
          <a:srgbClr val="FFFFFF"/>
        </a:solidFill>
        <a:ln w="9525">
          <a:solidFill>
            <a:srgbClr val="000000"/>
          </a:solidFill>
          <a:miter lim="800000"/>
          <a:headEnd/>
          <a:tailEnd/>
        </a:ln>
      </xdr:spPr>
    </xdr:sp>
    <xdr:clientData/>
  </xdr:twoCellAnchor>
  <xdr:twoCellAnchor>
    <xdr:from>
      <xdr:col>10</xdr:col>
      <xdr:colOff>142875</xdr:colOff>
      <xdr:row>93</xdr:row>
      <xdr:rowOff>152400</xdr:rowOff>
    </xdr:from>
    <xdr:to>
      <xdr:col>10</xdr:col>
      <xdr:colOff>419100</xdr:colOff>
      <xdr:row>95</xdr:row>
      <xdr:rowOff>9525</xdr:rowOff>
    </xdr:to>
    <xdr:sp macro="" textlink="">
      <xdr:nvSpPr>
        <xdr:cNvPr id="22" name="Rectangle 4">
          <a:extLst>
            <a:ext uri="{FF2B5EF4-FFF2-40B4-BE49-F238E27FC236}">
              <a16:creationId xmlns:a16="http://schemas.microsoft.com/office/drawing/2014/main" id="{97DD3746-B869-43C2-AD9D-08FB4B9F50A6}"/>
            </a:ext>
          </a:extLst>
        </xdr:cNvPr>
        <xdr:cNvSpPr>
          <a:spLocks noChangeArrowheads="1"/>
        </xdr:cNvSpPr>
      </xdr:nvSpPr>
      <xdr:spPr bwMode="auto">
        <a:xfrm>
          <a:off x="7639050" y="14249400"/>
          <a:ext cx="276225" cy="333375"/>
        </a:xfrm>
        <a:prstGeom prst="rect">
          <a:avLst/>
        </a:prstGeom>
        <a:solidFill>
          <a:srgbClr val="FFFF00"/>
        </a:solidFill>
        <a:ln w="9525">
          <a:solidFill>
            <a:srgbClr val="000000"/>
          </a:solidFill>
          <a:miter lim="800000"/>
          <a:headEnd/>
          <a:tailEnd/>
        </a:ln>
      </xdr:spPr>
    </xdr:sp>
    <xdr:clientData/>
  </xdr:twoCellAnchor>
  <xdr:twoCellAnchor>
    <xdr:from>
      <xdr:col>10</xdr:col>
      <xdr:colOff>238125</xdr:colOff>
      <xdr:row>88</xdr:row>
      <xdr:rowOff>47625</xdr:rowOff>
    </xdr:from>
    <xdr:to>
      <xdr:col>10</xdr:col>
      <xdr:colOff>314325</xdr:colOff>
      <xdr:row>93</xdr:row>
      <xdr:rowOff>152400</xdr:rowOff>
    </xdr:to>
    <xdr:sp macro="" textlink="">
      <xdr:nvSpPr>
        <xdr:cNvPr id="23" name="Rectangle 5">
          <a:extLst>
            <a:ext uri="{FF2B5EF4-FFF2-40B4-BE49-F238E27FC236}">
              <a16:creationId xmlns:a16="http://schemas.microsoft.com/office/drawing/2014/main" id="{6929DA92-B807-40B6-BDE3-D406872B6BD8}"/>
            </a:ext>
          </a:extLst>
        </xdr:cNvPr>
        <xdr:cNvSpPr>
          <a:spLocks noChangeArrowheads="1"/>
        </xdr:cNvSpPr>
      </xdr:nvSpPr>
      <xdr:spPr bwMode="auto">
        <a:xfrm>
          <a:off x="7734300" y="13001625"/>
          <a:ext cx="76200" cy="1247775"/>
        </a:xfrm>
        <a:prstGeom prst="rect">
          <a:avLst/>
        </a:prstGeom>
        <a:solidFill>
          <a:srgbClr val="FFFFFF"/>
        </a:solidFill>
        <a:ln w="9525">
          <a:solidFill>
            <a:srgbClr val="000000"/>
          </a:solidFill>
          <a:miter lim="800000"/>
          <a:headEnd/>
          <a:tailEnd/>
        </a:ln>
      </xdr:spPr>
    </xdr:sp>
    <xdr:clientData/>
  </xdr:twoCellAnchor>
  <xdr:twoCellAnchor>
    <xdr:from>
      <xdr:col>10</xdr:col>
      <xdr:colOff>314325</xdr:colOff>
      <xdr:row>96</xdr:row>
      <xdr:rowOff>57150</xdr:rowOff>
    </xdr:from>
    <xdr:to>
      <xdr:col>11</xdr:col>
      <xdr:colOff>76200</xdr:colOff>
      <xdr:row>96</xdr:row>
      <xdr:rowOff>57150</xdr:rowOff>
    </xdr:to>
    <xdr:sp macro="" textlink="">
      <xdr:nvSpPr>
        <xdr:cNvPr id="24" name="Line 6">
          <a:extLst>
            <a:ext uri="{FF2B5EF4-FFF2-40B4-BE49-F238E27FC236}">
              <a16:creationId xmlns:a16="http://schemas.microsoft.com/office/drawing/2014/main" id="{A727C29E-5D2E-423B-AC53-770E5A201EBC}"/>
            </a:ext>
          </a:extLst>
        </xdr:cNvPr>
        <xdr:cNvSpPr>
          <a:spLocks noChangeShapeType="1"/>
        </xdr:cNvSpPr>
      </xdr:nvSpPr>
      <xdr:spPr bwMode="auto">
        <a:xfrm flipH="1">
          <a:off x="7810500" y="14859000"/>
          <a:ext cx="3714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390525</xdr:colOff>
      <xdr:row>91</xdr:row>
      <xdr:rowOff>142875</xdr:rowOff>
    </xdr:from>
    <xdr:to>
      <xdr:col>11</xdr:col>
      <xdr:colOff>133350</xdr:colOff>
      <xdr:row>91</xdr:row>
      <xdr:rowOff>142875</xdr:rowOff>
    </xdr:to>
    <xdr:sp macro="" textlink="">
      <xdr:nvSpPr>
        <xdr:cNvPr id="25" name="Line 7">
          <a:extLst>
            <a:ext uri="{FF2B5EF4-FFF2-40B4-BE49-F238E27FC236}">
              <a16:creationId xmlns:a16="http://schemas.microsoft.com/office/drawing/2014/main" id="{F73A57F8-850A-446A-AFE8-372D6AC9A3F9}"/>
            </a:ext>
          </a:extLst>
        </xdr:cNvPr>
        <xdr:cNvSpPr>
          <a:spLocks noChangeShapeType="1"/>
        </xdr:cNvSpPr>
      </xdr:nvSpPr>
      <xdr:spPr bwMode="auto">
        <a:xfrm>
          <a:off x="7886700" y="13782675"/>
          <a:ext cx="3524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86</xdr:row>
      <xdr:rowOff>142875</xdr:rowOff>
    </xdr:from>
    <xdr:to>
      <xdr:col>10</xdr:col>
      <xdr:colOff>561975</xdr:colOff>
      <xdr:row>88</xdr:row>
      <xdr:rowOff>47625</xdr:rowOff>
    </xdr:to>
    <xdr:sp macro="" textlink="">
      <xdr:nvSpPr>
        <xdr:cNvPr id="26" name="Text Box 8">
          <a:extLst>
            <a:ext uri="{FF2B5EF4-FFF2-40B4-BE49-F238E27FC236}">
              <a16:creationId xmlns:a16="http://schemas.microsoft.com/office/drawing/2014/main" id="{FCEC3C99-E93F-40FF-A575-91FC873FF224}"/>
            </a:ext>
          </a:extLst>
        </xdr:cNvPr>
        <xdr:cNvSpPr txBox="1">
          <a:spLocks noChangeArrowheads="1"/>
        </xdr:cNvSpPr>
      </xdr:nvSpPr>
      <xdr:spPr bwMode="auto">
        <a:xfrm>
          <a:off x="7496175" y="12639675"/>
          <a:ext cx="561975" cy="361950"/>
        </a:xfrm>
        <a:prstGeom prst="rect">
          <a:avLst/>
        </a:prstGeom>
        <a:solidFill>
          <a:srgbClr val="CCFFCC"/>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W</a:t>
          </a:r>
        </a:p>
      </xdr:txBody>
    </xdr:sp>
    <xdr:clientData/>
  </xdr:twoCellAnchor>
  <xdr:twoCellAnchor>
    <xdr:from>
      <xdr:col>11</xdr:col>
      <xdr:colOff>104775</xdr:colOff>
      <xdr:row>95</xdr:row>
      <xdr:rowOff>142875</xdr:rowOff>
    </xdr:from>
    <xdr:to>
      <xdr:col>11</xdr:col>
      <xdr:colOff>428625</xdr:colOff>
      <xdr:row>97</xdr:row>
      <xdr:rowOff>38100</xdr:rowOff>
    </xdr:to>
    <xdr:sp macro="" textlink="">
      <xdr:nvSpPr>
        <xdr:cNvPr id="27" name="Text Box 9">
          <a:extLst>
            <a:ext uri="{FF2B5EF4-FFF2-40B4-BE49-F238E27FC236}">
              <a16:creationId xmlns:a16="http://schemas.microsoft.com/office/drawing/2014/main" id="{9F16AA6C-2CA4-402F-9128-C63A1DDB9CF3}"/>
            </a:ext>
          </a:extLst>
        </xdr:cNvPr>
        <xdr:cNvSpPr txBox="1">
          <a:spLocks noChangeArrowheads="1"/>
        </xdr:cNvSpPr>
      </xdr:nvSpPr>
      <xdr:spPr bwMode="auto">
        <a:xfrm>
          <a:off x="8210550" y="14716125"/>
          <a:ext cx="323850" cy="3524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P</a:t>
          </a:r>
        </a:p>
      </xdr:txBody>
    </xdr:sp>
    <xdr:clientData/>
  </xdr:twoCellAnchor>
  <xdr:twoCellAnchor editAs="oneCell">
    <xdr:from>
      <xdr:col>10</xdr:col>
      <xdr:colOff>276225</xdr:colOff>
      <xdr:row>100</xdr:row>
      <xdr:rowOff>19050</xdr:rowOff>
    </xdr:from>
    <xdr:to>
      <xdr:col>13</xdr:col>
      <xdr:colOff>457200</xdr:colOff>
      <xdr:row>107</xdr:row>
      <xdr:rowOff>31750</xdr:rowOff>
    </xdr:to>
    <xdr:pic>
      <xdr:nvPicPr>
        <xdr:cNvPr id="13" name="Picture 12">
          <a:extLst>
            <a:ext uri="{FF2B5EF4-FFF2-40B4-BE49-F238E27FC236}">
              <a16:creationId xmlns:a16="http://schemas.microsoft.com/office/drawing/2014/main" id="{95C2D7C8-4153-4049-A5A7-189CAE89998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772400" y="23107650"/>
          <a:ext cx="2009775" cy="1390650"/>
        </a:xfrm>
        <a:prstGeom prst="rect">
          <a:avLst/>
        </a:prstGeom>
      </xdr:spPr>
    </xdr:pic>
    <xdr:clientData/>
  </xdr:twoCellAnchor>
  <xdr:twoCellAnchor editAs="oneCell">
    <xdr:from>
      <xdr:col>9</xdr:col>
      <xdr:colOff>454025</xdr:colOff>
      <xdr:row>108</xdr:row>
      <xdr:rowOff>0</xdr:rowOff>
    </xdr:from>
    <xdr:to>
      <xdr:col>13</xdr:col>
      <xdr:colOff>482600</xdr:colOff>
      <xdr:row>115</xdr:row>
      <xdr:rowOff>31750</xdr:rowOff>
    </xdr:to>
    <xdr:pic>
      <xdr:nvPicPr>
        <xdr:cNvPr id="17" name="Picture 16">
          <a:extLst>
            <a:ext uri="{FF2B5EF4-FFF2-40B4-BE49-F238E27FC236}">
              <a16:creationId xmlns:a16="http://schemas.microsoft.com/office/drawing/2014/main" id="{A97E1C5A-75B7-424C-8FBA-EA27CC29A1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524625" y="21475700"/>
          <a:ext cx="2593975" cy="1416050"/>
        </a:xfrm>
        <a:prstGeom prst="rect">
          <a:avLst/>
        </a:prstGeom>
      </xdr:spPr>
    </xdr:pic>
    <xdr:clientData/>
  </xdr:twoCellAnchor>
  <xdr:twoCellAnchor>
    <xdr:from>
      <xdr:col>12</xdr:col>
      <xdr:colOff>57150</xdr:colOff>
      <xdr:row>83</xdr:row>
      <xdr:rowOff>146050</xdr:rowOff>
    </xdr:from>
    <xdr:to>
      <xdr:col>19</xdr:col>
      <xdr:colOff>523874</xdr:colOff>
      <xdr:row>99</xdr:row>
      <xdr:rowOff>19051</xdr:rowOff>
    </xdr:to>
    <xdr:sp macro="" textlink="">
      <xdr:nvSpPr>
        <xdr:cNvPr id="2" name="TextBox 1">
          <a:extLst>
            <a:ext uri="{FF2B5EF4-FFF2-40B4-BE49-F238E27FC236}">
              <a16:creationId xmlns:a16="http://schemas.microsoft.com/office/drawing/2014/main" id="{60FCB060-F33B-4038-B389-B2493FA9D084}"/>
            </a:ext>
          </a:extLst>
        </xdr:cNvPr>
        <xdr:cNvSpPr txBox="1"/>
      </xdr:nvSpPr>
      <xdr:spPr>
        <a:xfrm>
          <a:off x="8051800" y="16681450"/>
          <a:ext cx="4956174" cy="3041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latin typeface="Arial" panose="020B0604020202020204" pitchFamily="34" charset="0"/>
              <a:cs typeface="Arial" panose="020B0604020202020204" pitchFamily="34" charset="0"/>
            </a:rPr>
            <a:t>A pump supplies oil at 20 gpm to a 2 inch diameter </a:t>
          </a:r>
        </a:p>
        <a:p>
          <a:pPr algn="ctr"/>
          <a:r>
            <a:rPr lang="en-US" sz="1200" b="1">
              <a:latin typeface="Arial" panose="020B0604020202020204" pitchFamily="34" charset="0"/>
              <a:cs typeface="Arial" panose="020B0604020202020204" pitchFamily="34" charset="0"/>
            </a:rPr>
            <a:t>double acting cyclinder. </a:t>
          </a:r>
        </a:p>
        <a:p>
          <a:endParaRPr lang="en-US" sz="1200">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If the load is 1000 lbs, extending and retracting and thr rod diameter</a:t>
          </a:r>
          <a:r>
            <a:rPr lang="en-US" sz="1200" b="1" baseline="0">
              <a:latin typeface="Arial" panose="020B0604020202020204" pitchFamily="34" charset="0"/>
              <a:cs typeface="Arial" panose="020B0604020202020204" pitchFamily="34" charset="0"/>
            </a:rPr>
            <a:t> is 1.00 inch find: </a:t>
          </a:r>
        </a:p>
        <a:p>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a. Hydraulic pressure during the extend stroke.  318 psi            				               </a:t>
          </a:r>
        </a:p>
        <a:p>
          <a:r>
            <a:rPr lang="en-US" sz="1200" b="1" baseline="0">
              <a:latin typeface="Arial" panose="020B0604020202020204" pitchFamily="34" charset="0"/>
              <a:cs typeface="Arial" panose="020B0604020202020204" pitchFamily="34" charset="0"/>
            </a:rPr>
            <a:t>b. Piston velocity during extend stroke.         24.51 in/sec                   			                                       </a:t>
          </a:r>
        </a:p>
        <a:p>
          <a:r>
            <a:rPr lang="en-US" sz="1200" b="1" baseline="0">
              <a:latin typeface="Arial" panose="020B0604020202020204" pitchFamily="34" charset="0"/>
              <a:cs typeface="Arial" panose="020B0604020202020204" pitchFamily="34" charset="0"/>
            </a:rPr>
            <a:t>c. Cylinder horse power during extend stoke.       3 hp            				               </a:t>
          </a:r>
        </a:p>
        <a:p>
          <a:r>
            <a:rPr lang="en-US" sz="1200" b="1" baseline="0">
              <a:latin typeface="Arial" panose="020B0604020202020204" pitchFamily="34" charset="0"/>
              <a:cs typeface="Arial" panose="020B0604020202020204" pitchFamily="34" charset="0"/>
            </a:rPr>
            <a:t> d. Hydraulic pressure during the retracting stroke.      424 psi        			                                 </a:t>
          </a:r>
        </a:p>
        <a:p>
          <a:r>
            <a:rPr lang="en-US" sz="1200" b="1" baseline="0">
              <a:latin typeface="Arial" panose="020B0604020202020204" pitchFamily="34" charset="0"/>
              <a:cs typeface="Arial" panose="020B0604020202020204" pitchFamily="34" charset="0"/>
            </a:rPr>
            <a:t> e</a:t>
          </a:r>
          <a:r>
            <a:rPr lang="en-US" sz="1200" b="1" baseline="0">
              <a:solidFill>
                <a:schemeClr val="dk1"/>
              </a:solidFill>
              <a:effectLst/>
              <a:latin typeface="Arial" panose="020B0604020202020204" pitchFamily="34" charset="0"/>
              <a:ea typeface="+mn-ea"/>
              <a:cs typeface="Arial" panose="020B0604020202020204" pitchFamily="34" charset="0"/>
            </a:rPr>
            <a:t>. Cylinder horse power during extend stoke. </a:t>
          </a:r>
          <a:r>
            <a:rPr lang="en-US" sz="1200" b="1" baseline="0">
              <a:latin typeface="Arial" panose="020B0604020202020204" pitchFamily="34" charset="0"/>
              <a:cs typeface="Arial" panose="020B0604020202020204" pitchFamily="34" charset="0"/>
            </a:rPr>
            <a:t>   2.2 hp</a:t>
          </a:r>
          <a:endParaRPr lang="en-US" sz="1200" b="1">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hdinc.com/"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rrycontrols.com/" TargetMode="External"/><Relationship Id="rId1" Type="http://schemas.openxmlformats.org/officeDocument/2006/relationships/hyperlink" Target="http://www.barrycontrols.com/"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ldor.com/" TargetMode="External"/><Relationship Id="rId1" Type="http://schemas.openxmlformats.org/officeDocument/2006/relationships/hyperlink" Target="http://www.baldor.com/support/product_specs/generators/Vibration_Isolators/01_Korfund_Catalog.pdf"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57"/>
  <sheetViews>
    <sheetView zoomScale="130" zoomScaleNormal="130" workbookViewId="0">
      <selection activeCell="O5" sqref="O5"/>
    </sheetView>
  </sheetViews>
  <sheetFormatPr defaultColWidth="8.7109375" defaultRowHeight="15" x14ac:dyDescent="0.2"/>
  <cols>
    <col min="1" max="10" width="8.7109375" style="12"/>
    <col min="11" max="11" width="20.42578125" style="12" customWidth="1"/>
    <col min="12" max="12" width="14.5703125" style="12" customWidth="1"/>
    <col min="13" max="16384" width="8.7109375" style="12"/>
  </cols>
  <sheetData>
    <row r="1" spans="1:18" ht="18" x14ac:dyDescent="0.25">
      <c r="B1" s="7" t="s">
        <v>1382</v>
      </c>
      <c r="D1" s="15"/>
      <c r="G1" s="4"/>
      <c r="J1" s="16"/>
      <c r="K1" s="16"/>
      <c r="L1" s="16"/>
      <c r="M1" s="16"/>
      <c r="N1" s="16"/>
      <c r="O1" s="16"/>
      <c r="P1" s="16"/>
      <c r="Q1" s="16"/>
      <c r="R1" s="16"/>
    </row>
    <row r="2" spans="1:18" x14ac:dyDescent="0.2">
      <c r="A2" s="17"/>
      <c r="J2" s="16"/>
      <c r="K2" s="16"/>
      <c r="L2" s="16"/>
      <c r="M2" s="16"/>
      <c r="N2" s="16"/>
      <c r="O2" s="16"/>
      <c r="P2" s="16"/>
      <c r="Q2" s="16"/>
      <c r="R2" s="16"/>
    </row>
    <row r="3" spans="1:18" ht="15.75" x14ac:dyDescent="0.25">
      <c r="A3" s="4"/>
      <c r="J3" s="16"/>
      <c r="K3" s="16"/>
      <c r="L3" s="16"/>
      <c r="M3" s="16"/>
      <c r="N3" s="16"/>
      <c r="O3" s="16"/>
      <c r="P3" s="16"/>
      <c r="Q3" s="16"/>
      <c r="R3" s="16"/>
    </row>
    <row r="4" spans="1:18" ht="18" x14ac:dyDescent="0.25">
      <c r="J4" s="7" t="s">
        <v>1532</v>
      </c>
      <c r="K4" s="18"/>
      <c r="L4" s="16"/>
      <c r="M4" s="16"/>
      <c r="N4" s="16"/>
      <c r="O4" s="16"/>
      <c r="P4" s="16"/>
      <c r="Q4" s="16"/>
      <c r="R4" s="16"/>
    </row>
    <row r="5" spans="1:18" x14ac:dyDescent="0.2">
      <c r="J5" s="16"/>
      <c r="K5" s="16"/>
      <c r="L5" s="16"/>
      <c r="M5" s="16"/>
      <c r="N5" s="16"/>
      <c r="O5" s="16"/>
      <c r="P5" s="16"/>
      <c r="Q5" s="16"/>
      <c r="R5" s="16"/>
    </row>
    <row r="6" spans="1:18" ht="15.75" x14ac:dyDescent="0.25">
      <c r="K6" s="1" t="s">
        <v>1417</v>
      </c>
      <c r="L6" s="1" t="s">
        <v>1415</v>
      </c>
      <c r="M6" s="16"/>
      <c r="N6" s="16"/>
      <c r="O6" s="16"/>
      <c r="P6" s="16"/>
      <c r="Q6" s="16"/>
      <c r="R6" s="16"/>
    </row>
    <row r="7" spans="1:18" ht="15.75" x14ac:dyDescent="0.25">
      <c r="J7" s="13">
        <v>1</v>
      </c>
      <c r="K7" s="4" t="s">
        <v>1531</v>
      </c>
      <c r="L7" s="14" t="s">
        <v>1289</v>
      </c>
      <c r="M7" s="16"/>
      <c r="N7" s="16"/>
      <c r="O7" s="16"/>
      <c r="P7" s="16"/>
      <c r="Q7" s="16"/>
      <c r="R7" s="16"/>
    </row>
    <row r="8" spans="1:18" ht="15.75" x14ac:dyDescent="0.25">
      <c r="J8" s="13">
        <v>2</v>
      </c>
      <c r="K8" s="4" t="s">
        <v>1404</v>
      </c>
      <c r="L8" s="14" t="s">
        <v>1290</v>
      </c>
      <c r="M8" s="16"/>
      <c r="N8" s="16"/>
      <c r="O8" s="16"/>
      <c r="P8" s="16"/>
      <c r="Q8" s="16"/>
      <c r="R8" s="16"/>
    </row>
    <row r="9" spans="1:18" ht="15.75" x14ac:dyDescent="0.25">
      <c r="J9" s="13">
        <v>3</v>
      </c>
      <c r="K9" s="4" t="s">
        <v>1405</v>
      </c>
      <c r="L9" s="14" t="s">
        <v>1291</v>
      </c>
      <c r="M9" s="16"/>
      <c r="N9" s="16"/>
      <c r="O9" s="16"/>
      <c r="P9" s="16"/>
      <c r="Q9" s="16"/>
      <c r="R9" s="16"/>
    </row>
    <row r="10" spans="1:18" ht="15.75" x14ac:dyDescent="0.25">
      <c r="J10" s="13">
        <v>4</v>
      </c>
      <c r="K10" s="4" t="s">
        <v>1406</v>
      </c>
      <c r="L10" s="14" t="s">
        <v>1292</v>
      </c>
      <c r="M10" s="16"/>
      <c r="N10" s="16"/>
      <c r="O10" s="16"/>
      <c r="P10" s="16"/>
      <c r="Q10" s="16"/>
      <c r="R10" s="16"/>
    </row>
    <row r="11" spans="1:18" ht="15.75" x14ac:dyDescent="0.25">
      <c r="J11" s="13">
        <v>5</v>
      </c>
      <c r="K11" s="4" t="s">
        <v>1407</v>
      </c>
      <c r="L11" s="14" t="s">
        <v>1297</v>
      </c>
      <c r="M11" s="16"/>
      <c r="N11" s="16"/>
      <c r="O11" s="16"/>
      <c r="P11" s="16"/>
      <c r="Q11" s="16"/>
      <c r="R11" s="16"/>
    </row>
    <row r="12" spans="1:18" ht="15.75" x14ac:dyDescent="0.25">
      <c r="J12" s="13">
        <v>6</v>
      </c>
      <c r="K12" s="4" t="s">
        <v>1408</v>
      </c>
      <c r="L12" s="14" t="s">
        <v>1293</v>
      </c>
      <c r="M12" s="16"/>
      <c r="N12" s="16"/>
      <c r="O12" s="16"/>
      <c r="P12" s="16"/>
      <c r="Q12" s="16"/>
      <c r="R12" s="16"/>
    </row>
    <row r="13" spans="1:18" ht="15.75" x14ac:dyDescent="0.25">
      <c r="J13" s="13">
        <v>7</v>
      </c>
      <c r="K13" s="4" t="s">
        <v>1409</v>
      </c>
      <c r="L13" s="14" t="s">
        <v>1375</v>
      </c>
      <c r="M13" s="16"/>
      <c r="N13" s="16"/>
      <c r="O13" s="16"/>
      <c r="P13" s="16"/>
      <c r="Q13" s="16"/>
      <c r="R13" s="16"/>
    </row>
    <row r="14" spans="1:18" ht="15.75" x14ac:dyDescent="0.25">
      <c r="J14" s="13">
        <v>8</v>
      </c>
      <c r="K14" s="4" t="s">
        <v>1410</v>
      </c>
      <c r="L14" s="14" t="s">
        <v>1294</v>
      </c>
      <c r="M14" s="16"/>
      <c r="N14" s="16"/>
      <c r="O14" s="16"/>
      <c r="P14" s="16"/>
      <c r="Q14" s="16"/>
      <c r="R14" s="16"/>
    </row>
    <row r="15" spans="1:18" ht="15.75" x14ac:dyDescent="0.25">
      <c r="J15" s="13">
        <v>9</v>
      </c>
      <c r="K15" s="4" t="s">
        <v>1411</v>
      </c>
      <c r="L15" s="14" t="s">
        <v>1295</v>
      </c>
      <c r="M15" s="16"/>
      <c r="N15" s="16"/>
      <c r="O15" s="16"/>
      <c r="P15" s="16"/>
      <c r="Q15" s="16"/>
      <c r="R15" s="16"/>
    </row>
    <row r="16" spans="1:18" ht="15.75" x14ac:dyDescent="0.25">
      <c r="J16" s="13">
        <v>10</v>
      </c>
      <c r="K16" s="4" t="s">
        <v>1412</v>
      </c>
      <c r="L16" s="14" t="s">
        <v>1296</v>
      </c>
      <c r="M16" s="16"/>
      <c r="N16" s="16"/>
      <c r="O16" s="16"/>
      <c r="P16" s="16"/>
      <c r="Q16" s="16"/>
      <c r="R16" s="16"/>
    </row>
    <row r="17" spans="10:18" ht="15.75" x14ac:dyDescent="0.25">
      <c r="J17" s="13">
        <v>11</v>
      </c>
      <c r="K17" s="4" t="s">
        <v>1413</v>
      </c>
      <c r="L17" s="14" t="s">
        <v>1298</v>
      </c>
      <c r="M17" s="16"/>
      <c r="N17" s="16"/>
      <c r="O17" s="16"/>
      <c r="P17" s="16"/>
      <c r="Q17" s="16"/>
      <c r="R17" s="16"/>
    </row>
    <row r="18" spans="10:18" ht="15.75" x14ac:dyDescent="0.25">
      <c r="J18" s="13">
        <v>12</v>
      </c>
      <c r="K18" s="4" t="s">
        <v>1414</v>
      </c>
      <c r="L18" s="14" t="s">
        <v>1299</v>
      </c>
      <c r="M18" s="16"/>
      <c r="N18" s="16"/>
      <c r="O18" s="16"/>
      <c r="P18" s="16"/>
      <c r="Q18" s="16"/>
      <c r="R18" s="16"/>
    </row>
    <row r="19" spans="10:18" ht="15.75" x14ac:dyDescent="0.25">
      <c r="J19" s="16"/>
      <c r="K19" s="16"/>
      <c r="L19" s="19"/>
      <c r="M19" s="16"/>
      <c r="N19" s="16"/>
      <c r="O19" s="16"/>
      <c r="P19" s="16"/>
      <c r="Q19" s="16"/>
      <c r="R19" s="16"/>
    </row>
    <row r="20" spans="10:18" x14ac:dyDescent="0.2">
      <c r="J20" s="16"/>
      <c r="K20" s="16"/>
      <c r="L20" s="16"/>
      <c r="M20" s="16"/>
      <c r="N20" s="16"/>
      <c r="O20" s="16"/>
      <c r="P20" s="16"/>
      <c r="Q20" s="16"/>
      <c r="R20" s="16"/>
    </row>
    <row r="21" spans="10:18" ht="15.75" x14ac:dyDescent="0.25">
      <c r="J21" s="20" t="s">
        <v>1416</v>
      </c>
      <c r="K21" s="20"/>
      <c r="L21" s="20"/>
      <c r="M21" s="21"/>
      <c r="N21" s="16"/>
      <c r="O21" s="16"/>
      <c r="P21" s="16"/>
      <c r="Q21" s="16"/>
      <c r="R21" s="16"/>
    </row>
    <row r="22" spans="10:18" x14ac:dyDescent="0.2">
      <c r="J22" s="21" t="s">
        <v>1419</v>
      </c>
      <c r="K22" s="21"/>
      <c r="L22" s="21"/>
      <c r="M22" s="21"/>
      <c r="N22" s="16"/>
      <c r="O22" s="16"/>
      <c r="P22" s="16"/>
      <c r="Q22" s="16"/>
      <c r="R22" s="16"/>
    </row>
    <row r="23" spans="10:18" x14ac:dyDescent="0.2">
      <c r="J23" s="21"/>
      <c r="K23" s="21"/>
      <c r="L23" s="21"/>
      <c r="M23" s="21"/>
      <c r="N23" s="16"/>
      <c r="O23" s="16"/>
      <c r="P23" s="16"/>
      <c r="Q23" s="16"/>
      <c r="R23" s="16"/>
    </row>
    <row r="24" spans="10:18" x14ac:dyDescent="0.2">
      <c r="J24" s="21"/>
      <c r="K24" s="21"/>
      <c r="L24" s="21"/>
      <c r="M24" s="21"/>
      <c r="N24" s="16"/>
      <c r="O24" s="16"/>
      <c r="P24" s="16"/>
      <c r="Q24" s="16"/>
      <c r="R24" s="16"/>
    </row>
    <row r="25" spans="10:18" x14ac:dyDescent="0.2">
      <c r="J25" s="21"/>
      <c r="K25" s="21"/>
      <c r="L25" s="21"/>
      <c r="M25" s="21"/>
      <c r="N25" s="16"/>
      <c r="O25" s="16"/>
      <c r="P25" s="16"/>
      <c r="Q25" s="16"/>
      <c r="R25" s="16"/>
    </row>
    <row r="26" spans="10:18" x14ac:dyDescent="0.2">
      <c r="J26" s="21"/>
      <c r="K26" s="21"/>
      <c r="L26" s="21"/>
      <c r="M26" s="21"/>
      <c r="N26" s="16"/>
      <c r="O26" s="16"/>
      <c r="P26" s="16"/>
      <c r="Q26" s="16"/>
      <c r="R26" s="16"/>
    </row>
    <row r="27" spans="10:18" x14ac:dyDescent="0.2">
      <c r="J27" s="21"/>
      <c r="K27" s="21"/>
      <c r="L27" s="21"/>
      <c r="M27" s="21"/>
      <c r="N27" s="16"/>
      <c r="O27" s="16"/>
      <c r="P27" s="16"/>
      <c r="Q27" s="16"/>
      <c r="R27" s="16"/>
    </row>
    <row r="28" spans="10:18" x14ac:dyDescent="0.2">
      <c r="J28" s="21"/>
      <c r="K28" s="21"/>
      <c r="L28" s="21"/>
      <c r="M28" s="21"/>
      <c r="N28" s="16"/>
      <c r="O28" s="16"/>
      <c r="P28" s="16"/>
      <c r="Q28" s="16"/>
      <c r="R28" s="16"/>
    </row>
    <row r="29" spans="10:18" x14ac:dyDescent="0.2">
      <c r="R29" s="16"/>
    </row>
    <row r="30" spans="10:18" x14ac:dyDescent="0.2">
      <c r="R30" s="16"/>
    </row>
    <row r="31" spans="10:18" x14ac:dyDescent="0.2">
      <c r="R31" s="16"/>
    </row>
    <row r="32" spans="10:18" x14ac:dyDescent="0.2">
      <c r="R32" s="16"/>
    </row>
    <row r="33" spans="10:18" x14ac:dyDescent="0.2">
      <c r="J33" s="16"/>
      <c r="K33" s="16"/>
      <c r="L33" s="16"/>
      <c r="M33" s="16"/>
      <c r="N33" s="16"/>
      <c r="O33" s="16"/>
      <c r="P33" s="16"/>
      <c r="Q33" s="16"/>
      <c r="R33" s="16"/>
    </row>
    <row r="34" spans="10:18" x14ac:dyDescent="0.2">
      <c r="J34" s="16"/>
      <c r="K34" s="16"/>
      <c r="L34" s="16"/>
      <c r="M34" s="16"/>
      <c r="N34" s="16"/>
      <c r="O34" s="16"/>
      <c r="P34" s="16"/>
      <c r="Q34" s="16"/>
      <c r="R34" s="16"/>
    </row>
    <row r="35" spans="10:18" x14ac:dyDescent="0.2">
      <c r="J35" s="16"/>
      <c r="K35" s="16"/>
      <c r="L35" s="16"/>
      <c r="M35" s="16"/>
      <c r="N35" s="16"/>
      <c r="O35" s="16"/>
      <c r="P35" s="16"/>
      <c r="Q35" s="16"/>
      <c r="R35" s="16"/>
    </row>
    <row r="36" spans="10:18" x14ac:dyDescent="0.2">
      <c r="J36" s="16"/>
      <c r="K36" s="16"/>
      <c r="L36" s="16"/>
      <c r="M36" s="16"/>
      <c r="N36" s="16"/>
      <c r="O36" s="16"/>
      <c r="P36" s="16"/>
      <c r="Q36" s="16"/>
      <c r="R36" s="16"/>
    </row>
    <row r="37" spans="10:18" x14ac:dyDescent="0.2">
      <c r="J37" s="16"/>
      <c r="K37" s="16"/>
      <c r="L37" s="16"/>
      <c r="M37" s="16"/>
      <c r="N37" s="16"/>
      <c r="O37" s="16"/>
      <c r="P37" s="16"/>
      <c r="Q37" s="16"/>
      <c r="R37" s="16"/>
    </row>
    <row r="38" spans="10:18" x14ac:dyDescent="0.2">
      <c r="J38" s="16"/>
      <c r="K38" s="16"/>
      <c r="L38" s="16"/>
      <c r="M38" s="16"/>
      <c r="N38" s="16"/>
      <c r="O38" s="16"/>
      <c r="P38" s="16"/>
      <c r="Q38" s="16"/>
      <c r="R38" s="16"/>
    </row>
    <row r="39" spans="10:18" x14ac:dyDescent="0.2">
      <c r="J39" s="16"/>
      <c r="K39" s="16"/>
      <c r="L39" s="16"/>
      <c r="M39" s="16"/>
      <c r="N39" s="16"/>
      <c r="O39" s="16"/>
      <c r="P39" s="16"/>
      <c r="Q39" s="16"/>
      <c r="R39" s="16"/>
    </row>
    <row r="40" spans="10:18" x14ac:dyDescent="0.2">
      <c r="J40" s="16"/>
      <c r="K40" s="16"/>
      <c r="L40" s="16"/>
      <c r="M40" s="16"/>
      <c r="N40" s="16"/>
      <c r="O40" s="16"/>
      <c r="P40" s="16"/>
      <c r="Q40" s="16"/>
      <c r="R40" s="16"/>
    </row>
    <row r="41" spans="10:18" x14ac:dyDescent="0.2">
      <c r="J41" s="16"/>
      <c r="K41" s="16"/>
      <c r="L41" s="16"/>
      <c r="M41" s="16"/>
      <c r="N41" s="16"/>
      <c r="O41" s="16"/>
      <c r="P41" s="16"/>
      <c r="Q41" s="16"/>
      <c r="R41" s="16"/>
    </row>
    <row r="42" spans="10:18" x14ac:dyDescent="0.2">
      <c r="J42" s="16"/>
      <c r="K42" s="16"/>
      <c r="L42" s="16"/>
      <c r="M42" s="16"/>
      <c r="N42" s="16"/>
      <c r="O42" s="16"/>
      <c r="P42" s="16"/>
      <c r="Q42" s="16"/>
      <c r="R42" s="16"/>
    </row>
    <row r="43" spans="10:18" x14ac:dyDescent="0.2">
      <c r="J43" s="16"/>
      <c r="K43" s="16"/>
      <c r="L43" s="16"/>
      <c r="M43" s="16"/>
      <c r="N43" s="16"/>
      <c r="O43" s="16"/>
      <c r="P43" s="16"/>
      <c r="Q43" s="16"/>
      <c r="R43" s="16"/>
    </row>
    <row r="44" spans="10:18" x14ac:dyDescent="0.2">
      <c r="J44" s="16"/>
      <c r="K44" s="16"/>
      <c r="L44" s="16"/>
      <c r="M44" s="16"/>
      <c r="N44" s="16"/>
      <c r="O44" s="16"/>
      <c r="P44" s="16"/>
      <c r="Q44" s="16"/>
      <c r="R44" s="16"/>
    </row>
    <row r="45" spans="10:18" x14ac:dyDescent="0.2">
      <c r="J45" s="16"/>
      <c r="K45" s="16"/>
      <c r="L45" s="16"/>
      <c r="M45" s="16"/>
      <c r="N45" s="16"/>
      <c r="O45" s="16"/>
      <c r="P45" s="16"/>
      <c r="Q45" s="16"/>
      <c r="R45" s="16"/>
    </row>
    <row r="46" spans="10:18" x14ac:dyDescent="0.2">
      <c r="J46" s="16"/>
      <c r="K46" s="16"/>
      <c r="L46" s="16"/>
      <c r="M46" s="16"/>
      <c r="N46" s="16"/>
      <c r="O46" s="16"/>
      <c r="P46" s="16"/>
      <c r="Q46" s="16"/>
      <c r="R46" s="16"/>
    </row>
    <row r="47" spans="10:18" x14ac:dyDescent="0.2">
      <c r="J47" s="16"/>
      <c r="K47" s="16"/>
      <c r="L47" s="16"/>
      <c r="M47" s="16"/>
      <c r="N47" s="16"/>
      <c r="O47" s="16"/>
      <c r="P47" s="16"/>
      <c r="Q47" s="16"/>
      <c r="R47" s="16"/>
    </row>
    <row r="48" spans="10:18" x14ac:dyDescent="0.2">
      <c r="J48" s="16"/>
      <c r="K48" s="16"/>
      <c r="L48" s="16"/>
      <c r="M48" s="16"/>
      <c r="N48" s="16"/>
      <c r="O48" s="16"/>
      <c r="P48" s="16"/>
      <c r="Q48" s="16"/>
      <c r="R48" s="16"/>
    </row>
    <row r="49" spans="10:18" x14ac:dyDescent="0.2">
      <c r="J49" s="16"/>
      <c r="K49" s="16"/>
      <c r="L49" s="16"/>
      <c r="M49" s="16"/>
      <c r="N49" s="16"/>
      <c r="O49" s="16"/>
      <c r="P49" s="16"/>
      <c r="Q49" s="16"/>
      <c r="R49" s="16"/>
    </row>
    <row r="50" spans="10:18" x14ac:dyDescent="0.2">
      <c r="J50" s="16"/>
      <c r="K50" s="16"/>
      <c r="L50" s="16"/>
      <c r="M50" s="16"/>
      <c r="N50" s="16"/>
      <c r="O50" s="16"/>
      <c r="P50" s="16"/>
      <c r="Q50" s="16"/>
      <c r="R50" s="16"/>
    </row>
    <row r="51" spans="10:18" x14ac:dyDescent="0.2">
      <c r="J51" s="16"/>
      <c r="K51" s="16"/>
      <c r="L51" s="16"/>
      <c r="M51" s="16"/>
      <c r="N51" s="16"/>
      <c r="O51" s="16"/>
      <c r="P51" s="16"/>
      <c r="Q51" s="16"/>
      <c r="R51" s="16"/>
    </row>
    <row r="52" spans="10:18" x14ac:dyDescent="0.2">
      <c r="J52" s="16"/>
      <c r="K52" s="16"/>
      <c r="L52" s="16"/>
      <c r="M52" s="16"/>
      <c r="N52" s="16"/>
      <c r="O52" s="16"/>
      <c r="P52" s="16"/>
      <c r="Q52" s="16"/>
      <c r="R52" s="16"/>
    </row>
    <row r="53" spans="10:18" x14ac:dyDescent="0.2">
      <c r="J53" s="16"/>
      <c r="K53" s="16"/>
      <c r="L53" s="16"/>
      <c r="M53" s="16"/>
      <c r="N53" s="16"/>
      <c r="O53" s="16"/>
      <c r="P53" s="16"/>
      <c r="Q53" s="16"/>
      <c r="R53" s="16"/>
    </row>
    <row r="54" spans="10:18" x14ac:dyDescent="0.2">
      <c r="J54" s="16"/>
      <c r="K54" s="16"/>
      <c r="L54" s="16"/>
      <c r="M54" s="16"/>
      <c r="N54" s="16"/>
      <c r="O54" s="16"/>
      <c r="P54" s="16"/>
      <c r="Q54" s="16"/>
      <c r="R54" s="16"/>
    </row>
    <row r="55" spans="10:18" x14ac:dyDescent="0.2">
      <c r="J55" s="16"/>
      <c r="K55" s="16"/>
      <c r="L55" s="16"/>
      <c r="M55" s="16"/>
      <c r="N55" s="16"/>
      <c r="O55" s="16"/>
      <c r="P55" s="16"/>
      <c r="Q55" s="16"/>
      <c r="R55" s="16"/>
    </row>
    <row r="56" spans="10:18" x14ac:dyDescent="0.2">
      <c r="J56" s="16"/>
      <c r="K56" s="16"/>
      <c r="L56" s="16"/>
      <c r="M56" s="16"/>
      <c r="N56" s="16"/>
      <c r="O56" s="16"/>
      <c r="P56" s="16"/>
      <c r="Q56" s="16"/>
      <c r="R56" s="16"/>
    </row>
    <row r="57" spans="10:18" x14ac:dyDescent="0.2">
      <c r="J57" s="16"/>
      <c r="K57" s="16"/>
      <c r="L57" s="16"/>
      <c r="M57" s="16"/>
      <c r="N57" s="16"/>
      <c r="O57" s="16"/>
      <c r="P57" s="16"/>
      <c r="Q57" s="16"/>
      <c r="R57" s="16"/>
    </row>
    <row r="58" spans="10:18" x14ac:dyDescent="0.2">
      <c r="J58" s="16"/>
      <c r="K58" s="16"/>
      <c r="L58" s="16"/>
      <c r="M58" s="16"/>
      <c r="N58" s="16"/>
      <c r="O58" s="16"/>
      <c r="P58" s="16"/>
      <c r="Q58" s="16"/>
      <c r="R58" s="16"/>
    </row>
    <row r="59" spans="10:18" x14ac:dyDescent="0.2">
      <c r="J59" s="16"/>
      <c r="K59" s="16"/>
      <c r="L59" s="16"/>
      <c r="M59" s="16"/>
      <c r="N59" s="16"/>
      <c r="O59" s="16"/>
      <c r="P59" s="16"/>
      <c r="Q59" s="16"/>
      <c r="R59" s="16"/>
    </row>
    <row r="60" spans="10:18" x14ac:dyDescent="0.2">
      <c r="J60" s="16"/>
      <c r="K60" s="16"/>
      <c r="L60" s="16"/>
      <c r="M60" s="16"/>
      <c r="N60" s="16"/>
      <c r="O60" s="16"/>
      <c r="P60" s="16"/>
      <c r="Q60" s="16"/>
      <c r="R60" s="16"/>
    </row>
    <row r="61" spans="10:18" x14ac:dyDescent="0.2">
      <c r="J61" s="16"/>
      <c r="K61" s="16"/>
      <c r="L61" s="16"/>
      <c r="M61" s="16"/>
      <c r="N61" s="16"/>
      <c r="O61" s="16"/>
      <c r="P61" s="16"/>
      <c r="Q61" s="16"/>
      <c r="R61" s="16"/>
    </row>
    <row r="62" spans="10:18" x14ac:dyDescent="0.2">
      <c r="J62" s="16"/>
      <c r="K62" s="16"/>
      <c r="L62" s="16"/>
      <c r="M62" s="16"/>
      <c r="N62" s="16"/>
      <c r="O62" s="16"/>
      <c r="P62" s="16"/>
      <c r="Q62" s="16"/>
      <c r="R62" s="16"/>
    </row>
    <row r="63" spans="10:18" x14ac:dyDescent="0.2">
      <c r="J63" s="16"/>
      <c r="K63" s="16"/>
      <c r="L63" s="16"/>
      <c r="M63" s="16"/>
      <c r="N63" s="16"/>
      <c r="O63" s="16"/>
      <c r="P63" s="16"/>
      <c r="Q63" s="16"/>
      <c r="R63" s="16"/>
    </row>
    <row r="64" spans="10:18" x14ac:dyDescent="0.2">
      <c r="J64" s="16"/>
      <c r="K64" s="16"/>
      <c r="L64" s="16"/>
      <c r="M64" s="16"/>
      <c r="N64" s="16"/>
      <c r="O64" s="16"/>
      <c r="P64" s="16"/>
      <c r="Q64" s="16"/>
      <c r="R64" s="16"/>
    </row>
    <row r="65" spans="10:18" x14ac:dyDescent="0.2">
      <c r="J65" s="16"/>
      <c r="K65" s="16"/>
      <c r="L65" s="16"/>
      <c r="M65" s="16"/>
      <c r="N65" s="16"/>
      <c r="O65" s="16"/>
      <c r="P65" s="16"/>
      <c r="Q65" s="16"/>
      <c r="R65" s="16"/>
    </row>
    <row r="66" spans="10:18" x14ac:dyDescent="0.2">
      <c r="J66" s="16"/>
      <c r="K66" s="16"/>
      <c r="L66" s="16"/>
      <c r="M66" s="16"/>
      <c r="N66" s="16"/>
      <c r="O66" s="16"/>
      <c r="P66" s="16"/>
      <c r="Q66" s="16"/>
      <c r="R66" s="16"/>
    </row>
    <row r="67" spans="10:18" x14ac:dyDescent="0.2">
      <c r="J67" s="16"/>
      <c r="K67" s="16"/>
      <c r="L67" s="16"/>
      <c r="M67" s="16"/>
      <c r="N67" s="16"/>
      <c r="O67" s="16"/>
      <c r="P67" s="16"/>
      <c r="Q67" s="16"/>
      <c r="R67" s="16"/>
    </row>
    <row r="68" spans="10:18" x14ac:dyDescent="0.2">
      <c r="J68" s="16"/>
      <c r="K68" s="16"/>
      <c r="L68" s="16"/>
      <c r="M68" s="16"/>
      <c r="N68" s="16"/>
      <c r="O68" s="16"/>
      <c r="P68" s="16"/>
      <c r="Q68" s="16"/>
      <c r="R68" s="16"/>
    </row>
    <row r="69" spans="10:18" x14ac:dyDescent="0.2">
      <c r="J69" s="16"/>
      <c r="K69" s="16"/>
      <c r="L69" s="16"/>
      <c r="M69" s="16"/>
      <c r="N69" s="16"/>
      <c r="O69" s="16"/>
      <c r="P69" s="16"/>
      <c r="Q69" s="16"/>
      <c r="R69" s="16"/>
    </row>
    <row r="70" spans="10:18" x14ac:dyDescent="0.2">
      <c r="J70" s="16"/>
      <c r="K70" s="16"/>
      <c r="L70" s="16"/>
      <c r="M70" s="16"/>
      <c r="N70" s="16"/>
      <c r="O70" s="16"/>
      <c r="P70" s="16"/>
      <c r="Q70" s="16"/>
      <c r="R70" s="16"/>
    </row>
    <row r="71" spans="10:18" x14ac:dyDescent="0.2">
      <c r="J71" s="16"/>
      <c r="K71" s="16"/>
      <c r="L71" s="16"/>
      <c r="M71" s="16"/>
      <c r="N71" s="16"/>
      <c r="O71" s="16"/>
      <c r="P71" s="16"/>
      <c r="Q71" s="16"/>
      <c r="R71" s="16"/>
    </row>
    <row r="72" spans="10:18" x14ac:dyDescent="0.2">
      <c r="J72" s="16"/>
      <c r="K72" s="16"/>
      <c r="L72" s="16"/>
      <c r="M72" s="16"/>
      <c r="N72" s="16"/>
      <c r="O72" s="16"/>
      <c r="P72" s="16"/>
      <c r="Q72" s="16"/>
      <c r="R72" s="16"/>
    </row>
    <row r="73" spans="10:18" x14ac:dyDescent="0.2">
      <c r="J73" s="16"/>
      <c r="K73" s="16"/>
      <c r="L73" s="16"/>
      <c r="M73" s="16"/>
      <c r="N73" s="16"/>
      <c r="O73" s="16"/>
      <c r="P73" s="16"/>
      <c r="Q73" s="16"/>
      <c r="R73" s="16"/>
    </row>
    <row r="74" spans="10:18" x14ac:dyDescent="0.2">
      <c r="J74" s="16"/>
      <c r="K74" s="16"/>
      <c r="L74" s="16"/>
      <c r="M74" s="16"/>
      <c r="N74" s="16"/>
      <c r="O74" s="16"/>
      <c r="P74" s="16"/>
      <c r="Q74" s="16"/>
      <c r="R74" s="16"/>
    </row>
    <row r="75" spans="10:18" x14ac:dyDescent="0.2">
      <c r="J75" s="16"/>
      <c r="K75" s="16"/>
      <c r="L75" s="16"/>
      <c r="M75" s="16"/>
      <c r="N75" s="16"/>
      <c r="O75" s="16"/>
      <c r="P75" s="16"/>
      <c r="Q75" s="16"/>
      <c r="R75" s="16"/>
    </row>
    <row r="76" spans="10:18" x14ac:dyDescent="0.2">
      <c r="J76" s="16"/>
      <c r="K76" s="16"/>
      <c r="L76" s="16"/>
      <c r="M76" s="16"/>
      <c r="N76" s="16"/>
      <c r="O76" s="16"/>
      <c r="P76" s="16"/>
      <c r="Q76" s="16"/>
      <c r="R76" s="16"/>
    </row>
    <row r="77" spans="10:18" x14ac:dyDescent="0.2">
      <c r="J77" s="16"/>
      <c r="K77" s="16"/>
      <c r="L77" s="16"/>
      <c r="M77" s="16"/>
      <c r="N77" s="16"/>
      <c r="O77" s="16"/>
      <c r="P77" s="16"/>
      <c r="Q77" s="16"/>
      <c r="R77" s="16"/>
    </row>
    <row r="78" spans="10:18" x14ac:dyDescent="0.2">
      <c r="J78" s="16"/>
      <c r="K78" s="16"/>
      <c r="L78" s="16"/>
      <c r="M78" s="16"/>
      <c r="N78" s="16"/>
      <c r="O78" s="16"/>
      <c r="P78" s="16"/>
      <c r="Q78" s="16"/>
      <c r="R78" s="16"/>
    </row>
    <row r="79" spans="10:18" x14ac:dyDescent="0.2">
      <c r="J79" s="16"/>
      <c r="K79" s="16"/>
      <c r="L79" s="16"/>
      <c r="M79" s="16"/>
      <c r="N79" s="16"/>
      <c r="O79" s="16"/>
      <c r="P79" s="16"/>
      <c r="Q79" s="16"/>
      <c r="R79" s="16"/>
    </row>
    <row r="80" spans="10:18" x14ac:dyDescent="0.2">
      <c r="J80" s="16"/>
      <c r="K80" s="16"/>
      <c r="L80" s="16"/>
      <c r="M80" s="16"/>
      <c r="N80" s="16"/>
      <c r="O80" s="16"/>
      <c r="P80" s="16"/>
      <c r="Q80" s="16"/>
      <c r="R80" s="16"/>
    </row>
    <row r="81" spans="10:18" x14ac:dyDescent="0.2">
      <c r="J81" s="16"/>
      <c r="K81" s="16"/>
      <c r="L81" s="16"/>
      <c r="M81" s="16"/>
      <c r="N81" s="16"/>
      <c r="O81" s="16"/>
      <c r="P81" s="16"/>
      <c r="Q81" s="16"/>
      <c r="R81" s="16"/>
    </row>
    <row r="82" spans="10:18" x14ac:dyDescent="0.2">
      <c r="J82" s="16"/>
      <c r="K82" s="16"/>
      <c r="L82" s="16"/>
      <c r="M82" s="16"/>
      <c r="N82" s="16"/>
      <c r="O82" s="16"/>
      <c r="P82" s="16"/>
      <c r="Q82" s="16"/>
      <c r="R82" s="16"/>
    </row>
    <row r="83" spans="10:18" x14ac:dyDescent="0.2">
      <c r="J83" s="16"/>
      <c r="K83" s="16"/>
      <c r="L83" s="16"/>
      <c r="M83" s="16"/>
      <c r="N83" s="16"/>
      <c r="O83" s="16"/>
      <c r="P83" s="16"/>
      <c r="Q83" s="16"/>
      <c r="R83" s="16"/>
    </row>
    <row r="84" spans="10:18" x14ac:dyDescent="0.2">
      <c r="J84" s="16"/>
      <c r="K84" s="16"/>
      <c r="L84" s="16"/>
      <c r="M84" s="16"/>
      <c r="N84" s="16"/>
      <c r="O84" s="16"/>
      <c r="P84" s="16"/>
      <c r="Q84" s="16"/>
      <c r="R84" s="16"/>
    </row>
    <row r="85" spans="10:18" x14ac:dyDescent="0.2">
      <c r="J85" s="16"/>
      <c r="K85" s="16"/>
      <c r="L85" s="16"/>
      <c r="M85" s="16"/>
      <c r="N85" s="16"/>
      <c r="O85" s="16"/>
      <c r="P85" s="16"/>
      <c r="Q85" s="16"/>
      <c r="R85" s="16"/>
    </row>
    <row r="86" spans="10:18" x14ac:dyDescent="0.2">
      <c r="J86" s="16"/>
      <c r="K86" s="16"/>
      <c r="L86" s="16"/>
      <c r="M86" s="16"/>
      <c r="N86" s="16"/>
      <c r="O86" s="16"/>
      <c r="P86" s="16"/>
      <c r="Q86" s="16"/>
      <c r="R86" s="16"/>
    </row>
    <row r="87" spans="10:18" x14ac:dyDescent="0.2">
      <c r="J87" s="16"/>
      <c r="K87" s="16"/>
      <c r="L87" s="16"/>
      <c r="M87" s="16"/>
      <c r="N87" s="16"/>
      <c r="O87" s="16"/>
      <c r="P87" s="16"/>
      <c r="Q87" s="16"/>
      <c r="R87" s="16"/>
    </row>
    <row r="88" spans="10:18" x14ac:dyDescent="0.2">
      <c r="J88" s="16"/>
      <c r="K88" s="16"/>
      <c r="L88" s="16"/>
      <c r="M88" s="16"/>
      <c r="N88" s="16"/>
      <c r="O88" s="16"/>
      <c r="P88" s="16"/>
      <c r="Q88" s="16"/>
      <c r="R88" s="16"/>
    </row>
    <row r="89" spans="10:18" x14ac:dyDescent="0.2">
      <c r="J89" s="16"/>
      <c r="K89" s="16"/>
      <c r="L89" s="16"/>
      <c r="M89" s="16"/>
      <c r="N89" s="16"/>
      <c r="O89" s="16"/>
      <c r="P89" s="16"/>
      <c r="Q89" s="16"/>
      <c r="R89" s="16"/>
    </row>
    <row r="90" spans="10:18" x14ac:dyDescent="0.2">
      <c r="J90" s="16"/>
      <c r="K90" s="16"/>
      <c r="L90" s="16"/>
      <c r="M90" s="16"/>
      <c r="N90" s="16"/>
      <c r="O90" s="16"/>
      <c r="P90" s="16"/>
      <c r="Q90" s="16"/>
      <c r="R90" s="16"/>
    </row>
    <row r="91" spans="10:18" x14ac:dyDescent="0.2">
      <c r="J91" s="16"/>
      <c r="K91" s="16"/>
      <c r="L91" s="16"/>
      <c r="M91" s="16"/>
      <c r="N91" s="16"/>
      <c r="O91" s="16"/>
      <c r="P91" s="16"/>
      <c r="Q91" s="16"/>
      <c r="R91" s="16"/>
    </row>
    <row r="92" spans="10:18" x14ac:dyDescent="0.2">
      <c r="J92" s="16"/>
      <c r="K92" s="16"/>
      <c r="L92" s="16"/>
      <c r="M92" s="16"/>
      <c r="N92" s="16"/>
      <c r="O92" s="16"/>
      <c r="P92" s="16"/>
      <c r="Q92" s="16"/>
      <c r="R92" s="16"/>
    </row>
    <row r="93" spans="10:18" x14ac:dyDescent="0.2">
      <c r="J93" s="16"/>
      <c r="K93" s="16"/>
      <c r="L93" s="16"/>
      <c r="M93" s="16"/>
      <c r="N93" s="16"/>
      <c r="O93" s="16"/>
      <c r="P93" s="16"/>
      <c r="Q93" s="16"/>
      <c r="R93" s="16"/>
    </row>
    <row r="94" spans="10:18" x14ac:dyDescent="0.2">
      <c r="J94" s="16"/>
      <c r="K94" s="16"/>
      <c r="L94" s="16"/>
      <c r="M94" s="16"/>
      <c r="N94" s="16"/>
      <c r="O94" s="16"/>
      <c r="P94" s="16"/>
      <c r="Q94" s="16"/>
      <c r="R94" s="16"/>
    </row>
    <row r="95" spans="10:18" x14ac:dyDescent="0.2">
      <c r="J95" s="16"/>
      <c r="K95" s="16"/>
      <c r="L95" s="16"/>
      <c r="M95" s="16"/>
      <c r="N95" s="16"/>
      <c r="O95" s="16"/>
      <c r="P95" s="16"/>
      <c r="Q95" s="16"/>
      <c r="R95" s="16"/>
    </row>
    <row r="96" spans="10:18" x14ac:dyDescent="0.2">
      <c r="J96" s="16"/>
      <c r="K96" s="16"/>
      <c r="L96" s="16"/>
      <c r="M96" s="16"/>
      <c r="N96" s="16"/>
      <c r="O96" s="16"/>
      <c r="P96" s="16"/>
      <c r="Q96" s="16"/>
      <c r="R96" s="16"/>
    </row>
    <row r="97" spans="3:18" x14ac:dyDescent="0.2">
      <c r="J97" s="16"/>
      <c r="K97" s="16"/>
      <c r="L97" s="16"/>
      <c r="M97" s="16"/>
      <c r="N97" s="16"/>
      <c r="O97" s="16"/>
      <c r="P97" s="16"/>
      <c r="Q97" s="16"/>
      <c r="R97" s="16"/>
    </row>
    <row r="98" spans="3:18" x14ac:dyDescent="0.2">
      <c r="J98" s="16"/>
      <c r="K98" s="16"/>
      <c r="L98" s="16"/>
      <c r="M98" s="16"/>
      <c r="N98" s="16"/>
      <c r="O98" s="16"/>
      <c r="P98" s="16"/>
      <c r="Q98" s="16"/>
      <c r="R98" s="16"/>
    </row>
    <row r="99" spans="3:18" x14ac:dyDescent="0.2">
      <c r="J99" s="16"/>
      <c r="K99" s="16"/>
      <c r="L99" s="16"/>
      <c r="M99" s="16"/>
      <c r="N99" s="16"/>
      <c r="O99" s="16"/>
      <c r="P99" s="16"/>
      <c r="Q99" s="16"/>
      <c r="R99" s="16"/>
    </row>
    <row r="100" spans="3:18" x14ac:dyDescent="0.2">
      <c r="J100" s="16"/>
      <c r="K100" s="16"/>
      <c r="L100" s="16"/>
      <c r="M100" s="16"/>
      <c r="N100" s="16"/>
      <c r="O100" s="16"/>
      <c r="P100" s="16"/>
      <c r="Q100" s="16"/>
      <c r="R100" s="16"/>
    </row>
    <row r="101" spans="3:18" ht="15.75" x14ac:dyDescent="0.25">
      <c r="C101" s="10" t="s">
        <v>1383</v>
      </c>
      <c r="J101" s="16"/>
      <c r="K101" s="16"/>
      <c r="L101" s="16"/>
      <c r="M101" s="16"/>
      <c r="N101" s="16"/>
      <c r="O101" s="16"/>
      <c r="P101" s="16"/>
      <c r="Q101" s="16"/>
      <c r="R101" s="16"/>
    </row>
    <row r="102" spans="3:18" ht="15.75" x14ac:dyDescent="0.25">
      <c r="C102" s="11" t="s">
        <v>1384</v>
      </c>
      <c r="D102" s="4"/>
      <c r="E102" s="4"/>
      <c r="F102" s="4"/>
      <c r="J102" s="16"/>
      <c r="K102" s="16"/>
      <c r="L102" s="16"/>
      <c r="M102" s="16"/>
      <c r="N102" s="16"/>
      <c r="O102" s="16"/>
      <c r="P102" s="16"/>
      <c r="Q102" s="16"/>
      <c r="R102" s="16"/>
    </row>
    <row r="103" spans="3:18" x14ac:dyDescent="0.2">
      <c r="J103" s="16"/>
      <c r="K103" s="16"/>
      <c r="L103" s="16"/>
      <c r="M103" s="16"/>
      <c r="N103" s="16"/>
      <c r="O103" s="16"/>
      <c r="P103" s="16"/>
      <c r="Q103" s="16"/>
      <c r="R103" s="16"/>
    </row>
    <row r="104" spans="3:18" x14ac:dyDescent="0.2">
      <c r="J104" s="16"/>
      <c r="K104" s="16"/>
      <c r="L104" s="16"/>
      <c r="M104" s="16"/>
      <c r="N104" s="16"/>
      <c r="O104" s="16"/>
      <c r="P104" s="16"/>
      <c r="Q104" s="16"/>
      <c r="R104" s="16"/>
    </row>
    <row r="105" spans="3:18" x14ac:dyDescent="0.2">
      <c r="J105" s="16"/>
      <c r="K105" s="16"/>
      <c r="L105" s="16"/>
      <c r="M105" s="16"/>
      <c r="N105" s="16"/>
      <c r="O105" s="16"/>
      <c r="P105" s="16"/>
      <c r="Q105" s="16"/>
      <c r="R105" s="16"/>
    </row>
    <row r="106" spans="3:18" x14ac:dyDescent="0.2">
      <c r="J106" s="16"/>
      <c r="K106" s="16"/>
      <c r="L106" s="16"/>
      <c r="M106" s="16"/>
      <c r="N106" s="16"/>
      <c r="O106" s="16"/>
      <c r="P106" s="16"/>
      <c r="Q106" s="16"/>
      <c r="R106" s="16"/>
    </row>
    <row r="107" spans="3:18" x14ac:dyDescent="0.2">
      <c r="J107" s="16"/>
      <c r="K107" s="16"/>
      <c r="L107" s="16"/>
      <c r="M107" s="16"/>
      <c r="N107" s="16"/>
      <c r="O107" s="16"/>
      <c r="P107" s="16"/>
      <c r="Q107" s="16"/>
      <c r="R107" s="16"/>
    </row>
    <row r="108" spans="3:18" x14ac:dyDescent="0.2">
      <c r="J108" s="16"/>
      <c r="K108" s="16"/>
      <c r="L108" s="16"/>
      <c r="M108" s="16"/>
      <c r="N108" s="16"/>
      <c r="O108" s="16"/>
      <c r="P108" s="16"/>
      <c r="Q108" s="16"/>
      <c r="R108" s="16"/>
    </row>
    <row r="109" spans="3:18" x14ac:dyDescent="0.2">
      <c r="J109" s="16"/>
      <c r="K109" s="16"/>
      <c r="L109" s="16"/>
      <c r="M109" s="16"/>
      <c r="N109" s="16"/>
      <c r="O109" s="16"/>
      <c r="P109" s="16"/>
      <c r="Q109" s="16"/>
      <c r="R109" s="16"/>
    </row>
    <row r="110" spans="3:18" x14ac:dyDescent="0.2">
      <c r="J110" s="16"/>
      <c r="K110" s="16"/>
      <c r="L110" s="16"/>
      <c r="M110" s="16"/>
      <c r="N110" s="16"/>
      <c r="O110" s="16"/>
      <c r="P110" s="16"/>
      <c r="Q110" s="16"/>
      <c r="R110" s="16"/>
    </row>
    <row r="111" spans="3:18" x14ac:dyDescent="0.2">
      <c r="J111" s="16"/>
      <c r="K111" s="16"/>
      <c r="L111" s="16"/>
      <c r="M111" s="16"/>
      <c r="N111" s="16"/>
      <c r="O111" s="16"/>
      <c r="P111" s="16"/>
      <c r="Q111" s="16"/>
      <c r="R111" s="16"/>
    </row>
    <row r="112" spans="3:18" x14ac:dyDescent="0.2">
      <c r="J112" s="16"/>
      <c r="K112" s="16"/>
      <c r="L112" s="16"/>
      <c r="M112" s="16"/>
      <c r="N112" s="16"/>
      <c r="O112" s="16"/>
      <c r="P112" s="16"/>
      <c r="Q112" s="16"/>
      <c r="R112" s="16"/>
    </row>
    <row r="113" spans="1:18" x14ac:dyDescent="0.2">
      <c r="J113" s="16"/>
      <c r="K113" s="16"/>
      <c r="L113" s="16"/>
      <c r="M113" s="16"/>
      <c r="N113" s="16"/>
      <c r="O113" s="16"/>
      <c r="P113" s="16"/>
      <c r="Q113" s="16"/>
      <c r="R113" s="16"/>
    </row>
    <row r="114" spans="1:18" x14ac:dyDescent="0.2">
      <c r="J114" s="16"/>
      <c r="K114" s="16"/>
      <c r="L114" s="16"/>
      <c r="M114" s="16"/>
      <c r="N114" s="16"/>
      <c r="O114" s="16"/>
      <c r="P114" s="16"/>
      <c r="Q114" s="16"/>
      <c r="R114" s="16"/>
    </row>
    <row r="115" spans="1:18" x14ac:dyDescent="0.2">
      <c r="J115" s="16"/>
      <c r="K115" s="16"/>
      <c r="L115" s="16"/>
      <c r="M115" s="16"/>
      <c r="N115" s="16"/>
      <c r="O115" s="16"/>
      <c r="P115" s="16"/>
      <c r="Q115" s="16"/>
      <c r="R115" s="16"/>
    </row>
    <row r="116" spans="1:18" x14ac:dyDescent="0.2">
      <c r="J116" s="16"/>
      <c r="K116" s="16"/>
      <c r="L116" s="16"/>
      <c r="M116" s="16"/>
      <c r="N116" s="16"/>
      <c r="O116" s="16"/>
      <c r="P116" s="16"/>
      <c r="Q116" s="16"/>
      <c r="R116" s="16"/>
    </row>
    <row r="117" spans="1:18" x14ac:dyDescent="0.2">
      <c r="J117" s="16"/>
      <c r="K117" s="16"/>
      <c r="L117" s="16"/>
      <c r="M117" s="16"/>
      <c r="N117" s="16"/>
      <c r="O117" s="16"/>
      <c r="P117" s="16"/>
      <c r="Q117" s="16"/>
      <c r="R117" s="16"/>
    </row>
    <row r="118" spans="1:18" x14ac:dyDescent="0.2">
      <c r="J118" s="16"/>
      <c r="K118" s="16"/>
      <c r="L118" s="16"/>
      <c r="M118" s="16"/>
      <c r="N118" s="16"/>
      <c r="O118" s="16"/>
      <c r="P118" s="16"/>
      <c r="Q118" s="16"/>
      <c r="R118" s="16"/>
    </row>
    <row r="119" spans="1:18" x14ac:dyDescent="0.2">
      <c r="J119" s="16"/>
      <c r="K119" s="16"/>
      <c r="L119" s="16"/>
      <c r="M119" s="16"/>
      <c r="N119" s="16"/>
      <c r="O119" s="16"/>
      <c r="P119" s="16"/>
      <c r="Q119" s="16"/>
      <c r="R119" s="16"/>
    </row>
    <row r="120" spans="1:18" x14ac:dyDescent="0.2">
      <c r="J120" s="16"/>
      <c r="K120" s="16"/>
      <c r="L120" s="16"/>
      <c r="M120" s="16"/>
      <c r="N120" s="16"/>
      <c r="O120" s="16"/>
      <c r="P120" s="16"/>
      <c r="Q120" s="16"/>
      <c r="R120" s="16"/>
    </row>
    <row r="121" spans="1:18" x14ac:dyDescent="0.2">
      <c r="J121" s="16"/>
      <c r="K121" s="16"/>
      <c r="L121" s="16"/>
      <c r="M121" s="16"/>
      <c r="N121" s="16"/>
      <c r="O121" s="16"/>
      <c r="P121" s="16"/>
      <c r="Q121" s="16"/>
      <c r="R121" s="16"/>
    </row>
    <row r="122" spans="1:18" x14ac:dyDescent="0.2">
      <c r="J122" s="16"/>
      <c r="K122" s="16"/>
      <c r="L122" s="16"/>
      <c r="M122" s="16"/>
      <c r="N122" s="16"/>
      <c r="O122" s="16"/>
      <c r="P122" s="16"/>
      <c r="Q122" s="16"/>
      <c r="R122" s="16"/>
    </row>
    <row r="123" spans="1:18" x14ac:dyDescent="0.2">
      <c r="J123" s="16"/>
      <c r="K123" s="16"/>
      <c r="L123" s="16"/>
      <c r="M123" s="16"/>
      <c r="N123" s="16"/>
      <c r="O123" s="16"/>
      <c r="P123" s="16"/>
      <c r="Q123" s="16"/>
      <c r="R123" s="16"/>
    </row>
    <row r="124" spans="1:18" x14ac:dyDescent="0.2">
      <c r="J124" s="16"/>
      <c r="K124" s="16"/>
      <c r="L124" s="16"/>
      <c r="M124" s="16"/>
      <c r="N124" s="16"/>
      <c r="O124" s="16"/>
      <c r="P124" s="16"/>
      <c r="Q124" s="16"/>
      <c r="R124" s="16"/>
    </row>
    <row r="125" spans="1:18" x14ac:dyDescent="0.2">
      <c r="J125" s="16"/>
      <c r="K125" s="16"/>
      <c r="L125" s="16"/>
      <c r="M125" s="16"/>
      <c r="N125" s="16"/>
      <c r="O125" s="16"/>
      <c r="P125" s="16"/>
      <c r="Q125" s="16"/>
      <c r="R125" s="16"/>
    </row>
    <row r="126" spans="1:18" ht="15.75" x14ac:dyDescent="0.25">
      <c r="A126" s="4"/>
      <c r="J126" s="16"/>
      <c r="K126" s="16"/>
      <c r="L126" s="16"/>
      <c r="M126" s="16"/>
      <c r="N126" s="16"/>
      <c r="O126" s="16"/>
      <c r="P126" s="16"/>
      <c r="Q126" s="16"/>
      <c r="R126" s="16"/>
    </row>
    <row r="127" spans="1:18" x14ac:dyDescent="0.2">
      <c r="J127" s="16"/>
      <c r="K127" s="16"/>
      <c r="L127" s="16"/>
      <c r="M127" s="16"/>
      <c r="N127" s="16"/>
      <c r="O127" s="16"/>
      <c r="P127" s="16"/>
      <c r="Q127" s="16"/>
      <c r="R127" s="16"/>
    </row>
    <row r="128" spans="1:18" x14ac:dyDescent="0.2">
      <c r="J128" s="16"/>
      <c r="K128" s="16"/>
      <c r="L128" s="16"/>
      <c r="M128" s="16"/>
      <c r="N128" s="16"/>
      <c r="O128" s="16"/>
      <c r="P128" s="16"/>
      <c r="Q128" s="16"/>
      <c r="R128" s="16"/>
    </row>
    <row r="129" spans="10:18" x14ac:dyDescent="0.2">
      <c r="J129" s="16"/>
      <c r="K129" s="16"/>
      <c r="L129" s="16"/>
      <c r="M129" s="16"/>
      <c r="N129" s="16"/>
      <c r="O129" s="16"/>
      <c r="P129" s="16"/>
      <c r="Q129" s="16"/>
      <c r="R129" s="16"/>
    </row>
    <row r="130" spans="10:18" x14ac:dyDescent="0.2">
      <c r="J130" s="16"/>
      <c r="K130" s="16"/>
      <c r="L130" s="16"/>
      <c r="M130" s="16"/>
      <c r="N130" s="16"/>
      <c r="O130" s="16"/>
      <c r="P130" s="16"/>
      <c r="Q130" s="16"/>
      <c r="R130" s="16"/>
    </row>
    <row r="131" spans="10:18" x14ac:dyDescent="0.2">
      <c r="J131" s="16"/>
      <c r="K131" s="16"/>
      <c r="L131" s="16"/>
      <c r="M131" s="16"/>
      <c r="N131" s="16"/>
      <c r="O131" s="16"/>
      <c r="P131" s="16"/>
      <c r="Q131" s="16"/>
      <c r="R131" s="16"/>
    </row>
    <row r="132" spans="10:18" x14ac:dyDescent="0.2">
      <c r="J132" s="16"/>
      <c r="K132" s="16"/>
      <c r="L132" s="16"/>
      <c r="M132" s="16"/>
      <c r="N132" s="16"/>
      <c r="O132" s="16"/>
      <c r="P132" s="16"/>
      <c r="Q132" s="16"/>
      <c r="R132" s="16"/>
    </row>
    <row r="133" spans="10:18" x14ac:dyDescent="0.2">
      <c r="J133" s="16"/>
      <c r="K133" s="16"/>
      <c r="L133" s="16"/>
      <c r="M133" s="16"/>
      <c r="N133" s="16"/>
      <c r="O133" s="16"/>
      <c r="P133" s="16"/>
      <c r="Q133" s="16"/>
      <c r="R133" s="16"/>
    </row>
    <row r="134" spans="10:18" x14ac:dyDescent="0.2">
      <c r="J134" s="16"/>
      <c r="K134" s="16"/>
      <c r="L134" s="16"/>
      <c r="M134" s="16"/>
      <c r="N134" s="16"/>
      <c r="O134" s="16"/>
      <c r="P134" s="16"/>
      <c r="Q134" s="16"/>
      <c r="R134" s="16"/>
    </row>
    <row r="135" spans="10:18" x14ac:dyDescent="0.2">
      <c r="J135" s="16"/>
      <c r="K135" s="16"/>
      <c r="L135" s="16"/>
      <c r="M135" s="16"/>
      <c r="N135" s="16"/>
      <c r="O135" s="16"/>
      <c r="P135" s="16"/>
      <c r="Q135" s="16"/>
      <c r="R135" s="16"/>
    </row>
    <row r="136" spans="10:18" x14ac:dyDescent="0.2">
      <c r="J136" s="16"/>
      <c r="K136" s="16"/>
      <c r="L136" s="16"/>
      <c r="M136" s="16"/>
      <c r="N136" s="16"/>
      <c r="O136" s="16"/>
      <c r="P136" s="16"/>
      <c r="Q136" s="16"/>
      <c r="R136" s="16"/>
    </row>
    <row r="137" spans="10:18" x14ac:dyDescent="0.2">
      <c r="J137" s="16"/>
      <c r="K137" s="16"/>
      <c r="L137" s="16"/>
      <c r="M137" s="16"/>
      <c r="N137" s="16"/>
      <c r="O137" s="16"/>
      <c r="P137" s="16"/>
      <c r="Q137" s="16"/>
      <c r="R137" s="16"/>
    </row>
    <row r="138" spans="10:18" x14ac:dyDescent="0.2">
      <c r="J138" s="16"/>
      <c r="K138" s="16"/>
      <c r="L138" s="16"/>
      <c r="M138" s="16"/>
      <c r="N138" s="16"/>
      <c r="O138" s="16"/>
      <c r="P138" s="16"/>
      <c r="Q138" s="16"/>
      <c r="R138" s="16"/>
    </row>
    <row r="139" spans="10:18" x14ac:dyDescent="0.2">
      <c r="J139" s="16"/>
      <c r="K139" s="16"/>
      <c r="L139" s="16"/>
      <c r="M139" s="16"/>
      <c r="N139" s="16"/>
      <c r="O139" s="16"/>
      <c r="P139" s="16"/>
      <c r="Q139" s="16"/>
      <c r="R139" s="16"/>
    </row>
    <row r="140" spans="10:18" x14ac:dyDescent="0.2">
      <c r="J140" s="16"/>
      <c r="K140" s="16"/>
      <c r="L140" s="16"/>
      <c r="M140" s="16"/>
      <c r="N140" s="16"/>
      <c r="O140" s="16"/>
      <c r="P140" s="16"/>
      <c r="Q140" s="16"/>
      <c r="R140" s="16"/>
    </row>
    <row r="141" spans="10:18" x14ac:dyDescent="0.2">
      <c r="J141" s="16"/>
      <c r="K141" s="16"/>
      <c r="L141" s="16"/>
      <c r="M141" s="16"/>
      <c r="N141" s="16"/>
      <c r="O141" s="16"/>
      <c r="P141" s="16"/>
      <c r="Q141" s="16"/>
      <c r="R141" s="16"/>
    </row>
    <row r="142" spans="10:18" x14ac:dyDescent="0.2">
      <c r="J142" s="16"/>
      <c r="K142" s="16"/>
      <c r="L142" s="16"/>
      <c r="M142" s="16"/>
      <c r="N142" s="16"/>
      <c r="O142" s="16"/>
      <c r="P142" s="16"/>
      <c r="Q142" s="16"/>
      <c r="R142" s="16"/>
    </row>
    <row r="143" spans="10:18" x14ac:dyDescent="0.2">
      <c r="J143" s="16"/>
      <c r="K143" s="16"/>
      <c r="L143" s="16"/>
      <c r="M143" s="16"/>
      <c r="N143" s="16"/>
      <c r="O143" s="16"/>
      <c r="P143" s="16"/>
      <c r="Q143" s="16"/>
      <c r="R143" s="16"/>
    </row>
    <row r="144" spans="10:18" x14ac:dyDescent="0.2">
      <c r="J144" s="16"/>
      <c r="K144" s="16"/>
      <c r="L144" s="16"/>
      <c r="M144" s="16"/>
      <c r="N144" s="16"/>
      <c r="O144" s="16"/>
      <c r="P144" s="16"/>
      <c r="Q144" s="16"/>
      <c r="R144" s="16"/>
    </row>
    <row r="145" spans="10:18" x14ac:dyDescent="0.2">
      <c r="J145" s="16"/>
      <c r="K145" s="16"/>
      <c r="L145" s="16"/>
      <c r="M145" s="16"/>
      <c r="N145" s="16"/>
      <c r="O145" s="16"/>
      <c r="P145" s="16"/>
      <c r="Q145" s="16"/>
      <c r="R145" s="16"/>
    </row>
    <row r="146" spans="10:18" x14ac:dyDescent="0.2">
      <c r="J146" s="16"/>
      <c r="K146" s="16"/>
      <c r="L146" s="16"/>
      <c r="M146" s="16"/>
      <c r="N146" s="16"/>
      <c r="O146" s="16"/>
      <c r="P146" s="16"/>
      <c r="Q146" s="16"/>
      <c r="R146" s="16"/>
    </row>
    <row r="147" spans="10:18" x14ac:dyDescent="0.2">
      <c r="J147" s="16"/>
      <c r="K147" s="16"/>
      <c r="L147" s="16"/>
      <c r="M147" s="16"/>
      <c r="N147" s="16"/>
      <c r="O147" s="16"/>
      <c r="P147" s="16"/>
      <c r="Q147" s="16"/>
      <c r="R147" s="16"/>
    </row>
    <row r="148" spans="10:18" x14ac:dyDescent="0.2">
      <c r="J148" s="16"/>
      <c r="K148" s="16"/>
      <c r="L148" s="16"/>
      <c r="M148" s="16"/>
      <c r="N148" s="16"/>
      <c r="O148" s="16"/>
      <c r="P148" s="16"/>
      <c r="Q148" s="16"/>
      <c r="R148" s="16"/>
    </row>
    <row r="149" spans="10:18" x14ac:dyDescent="0.2">
      <c r="J149" s="16"/>
      <c r="K149" s="16"/>
      <c r="L149" s="16"/>
      <c r="M149" s="16"/>
      <c r="N149" s="16"/>
      <c r="O149" s="16"/>
      <c r="P149" s="16"/>
      <c r="Q149" s="16"/>
      <c r="R149" s="16"/>
    </row>
    <row r="150" spans="10:18" x14ac:dyDescent="0.2">
      <c r="J150" s="16"/>
      <c r="K150" s="16"/>
      <c r="L150" s="16"/>
      <c r="M150" s="16"/>
      <c r="N150" s="16"/>
      <c r="O150" s="16"/>
      <c r="P150" s="16"/>
      <c r="Q150" s="16"/>
      <c r="R150" s="16"/>
    </row>
    <row r="151" spans="10:18" x14ac:dyDescent="0.2">
      <c r="J151" s="16"/>
      <c r="K151" s="16"/>
      <c r="L151" s="16"/>
      <c r="M151" s="16"/>
      <c r="N151" s="16"/>
      <c r="O151" s="16"/>
      <c r="P151" s="16"/>
      <c r="Q151" s="16"/>
      <c r="R151" s="16"/>
    </row>
    <row r="152" spans="10:18" x14ac:dyDescent="0.2">
      <c r="J152" s="16"/>
      <c r="K152" s="16"/>
      <c r="L152" s="16"/>
      <c r="M152" s="16"/>
      <c r="N152" s="16"/>
      <c r="O152" s="16"/>
      <c r="P152" s="16"/>
      <c r="Q152" s="16"/>
      <c r="R152" s="16"/>
    </row>
    <row r="153" spans="10:18" x14ac:dyDescent="0.2">
      <c r="J153" s="16"/>
      <c r="K153" s="16"/>
      <c r="L153" s="16"/>
      <c r="M153" s="16"/>
      <c r="N153" s="16"/>
      <c r="O153" s="16"/>
      <c r="P153" s="16"/>
      <c r="Q153" s="16"/>
      <c r="R153" s="16"/>
    </row>
    <row r="154" spans="10:18" x14ac:dyDescent="0.2">
      <c r="J154" s="16"/>
      <c r="K154" s="16"/>
      <c r="L154" s="16"/>
      <c r="M154" s="16"/>
      <c r="N154" s="16"/>
      <c r="O154" s="16"/>
      <c r="P154" s="16"/>
      <c r="Q154" s="16"/>
      <c r="R154" s="16"/>
    </row>
    <row r="155" spans="10:18" x14ac:dyDescent="0.2">
      <c r="J155" s="16"/>
      <c r="K155" s="16"/>
      <c r="L155" s="16"/>
      <c r="M155" s="16"/>
      <c r="N155" s="16"/>
      <c r="O155" s="16"/>
      <c r="P155" s="16"/>
      <c r="Q155" s="16"/>
      <c r="R155" s="16"/>
    </row>
    <row r="156" spans="10:18" x14ac:dyDescent="0.2">
      <c r="J156" s="16"/>
      <c r="K156" s="16"/>
      <c r="L156" s="16"/>
      <c r="M156" s="16"/>
      <c r="N156" s="16"/>
      <c r="O156" s="16"/>
      <c r="P156" s="16"/>
      <c r="Q156" s="16"/>
      <c r="R156" s="16"/>
    </row>
    <row r="157" spans="10:18" x14ac:dyDescent="0.2">
      <c r="J157" s="16"/>
      <c r="K157" s="16"/>
      <c r="L157" s="16"/>
      <c r="M157" s="16"/>
      <c r="N157" s="16"/>
      <c r="O157" s="16"/>
      <c r="P157" s="16"/>
      <c r="Q157" s="16"/>
      <c r="R157" s="16"/>
    </row>
    <row r="158" spans="10:18" x14ac:dyDescent="0.2">
      <c r="J158" s="16"/>
      <c r="K158" s="16"/>
      <c r="L158" s="16"/>
      <c r="M158" s="16"/>
      <c r="N158" s="16"/>
      <c r="O158" s="16"/>
      <c r="P158" s="16"/>
      <c r="Q158" s="16"/>
      <c r="R158" s="16"/>
    </row>
    <row r="159" spans="10:18" x14ac:dyDescent="0.2">
      <c r="J159" s="16"/>
      <c r="K159" s="16"/>
      <c r="L159" s="16"/>
      <c r="M159" s="16"/>
      <c r="N159" s="16"/>
      <c r="O159" s="16"/>
      <c r="P159" s="16"/>
      <c r="Q159" s="16"/>
      <c r="R159" s="16"/>
    </row>
    <row r="160" spans="10:18" x14ac:dyDescent="0.2">
      <c r="J160" s="16"/>
      <c r="K160" s="16"/>
      <c r="L160" s="16"/>
      <c r="M160" s="16"/>
      <c r="N160" s="16"/>
      <c r="O160" s="16"/>
      <c r="P160" s="16"/>
      <c r="Q160" s="16"/>
      <c r="R160" s="16"/>
    </row>
    <row r="161" spans="10:18" x14ac:dyDescent="0.2">
      <c r="J161" s="16"/>
      <c r="K161" s="16"/>
      <c r="L161" s="16"/>
      <c r="M161" s="16"/>
      <c r="N161" s="16"/>
      <c r="O161" s="16"/>
      <c r="P161" s="16"/>
      <c r="Q161" s="16"/>
      <c r="R161" s="16"/>
    </row>
    <row r="162" spans="10:18" x14ac:dyDescent="0.2">
      <c r="J162" s="16"/>
      <c r="K162" s="16"/>
      <c r="L162" s="16"/>
      <c r="M162" s="16"/>
      <c r="N162" s="16"/>
      <c r="O162" s="16"/>
      <c r="P162" s="16"/>
      <c r="Q162" s="16"/>
      <c r="R162" s="16"/>
    </row>
    <row r="163" spans="10:18" x14ac:dyDescent="0.2">
      <c r="J163" s="16"/>
      <c r="K163" s="16"/>
      <c r="L163" s="16"/>
      <c r="M163" s="16"/>
      <c r="N163" s="16"/>
      <c r="O163" s="16"/>
      <c r="P163" s="16"/>
      <c r="Q163" s="16"/>
      <c r="R163" s="16"/>
    </row>
    <row r="164" spans="10:18" x14ac:dyDescent="0.2">
      <c r="J164" s="16"/>
      <c r="K164" s="16"/>
      <c r="L164" s="16"/>
      <c r="M164" s="16"/>
      <c r="N164" s="16"/>
      <c r="O164" s="16"/>
      <c r="P164" s="16"/>
      <c r="Q164" s="16"/>
      <c r="R164" s="16"/>
    </row>
    <row r="165" spans="10:18" x14ac:dyDescent="0.2">
      <c r="J165" s="16"/>
      <c r="K165" s="16"/>
      <c r="L165" s="16"/>
      <c r="M165" s="16"/>
      <c r="N165" s="16"/>
      <c r="O165" s="16"/>
      <c r="P165" s="16"/>
      <c r="Q165" s="16"/>
      <c r="R165" s="16"/>
    </row>
    <row r="166" spans="10:18" x14ac:dyDescent="0.2">
      <c r="J166" s="16"/>
      <c r="K166" s="16"/>
      <c r="L166" s="16"/>
      <c r="M166" s="16"/>
      <c r="N166" s="16"/>
      <c r="O166" s="16"/>
      <c r="P166" s="16"/>
      <c r="Q166" s="16"/>
      <c r="R166" s="16"/>
    </row>
    <row r="167" spans="10:18" x14ac:dyDescent="0.2">
      <c r="J167" s="16"/>
      <c r="K167" s="16"/>
      <c r="L167" s="16"/>
      <c r="M167" s="16"/>
      <c r="N167" s="16"/>
      <c r="O167" s="16"/>
      <c r="P167" s="16"/>
      <c r="Q167" s="16"/>
      <c r="R167" s="16"/>
    </row>
    <row r="168" spans="10:18" x14ac:dyDescent="0.2">
      <c r="J168" s="16"/>
      <c r="K168" s="16"/>
      <c r="L168" s="16"/>
      <c r="M168" s="16"/>
      <c r="N168" s="16"/>
      <c r="O168" s="16"/>
      <c r="P168" s="16"/>
      <c r="Q168" s="16"/>
      <c r="R168" s="16"/>
    </row>
    <row r="169" spans="10:18" x14ac:dyDescent="0.2">
      <c r="J169" s="16"/>
      <c r="K169" s="16"/>
      <c r="L169" s="16"/>
      <c r="M169" s="16"/>
      <c r="N169" s="16"/>
      <c r="O169" s="16"/>
      <c r="P169" s="16"/>
      <c r="Q169" s="16"/>
      <c r="R169" s="16"/>
    </row>
    <row r="170" spans="10:18" x14ac:dyDescent="0.2">
      <c r="J170" s="16"/>
      <c r="K170" s="16"/>
      <c r="L170" s="16"/>
      <c r="M170" s="16"/>
      <c r="N170" s="16"/>
      <c r="O170" s="16"/>
      <c r="P170" s="16"/>
      <c r="Q170" s="16"/>
      <c r="R170" s="16"/>
    </row>
    <row r="171" spans="10:18" x14ac:dyDescent="0.2">
      <c r="J171" s="16"/>
      <c r="K171" s="16"/>
      <c r="L171" s="16"/>
      <c r="M171" s="16"/>
      <c r="N171" s="16"/>
      <c r="O171" s="16"/>
      <c r="P171" s="16"/>
      <c r="Q171" s="16"/>
      <c r="R171" s="16"/>
    </row>
    <row r="172" spans="10:18" x14ac:dyDescent="0.2">
      <c r="J172" s="16"/>
      <c r="K172" s="16"/>
      <c r="L172" s="16"/>
      <c r="M172" s="16"/>
      <c r="N172" s="16"/>
      <c r="O172" s="16"/>
      <c r="P172" s="16"/>
      <c r="Q172" s="16"/>
      <c r="R172" s="16"/>
    </row>
    <row r="173" spans="10:18" x14ac:dyDescent="0.2">
      <c r="J173" s="16"/>
      <c r="K173" s="16"/>
      <c r="L173" s="16"/>
      <c r="M173" s="16"/>
      <c r="N173" s="16"/>
      <c r="O173" s="16"/>
      <c r="P173" s="16"/>
      <c r="Q173" s="16"/>
      <c r="R173" s="16"/>
    </row>
    <row r="174" spans="10:18" x14ac:dyDescent="0.2">
      <c r="J174" s="16"/>
      <c r="K174" s="16"/>
      <c r="L174" s="16"/>
      <c r="M174" s="16"/>
      <c r="N174" s="16"/>
      <c r="O174" s="16"/>
      <c r="P174" s="16"/>
      <c r="Q174" s="16"/>
      <c r="R174" s="16"/>
    </row>
    <row r="175" spans="10:18" x14ac:dyDescent="0.2">
      <c r="J175" s="16"/>
      <c r="K175" s="16"/>
      <c r="L175" s="16"/>
      <c r="M175" s="16"/>
      <c r="N175" s="16"/>
      <c r="O175" s="16"/>
      <c r="P175" s="16"/>
      <c r="Q175" s="16"/>
      <c r="R175" s="16"/>
    </row>
    <row r="176" spans="10:18" x14ac:dyDescent="0.2">
      <c r="J176" s="16"/>
      <c r="K176" s="16"/>
      <c r="L176" s="16"/>
      <c r="M176" s="16"/>
      <c r="N176" s="16"/>
      <c r="O176" s="16"/>
      <c r="P176" s="16"/>
      <c r="Q176" s="16"/>
      <c r="R176" s="16"/>
    </row>
    <row r="177" spans="10:18" x14ac:dyDescent="0.2">
      <c r="J177" s="16"/>
      <c r="K177" s="16"/>
      <c r="L177" s="16"/>
      <c r="M177" s="16"/>
      <c r="N177" s="16"/>
      <c r="O177" s="16"/>
      <c r="P177" s="16"/>
      <c r="Q177" s="16"/>
      <c r="R177" s="16"/>
    </row>
    <row r="178" spans="10:18" x14ac:dyDescent="0.2">
      <c r="J178" s="16"/>
      <c r="K178" s="16"/>
      <c r="L178" s="16"/>
      <c r="M178" s="16"/>
      <c r="N178" s="16"/>
      <c r="O178" s="16"/>
      <c r="P178" s="16"/>
      <c r="Q178" s="16"/>
      <c r="R178" s="16"/>
    </row>
    <row r="179" spans="10:18" x14ac:dyDescent="0.2">
      <c r="J179" s="16"/>
      <c r="K179" s="16"/>
      <c r="L179" s="16"/>
      <c r="M179" s="16"/>
      <c r="N179" s="16"/>
      <c r="O179" s="16"/>
      <c r="P179" s="16"/>
      <c r="Q179" s="16"/>
      <c r="R179" s="16"/>
    </row>
    <row r="180" spans="10:18" x14ac:dyDescent="0.2">
      <c r="J180" s="16"/>
      <c r="K180" s="16"/>
      <c r="L180" s="16"/>
      <c r="M180" s="16"/>
      <c r="N180" s="16"/>
      <c r="O180" s="16"/>
      <c r="P180" s="16"/>
      <c r="Q180" s="16"/>
      <c r="R180" s="16"/>
    </row>
    <row r="181" spans="10:18" x14ac:dyDescent="0.2">
      <c r="J181" s="16"/>
      <c r="K181" s="16"/>
      <c r="L181" s="16"/>
      <c r="M181" s="16"/>
      <c r="N181" s="16"/>
      <c r="O181" s="16"/>
      <c r="P181" s="16"/>
      <c r="Q181" s="16"/>
      <c r="R181" s="16"/>
    </row>
    <row r="182" spans="10:18" x14ac:dyDescent="0.2">
      <c r="J182" s="16"/>
      <c r="K182" s="16"/>
      <c r="L182" s="16"/>
      <c r="M182" s="16"/>
      <c r="N182" s="16"/>
      <c r="O182" s="16"/>
      <c r="P182" s="16"/>
      <c r="Q182" s="16"/>
      <c r="R182" s="16"/>
    </row>
    <row r="183" spans="10:18" x14ac:dyDescent="0.2">
      <c r="J183" s="16"/>
      <c r="K183" s="16"/>
      <c r="L183" s="16"/>
      <c r="M183" s="16"/>
      <c r="N183" s="16"/>
      <c r="O183" s="16"/>
      <c r="P183" s="16"/>
      <c r="Q183" s="16"/>
      <c r="R183" s="16"/>
    </row>
    <row r="184" spans="10:18" x14ac:dyDescent="0.2">
      <c r="J184" s="16"/>
      <c r="K184" s="16"/>
      <c r="L184" s="16"/>
      <c r="M184" s="16"/>
      <c r="N184" s="16"/>
      <c r="O184" s="16"/>
      <c r="P184" s="16"/>
      <c r="Q184" s="16"/>
      <c r="R184" s="16"/>
    </row>
    <row r="185" spans="10:18" x14ac:dyDescent="0.2">
      <c r="J185" s="16"/>
      <c r="K185" s="16"/>
      <c r="L185" s="16"/>
      <c r="M185" s="16"/>
      <c r="N185" s="16"/>
      <c r="O185" s="16"/>
      <c r="P185" s="16"/>
      <c r="Q185" s="16"/>
      <c r="R185" s="16"/>
    </row>
    <row r="186" spans="10:18" x14ac:dyDescent="0.2">
      <c r="J186" s="16"/>
      <c r="K186" s="16"/>
      <c r="L186" s="16"/>
      <c r="M186" s="16"/>
      <c r="N186" s="16"/>
      <c r="O186" s="16"/>
      <c r="P186" s="16"/>
      <c r="Q186" s="16"/>
      <c r="R186" s="16"/>
    </row>
    <row r="187" spans="10:18" x14ac:dyDescent="0.2">
      <c r="J187" s="16"/>
      <c r="K187" s="16"/>
      <c r="L187" s="16"/>
      <c r="M187" s="16"/>
      <c r="N187" s="16"/>
      <c r="O187" s="16"/>
      <c r="P187" s="16"/>
      <c r="Q187" s="16"/>
      <c r="R187" s="16"/>
    </row>
    <row r="188" spans="10:18" x14ac:dyDescent="0.2">
      <c r="J188" s="16"/>
      <c r="K188" s="16"/>
      <c r="L188" s="16"/>
      <c r="M188" s="16"/>
      <c r="N188" s="16"/>
      <c r="O188" s="16"/>
      <c r="P188" s="16"/>
      <c r="Q188" s="16"/>
      <c r="R188" s="16"/>
    </row>
    <row r="189" spans="10:18" x14ac:dyDescent="0.2">
      <c r="J189" s="16"/>
      <c r="K189" s="16"/>
      <c r="L189" s="16"/>
      <c r="M189" s="16"/>
      <c r="N189" s="16"/>
      <c r="O189" s="16"/>
      <c r="P189" s="16"/>
      <c r="Q189" s="16"/>
      <c r="R189" s="16"/>
    </row>
    <row r="190" spans="10:18" x14ac:dyDescent="0.2">
      <c r="J190" s="16"/>
      <c r="K190" s="16"/>
      <c r="L190" s="16"/>
      <c r="M190" s="16"/>
      <c r="N190" s="16"/>
      <c r="O190" s="16"/>
      <c r="P190" s="16"/>
      <c r="Q190" s="16"/>
      <c r="R190" s="16"/>
    </row>
    <row r="191" spans="10:18" x14ac:dyDescent="0.2">
      <c r="J191" s="16"/>
      <c r="K191" s="16"/>
      <c r="L191" s="16"/>
      <c r="M191" s="16"/>
      <c r="N191" s="16"/>
      <c r="O191" s="16"/>
      <c r="P191" s="16"/>
      <c r="Q191" s="16"/>
      <c r="R191" s="16"/>
    </row>
    <row r="192" spans="10:18" x14ac:dyDescent="0.2">
      <c r="J192" s="16"/>
      <c r="K192" s="16"/>
      <c r="L192" s="16"/>
      <c r="M192" s="16"/>
      <c r="N192" s="16"/>
      <c r="O192" s="16"/>
      <c r="P192" s="16"/>
      <c r="Q192" s="16"/>
      <c r="R192" s="16"/>
    </row>
    <row r="193" spans="10:18" x14ac:dyDescent="0.2">
      <c r="J193" s="16"/>
      <c r="K193" s="16"/>
      <c r="L193" s="16"/>
      <c r="M193" s="16"/>
      <c r="N193" s="16"/>
      <c r="O193" s="16"/>
      <c r="P193" s="16"/>
      <c r="Q193" s="16"/>
      <c r="R193" s="16"/>
    </row>
    <row r="194" spans="10:18" x14ac:dyDescent="0.2">
      <c r="J194" s="16"/>
      <c r="K194" s="16"/>
      <c r="L194" s="16"/>
      <c r="M194" s="16"/>
      <c r="N194" s="16"/>
      <c r="O194" s="16"/>
      <c r="P194" s="16"/>
      <c r="Q194" s="16"/>
      <c r="R194" s="16"/>
    </row>
    <row r="195" spans="10:18" x14ac:dyDescent="0.2">
      <c r="J195" s="16"/>
      <c r="K195" s="16"/>
      <c r="L195" s="16"/>
      <c r="M195" s="16"/>
      <c r="N195" s="16"/>
      <c r="O195" s="16"/>
      <c r="P195" s="16"/>
      <c r="Q195" s="16"/>
      <c r="R195" s="16"/>
    </row>
    <row r="196" spans="10:18" x14ac:dyDescent="0.2">
      <c r="J196" s="16"/>
      <c r="K196" s="16"/>
      <c r="L196" s="16"/>
      <c r="M196" s="16"/>
      <c r="N196" s="16"/>
      <c r="O196" s="16"/>
      <c r="P196" s="16"/>
      <c r="Q196" s="16"/>
      <c r="R196" s="16"/>
    </row>
    <row r="197" spans="10:18" x14ac:dyDescent="0.2">
      <c r="J197" s="16"/>
      <c r="K197" s="16"/>
      <c r="L197" s="16"/>
      <c r="M197" s="16"/>
      <c r="N197" s="16"/>
      <c r="O197" s="16"/>
      <c r="P197" s="16"/>
      <c r="Q197" s="16"/>
      <c r="R197" s="16"/>
    </row>
    <row r="198" spans="10:18" x14ac:dyDescent="0.2">
      <c r="J198" s="16"/>
      <c r="K198" s="16"/>
      <c r="L198" s="16"/>
      <c r="M198" s="16"/>
      <c r="N198" s="16"/>
      <c r="O198" s="16"/>
      <c r="P198" s="16"/>
      <c r="Q198" s="16"/>
      <c r="R198" s="16"/>
    </row>
    <row r="199" spans="10:18" x14ac:dyDescent="0.2">
      <c r="J199" s="16"/>
      <c r="K199" s="16"/>
      <c r="L199" s="16"/>
      <c r="M199" s="16"/>
      <c r="N199" s="16"/>
      <c r="O199" s="16"/>
      <c r="P199" s="16"/>
      <c r="Q199" s="16"/>
      <c r="R199" s="16"/>
    </row>
    <row r="200" spans="10:18" x14ac:dyDescent="0.2">
      <c r="J200" s="16"/>
      <c r="K200" s="16"/>
      <c r="L200" s="16"/>
      <c r="M200" s="16"/>
      <c r="N200" s="16"/>
      <c r="O200" s="16"/>
      <c r="P200" s="16"/>
      <c r="Q200" s="16"/>
      <c r="R200" s="16"/>
    </row>
    <row r="201" spans="10:18" x14ac:dyDescent="0.2">
      <c r="J201" s="16"/>
      <c r="K201" s="16"/>
      <c r="L201" s="16"/>
      <c r="M201" s="16"/>
      <c r="N201" s="16"/>
      <c r="O201" s="16"/>
      <c r="P201" s="16"/>
      <c r="Q201" s="16"/>
      <c r="R201" s="16"/>
    </row>
    <row r="202" spans="10:18" x14ac:dyDescent="0.2">
      <c r="J202" s="16"/>
      <c r="K202" s="16"/>
      <c r="L202" s="16"/>
      <c r="M202" s="16"/>
      <c r="N202" s="16"/>
      <c r="O202" s="16"/>
      <c r="P202" s="16"/>
      <c r="Q202" s="16"/>
      <c r="R202" s="16"/>
    </row>
    <row r="203" spans="10:18" x14ac:dyDescent="0.2">
      <c r="J203" s="16"/>
      <c r="K203" s="16"/>
      <c r="L203" s="16"/>
      <c r="M203" s="16"/>
      <c r="N203" s="16"/>
      <c r="O203" s="16"/>
      <c r="P203" s="16"/>
      <c r="Q203" s="16"/>
      <c r="R203" s="16"/>
    </row>
    <row r="204" spans="10:18" x14ac:dyDescent="0.2">
      <c r="J204" s="16"/>
      <c r="K204" s="16"/>
      <c r="L204" s="16"/>
      <c r="M204" s="16"/>
      <c r="N204" s="16"/>
      <c r="O204" s="16"/>
      <c r="P204" s="16"/>
      <c r="Q204" s="16"/>
      <c r="R204" s="16"/>
    </row>
    <row r="205" spans="10:18" x14ac:dyDescent="0.2">
      <c r="J205" s="16"/>
      <c r="K205" s="16"/>
      <c r="L205" s="16"/>
      <c r="M205" s="16"/>
      <c r="N205" s="16"/>
      <c r="O205" s="16"/>
      <c r="P205" s="16"/>
      <c r="Q205" s="16"/>
      <c r="R205" s="16"/>
    </row>
    <row r="206" spans="10:18" x14ac:dyDescent="0.2">
      <c r="J206" s="16"/>
      <c r="K206" s="16"/>
      <c r="L206" s="16"/>
      <c r="M206" s="16"/>
      <c r="N206" s="16"/>
      <c r="O206" s="16"/>
      <c r="P206" s="16"/>
      <c r="Q206" s="16"/>
      <c r="R206" s="16"/>
    </row>
    <row r="207" spans="10:18" x14ac:dyDescent="0.2">
      <c r="J207" s="16"/>
      <c r="K207" s="16"/>
      <c r="L207" s="16"/>
      <c r="M207" s="16"/>
      <c r="N207" s="16"/>
      <c r="O207" s="16"/>
      <c r="P207" s="16"/>
      <c r="Q207" s="16"/>
      <c r="R207" s="16"/>
    </row>
    <row r="208" spans="10:18" x14ac:dyDescent="0.2">
      <c r="J208" s="16"/>
      <c r="K208" s="16"/>
      <c r="L208" s="16"/>
      <c r="M208" s="16"/>
      <c r="N208" s="16"/>
      <c r="O208" s="16"/>
      <c r="P208" s="16"/>
      <c r="Q208" s="16"/>
      <c r="R208" s="16"/>
    </row>
    <row r="209" spans="10:18" x14ac:dyDescent="0.2">
      <c r="J209" s="16"/>
      <c r="K209" s="16"/>
      <c r="L209" s="16"/>
      <c r="M209" s="16"/>
      <c r="N209" s="16"/>
      <c r="O209" s="16"/>
      <c r="P209" s="16"/>
      <c r="Q209" s="16"/>
      <c r="R209" s="16"/>
    </row>
    <row r="210" spans="10:18" x14ac:dyDescent="0.2">
      <c r="J210" s="16"/>
      <c r="K210" s="16"/>
      <c r="L210" s="16"/>
      <c r="M210" s="16"/>
      <c r="N210" s="16"/>
      <c r="O210" s="16"/>
      <c r="P210" s="16"/>
      <c r="Q210" s="16"/>
      <c r="R210" s="16"/>
    </row>
    <row r="211" spans="10:18" x14ac:dyDescent="0.2">
      <c r="J211" s="16"/>
      <c r="K211" s="16"/>
      <c r="L211" s="16"/>
      <c r="M211" s="16"/>
      <c r="N211" s="16"/>
      <c r="O211" s="16"/>
      <c r="P211" s="16"/>
      <c r="Q211" s="16"/>
      <c r="R211" s="16"/>
    </row>
    <row r="212" spans="10:18" x14ac:dyDescent="0.2">
      <c r="J212" s="16"/>
      <c r="K212" s="16"/>
      <c r="L212" s="16"/>
      <c r="M212" s="16"/>
      <c r="N212" s="16"/>
      <c r="O212" s="16"/>
      <c r="P212" s="16"/>
      <c r="Q212" s="16"/>
      <c r="R212" s="16"/>
    </row>
    <row r="213" spans="10:18" x14ac:dyDescent="0.2">
      <c r="J213" s="16"/>
      <c r="K213" s="16"/>
      <c r="L213" s="16"/>
      <c r="M213" s="16"/>
      <c r="N213" s="16"/>
      <c r="O213" s="16"/>
      <c r="P213" s="16"/>
      <c r="Q213" s="16"/>
      <c r="R213" s="16"/>
    </row>
    <row r="214" spans="10:18" x14ac:dyDescent="0.2">
      <c r="J214" s="16"/>
      <c r="K214" s="16"/>
      <c r="L214" s="16"/>
      <c r="M214" s="16"/>
      <c r="N214" s="16"/>
      <c r="O214" s="16"/>
      <c r="P214" s="16"/>
      <c r="Q214" s="16"/>
      <c r="R214" s="16"/>
    </row>
    <row r="215" spans="10:18" x14ac:dyDescent="0.2">
      <c r="J215" s="16"/>
      <c r="K215" s="16"/>
      <c r="L215" s="16"/>
      <c r="M215" s="16"/>
      <c r="N215" s="16"/>
      <c r="O215" s="16"/>
      <c r="P215" s="16"/>
      <c r="Q215" s="16"/>
      <c r="R215" s="16"/>
    </row>
    <row r="216" spans="10:18" x14ac:dyDescent="0.2">
      <c r="J216" s="16"/>
      <c r="K216" s="16"/>
      <c r="L216" s="16"/>
      <c r="M216" s="16"/>
      <c r="N216" s="16"/>
      <c r="O216" s="16"/>
      <c r="P216" s="16"/>
      <c r="Q216" s="16"/>
      <c r="R216" s="16"/>
    </row>
    <row r="217" spans="10:18" x14ac:dyDescent="0.2">
      <c r="J217" s="16"/>
      <c r="K217" s="16"/>
      <c r="L217" s="16"/>
      <c r="M217" s="16"/>
      <c r="N217" s="16"/>
      <c r="O217" s="16"/>
      <c r="P217" s="16"/>
      <c r="Q217" s="16"/>
      <c r="R217" s="16"/>
    </row>
    <row r="218" spans="10:18" x14ac:dyDescent="0.2">
      <c r="J218" s="16"/>
      <c r="K218" s="16"/>
      <c r="L218" s="16"/>
      <c r="M218" s="16"/>
      <c r="N218" s="16"/>
      <c r="O218" s="16"/>
      <c r="P218" s="16"/>
      <c r="Q218" s="16"/>
      <c r="R218" s="16"/>
    </row>
    <row r="219" spans="10:18" x14ac:dyDescent="0.2">
      <c r="J219" s="16"/>
      <c r="K219" s="16"/>
      <c r="L219" s="16"/>
      <c r="M219" s="16"/>
      <c r="N219" s="16"/>
      <c r="O219" s="16"/>
      <c r="P219" s="16"/>
      <c r="Q219" s="16"/>
      <c r="R219" s="16"/>
    </row>
    <row r="220" spans="10:18" x14ac:dyDescent="0.2">
      <c r="J220" s="16"/>
      <c r="K220" s="16"/>
      <c r="L220" s="16"/>
      <c r="M220" s="16"/>
      <c r="N220" s="16"/>
      <c r="O220" s="16"/>
      <c r="P220" s="16"/>
      <c r="Q220" s="16"/>
      <c r="R220" s="16"/>
    </row>
    <row r="221" spans="10:18" x14ac:dyDescent="0.2">
      <c r="J221" s="16"/>
      <c r="K221" s="16"/>
      <c r="L221" s="16"/>
      <c r="M221" s="16"/>
      <c r="N221" s="16"/>
      <c r="O221" s="16"/>
      <c r="P221" s="16"/>
      <c r="Q221" s="16"/>
      <c r="R221" s="16"/>
    </row>
    <row r="222" spans="10:18" x14ac:dyDescent="0.2">
      <c r="J222" s="16"/>
      <c r="K222" s="16"/>
      <c r="L222" s="16"/>
      <c r="M222" s="16"/>
      <c r="N222" s="16"/>
      <c r="O222" s="16"/>
      <c r="P222" s="16"/>
      <c r="Q222" s="16"/>
      <c r="R222" s="16"/>
    </row>
    <row r="223" spans="10:18" x14ac:dyDescent="0.2">
      <c r="J223" s="16"/>
      <c r="K223" s="16"/>
      <c r="L223" s="16"/>
      <c r="M223" s="16"/>
      <c r="N223" s="16"/>
      <c r="O223" s="16"/>
      <c r="P223" s="16"/>
      <c r="Q223" s="16"/>
      <c r="R223" s="16"/>
    </row>
    <row r="224" spans="10:18" x14ac:dyDescent="0.2">
      <c r="J224" s="16"/>
      <c r="K224" s="16"/>
      <c r="L224" s="16"/>
      <c r="M224" s="16"/>
      <c r="N224" s="16"/>
      <c r="O224" s="16"/>
      <c r="P224" s="16"/>
      <c r="Q224" s="16"/>
      <c r="R224" s="16"/>
    </row>
    <row r="225" spans="10:18" x14ac:dyDescent="0.2">
      <c r="J225" s="16"/>
      <c r="K225" s="16"/>
      <c r="L225" s="16"/>
      <c r="M225" s="16"/>
      <c r="N225" s="16"/>
      <c r="O225" s="16"/>
      <c r="P225" s="16"/>
      <c r="Q225" s="16"/>
      <c r="R225" s="16"/>
    </row>
    <row r="226" spans="10:18" x14ac:dyDescent="0.2">
      <c r="J226" s="16"/>
      <c r="K226" s="16"/>
      <c r="L226" s="16"/>
      <c r="M226" s="16"/>
      <c r="N226" s="16"/>
      <c r="O226" s="16"/>
      <c r="P226" s="16"/>
      <c r="Q226" s="16"/>
      <c r="R226" s="16"/>
    </row>
    <row r="227" spans="10:18" x14ac:dyDescent="0.2">
      <c r="J227" s="16"/>
      <c r="K227" s="16"/>
      <c r="L227" s="16"/>
      <c r="M227" s="16"/>
      <c r="N227" s="16"/>
      <c r="O227" s="16"/>
      <c r="P227" s="16"/>
      <c r="Q227" s="16"/>
      <c r="R227" s="16"/>
    </row>
    <row r="228" spans="10:18" x14ac:dyDescent="0.2">
      <c r="J228" s="16"/>
      <c r="K228" s="16"/>
      <c r="L228" s="16"/>
      <c r="M228" s="16"/>
      <c r="N228" s="16"/>
      <c r="O228" s="16"/>
      <c r="P228" s="16"/>
      <c r="Q228" s="16"/>
      <c r="R228" s="16"/>
    </row>
    <row r="229" spans="10:18" x14ac:dyDescent="0.2">
      <c r="J229" s="16"/>
      <c r="K229" s="16"/>
      <c r="L229" s="16"/>
      <c r="M229" s="16"/>
      <c r="N229" s="16"/>
      <c r="O229" s="16"/>
      <c r="P229" s="16"/>
      <c r="Q229" s="16"/>
      <c r="R229" s="16"/>
    </row>
    <row r="230" spans="10:18" x14ac:dyDescent="0.2">
      <c r="J230" s="16"/>
      <c r="K230" s="16"/>
      <c r="L230" s="16"/>
      <c r="M230" s="16"/>
      <c r="N230" s="16"/>
      <c r="O230" s="16"/>
      <c r="P230" s="16"/>
      <c r="Q230" s="16"/>
      <c r="R230" s="16"/>
    </row>
    <row r="231" spans="10:18" x14ac:dyDescent="0.2">
      <c r="J231" s="16"/>
      <c r="K231" s="16"/>
      <c r="L231" s="16"/>
      <c r="M231" s="16"/>
      <c r="N231" s="16"/>
      <c r="O231" s="16"/>
      <c r="P231" s="16"/>
      <c r="Q231" s="16"/>
      <c r="R231" s="16"/>
    </row>
    <row r="232" spans="10:18" x14ac:dyDescent="0.2">
      <c r="J232" s="16"/>
      <c r="K232" s="16"/>
      <c r="L232" s="16"/>
      <c r="M232" s="16"/>
      <c r="N232" s="16"/>
      <c r="O232" s="16"/>
      <c r="P232" s="16"/>
      <c r="Q232" s="16"/>
      <c r="R232" s="16"/>
    </row>
    <row r="233" spans="10:18" x14ac:dyDescent="0.2">
      <c r="J233" s="16"/>
      <c r="K233" s="16"/>
      <c r="L233" s="16"/>
      <c r="M233" s="16"/>
      <c r="N233" s="16"/>
      <c r="O233" s="16"/>
      <c r="P233" s="16"/>
      <c r="Q233" s="16"/>
      <c r="R233" s="16"/>
    </row>
    <row r="234" spans="10:18" x14ac:dyDescent="0.2">
      <c r="J234" s="16"/>
      <c r="K234" s="16"/>
      <c r="L234" s="16"/>
      <c r="M234" s="16"/>
      <c r="N234" s="16"/>
      <c r="O234" s="16"/>
      <c r="P234" s="16"/>
      <c r="Q234" s="16"/>
      <c r="R234" s="16"/>
    </row>
    <row r="235" spans="10:18" x14ac:dyDescent="0.2">
      <c r="J235" s="16"/>
      <c r="K235" s="16"/>
      <c r="L235" s="16"/>
      <c r="M235" s="16"/>
      <c r="N235" s="16"/>
      <c r="O235" s="16"/>
      <c r="P235" s="16"/>
      <c r="Q235" s="16"/>
      <c r="R235" s="16"/>
    </row>
    <row r="236" spans="10:18" x14ac:dyDescent="0.2">
      <c r="J236" s="16"/>
      <c r="K236" s="16"/>
      <c r="L236" s="16"/>
      <c r="M236" s="16"/>
      <c r="N236" s="16"/>
      <c r="O236" s="16"/>
      <c r="P236" s="16"/>
      <c r="Q236" s="16"/>
      <c r="R236" s="16"/>
    </row>
    <row r="237" spans="10:18" x14ac:dyDescent="0.2">
      <c r="J237" s="16"/>
      <c r="K237" s="16"/>
      <c r="L237" s="16"/>
      <c r="M237" s="16"/>
      <c r="N237" s="16"/>
      <c r="O237" s="16"/>
      <c r="P237" s="16"/>
      <c r="Q237" s="16"/>
      <c r="R237" s="16"/>
    </row>
    <row r="238" spans="10:18" x14ac:dyDescent="0.2">
      <c r="J238" s="16"/>
      <c r="K238" s="16"/>
      <c r="L238" s="16"/>
      <c r="M238" s="16"/>
      <c r="N238" s="16"/>
      <c r="O238" s="16"/>
      <c r="P238" s="16"/>
      <c r="Q238" s="16"/>
      <c r="R238" s="16"/>
    </row>
    <row r="239" spans="10:18" x14ac:dyDescent="0.2">
      <c r="J239" s="16"/>
      <c r="K239" s="16"/>
      <c r="L239" s="16"/>
      <c r="M239" s="16"/>
      <c r="N239" s="16"/>
      <c r="O239" s="16"/>
      <c r="P239" s="16"/>
      <c r="Q239" s="16"/>
      <c r="R239" s="16"/>
    </row>
    <row r="240" spans="10:18" x14ac:dyDescent="0.2">
      <c r="J240" s="16"/>
      <c r="K240" s="16"/>
      <c r="L240" s="16"/>
      <c r="M240" s="16"/>
      <c r="N240" s="16"/>
      <c r="O240" s="16"/>
      <c r="P240" s="16"/>
      <c r="Q240" s="16"/>
      <c r="R240" s="16"/>
    </row>
    <row r="241" spans="10:18" x14ac:dyDescent="0.2">
      <c r="J241" s="16"/>
      <c r="K241" s="16"/>
      <c r="L241" s="16"/>
      <c r="M241" s="16"/>
      <c r="N241" s="16"/>
      <c r="O241" s="16"/>
      <c r="P241" s="16"/>
      <c r="Q241" s="16"/>
      <c r="R241" s="16"/>
    </row>
    <row r="242" spans="10:18" x14ac:dyDescent="0.2">
      <c r="J242" s="16"/>
      <c r="K242" s="16"/>
      <c r="L242" s="16"/>
      <c r="M242" s="16"/>
      <c r="N242" s="16"/>
      <c r="O242" s="16"/>
      <c r="P242" s="16"/>
      <c r="Q242" s="16"/>
      <c r="R242" s="16"/>
    </row>
    <row r="243" spans="10:18" x14ac:dyDescent="0.2">
      <c r="J243" s="16"/>
      <c r="K243" s="16"/>
      <c r="L243" s="16"/>
      <c r="M243" s="16"/>
      <c r="N243" s="16"/>
      <c r="O243" s="16"/>
      <c r="P243" s="16"/>
      <c r="Q243" s="16"/>
      <c r="R243" s="16"/>
    </row>
    <row r="244" spans="10:18" x14ac:dyDescent="0.2">
      <c r="J244" s="16"/>
      <c r="K244" s="16"/>
      <c r="L244" s="16"/>
      <c r="M244" s="16"/>
      <c r="N244" s="16"/>
      <c r="O244" s="16"/>
      <c r="P244" s="16"/>
      <c r="Q244" s="16"/>
      <c r="R244" s="16"/>
    </row>
    <row r="245" spans="10:18" x14ac:dyDescent="0.2">
      <c r="J245" s="16"/>
      <c r="K245" s="16"/>
      <c r="L245" s="16"/>
      <c r="M245" s="16"/>
      <c r="N245" s="16"/>
      <c r="O245" s="16"/>
      <c r="P245" s="16"/>
      <c r="Q245" s="16"/>
      <c r="R245" s="16"/>
    </row>
    <row r="246" spans="10:18" x14ac:dyDescent="0.2">
      <c r="J246" s="16"/>
      <c r="K246" s="16"/>
      <c r="L246" s="16"/>
      <c r="M246" s="16"/>
      <c r="N246" s="16"/>
      <c r="O246" s="16"/>
      <c r="P246" s="16"/>
      <c r="Q246" s="16"/>
      <c r="R246" s="16"/>
    </row>
    <row r="247" spans="10:18" x14ac:dyDescent="0.2">
      <c r="J247" s="16"/>
      <c r="K247" s="16"/>
      <c r="L247" s="16"/>
      <c r="M247" s="16"/>
      <c r="N247" s="16"/>
      <c r="O247" s="16"/>
      <c r="P247" s="16"/>
      <c r="Q247" s="16"/>
      <c r="R247" s="16"/>
    </row>
    <row r="248" spans="10:18" x14ac:dyDescent="0.2">
      <c r="J248" s="16"/>
      <c r="K248" s="16"/>
      <c r="L248" s="16"/>
      <c r="M248" s="16"/>
      <c r="N248" s="16"/>
      <c r="O248" s="16"/>
      <c r="P248" s="16"/>
      <c r="Q248" s="16"/>
      <c r="R248" s="16"/>
    </row>
    <row r="249" spans="10:18" x14ac:dyDescent="0.2">
      <c r="J249" s="16"/>
      <c r="K249" s="16"/>
      <c r="L249" s="16"/>
      <c r="M249" s="16"/>
      <c r="N249" s="16"/>
      <c r="O249" s="16"/>
      <c r="P249" s="16"/>
      <c r="Q249" s="16"/>
      <c r="R249" s="16"/>
    </row>
    <row r="250" spans="10:18" x14ac:dyDescent="0.2">
      <c r="J250" s="16"/>
      <c r="K250" s="16"/>
      <c r="L250" s="16"/>
      <c r="M250" s="16"/>
      <c r="N250" s="16"/>
      <c r="O250" s="16"/>
      <c r="P250" s="16"/>
      <c r="Q250" s="16"/>
      <c r="R250" s="16"/>
    </row>
    <row r="251" spans="10:18" x14ac:dyDescent="0.2">
      <c r="J251" s="16"/>
      <c r="K251" s="16"/>
      <c r="L251" s="16"/>
      <c r="M251" s="16"/>
      <c r="N251" s="16"/>
      <c r="O251" s="16"/>
      <c r="P251" s="16"/>
      <c r="Q251" s="16"/>
      <c r="R251" s="16"/>
    </row>
    <row r="252" spans="10:18" x14ac:dyDescent="0.2">
      <c r="J252" s="16"/>
      <c r="K252" s="16"/>
      <c r="L252" s="16"/>
      <c r="M252" s="16"/>
      <c r="N252" s="16"/>
      <c r="O252" s="16"/>
      <c r="P252" s="16"/>
      <c r="Q252" s="16"/>
      <c r="R252" s="16"/>
    </row>
    <row r="253" spans="10:18" x14ac:dyDescent="0.2">
      <c r="J253" s="16"/>
      <c r="K253" s="16"/>
      <c r="L253" s="16"/>
      <c r="M253" s="16"/>
      <c r="N253" s="16"/>
      <c r="O253" s="16"/>
      <c r="P253" s="16"/>
      <c r="Q253" s="16"/>
      <c r="R253" s="16"/>
    </row>
    <row r="254" spans="10:18" x14ac:dyDescent="0.2">
      <c r="J254" s="16"/>
      <c r="K254" s="16"/>
      <c r="L254" s="16"/>
      <c r="M254" s="16"/>
      <c r="N254" s="16"/>
      <c r="O254" s="16"/>
      <c r="P254" s="16"/>
      <c r="Q254" s="16"/>
      <c r="R254" s="16"/>
    </row>
    <row r="255" spans="10:18" x14ac:dyDescent="0.2">
      <c r="J255" s="16"/>
      <c r="K255" s="16"/>
      <c r="L255" s="16"/>
      <c r="M255" s="16"/>
      <c r="N255" s="16"/>
      <c r="O255" s="16"/>
      <c r="P255" s="16"/>
      <c r="Q255" s="16"/>
      <c r="R255" s="16"/>
    </row>
    <row r="256" spans="10:18" x14ac:dyDescent="0.2">
      <c r="J256" s="16"/>
      <c r="K256" s="16"/>
      <c r="L256" s="16"/>
      <c r="M256" s="16"/>
      <c r="N256" s="16"/>
      <c r="O256" s="16"/>
      <c r="P256" s="16"/>
      <c r="Q256" s="16"/>
      <c r="R256" s="16"/>
    </row>
    <row r="257" spans="10:18" x14ac:dyDescent="0.2">
      <c r="J257" s="16"/>
      <c r="K257" s="16"/>
      <c r="L257" s="16"/>
      <c r="M257" s="16"/>
      <c r="N257" s="16"/>
      <c r="O257" s="16"/>
      <c r="P257" s="16"/>
      <c r="Q257" s="16"/>
      <c r="R257" s="16"/>
    </row>
    <row r="258" spans="10:18" x14ac:dyDescent="0.2">
      <c r="J258" s="16"/>
      <c r="K258" s="16"/>
      <c r="L258" s="16"/>
      <c r="M258" s="16"/>
      <c r="N258" s="16"/>
      <c r="O258" s="16"/>
      <c r="P258" s="16"/>
      <c r="Q258" s="16"/>
      <c r="R258" s="16"/>
    </row>
    <row r="259" spans="10:18" x14ac:dyDescent="0.2">
      <c r="J259" s="16"/>
      <c r="K259" s="16"/>
      <c r="L259" s="16"/>
      <c r="M259" s="16"/>
      <c r="N259" s="16"/>
      <c r="O259" s="16"/>
      <c r="P259" s="16"/>
      <c r="Q259" s="16"/>
      <c r="R259" s="16"/>
    </row>
    <row r="260" spans="10:18" x14ac:dyDescent="0.2">
      <c r="J260" s="16"/>
      <c r="K260" s="16"/>
      <c r="L260" s="16"/>
      <c r="M260" s="16"/>
      <c r="N260" s="16"/>
      <c r="O260" s="16"/>
      <c r="P260" s="16"/>
      <c r="Q260" s="16"/>
      <c r="R260" s="16"/>
    </row>
    <row r="261" spans="10:18" x14ac:dyDescent="0.2">
      <c r="J261" s="16"/>
      <c r="K261" s="16"/>
      <c r="L261" s="16"/>
      <c r="M261" s="16"/>
      <c r="N261" s="16"/>
      <c r="O261" s="16"/>
      <c r="P261" s="16"/>
      <c r="Q261" s="16"/>
      <c r="R261" s="16"/>
    </row>
    <row r="262" spans="10:18" x14ac:dyDescent="0.2">
      <c r="J262" s="16"/>
      <c r="K262" s="16"/>
      <c r="L262" s="16"/>
      <c r="M262" s="16"/>
      <c r="N262" s="16"/>
      <c r="O262" s="16"/>
      <c r="P262" s="16"/>
      <c r="Q262" s="16"/>
      <c r="R262" s="16"/>
    </row>
    <row r="263" spans="10:18" x14ac:dyDescent="0.2">
      <c r="J263" s="16"/>
      <c r="K263" s="16"/>
      <c r="L263" s="16"/>
      <c r="M263" s="16"/>
      <c r="N263" s="16"/>
      <c r="O263" s="16"/>
      <c r="P263" s="16"/>
      <c r="Q263" s="16"/>
      <c r="R263" s="16"/>
    </row>
    <row r="264" spans="10:18" x14ac:dyDescent="0.2">
      <c r="J264" s="16"/>
      <c r="K264" s="16"/>
      <c r="L264" s="16"/>
      <c r="M264" s="16"/>
      <c r="N264" s="16"/>
      <c r="O264" s="16"/>
      <c r="P264" s="16"/>
      <c r="Q264" s="16"/>
      <c r="R264" s="16"/>
    </row>
    <row r="265" spans="10:18" x14ac:dyDescent="0.2">
      <c r="J265" s="16"/>
      <c r="K265" s="16"/>
      <c r="L265" s="16"/>
      <c r="M265" s="16"/>
      <c r="N265" s="16"/>
      <c r="O265" s="16"/>
      <c r="P265" s="16"/>
      <c r="Q265" s="16"/>
      <c r="R265" s="16"/>
    </row>
    <row r="266" spans="10:18" x14ac:dyDescent="0.2">
      <c r="J266" s="16"/>
      <c r="K266" s="16"/>
      <c r="L266" s="16"/>
      <c r="M266" s="16"/>
      <c r="N266" s="16"/>
      <c r="O266" s="16"/>
      <c r="P266" s="16"/>
      <c r="Q266" s="16"/>
      <c r="R266" s="16"/>
    </row>
    <row r="267" spans="10:18" x14ac:dyDescent="0.2">
      <c r="J267" s="16"/>
      <c r="K267" s="16"/>
      <c r="L267" s="16"/>
      <c r="M267" s="16"/>
      <c r="N267" s="16"/>
      <c r="O267" s="16"/>
      <c r="P267" s="16"/>
      <c r="Q267" s="16"/>
      <c r="R267" s="16"/>
    </row>
    <row r="268" spans="10:18" x14ac:dyDescent="0.2">
      <c r="J268" s="16"/>
      <c r="K268" s="16"/>
      <c r="L268" s="16"/>
      <c r="M268" s="16"/>
      <c r="N268" s="16"/>
      <c r="O268" s="16"/>
      <c r="P268" s="16"/>
      <c r="Q268" s="16"/>
      <c r="R268" s="16"/>
    </row>
    <row r="269" spans="10:18" x14ac:dyDescent="0.2">
      <c r="J269" s="16"/>
      <c r="K269" s="16"/>
      <c r="L269" s="16"/>
      <c r="M269" s="16"/>
      <c r="N269" s="16"/>
      <c r="O269" s="16"/>
      <c r="P269" s="16"/>
      <c r="Q269" s="16"/>
      <c r="R269" s="16"/>
    </row>
    <row r="270" spans="10:18" x14ac:dyDescent="0.2">
      <c r="J270" s="16"/>
      <c r="K270" s="16"/>
      <c r="L270" s="16"/>
      <c r="M270" s="16"/>
      <c r="N270" s="16"/>
      <c r="O270" s="16"/>
      <c r="P270" s="16"/>
      <c r="Q270" s="16"/>
      <c r="R270" s="16"/>
    </row>
    <row r="271" spans="10:18" x14ac:dyDescent="0.2">
      <c r="J271" s="16"/>
      <c r="K271" s="16"/>
      <c r="L271" s="16"/>
      <c r="M271" s="16"/>
      <c r="N271" s="16"/>
      <c r="O271" s="16"/>
      <c r="P271" s="16"/>
      <c r="Q271" s="16"/>
      <c r="R271" s="16"/>
    </row>
    <row r="272" spans="10:18" x14ac:dyDescent="0.2">
      <c r="J272" s="16"/>
      <c r="K272" s="16"/>
      <c r="L272" s="16"/>
      <c r="M272" s="16"/>
      <c r="N272" s="16"/>
      <c r="O272" s="16"/>
      <c r="P272" s="16"/>
      <c r="Q272" s="16"/>
      <c r="R272" s="16"/>
    </row>
    <row r="273" spans="10:18" x14ac:dyDescent="0.2">
      <c r="J273" s="16"/>
      <c r="K273" s="16"/>
      <c r="L273" s="16"/>
      <c r="M273" s="16"/>
      <c r="N273" s="16"/>
      <c r="O273" s="16"/>
      <c r="P273" s="16"/>
      <c r="Q273" s="16"/>
      <c r="R273" s="16"/>
    </row>
    <row r="274" spans="10:18" x14ac:dyDescent="0.2">
      <c r="J274" s="16"/>
      <c r="K274" s="16"/>
      <c r="L274" s="16"/>
      <c r="M274" s="16"/>
      <c r="N274" s="16"/>
      <c r="O274" s="16"/>
      <c r="P274" s="16"/>
      <c r="Q274" s="16"/>
      <c r="R274" s="16"/>
    </row>
    <row r="275" spans="10:18" x14ac:dyDescent="0.2">
      <c r="J275" s="16"/>
      <c r="K275" s="16"/>
      <c r="L275" s="16"/>
      <c r="M275" s="16"/>
      <c r="N275" s="16"/>
      <c r="O275" s="16"/>
      <c r="P275" s="16"/>
      <c r="Q275" s="16"/>
      <c r="R275" s="16"/>
    </row>
    <row r="276" spans="10:18" x14ac:dyDescent="0.2">
      <c r="J276" s="16"/>
      <c r="K276" s="16"/>
      <c r="L276" s="16"/>
      <c r="M276" s="16"/>
      <c r="N276" s="16"/>
      <c r="O276" s="16"/>
      <c r="P276" s="16"/>
      <c r="Q276" s="16"/>
      <c r="R276" s="16"/>
    </row>
    <row r="277" spans="10:18" x14ac:dyDescent="0.2">
      <c r="J277" s="16"/>
      <c r="K277" s="16"/>
      <c r="L277" s="16"/>
      <c r="M277" s="16"/>
      <c r="N277" s="16"/>
      <c r="O277" s="16"/>
      <c r="P277" s="16"/>
      <c r="Q277" s="16"/>
      <c r="R277" s="16"/>
    </row>
    <row r="278" spans="10:18" x14ac:dyDescent="0.2">
      <c r="J278" s="16"/>
      <c r="K278" s="16"/>
      <c r="L278" s="16"/>
      <c r="M278" s="16"/>
      <c r="N278" s="16"/>
      <c r="O278" s="16"/>
      <c r="P278" s="16"/>
      <c r="Q278" s="16"/>
      <c r="R278" s="16"/>
    </row>
    <row r="279" spans="10:18" x14ac:dyDescent="0.2">
      <c r="J279" s="16"/>
      <c r="K279" s="16"/>
      <c r="L279" s="16"/>
      <c r="M279" s="16"/>
      <c r="N279" s="16"/>
      <c r="O279" s="16"/>
      <c r="P279" s="16"/>
      <c r="Q279" s="16"/>
      <c r="R279" s="16"/>
    </row>
    <row r="280" spans="10:18" x14ac:dyDescent="0.2">
      <c r="J280" s="16"/>
      <c r="K280" s="16"/>
      <c r="L280" s="16"/>
      <c r="M280" s="16"/>
      <c r="N280" s="16"/>
      <c r="O280" s="16"/>
      <c r="P280" s="16"/>
      <c r="Q280" s="16"/>
      <c r="R280" s="16"/>
    </row>
    <row r="281" spans="10:18" x14ac:dyDescent="0.2">
      <c r="J281" s="16"/>
      <c r="K281" s="16"/>
      <c r="L281" s="16"/>
      <c r="M281" s="16"/>
      <c r="N281" s="16"/>
      <c r="O281" s="16"/>
      <c r="P281" s="16"/>
      <c r="Q281" s="16"/>
      <c r="R281" s="16"/>
    </row>
    <row r="282" spans="10:18" x14ac:dyDescent="0.2">
      <c r="J282" s="16"/>
      <c r="K282" s="16"/>
      <c r="L282" s="16"/>
      <c r="M282" s="16"/>
      <c r="N282" s="16"/>
      <c r="O282" s="16"/>
      <c r="P282" s="16"/>
      <c r="Q282" s="16"/>
      <c r="R282" s="16"/>
    </row>
    <row r="283" spans="10:18" x14ac:dyDescent="0.2">
      <c r="J283" s="16"/>
      <c r="K283" s="16"/>
      <c r="L283" s="16"/>
      <c r="M283" s="16"/>
      <c r="N283" s="16"/>
      <c r="O283" s="16"/>
      <c r="P283" s="16"/>
      <c r="Q283" s="16"/>
      <c r="R283" s="16"/>
    </row>
    <row r="284" spans="10:18" x14ac:dyDescent="0.2">
      <c r="J284" s="16"/>
      <c r="K284" s="16"/>
      <c r="L284" s="16"/>
      <c r="M284" s="16"/>
      <c r="N284" s="16"/>
      <c r="O284" s="16"/>
      <c r="P284" s="16"/>
      <c r="Q284" s="16"/>
      <c r="R284" s="16"/>
    </row>
    <row r="285" spans="10:18" x14ac:dyDescent="0.2">
      <c r="J285" s="16"/>
      <c r="K285" s="16"/>
      <c r="L285" s="16"/>
      <c r="M285" s="16"/>
      <c r="N285" s="16"/>
      <c r="O285" s="16"/>
      <c r="P285" s="16"/>
      <c r="Q285" s="16"/>
      <c r="R285" s="16"/>
    </row>
    <row r="286" spans="10:18" x14ac:dyDescent="0.2">
      <c r="J286" s="16"/>
      <c r="K286" s="16"/>
      <c r="L286" s="16"/>
      <c r="M286" s="16"/>
      <c r="N286" s="16"/>
      <c r="O286" s="16"/>
      <c r="P286" s="16"/>
      <c r="Q286" s="16"/>
      <c r="R286" s="16"/>
    </row>
    <row r="287" spans="10:18" x14ac:dyDescent="0.2">
      <c r="J287" s="16"/>
      <c r="K287" s="16"/>
      <c r="L287" s="16"/>
      <c r="M287" s="16"/>
      <c r="N287" s="16"/>
      <c r="O287" s="16"/>
      <c r="P287" s="16"/>
      <c r="Q287" s="16"/>
      <c r="R287" s="16"/>
    </row>
    <row r="288" spans="10:18" x14ac:dyDescent="0.2">
      <c r="J288" s="16"/>
      <c r="K288" s="16"/>
      <c r="L288" s="16"/>
      <c r="M288" s="16"/>
      <c r="N288" s="16"/>
      <c r="O288" s="16"/>
      <c r="P288" s="16"/>
      <c r="Q288" s="16"/>
      <c r="R288" s="16"/>
    </row>
    <row r="289" spans="5:18" x14ac:dyDescent="0.2">
      <c r="J289" s="16"/>
      <c r="K289" s="16"/>
      <c r="L289" s="16"/>
      <c r="M289" s="16"/>
      <c r="N289" s="16"/>
      <c r="O289" s="16"/>
      <c r="P289" s="16"/>
      <c r="Q289" s="16"/>
      <c r="R289" s="16"/>
    </row>
    <row r="290" spans="5:18" x14ac:dyDescent="0.2">
      <c r="J290" s="16"/>
      <c r="K290" s="16"/>
      <c r="L290" s="16"/>
      <c r="M290" s="16"/>
      <c r="N290" s="16"/>
      <c r="O290" s="16"/>
      <c r="P290" s="16"/>
      <c r="Q290" s="16"/>
      <c r="R290" s="16"/>
    </row>
    <row r="291" spans="5:18" x14ac:dyDescent="0.2">
      <c r="J291" s="16"/>
      <c r="K291" s="16"/>
      <c r="L291" s="16"/>
      <c r="M291" s="16"/>
      <c r="N291" s="16"/>
      <c r="O291" s="16"/>
      <c r="P291" s="16"/>
      <c r="Q291" s="16"/>
      <c r="R291" s="16"/>
    </row>
    <row r="292" spans="5:18" x14ac:dyDescent="0.2">
      <c r="J292" s="16"/>
      <c r="K292" s="16"/>
      <c r="L292" s="16"/>
      <c r="M292" s="16"/>
      <c r="N292" s="16"/>
      <c r="O292" s="16"/>
      <c r="P292" s="16"/>
      <c r="Q292" s="16"/>
      <c r="R292" s="16"/>
    </row>
    <row r="293" spans="5:18" x14ac:dyDescent="0.2">
      <c r="J293" s="16"/>
      <c r="K293" s="16"/>
      <c r="L293" s="16"/>
      <c r="M293" s="16"/>
      <c r="N293" s="16"/>
      <c r="O293" s="16"/>
      <c r="P293" s="16"/>
      <c r="Q293" s="16"/>
      <c r="R293" s="16"/>
    </row>
    <row r="294" spans="5:18" x14ac:dyDescent="0.2">
      <c r="J294" s="16"/>
      <c r="K294" s="16"/>
      <c r="L294" s="16"/>
      <c r="M294" s="16"/>
      <c r="N294" s="16"/>
      <c r="O294" s="16"/>
      <c r="P294" s="16"/>
      <c r="Q294" s="16"/>
      <c r="R294" s="16"/>
    </row>
    <row r="295" spans="5:18" x14ac:dyDescent="0.2">
      <c r="J295" s="16"/>
      <c r="K295" s="16"/>
      <c r="L295" s="16"/>
      <c r="M295" s="16"/>
      <c r="N295" s="16"/>
      <c r="O295" s="16"/>
      <c r="P295" s="16"/>
      <c r="Q295" s="16"/>
      <c r="R295" s="16"/>
    </row>
    <row r="296" spans="5:18" x14ac:dyDescent="0.2">
      <c r="J296" s="16"/>
      <c r="K296" s="16"/>
      <c r="L296" s="16"/>
      <c r="M296" s="16"/>
      <c r="N296" s="16"/>
      <c r="O296" s="16"/>
      <c r="P296" s="16"/>
      <c r="Q296" s="16"/>
      <c r="R296" s="16"/>
    </row>
    <row r="297" spans="5:18" x14ac:dyDescent="0.2">
      <c r="J297" s="16"/>
      <c r="K297" s="16"/>
      <c r="L297" s="16"/>
      <c r="M297" s="16"/>
      <c r="N297" s="16"/>
      <c r="O297" s="16"/>
      <c r="P297" s="16"/>
      <c r="Q297" s="16"/>
      <c r="R297" s="16"/>
    </row>
    <row r="298" spans="5:18" x14ac:dyDescent="0.2">
      <c r="J298" s="16"/>
      <c r="K298" s="16"/>
      <c r="L298" s="16"/>
      <c r="M298" s="16"/>
      <c r="N298" s="16"/>
      <c r="O298" s="16"/>
      <c r="P298" s="16"/>
      <c r="Q298" s="16"/>
      <c r="R298" s="16"/>
    </row>
    <row r="299" spans="5:18" x14ac:dyDescent="0.2">
      <c r="J299" s="16"/>
      <c r="K299" s="16"/>
      <c r="L299" s="16"/>
      <c r="M299" s="16"/>
      <c r="N299" s="16"/>
      <c r="O299" s="16"/>
      <c r="P299" s="16"/>
      <c r="Q299" s="16"/>
      <c r="R299" s="16"/>
    </row>
    <row r="300" spans="5:18" x14ac:dyDescent="0.2">
      <c r="J300" s="16"/>
      <c r="K300" s="16"/>
      <c r="L300" s="16"/>
      <c r="M300" s="16"/>
      <c r="N300" s="16"/>
      <c r="O300" s="16"/>
      <c r="P300" s="16"/>
      <c r="Q300" s="16"/>
      <c r="R300" s="16"/>
    </row>
    <row r="301" spans="5:18" x14ac:dyDescent="0.2">
      <c r="J301" s="16"/>
      <c r="K301" s="16"/>
      <c r="L301" s="16"/>
      <c r="M301" s="16"/>
      <c r="N301" s="16"/>
      <c r="O301" s="16"/>
      <c r="P301" s="16"/>
      <c r="Q301" s="16"/>
      <c r="R301" s="16"/>
    </row>
    <row r="302" spans="5:18" x14ac:dyDescent="0.2">
      <c r="J302" s="16"/>
      <c r="K302" s="16"/>
      <c r="L302" s="16"/>
      <c r="M302" s="16"/>
      <c r="N302" s="16"/>
      <c r="O302" s="16"/>
      <c r="P302" s="16"/>
      <c r="Q302" s="16"/>
      <c r="R302" s="16"/>
    </row>
    <row r="303" spans="5:18" x14ac:dyDescent="0.2">
      <c r="E303" s="12" t="s">
        <v>1418</v>
      </c>
      <c r="J303" s="16"/>
      <c r="K303" s="16"/>
      <c r="L303" s="16"/>
      <c r="M303" s="16"/>
      <c r="N303" s="16"/>
      <c r="O303" s="16"/>
      <c r="P303" s="16"/>
      <c r="Q303" s="16"/>
      <c r="R303" s="16"/>
    </row>
    <row r="304" spans="5:18" x14ac:dyDescent="0.2">
      <c r="J304" s="16"/>
      <c r="K304" s="16"/>
      <c r="L304" s="16"/>
      <c r="M304" s="16"/>
      <c r="N304" s="16"/>
      <c r="O304" s="16"/>
      <c r="P304" s="16"/>
      <c r="Q304" s="16"/>
      <c r="R304" s="16"/>
    </row>
    <row r="305" spans="2:18" x14ac:dyDescent="0.2">
      <c r="J305" s="16"/>
      <c r="K305" s="16"/>
      <c r="L305" s="16"/>
      <c r="M305" s="16"/>
      <c r="N305" s="16"/>
      <c r="O305" s="16"/>
      <c r="P305" s="16"/>
      <c r="Q305" s="16"/>
      <c r="R305" s="16"/>
    </row>
    <row r="306" spans="2:18" x14ac:dyDescent="0.2">
      <c r="J306" s="16"/>
      <c r="K306" s="16"/>
      <c r="L306" s="16"/>
      <c r="M306" s="16"/>
      <c r="N306" s="16"/>
      <c r="O306" s="16"/>
      <c r="P306" s="16"/>
      <c r="Q306" s="16"/>
      <c r="R306" s="16"/>
    </row>
    <row r="307" spans="2:18" x14ac:dyDescent="0.2">
      <c r="J307" s="16"/>
      <c r="K307" s="16"/>
      <c r="L307" s="16"/>
      <c r="M307" s="16"/>
      <c r="N307" s="16"/>
      <c r="O307" s="16"/>
      <c r="P307" s="16"/>
      <c r="Q307" s="16"/>
      <c r="R307" s="16"/>
    </row>
    <row r="308" spans="2:18" x14ac:dyDescent="0.2">
      <c r="J308" s="16"/>
      <c r="K308" s="16"/>
      <c r="L308" s="16"/>
      <c r="M308" s="16"/>
      <c r="N308" s="16"/>
      <c r="O308" s="16"/>
      <c r="P308" s="16"/>
      <c r="Q308" s="16"/>
      <c r="R308" s="16"/>
    </row>
    <row r="309" spans="2:18" x14ac:dyDescent="0.2">
      <c r="J309" s="16"/>
      <c r="K309" s="16"/>
      <c r="L309" s="16"/>
      <c r="M309" s="16"/>
      <c r="N309" s="16"/>
      <c r="O309" s="16"/>
      <c r="P309" s="16"/>
      <c r="Q309" s="16"/>
      <c r="R309" s="16"/>
    </row>
    <row r="310" spans="2:18" x14ac:dyDescent="0.2">
      <c r="J310" s="16"/>
      <c r="K310" s="16"/>
      <c r="L310" s="16"/>
      <c r="M310" s="16"/>
      <c r="N310" s="16"/>
      <c r="O310" s="16"/>
      <c r="P310" s="16"/>
      <c r="Q310" s="16"/>
      <c r="R310" s="16"/>
    </row>
    <row r="311" spans="2:18" x14ac:dyDescent="0.2">
      <c r="J311" s="16"/>
      <c r="K311" s="16"/>
      <c r="L311" s="16"/>
      <c r="M311" s="16"/>
      <c r="N311" s="16"/>
      <c r="O311" s="16"/>
      <c r="P311" s="16"/>
      <c r="Q311" s="16"/>
      <c r="R311" s="16"/>
    </row>
    <row r="312" spans="2:18" x14ac:dyDescent="0.2">
      <c r="J312" s="16"/>
      <c r="K312" s="16"/>
      <c r="L312" s="16"/>
      <c r="M312" s="16"/>
      <c r="N312" s="16"/>
      <c r="O312" s="16"/>
      <c r="P312" s="16"/>
      <c r="Q312" s="16"/>
      <c r="R312" s="16"/>
    </row>
    <row r="313" spans="2:18" x14ac:dyDescent="0.2">
      <c r="J313" s="16"/>
      <c r="K313" s="16"/>
      <c r="L313" s="16"/>
      <c r="M313" s="16"/>
      <c r="N313" s="16"/>
      <c r="O313" s="16"/>
      <c r="P313" s="16"/>
      <c r="Q313" s="16"/>
      <c r="R313" s="16"/>
    </row>
    <row r="314" spans="2:18" x14ac:dyDescent="0.2">
      <c r="J314" s="16"/>
      <c r="K314" s="16"/>
      <c r="L314" s="16"/>
      <c r="M314" s="16"/>
      <c r="N314" s="16"/>
      <c r="O314" s="16"/>
      <c r="P314" s="16"/>
      <c r="Q314" s="16"/>
      <c r="R314" s="16"/>
    </row>
    <row r="315" spans="2:18" x14ac:dyDescent="0.2">
      <c r="J315" s="16"/>
      <c r="K315" s="16"/>
      <c r="L315" s="16"/>
      <c r="M315" s="16"/>
      <c r="N315" s="16"/>
      <c r="O315" s="16"/>
      <c r="P315" s="16"/>
      <c r="Q315" s="16"/>
      <c r="R315" s="16"/>
    </row>
    <row r="316" spans="2:18" ht="15.75" x14ac:dyDescent="0.25">
      <c r="B316" s="4"/>
      <c r="J316" s="16"/>
      <c r="K316" s="16"/>
      <c r="L316" s="16"/>
      <c r="M316" s="16"/>
      <c r="N316" s="16"/>
      <c r="O316" s="16"/>
      <c r="P316" s="16"/>
      <c r="Q316" s="16"/>
      <c r="R316" s="16"/>
    </row>
    <row r="317" spans="2:18" x14ac:dyDescent="0.2">
      <c r="J317" s="16"/>
      <c r="K317" s="16"/>
      <c r="L317" s="16"/>
      <c r="M317" s="16"/>
      <c r="N317" s="16"/>
      <c r="O317" s="16"/>
      <c r="P317" s="16"/>
      <c r="Q317" s="16"/>
      <c r="R317" s="16"/>
    </row>
    <row r="318" spans="2:18" x14ac:dyDescent="0.2">
      <c r="J318" s="16"/>
      <c r="K318" s="16"/>
      <c r="L318" s="16"/>
      <c r="M318" s="16"/>
      <c r="N318" s="16"/>
      <c r="O318" s="16"/>
      <c r="P318" s="16"/>
      <c r="Q318" s="16"/>
      <c r="R318" s="16"/>
    </row>
    <row r="319" spans="2:18" x14ac:dyDescent="0.2">
      <c r="J319" s="16"/>
      <c r="K319" s="16"/>
      <c r="L319" s="16"/>
      <c r="M319" s="16"/>
      <c r="N319" s="16"/>
      <c r="O319" s="16"/>
      <c r="P319" s="16"/>
      <c r="Q319" s="16"/>
      <c r="R319" s="16"/>
    </row>
    <row r="320" spans="2:18" x14ac:dyDescent="0.2">
      <c r="J320" s="16"/>
      <c r="K320" s="16"/>
      <c r="L320" s="16"/>
      <c r="M320" s="16"/>
      <c r="N320" s="16"/>
      <c r="O320" s="16"/>
      <c r="P320" s="16"/>
      <c r="Q320" s="16"/>
      <c r="R320" s="16"/>
    </row>
    <row r="321" spans="11:18" x14ac:dyDescent="0.2">
      <c r="K321" s="16"/>
      <c r="L321" s="16"/>
      <c r="M321" s="16"/>
      <c r="N321" s="16"/>
      <c r="O321" s="16"/>
      <c r="P321" s="16"/>
      <c r="Q321" s="16"/>
      <c r="R321" s="16"/>
    </row>
    <row r="322" spans="11:18" x14ac:dyDescent="0.2">
      <c r="K322" s="16"/>
      <c r="L322" s="16"/>
      <c r="M322" s="16"/>
      <c r="N322" s="16"/>
      <c r="O322" s="16"/>
      <c r="P322" s="16"/>
      <c r="Q322" s="16"/>
      <c r="R322" s="16"/>
    </row>
    <row r="323" spans="11:18" x14ac:dyDescent="0.2">
      <c r="K323" s="16"/>
      <c r="L323" s="16"/>
      <c r="M323" s="16"/>
      <c r="N323" s="16"/>
      <c r="O323" s="16"/>
      <c r="P323" s="16"/>
      <c r="Q323" s="16"/>
      <c r="R323" s="16"/>
    </row>
    <row r="324" spans="11:18" x14ac:dyDescent="0.2">
      <c r="K324" s="16"/>
      <c r="L324" s="16"/>
      <c r="M324" s="16"/>
      <c r="N324" s="16"/>
      <c r="O324" s="16"/>
      <c r="P324" s="16"/>
      <c r="Q324" s="16"/>
      <c r="R324" s="16"/>
    </row>
    <row r="325" spans="11:18" x14ac:dyDescent="0.2">
      <c r="K325" s="16"/>
      <c r="L325" s="16"/>
      <c r="M325" s="16"/>
      <c r="N325" s="16"/>
      <c r="O325" s="16"/>
      <c r="P325" s="16"/>
      <c r="Q325" s="16"/>
      <c r="R325" s="16"/>
    </row>
    <row r="326" spans="11:18" x14ac:dyDescent="0.2">
      <c r="K326" s="16"/>
      <c r="L326" s="16"/>
      <c r="M326" s="16"/>
      <c r="N326" s="16"/>
      <c r="O326" s="16"/>
      <c r="P326" s="16"/>
      <c r="Q326" s="16"/>
      <c r="R326" s="16"/>
    </row>
    <row r="327" spans="11:18" x14ac:dyDescent="0.2">
      <c r="K327" s="16"/>
      <c r="L327" s="16"/>
      <c r="M327" s="16"/>
      <c r="N327" s="16"/>
      <c r="O327" s="16"/>
      <c r="P327" s="16"/>
      <c r="Q327" s="16"/>
      <c r="R327" s="16"/>
    </row>
    <row r="328" spans="11:18" x14ac:dyDescent="0.2">
      <c r="K328" s="16"/>
      <c r="L328" s="16"/>
      <c r="M328" s="16"/>
      <c r="N328" s="16"/>
      <c r="O328" s="16"/>
      <c r="P328" s="16"/>
      <c r="Q328" s="16"/>
      <c r="R328" s="16"/>
    </row>
    <row r="329" spans="11:18" x14ac:dyDescent="0.2">
      <c r="K329" s="16"/>
      <c r="L329" s="16"/>
      <c r="M329" s="16"/>
      <c r="N329" s="16"/>
      <c r="O329" s="16"/>
      <c r="P329" s="16"/>
      <c r="Q329" s="16"/>
      <c r="R329" s="16"/>
    </row>
    <row r="330" spans="11:18" x14ac:dyDescent="0.2">
      <c r="K330" s="16"/>
      <c r="L330" s="16"/>
      <c r="M330" s="16"/>
      <c r="N330" s="16"/>
      <c r="O330" s="16"/>
      <c r="P330" s="16"/>
      <c r="Q330" s="16"/>
      <c r="R330" s="16"/>
    </row>
    <row r="331" spans="11:18" x14ac:dyDescent="0.2">
      <c r="K331" s="16"/>
      <c r="L331" s="16"/>
      <c r="M331" s="16"/>
      <c r="N331" s="16"/>
      <c r="O331" s="16"/>
      <c r="P331" s="16"/>
      <c r="Q331" s="16"/>
      <c r="R331" s="16"/>
    </row>
    <row r="332" spans="11:18" x14ac:dyDescent="0.2">
      <c r="K332" s="16"/>
      <c r="L332" s="16"/>
      <c r="M332" s="16"/>
      <c r="N332" s="16"/>
      <c r="O332" s="16"/>
      <c r="P332" s="16"/>
      <c r="Q332" s="16"/>
      <c r="R332" s="16"/>
    </row>
    <row r="333" spans="11:18" x14ac:dyDescent="0.2">
      <c r="K333" s="16"/>
      <c r="L333" s="16"/>
      <c r="M333" s="16"/>
      <c r="N333" s="16"/>
      <c r="O333" s="16"/>
      <c r="P333" s="16"/>
      <c r="Q333" s="16"/>
      <c r="R333" s="16"/>
    </row>
    <row r="334" spans="11:18" x14ac:dyDescent="0.2">
      <c r="K334" s="16"/>
      <c r="L334" s="16"/>
      <c r="M334" s="16"/>
      <c r="N334" s="16"/>
      <c r="O334" s="16"/>
      <c r="P334" s="16"/>
      <c r="Q334" s="16"/>
      <c r="R334" s="16"/>
    </row>
    <row r="335" spans="11:18" x14ac:dyDescent="0.2">
      <c r="K335" s="16"/>
      <c r="L335" s="16"/>
      <c r="M335" s="16"/>
      <c r="N335" s="16"/>
      <c r="O335" s="16"/>
      <c r="P335" s="16"/>
      <c r="Q335" s="16"/>
      <c r="R335" s="16"/>
    </row>
    <row r="336" spans="11:18" x14ac:dyDescent="0.2">
      <c r="K336" s="16"/>
      <c r="L336" s="16"/>
      <c r="M336" s="16"/>
      <c r="N336" s="16"/>
      <c r="O336" s="16"/>
      <c r="P336" s="16"/>
      <c r="Q336" s="16"/>
      <c r="R336" s="16"/>
    </row>
    <row r="337" spans="11:18" x14ac:dyDescent="0.2">
      <c r="K337" s="16"/>
      <c r="L337" s="16"/>
      <c r="M337" s="16"/>
      <c r="N337" s="16"/>
      <c r="O337" s="16"/>
      <c r="P337" s="16"/>
      <c r="Q337" s="16"/>
      <c r="R337" s="16"/>
    </row>
    <row r="338" spans="11:18" x14ac:dyDescent="0.2">
      <c r="K338" s="16"/>
      <c r="L338" s="16"/>
      <c r="M338" s="16"/>
      <c r="N338" s="16"/>
      <c r="O338" s="16"/>
      <c r="P338" s="16"/>
      <c r="Q338" s="16"/>
      <c r="R338" s="16"/>
    </row>
    <row r="339" spans="11:18" x14ac:dyDescent="0.2">
      <c r="K339" s="16"/>
      <c r="L339" s="16"/>
      <c r="M339" s="16"/>
      <c r="N339" s="16"/>
      <c r="O339" s="16"/>
      <c r="P339" s="16"/>
      <c r="Q339" s="16"/>
      <c r="R339" s="16"/>
    </row>
    <row r="340" spans="11:18" x14ac:dyDescent="0.2">
      <c r="K340" s="16"/>
      <c r="L340" s="16"/>
      <c r="M340" s="16"/>
      <c r="N340" s="16"/>
      <c r="O340" s="16"/>
      <c r="P340" s="16"/>
      <c r="Q340" s="16"/>
      <c r="R340" s="16"/>
    </row>
    <row r="341" spans="11:18" x14ac:dyDescent="0.2">
      <c r="K341" s="16"/>
      <c r="L341" s="16"/>
      <c r="M341" s="16"/>
      <c r="N341" s="16"/>
      <c r="O341" s="16"/>
      <c r="P341" s="16"/>
      <c r="Q341" s="16"/>
      <c r="R341" s="16"/>
    </row>
    <row r="342" spans="11:18" x14ac:dyDescent="0.2">
      <c r="K342" s="16"/>
      <c r="L342" s="16"/>
      <c r="M342" s="16"/>
      <c r="N342" s="16"/>
      <c r="O342" s="16"/>
      <c r="P342" s="16"/>
      <c r="Q342" s="16"/>
      <c r="R342" s="16"/>
    </row>
    <row r="343" spans="11:18" x14ac:dyDescent="0.2">
      <c r="K343" s="16"/>
      <c r="L343" s="16"/>
      <c r="M343" s="16"/>
      <c r="N343" s="16"/>
      <c r="O343" s="16"/>
      <c r="P343" s="16"/>
      <c r="Q343" s="16"/>
      <c r="R343" s="16"/>
    </row>
    <row r="344" spans="11:18" x14ac:dyDescent="0.2">
      <c r="K344" s="16"/>
      <c r="L344" s="16"/>
      <c r="M344" s="16"/>
      <c r="N344" s="16"/>
      <c r="O344" s="16"/>
      <c r="P344" s="16"/>
      <c r="Q344" s="16"/>
      <c r="R344" s="16"/>
    </row>
    <row r="345" spans="11:18" x14ac:dyDescent="0.2">
      <c r="K345" s="16"/>
      <c r="L345" s="16"/>
      <c r="M345" s="16"/>
      <c r="N345" s="16"/>
      <c r="O345" s="16"/>
      <c r="P345" s="16"/>
      <c r="Q345" s="16"/>
      <c r="R345" s="16"/>
    </row>
    <row r="346" spans="11:18" x14ac:dyDescent="0.2">
      <c r="K346" s="16"/>
      <c r="L346" s="16"/>
      <c r="M346" s="16"/>
      <c r="N346" s="16"/>
      <c r="O346" s="16"/>
      <c r="P346" s="16"/>
      <c r="Q346" s="16"/>
      <c r="R346" s="16"/>
    </row>
    <row r="347" spans="11:18" x14ac:dyDescent="0.2">
      <c r="K347" s="16"/>
      <c r="L347" s="16"/>
      <c r="M347" s="16"/>
      <c r="N347" s="16"/>
      <c r="O347" s="16"/>
      <c r="P347" s="16"/>
      <c r="Q347" s="16"/>
      <c r="R347" s="16"/>
    </row>
    <row r="348" spans="11:18" x14ac:dyDescent="0.2">
      <c r="K348" s="16"/>
      <c r="L348" s="16"/>
      <c r="M348" s="16"/>
      <c r="N348" s="16"/>
      <c r="O348" s="16"/>
      <c r="P348" s="16"/>
      <c r="Q348" s="16"/>
      <c r="R348" s="16"/>
    </row>
    <row r="349" spans="11:18" x14ac:dyDescent="0.2">
      <c r="K349" s="16"/>
      <c r="L349" s="16"/>
      <c r="M349" s="16"/>
      <c r="N349" s="16"/>
      <c r="O349" s="16"/>
      <c r="P349" s="16"/>
      <c r="Q349" s="16"/>
      <c r="R349" s="16"/>
    </row>
    <row r="350" spans="11:18" x14ac:dyDescent="0.2">
      <c r="K350" s="16"/>
      <c r="L350" s="16"/>
      <c r="M350" s="16"/>
      <c r="N350" s="16"/>
      <c r="O350" s="16"/>
      <c r="P350" s="16"/>
      <c r="Q350" s="16"/>
      <c r="R350" s="16"/>
    </row>
    <row r="351" spans="11:18" x14ac:dyDescent="0.2">
      <c r="K351" s="16"/>
      <c r="L351" s="16"/>
      <c r="M351" s="16"/>
      <c r="N351" s="16"/>
      <c r="O351" s="16"/>
      <c r="P351" s="16"/>
      <c r="Q351" s="16"/>
      <c r="R351" s="16"/>
    </row>
    <row r="352" spans="11:18" x14ac:dyDescent="0.2">
      <c r="K352" s="16"/>
      <c r="L352" s="16"/>
      <c r="M352" s="16"/>
      <c r="N352" s="16"/>
      <c r="O352" s="16"/>
      <c r="P352" s="16"/>
      <c r="Q352" s="16"/>
      <c r="R352" s="16"/>
    </row>
    <row r="353" spans="10:18" x14ac:dyDescent="0.2">
      <c r="K353" s="16"/>
      <c r="L353" s="16"/>
      <c r="M353" s="16"/>
      <c r="N353" s="16"/>
      <c r="O353" s="16"/>
      <c r="P353" s="16"/>
      <c r="Q353" s="16"/>
      <c r="R353" s="16"/>
    </row>
    <row r="354" spans="10:18" x14ac:dyDescent="0.2">
      <c r="J354" s="16"/>
      <c r="K354" s="16"/>
      <c r="L354" s="16"/>
      <c r="M354" s="16"/>
      <c r="N354" s="16"/>
      <c r="O354" s="16"/>
      <c r="P354" s="16"/>
      <c r="Q354" s="16"/>
      <c r="R354" s="16"/>
    </row>
    <row r="355" spans="10:18" x14ac:dyDescent="0.2">
      <c r="J355" s="16"/>
      <c r="K355" s="16"/>
      <c r="L355" s="16"/>
      <c r="M355" s="16"/>
      <c r="N355" s="16"/>
      <c r="O355" s="16"/>
      <c r="P355" s="16"/>
      <c r="Q355" s="16"/>
      <c r="R355" s="16"/>
    </row>
    <row r="356" spans="10:18" x14ac:dyDescent="0.2">
      <c r="J356" s="16"/>
      <c r="K356" s="16"/>
      <c r="L356" s="16"/>
      <c r="M356" s="16"/>
      <c r="N356" s="16"/>
      <c r="O356" s="16"/>
      <c r="P356" s="16"/>
      <c r="Q356" s="16"/>
      <c r="R356" s="16"/>
    </row>
    <row r="357" spans="10:18" x14ac:dyDescent="0.2">
      <c r="J357" s="16"/>
      <c r="K357" s="16"/>
      <c r="L357" s="16"/>
      <c r="M357" s="16"/>
      <c r="N357" s="16"/>
      <c r="O357" s="16"/>
      <c r="P357" s="16"/>
      <c r="Q357" s="16"/>
      <c r="R357" s="16"/>
    </row>
  </sheetData>
  <sheetProtection selectLockedCells="1"/>
  <phoneticPr fontId="1" type="noConversion"/>
  <hyperlinks>
    <hyperlink ref="L8" location="'2 Stress'!A1" display="Stress" xr:uid="{00000000-0004-0000-0000-000000000000}"/>
    <hyperlink ref="L7" location="'1 Machines'!A1" display="Machines" xr:uid="{00000000-0004-0000-0000-000001000000}"/>
    <hyperlink ref="L9" location="'3 Shaft'!A1" display="Shaft" xr:uid="{00000000-0004-0000-0000-000002000000}"/>
    <hyperlink ref="L10" location="'4 Coupling'!A1" display="Coupling" xr:uid="{00000000-0004-0000-0000-000003000000}"/>
    <hyperlink ref="L11" location="'5 Actuator'!A1" display="Actuator" xr:uid="{00000000-0004-0000-0000-000004000000}"/>
    <hyperlink ref="L12" location="'6 Brake'!A1" display="Brake" xr:uid="{00000000-0004-0000-0000-000005000000}"/>
    <hyperlink ref="L14" location="'8 Gears'!A1" display="Gears" xr:uid="{00000000-0004-0000-0000-000006000000}"/>
    <hyperlink ref="L15" location="'9 Hyd Cyl'!A1" display="Hyd Cylinders" xr:uid="{00000000-0004-0000-0000-000007000000}"/>
    <hyperlink ref="L16" location="'10 Vibration'!A1" display="Vibration" xr:uid="{00000000-0004-0000-0000-000008000000}"/>
    <hyperlink ref="L17" location="'11 Shock Load'!A1" display="Shock Load" xr:uid="{00000000-0004-0000-0000-000009000000}"/>
    <hyperlink ref="L18" location="'12 Math Tools'!A1" display="Math Tools" xr:uid="{00000000-0004-0000-0000-00000A000000}"/>
    <hyperlink ref="C102" r:id="rId1" xr:uid="{00000000-0004-0000-0000-00000B000000}"/>
  </hyperlinks>
  <pageMargins left="0.75" right="0.75" top="1" bottom="1" header="0.5" footer="0.5"/>
  <pageSetup orientation="portrait" horizontalDpi="4294967295"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892"/>
  <sheetViews>
    <sheetView workbookViewId="0">
      <selection activeCell="M1" sqref="M1"/>
    </sheetView>
  </sheetViews>
  <sheetFormatPr defaultColWidth="8.7109375" defaultRowHeight="15" x14ac:dyDescent="0.2"/>
  <cols>
    <col min="1" max="1" width="39.5703125" style="12" customWidth="1"/>
    <col min="2" max="2" width="23.42578125" style="12" customWidth="1"/>
    <col min="3" max="16384" width="8.7109375" style="12"/>
  </cols>
  <sheetData>
    <row r="1" spans="1:14" ht="18" x14ac:dyDescent="0.25">
      <c r="A1" s="7" t="s">
        <v>1412</v>
      </c>
      <c r="C1" s="1"/>
      <c r="D1" s="15"/>
      <c r="E1" s="5" t="s">
        <v>1071</v>
      </c>
      <c r="F1" s="16"/>
      <c r="G1" s="16"/>
      <c r="H1" s="16"/>
      <c r="I1" s="16"/>
      <c r="J1" s="16"/>
      <c r="K1" s="16"/>
      <c r="L1" s="16"/>
      <c r="M1" s="16"/>
      <c r="N1" s="16"/>
    </row>
    <row r="2" spans="1:14" x14ac:dyDescent="0.2">
      <c r="A2" s="17"/>
      <c r="F2" s="16"/>
      <c r="G2" s="16"/>
      <c r="H2" s="16"/>
      <c r="I2" s="16"/>
      <c r="J2" s="16"/>
      <c r="K2" s="16"/>
      <c r="L2" s="16"/>
      <c r="M2" s="16"/>
      <c r="N2" s="16"/>
    </row>
    <row r="3" spans="1:14" x14ac:dyDescent="0.2">
      <c r="M3" s="16"/>
      <c r="N3" s="16"/>
    </row>
    <row r="4" spans="1:14" ht="15.75" x14ac:dyDescent="0.25">
      <c r="A4" s="1" t="s">
        <v>420</v>
      </c>
      <c r="B4" s="27"/>
      <c r="C4" s="27"/>
      <c r="F4" s="16"/>
      <c r="G4" s="16"/>
      <c r="M4" s="16"/>
      <c r="N4" s="16"/>
    </row>
    <row r="5" spans="1:14" x14ac:dyDescent="0.2">
      <c r="A5" s="22" t="s">
        <v>421</v>
      </c>
      <c r="B5" s="27"/>
      <c r="C5" s="27"/>
      <c r="F5" s="16"/>
      <c r="G5" s="16"/>
      <c r="H5" s="16"/>
      <c r="I5" s="16"/>
      <c r="J5" s="16"/>
      <c r="K5" s="16"/>
      <c r="L5" s="16"/>
      <c r="M5" s="16"/>
      <c r="N5" s="16"/>
    </row>
    <row r="6" spans="1:14" x14ac:dyDescent="0.2">
      <c r="A6" s="22" t="s">
        <v>1067</v>
      </c>
      <c r="B6" s="27"/>
      <c r="C6" s="27"/>
      <c r="F6" s="16"/>
      <c r="G6" s="16"/>
      <c r="H6" s="16"/>
      <c r="I6" s="16"/>
      <c r="J6" s="16"/>
      <c r="K6" s="16"/>
      <c r="L6" s="16"/>
      <c r="M6" s="16"/>
      <c r="N6" s="16"/>
    </row>
    <row r="7" spans="1:14" x14ac:dyDescent="0.2">
      <c r="H7" s="16"/>
      <c r="I7" s="16"/>
      <c r="J7" s="16"/>
      <c r="K7" s="16"/>
      <c r="L7" s="16"/>
      <c r="M7" s="16"/>
      <c r="N7" s="16"/>
    </row>
    <row r="8" spans="1:14" ht="15.75" x14ac:dyDescent="0.25">
      <c r="A8" s="1" t="s">
        <v>1118</v>
      </c>
      <c r="B8" s="27"/>
      <c r="C8" s="27"/>
      <c r="F8" s="16"/>
      <c r="G8" s="16"/>
      <c r="H8" s="16"/>
      <c r="I8" s="16"/>
      <c r="J8" s="16"/>
      <c r="K8" s="16"/>
      <c r="L8" s="16"/>
      <c r="M8" s="16"/>
      <c r="N8" s="16"/>
    </row>
    <row r="9" spans="1:14" x14ac:dyDescent="0.2">
      <c r="A9" s="22" t="s">
        <v>215</v>
      </c>
      <c r="B9" s="27"/>
      <c r="C9" s="27"/>
      <c r="F9" s="16"/>
      <c r="G9" s="16"/>
      <c r="H9" s="16"/>
      <c r="I9" s="16"/>
      <c r="J9" s="16"/>
      <c r="K9" s="16"/>
      <c r="L9" s="16"/>
      <c r="M9" s="16"/>
      <c r="N9" s="16"/>
    </row>
    <row r="10" spans="1:14" x14ac:dyDescent="0.2">
      <c r="A10" s="22" t="s">
        <v>1477</v>
      </c>
      <c r="B10" s="27"/>
      <c r="C10" s="27"/>
      <c r="F10" s="16"/>
      <c r="G10" s="16"/>
      <c r="H10" s="16"/>
      <c r="I10" s="16"/>
      <c r="J10" s="16"/>
      <c r="K10" s="16"/>
      <c r="L10" s="16"/>
      <c r="M10" s="16"/>
      <c r="N10" s="16"/>
    </row>
    <row r="11" spans="1:14" x14ac:dyDescent="0.2">
      <c r="A11" s="22" t="s">
        <v>422</v>
      </c>
      <c r="B11" s="27"/>
      <c r="C11" s="27"/>
      <c r="F11" s="16"/>
      <c r="G11" s="16"/>
      <c r="H11" s="16"/>
      <c r="I11" s="16"/>
      <c r="J11" s="16"/>
      <c r="K11" s="16"/>
      <c r="L11" s="16"/>
      <c r="M11" s="16"/>
      <c r="N11" s="16"/>
    </row>
    <row r="12" spans="1:14" x14ac:dyDescent="0.2">
      <c r="A12" s="22" t="s">
        <v>423</v>
      </c>
      <c r="B12" s="27"/>
      <c r="C12" s="27"/>
      <c r="F12" s="16"/>
      <c r="G12" s="16"/>
      <c r="H12" s="16"/>
      <c r="I12" s="16"/>
      <c r="J12" s="16"/>
      <c r="K12" s="16"/>
      <c r="L12" s="16"/>
      <c r="M12" s="16"/>
      <c r="N12" s="16"/>
    </row>
    <row r="13" spans="1:14" x14ac:dyDescent="0.2">
      <c r="A13" s="22" t="s">
        <v>1478</v>
      </c>
      <c r="B13" s="27"/>
      <c r="C13" s="27"/>
      <c r="F13" s="16"/>
      <c r="G13" s="16"/>
      <c r="H13" s="16"/>
      <c r="I13" s="16"/>
      <c r="J13" s="16"/>
      <c r="K13" s="16"/>
      <c r="L13" s="16"/>
      <c r="M13" s="16"/>
      <c r="N13" s="16"/>
    </row>
    <row r="14" spans="1:14" x14ac:dyDescent="0.2">
      <c r="A14" s="22" t="s">
        <v>424</v>
      </c>
      <c r="B14" s="27"/>
      <c r="C14" s="27"/>
      <c r="F14" s="16"/>
      <c r="G14" s="16"/>
      <c r="H14" s="16"/>
      <c r="I14" s="16"/>
      <c r="J14" s="16"/>
      <c r="K14" s="16"/>
      <c r="L14" s="16"/>
      <c r="M14" s="16"/>
      <c r="N14" s="16"/>
    </row>
    <row r="15" spans="1:14" x14ac:dyDescent="0.2">
      <c r="A15" s="22" t="s">
        <v>425</v>
      </c>
      <c r="B15" s="27"/>
      <c r="C15" s="27"/>
      <c r="F15" s="16"/>
      <c r="G15" s="16"/>
      <c r="H15" s="16"/>
      <c r="I15" s="16"/>
      <c r="J15" s="16"/>
      <c r="K15" s="16"/>
      <c r="L15" s="16"/>
      <c r="M15" s="16"/>
      <c r="N15" s="16"/>
    </row>
    <row r="16" spans="1:14" x14ac:dyDescent="0.2">
      <c r="A16" s="22" t="s">
        <v>426</v>
      </c>
      <c r="B16" s="27"/>
      <c r="C16" s="27"/>
      <c r="F16" s="16"/>
      <c r="G16" s="16"/>
      <c r="H16" s="16"/>
      <c r="I16" s="16"/>
      <c r="J16" s="16"/>
      <c r="K16" s="16"/>
      <c r="L16" s="16"/>
      <c r="M16" s="16"/>
      <c r="N16" s="16"/>
    </row>
    <row r="17" spans="1:14" x14ac:dyDescent="0.2">
      <c r="A17" s="22" t="s">
        <v>427</v>
      </c>
      <c r="B17" s="27"/>
      <c r="C17" s="27"/>
      <c r="F17" s="16"/>
      <c r="G17" s="16"/>
      <c r="H17" s="16"/>
      <c r="I17" s="16"/>
      <c r="J17" s="16"/>
      <c r="K17" s="16"/>
      <c r="L17" s="16"/>
      <c r="M17" s="16"/>
      <c r="N17" s="16"/>
    </row>
    <row r="18" spans="1:14" x14ac:dyDescent="0.2">
      <c r="A18" s="22" t="s">
        <v>432</v>
      </c>
      <c r="B18" s="27"/>
      <c r="C18" s="27"/>
      <c r="F18" s="16"/>
      <c r="G18" s="16"/>
      <c r="H18" s="16"/>
      <c r="I18" s="16"/>
      <c r="J18" s="16"/>
      <c r="K18" s="16"/>
      <c r="L18" s="16"/>
      <c r="M18" s="16"/>
      <c r="N18" s="16"/>
    </row>
    <row r="19" spans="1:14" x14ac:dyDescent="0.2">
      <c r="C19" s="27"/>
      <c r="F19" s="16"/>
      <c r="G19" s="16"/>
      <c r="H19" s="16"/>
      <c r="I19" s="16"/>
      <c r="J19" s="16"/>
      <c r="K19" s="16"/>
      <c r="L19" s="16"/>
      <c r="M19" s="16"/>
      <c r="N19" s="16"/>
    </row>
    <row r="20" spans="1:14" x14ac:dyDescent="0.2">
      <c r="A20" s="22"/>
      <c r="B20" s="27"/>
      <c r="C20" s="27"/>
      <c r="F20" s="16"/>
      <c r="G20" s="16"/>
      <c r="H20" s="16"/>
      <c r="I20" s="16"/>
      <c r="J20" s="16"/>
      <c r="K20" s="16"/>
      <c r="L20" s="16"/>
      <c r="M20" s="16"/>
      <c r="N20" s="16"/>
    </row>
    <row r="21" spans="1:14" x14ac:dyDescent="0.2">
      <c r="A21" s="22"/>
      <c r="B21" s="27"/>
      <c r="C21" s="27"/>
      <c r="F21" s="16"/>
      <c r="G21" s="16"/>
      <c r="H21" s="16"/>
      <c r="I21" s="16"/>
      <c r="J21" s="16"/>
      <c r="K21" s="16"/>
      <c r="L21" s="16"/>
      <c r="M21" s="16"/>
      <c r="N21" s="16"/>
    </row>
    <row r="22" spans="1:14" x14ac:dyDescent="0.2">
      <c r="A22" s="22"/>
      <c r="B22" s="27"/>
      <c r="C22" s="27"/>
      <c r="F22" s="16"/>
      <c r="G22" s="16"/>
      <c r="H22" s="16"/>
      <c r="I22" s="16"/>
      <c r="J22" s="16"/>
      <c r="K22" s="16"/>
      <c r="L22" s="16"/>
      <c r="M22" s="16"/>
      <c r="N22" s="16"/>
    </row>
    <row r="23" spans="1:14" x14ac:dyDescent="0.2">
      <c r="A23" s="28"/>
      <c r="B23" s="27"/>
      <c r="C23" s="27"/>
      <c r="F23" s="16"/>
      <c r="G23" s="16"/>
      <c r="H23" s="16"/>
      <c r="I23" s="16"/>
      <c r="J23" s="16"/>
      <c r="K23" s="16"/>
      <c r="L23" s="16"/>
      <c r="M23" s="16"/>
      <c r="N23" s="16"/>
    </row>
    <row r="24" spans="1:14" ht="15.75" x14ac:dyDescent="0.25">
      <c r="A24" s="1" t="s">
        <v>433</v>
      </c>
      <c r="B24" s="27"/>
      <c r="C24" s="27"/>
      <c r="F24" s="16"/>
      <c r="G24" s="16"/>
      <c r="H24" s="16"/>
      <c r="I24" s="16"/>
      <c r="J24" s="16"/>
      <c r="K24" s="16"/>
      <c r="L24" s="16"/>
      <c r="M24" s="16"/>
      <c r="N24" s="16"/>
    </row>
    <row r="25" spans="1:14" x14ac:dyDescent="0.2">
      <c r="A25" s="22" t="s">
        <v>434</v>
      </c>
      <c r="B25" s="27"/>
      <c r="C25" s="27"/>
      <c r="F25" s="16"/>
      <c r="G25" s="16"/>
      <c r="H25" s="16"/>
      <c r="I25" s="16"/>
      <c r="J25" s="16"/>
      <c r="K25" s="16"/>
      <c r="L25" s="16"/>
      <c r="M25" s="16"/>
      <c r="N25" s="16"/>
    </row>
    <row r="26" spans="1:14" x14ac:dyDescent="0.2">
      <c r="A26" s="22" t="s">
        <v>216</v>
      </c>
      <c r="B26" s="27"/>
      <c r="C26" s="27"/>
      <c r="F26" s="16"/>
      <c r="G26" s="16"/>
      <c r="H26" s="16"/>
      <c r="I26" s="16"/>
      <c r="J26" s="16"/>
      <c r="K26" s="16"/>
      <c r="L26" s="16"/>
      <c r="M26" s="16"/>
      <c r="N26" s="16"/>
    </row>
    <row r="27" spans="1:14" ht="16.5" thickBot="1" x14ac:dyDescent="0.3">
      <c r="A27" s="28"/>
      <c r="B27" s="30" t="s">
        <v>109</v>
      </c>
      <c r="F27" s="16"/>
      <c r="G27" s="16"/>
      <c r="H27" s="16"/>
      <c r="I27" s="16"/>
      <c r="J27" s="16"/>
      <c r="K27" s="16"/>
      <c r="L27" s="16"/>
      <c r="M27" s="16"/>
      <c r="N27" s="16"/>
    </row>
    <row r="28" spans="1:14" x14ac:dyDescent="0.2">
      <c r="A28" s="28" t="s">
        <v>435</v>
      </c>
      <c r="B28" s="31">
        <v>2</v>
      </c>
      <c r="C28" s="12" t="s">
        <v>436</v>
      </c>
      <c r="F28" s="16"/>
      <c r="G28" s="16"/>
      <c r="H28" s="16"/>
      <c r="I28" s="16"/>
      <c r="J28" s="16"/>
      <c r="K28" s="16"/>
      <c r="L28" s="16"/>
      <c r="M28" s="16"/>
      <c r="N28" s="16"/>
    </row>
    <row r="29" spans="1:14" ht="15.75" thickBot="1" x14ac:dyDescent="0.25">
      <c r="A29" s="28" t="s">
        <v>437</v>
      </c>
      <c r="B29" s="54">
        <v>10</v>
      </c>
      <c r="C29" s="12" t="s">
        <v>438</v>
      </c>
      <c r="F29" s="16"/>
      <c r="G29" s="16"/>
      <c r="H29" s="16"/>
      <c r="I29" s="16"/>
      <c r="J29" s="16"/>
      <c r="K29" s="16"/>
      <c r="L29" s="16"/>
      <c r="M29" s="16"/>
      <c r="N29" s="16"/>
    </row>
    <row r="30" spans="1:14" ht="15.75" x14ac:dyDescent="0.25">
      <c r="A30" s="28"/>
      <c r="B30" s="30" t="s">
        <v>876</v>
      </c>
      <c r="F30" s="16"/>
      <c r="G30" s="16"/>
      <c r="H30" s="16"/>
      <c r="I30" s="16"/>
      <c r="J30" s="16"/>
      <c r="K30" s="16"/>
      <c r="L30" s="16"/>
      <c r="M30" s="16"/>
      <c r="N30" s="16"/>
    </row>
    <row r="31" spans="1:14" ht="15.75" x14ac:dyDescent="0.25">
      <c r="A31" s="2" t="s">
        <v>65</v>
      </c>
      <c r="B31" s="5">
        <v>32.200000000000003</v>
      </c>
      <c r="C31" s="4" t="s">
        <v>439</v>
      </c>
      <c r="F31" s="16"/>
      <c r="G31" s="16"/>
      <c r="H31" s="16"/>
      <c r="I31" s="16"/>
      <c r="J31" s="16"/>
      <c r="K31" s="16"/>
      <c r="L31" s="16"/>
      <c r="M31" s="16"/>
      <c r="N31" s="16"/>
    </row>
    <row r="32" spans="1:14" ht="15.75" x14ac:dyDescent="0.25">
      <c r="A32" s="2" t="s">
        <v>440</v>
      </c>
      <c r="B32" s="5">
        <v>3.1419999999999999</v>
      </c>
      <c r="C32" s="4"/>
      <c r="F32" s="16"/>
      <c r="G32" s="16"/>
      <c r="H32" s="16"/>
      <c r="I32" s="16"/>
      <c r="J32" s="16"/>
      <c r="K32" s="16"/>
      <c r="L32" s="16"/>
      <c r="M32" s="16"/>
      <c r="N32" s="16"/>
    </row>
    <row r="33" spans="1:14" ht="15.75" x14ac:dyDescent="0.25">
      <c r="A33" s="2" t="s">
        <v>441</v>
      </c>
      <c r="B33" s="3" t="s">
        <v>442</v>
      </c>
      <c r="F33" s="16"/>
      <c r="G33" s="16"/>
      <c r="H33" s="16"/>
      <c r="I33" s="16"/>
      <c r="J33" s="16"/>
      <c r="K33" s="16"/>
      <c r="L33" s="16"/>
      <c r="M33" s="16"/>
      <c r="N33" s="16"/>
    </row>
    <row r="34" spans="1:14" ht="15.75" x14ac:dyDescent="0.25">
      <c r="A34" s="26" t="s">
        <v>748</v>
      </c>
      <c r="B34" s="37">
        <f>B28/B29</f>
        <v>0.2</v>
      </c>
      <c r="C34" s="4" t="s">
        <v>1078</v>
      </c>
      <c r="D34" s="12" t="s">
        <v>444</v>
      </c>
      <c r="F34" s="16"/>
      <c r="G34" s="16"/>
      <c r="H34" s="16"/>
      <c r="I34" s="16"/>
      <c r="J34" s="16"/>
      <c r="K34" s="16"/>
      <c r="L34" s="16"/>
      <c r="M34" s="16"/>
      <c r="N34" s="16"/>
    </row>
    <row r="35" spans="1:14" ht="15.75" x14ac:dyDescent="0.25">
      <c r="A35" s="2" t="s">
        <v>445</v>
      </c>
      <c r="B35" s="5" t="s">
        <v>446</v>
      </c>
      <c r="F35" s="16"/>
      <c r="G35" s="16"/>
      <c r="H35" s="16"/>
      <c r="I35" s="16"/>
      <c r="J35" s="16"/>
      <c r="K35" s="16"/>
      <c r="L35" s="16"/>
      <c r="M35" s="16"/>
      <c r="N35" s="16"/>
    </row>
    <row r="36" spans="1:14" ht="15.75" x14ac:dyDescent="0.25">
      <c r="A36" s="26" t="s">
        <v>112</v>
      </c>
      <c r="B36" s="3">
        <f>B28/(32.2*12)</f>
        <v>5.175983436853002E-3</v>
      </c>
      <c r="C36" s="4" t="s">
        <v>453</v>
      </c>
      <c r="F36" s="16"/>
      <c r="G36" s="16"/>
      <c r="H36" s="16"/>
      <c r="I36" s="16"/>
      <c r="J36" s="16"/>
      <c r="K36" s="16"/>
      <c r="L36" s="16"/>
      <c r="M36" s="16"/>
      <c r="N36" s="16"/>
    </row>
    <row r="37" spans="1:14" ht="15.75" x14ac:dyDescent="0.25">
      <c r="A37" s="2" t="s">
        <v>454</v>
      </c>
      <c r="B37" s="5" t="s">
        <v>455</v>
      </c>
      <c r="C37" s="4" t="s">
        <v>456</v>
      </c>
      <c r="F37" s="16"/>
      <c r="G37" s="16"/>
      <c r="H37" s="16"/>
      <c r="I37" s="16"/>
      <c r="J37" s="16"/>
      <c r="K37" s="16"/>
      <c r="L37" s="16"/>
      <c r="M37" s="16"/>
      <c r="N37" s="16"/>
    </row>
    <row r="38" spans="1:14" ht="15.75" x14ac:dyDescent="0.25">
      <c r="A38" s="26" t="s">
        <v>748</v>
      </c>
      <c r="B38" s="37">
        <f>(1/2*3.142)*(B29/(B28/(32.2*12)))^0.5</f>
        <v>69.052553986076433</v>
      </c>
      <c r="C38" s="4" t="s">
        <v>456</v>
      </c>
      <c r="F38" s="16"/>
      <c r="G38" s="16"/>
      <c r="H38" s="16"/>
      <c r="I38" s="16"/>
      <c r="J38" s="16"/>
      <c r="K38" s="16"/>
      <c r="L38" s="16"/>
      <c r="M38" s="16"/>
      <c r="N38" s="16"/>
    </row>
    <row r="39" spans="1:14" ht="15.75" x14ac:dyDescent="0.25">
      <c r="A39" s="2" t="s">
        <v>457</v>
      </c>
      <c r="B39" s="5" t="s">
        <v>458</v>
      </c>
      <c r="C39" s="4"/>
      <c r="F39" s="16"/>
      <c r="G39" s="16"/>
      <c r="H39" s="16"/>
      <c r="I39" s="16"/>
      <c r="J39" s="16"/>
      <c r="K39" s="16"/>
      <c r="L39" s="16"/>
      <c r="M39" s="16"/>
      <c r="N39" s="16"/>
    </row>
    <row r="40" spans="1:14" ht="15.75" x14ac:dyDescent="0.25">
      <c r="A40" s="26" t="s">
        <v>748</v>
      </c>
      <c r="B40" s="36">
        <f>2*3.142*B38</f>
        <v>433.92624924850429</v>
      </c>
      <c r="C40" s="4" t="s">
        <v>460</v>
      </c>
      <c r="F40" s="16">
        <f>B40/(2*3.142)</f>
        <v>69.052553986076433</v>
      </c>
      <c r="G40" s="16"/>
      <c r="H40" s="16"/>
      <c r="I40" s="16"/>
      <c r="J40" s="16"/>
      <c r="K40" s="16"/>
      <c r="L40" s="16"/>
      <c r="M40" s="16"/>
      <c r="N40" s="16"/>
    </row>
    <row r="41" spans="1:14" x14ac:dyDescent="0.2">
      <c r="A41" s="22" t="s">
        <v>1071</v>
      </c>
      <c r="B41" s="27"/>
      <c r="C41" s="27"/>
      <c r="F41" s="16"/>
      <c r="G41" s="16"/>
      <c r="H41" s="16"/>
      <c r="I41" s="16"/>
      <c r="J41" s="16"/>
      <c r="K41" s="16"/>
      <c r="L41" s="16"/>
      <c r="M41" s="16"/>
      <c r="N41" s="16"/>
    </row>
    <row r="42" spans="1:14" x14ac:dyDescent="0.2">
      <c r="B42" s="27"/>
      <c r="C42" s="27"/>
      <c r="F42" s="16"/>
      <c r="G42" s="16"/>
      <c r="H42" s="16"/>
      <c r="I42" s="16"/>
      <c r="J42" s="16"/>
      <c r="K42" s="16"/>
      <c r="L42" s="16"/>
      <c r="M42" s="16"/>
      <c r="N42" s="16"/>
    </row>
    <row r="43" spans="1:14" x14ac:dyDescent="0.2">
      <c r="A43" s="28"/>
      <c r="B43" s="27"/>
      <c r="C43" s="27"/>
      <c r="F43" s="16"/>
      <c r="G43" s="16"/>
      <c r="H43" s="16"/>
      <c r="I43" s="16"/>
      <c r="J43" s="16"/>
      <c r="K43" s="16"/>
      <c r="L43" s="16"/>
      <c r="M43" s="16"/>
      <c r="N43" s="16"/>
    </row>
    <row r="44" spans="1:14" x14ac:dyDescent="0.2">
      <c r="A44" s="28"/>
      <c r="B44" s="27"/>
      <c r="C44" s="27"/>
      <c r="F44" s="16"/>
      <c r="G44" s="16"/>
      <c r="H44" s="16"/>
      <c r="I44" s="16"/>
      <c r="J44" s="16"/>
      <c r="K44" s="16"/>
      <c r="L44" s="16"/>
      <c r="M44" s="16"/>
      <c r="N44" s="16"/>
    </row>
    <row r="45" spans="1:14" x14ac:dyDescent="0.2">
      <c r="A45" s="28"/>
      <c r="B45" s="27"/>
      <c r="C45" s="27"/>
      <c r="F45" s="16"/>
      <c r="G45" s="16"/>
      <c r="H45" s="16"/>
      <c r="I45" s="16"/>
      <c r="J45" s="16"/>
      <c r="K45" s="16"/>
      <c r="L45" s="16"/>
      <c r="M45" s="16"/>
      <c r="N45" s="16"/>
    </row>
    <row r="46" spans="1:14" x14ac:dyDescent="0.2">
      <c r="A46" s="28"/>
      <c r="B46" s="27"/>
      <c r="C46" s="27"/>
      <c r="F46" s="16"/>
      <c r="G46" s="16"/>
      <c r="H46" s="16"/>
      <c r="I46" s="16"/>
      <c r="J46" s="16"/>
      <c r="K46" s="16"/>
      <c r="L46" s="16"/>
      <c r="M46" s="16"/>
      <c r="N46" s="16"/>
    </row>
    <row r="47" spans="1:14" x14ac:dyDescent="0.2">
      <c r="A47" s="28"/>
      <c r="B47" s="27"/>
      <c r="C47" s="27"/>
      <c r="F47" s="16"/>
      <c r="G47" s="16"/>
      <c r="H47" s="16"/>
      <c r="I47" s="16"/>
      <c r="J47" s="16"/>
      <c r="K47" s="16"/>
      <c r="L47" s="16"/>
      <c r="M47" s="16"/>
      <c r="N47" s="16"/>
    </row>
    <row r="48" spans="1:14" x14ac:dyDescent="0.2">
      <c r="A48" s="28"/>
      <c r="B48" s="27"/>
      <c r="C48" s="27"/>
      <c r="F48" s="16"/>
      <c r="G48" s="16"/>
      <c r="H48" s="16"/>
      <c r="I48" s="16"/>
      <c r="J48" s="16"/>
      <c r="K48" s="16"/>
      <c r="L48" s="16"/>
      <c r="M48" s="16"/>
      <c r="N48" s="16"/>
    </row>
    <row r="49" spans="1:14" x14ac:dyDescent="0.2">
      <c r="A49" s="28"/>
      <c r="B49" s="27"/>
      <c r="C49" s="27"/>
      <c r="F49" s="16"/>
      <c r="G49" s="16"/>
      <c r="H49" s="16"/>
      <c r="I49" s="16"/>
      <c r="J49" s="16"/>
      <c r="K49" s="16"/>
      <c r="L49" s="16"/>
      <c r="M49" s="16"/>
      <c r="N49" s="16"/>
    </row>
    <row r="50" spans="1:14" x14ac:dyDescent="0.2">
      <c r="A50" s="28"/>
      <c r="B50" s="27"/>
      <c r="C50" s="27"/>
      <c r="F50" s="16"/>
      <c r="G50" s="16"/>
      <c r="H50" s="16"/>
      <c r="I50" s="16"/>
      <c r="J50" s="16"/>
      <c r="K50" s="16"/>
      <c r="L50" s="16"/>
      <c r="M50" s="16"/>
      <c r="N50" s="16"/>
    </row>
    <row r="51" spans="1:14" x14ac:dyDescent="0.2">
      <c r="A51" s="124"/>
      <c r="B51" s="125"/>
      <c r="C51" s="125"/>
      <c r="D51" s="23"/>
      <c r="E51" s="23"/>
      <c r="F51" s="16"/>
      <c r="G51" s="16"/>
      <c r="H51" s="16"/>
      <c r="I51" s="16"/>
      <c r="J51" s="16"/>
      <c r="K51" s="16"/>
      <c r="L51" s="16"/>
      <c r="M51" s="16"/>
      <c r="N51" s="16"/>
    </row>
    <row r="52" spans="1:14" x14ac:dyDescent="0.2">
      <c r="A52" s="28"/>
      <c r="B52" s="27"/>
      <c r="C52" s="27"/>
      <c r="F52" s="16"/>
      <c r="G52" s="16"/>
      <c r="H52" s="16"/>
      <c r="I52" s="16"/>
      <c r="J52" s="16"/>
      <c r="K52" s="16"/>
      <c r="L52" s="16"/>
      <c r="M52" s="16"/>
      <c r="N52" s="16"/>
    </row>
    <row r="53" spans="1:14" x14ac:dyDescent="0.2">
      <c r="A53" s="28"/>
      <c r="B53" s="27"/>
      <c r="C53" s="27"/>
      <c r="F53" s="16"/>
      <c r="G53" s="16"/>
      <c r="H53" s="16"/>
      <c r="I53" s="16"/>
      <c r="J53" s="16"/>
      <c r="K53" s="16"/>
      <c r="L53" s="16"/>
      <c r="M53" s="16"/>
      <c r="N53" s="16"/>
    </row>
    <row r="54" spans="1:14" ht="15.75" x14ac:dyDescent="0.25">
      <c r="A54" s="28"/>
      <c r="B54" s="30"/>
      <c r="C54" s="27"/>
      <c r="F54" s="16"/>
      <c r="G54" s="16"/>
      <c r="H54" s="16"/>
      <c r="I54" s="16"/>
      <c r="J54" s="16"/>
      <c r="K54" s="16"/>
      <c r="L54" s="16"/>
      <c r="M54" s="16"/>
      <c r="N54" s="16"/>
    </row>
    <row r="55" spans="1:14" ht="15.75" x14ac:dyDescent="0.25">
      <c r="A55" s="2"/>
      <c r="B55" s="3"/>
      <c r="C55" s="27"/>
      <c r="F55" s="16"/>
      <c r="G55" s="16"/>
      <c r="H55" s="16"/>
      <c r="I55" s="16"/>
      <c r="J55" s="16"/>
      <c r="K55" s="16"/>
      <c r="L55" s="16"/>
      <c r="M55" s="16"/>
      <c r="N55" s="16"/>
    </row>
    <row r="56" spans="1:14" ht="15.75" x14ac:dyDescent="0.25">
      <c r="A56" s="2"/>
      <c r="B56" s="5"/>
      <c r="C56" s="27"/>
      <c r="F56" s="16"/>
      <c r="G56" s="16"/>
      <c r="H56" s="16"/>
      <c r="I56" s="16"/>
      <c r="J56" s="16"/>
      <c r="K56" s="16"/>
      <c r="L56" s="16"/>
      <c r="M56" s="16"/>
      <c r="N56" s="16"/>
    </row>
    <row r="57" spans="1:14" ht="15.75" x14ac:dyDescent="0.25">
      <c r="A57" s="2"/>
      <c r="B57" s="3"/>
      <c r="C57" s="27"/>
      <c r="F57" s="16"/>
      <c r="G57" s="16"/>
      <c r="H57" s="16"/>
      <c r="I57" s="16"/>
      <c r="J57" s="16"/>
      <c r="K57" s="16"/>
      <c r="L57" s="16"/>
      <c r="M57" s="16"/>
      <c r="N57" s="16"/>
    </row>
    <row r="58" spans="1:14" x14ac:dyDescent="0.2">
      <c r="A58" s="28"/>
      <c r="B58" s="27"/>
      <c r="C58" s="27"/>
      <c r="F58" s="16"/>
      <c r="G58" s="16"/>
      <c r="H58" s="16"/>
      <c r="I58" s="16"/>
      <c r="J58" s="16"/>
      <c r="K58" s="16"/>
      <c r="L58" s="16"/>
      <c r="M58" s="16"/>
      <c r="N58" s="16"/>
    </row>
    <row r="59" spans="1:14" x14ac:dyDescent="0.2">
      <c r="A59" s="28"/>
      <c r="B59" s="27"/>
      <c r="C59" s="27"/>
      <c r="F59" s="16"/>
      <c r="G59" s="16"/>
      <c r="H59" s="16"/>
      <c r="I59" s="16"/>
      <c r="J59" s="16"/>
      <c r="K59" s="16"/>
      <c r="L59" s="16"/>
      <c r="M59" s="16"/>
      <c r="N59" s="16"/>
    </row>
    <row r="60" spans="1:14" x14ac:dyDescent="0.2">
      <c r="A60" s="28"/>
      <c r="B60" s="27"/>
      <c r="C60" s="27"/>
      <c r="F60" s="16"/>
      <c r="G60" s="16"/>
      <c r="H60" s="16"/>
      <c r="I60" s="16"/>
      <c r="J60" s="16"/>
      <c r="K60" s="16"/>
      <c r="L60" s="16"/>
      <c r="M60" s="16"/>
      <c r="N60" s="16"/>
    </row>
    <row r="61" spans="1:14" x14ac:dyDescent="0.2">
      <c r="A61" s="28"/>
      <c r="B61" s="27"/>
      <c r="C61" s="27"/>
      <c r="F61" s="16"/>
      <c r="G61" s="16"/>
      <c r="H61" s="16"/>
      <c r="I61" s="16"/>
      <c r="J61" s="16"/>
      <c r="K61" s="16"/>
      <c r="L61" s="16"/>
      <c r="M61" s="16"/>
      <c r="N61" s="16"/>
    </row>
    <row r="62" spans="1:14" x14ac:dyDescent="0.2">
      <c r="F62" s="16"/>
      <c r="G62" s="16"/>
      <c r="H62" s="16"/>
      <c r="I62" s="16"/>
      <c r="J62" s="16"/>
      <c r="K62" s="16"/>
      <c r="L62" s="16"/>
      <c r="M62" s="16"/>
      <c r="N62" s="16"/>
    </row>
    <row r="63" spans="1:14" ht="16.5" thickBot="1" x14ac:dyDescent="0.3">
      <c r="A63" s="1" t="s">
        <v>1117</v>
      </c>
      <c r="B63" s="30" t="s">
        <v>109</v>
      </c>
      <c r="C63" s="27"/>
      <c r="F63" s="16"/>
      <c r="G63" s="16"/>
      <c r="H63" s="16"/>
      <c r="I63" s="16"/>
      <c r="J63" s="16"/>
      <c r="K63" s="16"/>
      <c r="L63" s="16"/>
      <c r="M63" s="16"/>
      <c r="N63" s="16"/>
    </row>
    <row r="64" spans="1:14" x14ac:dyDescent="0.2">
      <c r="A64" s="28" t="s">
        <v>562</v>
      </c>
      <c r="B64" s="31">
        <v>50</v>
      </c>
      <c r="C64" s="22" t="s">
        <v>436</v>
      </c>
      <c r="F64" s="16"/>
      <c r="G64" s="16"/>
      <c r="H64" s="16"/>
      <c r="I64" s="16"/>
      <c r="J64" s="16"/>
      <c r="K64" s="16"/>
      <c r="L64" s="16"/>
      <c r="M64" s="16"/>
      <c r="N64" s="16"/>
    </row>
    <row r="65" spans="1:14" x14ac:dyDescent="0.2">
      <c r="A65" s="28" t="s">
        <v>792</v>
      </c>
      <c r="B65" s="32">
        <v>1150</v>
      </c>
      <c r="C65" s="22" t="s">
        <v>1086</v>
      </c>
      <c r="F65" s="16"/>
      <c r="G65" s="16"/>
      <c r="H65" s="16"/>
      <c r="I65" s="16"/>
      <c r="J65" s="16"/>
      <c r="K65" s="16"/>
      <c r="L65" s="16"/>
      <c r="M65" s="16"/>
      <c r="N65" s="16"/>
    </row>
    <row r="66" spans="1:14" x14ac:dyDescent="0.2">
      <c r="A66" s="28" t="s">
        <v>66</v>
      </c>
      <c r="B66" s="32">
        <v>32.200000000000003</v>
      </c>
      <c r="C66" s="22" t="s">
        <v>439</v>
      </c>
      <c r="F66" s="16"/>
      <c r="G66" s="16"/>
      <c r="H66" s="16"/>
      <c r="I66" s="16"/>
      <c r="J66" s="16"/>
      <c r="K66" s="16"/>
      <c r="L66" s="16"/>
      <c r="M66" s="16"/>
      <c r="N66" s="16"/>
    </row>
    <row r="67" spans="1:14" x14ac:dyDescent="0.2">
      <c r="A67" s="28" t="s">
        <v>67</v>
      </c>
      <c r="B67" s="32">
        <v>386.4</v>
      </c>
      <c r="C67" s="22" t="s">
        <v>463</v>
      </c>
      <c r="F67" s="16"/>
      <c r="G67" s="16"/>
      <c r="H67" s="16"/>
      <c r="I67" s="16"/>
      <c r="J67" s="16"/>
      <c r="K67" s="16"/>
      <c r="L67" s="16"/>
      <c r="M67" s="16"/>
      <c r="N67" s="16"/>
    </row>
    <row r="68" spans="1:14" x14ac:dyDescent="0.2">
      <c r="A68" s="28" t="s">
        <v>564</v>
      </c>
      <c r="B68" s="53">
        <v>840</v>
      </c>
      <c r="C68" s="22" t="s">
        <v>436</v>
      </c>
      <c r="F68" s="16"/>
      <c r="G68" s="16"/>
      <c r="H68" s="16"/>
      <c r="I68" s="16"/>
      <c r="J68" s="16"/>
      <c r="K68" s="16"/>
      <c r="L68" s="16"/>
      <c r="M68" s="16"/>
      <c r="N68" s="16"/>
    </row>
    <row r="69" spans="1:14" ht="15.75" thickBot="1" x14ac:dyDescent="0.25">
      <c r="A69" s="28" t="s">
        <v>563</v>
      </c>
      <c r="B69" s="48">
        <v>500</v>
      </c>
      <c r="C69" s="22" t="s">
        <v>438</v>
      </c>
      <c r="F69" s="16"/>
      <c r="G69" s="16"/>
      <c r="H69" s="16"/>
      <c r="I69" s="16"/>
      <c r="J69" s="16"/>
      <c r="K69" s="16"/>
      <c r="L69" s="16"/>
      <c r="M69" s="16"/>
      <c r="N69" s="16"/>
    </row>
    <row r="70" spans="1:14" ht="15.75" x14ac:dyDescent="0.25">
      <c r="A70" s="2"/>
      <c r="B70" s="30" t="s">
        <v>876</v>
      </c>
      <c r="C70" s="1"/>
      <c r="F70" s="16"/>
      <c r="G70" s="16"/>
      <c r="H70" s="16"/>
      <c r="I70" s="16"/>
      <c r="J70" s="16"/>
      <c r="K70" s="16"/>
      <c r="L70" s="16"/>
      <c r="M70" s="16"/>
      <c r="N70" s="16"/>
    </row>
    <row r="71" spans="1:14" ht="15.75" x14ac:dyDescent="0.25">
      <c r="A71" s="2" t="s">
        <v>464</v>
      </c>
      <c r="B71" s="5" t="s">
        <v>465</v>
      </c>
      <c r="C71" s="1"/>
      <c r="F71" s="16"/>
      <c r="G71" s="16"/>
      <c r="H71" s="16"/>
      <c r="I71" s="16"/>
      <c r="J71" s="16"/>
      <c r="K71" s="16"/>
      <c r="L71" s="16"/>
      <c r="M71" s="16"/>
      <c r="N71" s="16"/>
    </row>
    <row r="72" spans="1:14" ht="15.75" x14ac:dyDescent="0.25">
      <c r="A72" s="26" t="s">
        <v>748</v>
      </c>
      <c r="B72" s="202">
        <f>(B69*B67/B64)^0.5</f>
        <v>62.161081071680215</v>
      </c>
      <c r="C72" s="1" t="s">
        <v>467</v>
      </c>
      <c r="D72" s="27"/>
      <c r="F72" s="16"/>
      <c r="G72" s="58"/>
      <c r="H72" s="16"/>
      <c r="I72" s="16"/>
      <c r="J72" s="16"/>
      <c r="K72" s="16"/>
      <c r="L72" s="16"/>
      <c r="M72" s="16"/>
      <c r="N72" s="16"/>
    </row>
    <row r="73" spans="1:14" ht="15.75" x14ac:dyDescent="0.25">
      <c r="A73" s="2" t="s">
        <v>502</v>
      </c>
      <c r="B73" s="5" t="s">
        <v>566</v>
      </c>
      <c r="C73" s="1"/>
      <c r="D73" s="123"/>
      <c r="F73" s="16"/>
      <c r="G73" s="58"/>
      <c r="H73" s="16"/>
      <c r="I73" s="16"/>
      <c r="J73" s="16"/>
      <c r="K73" s="16"/>
      <c r="L73" s="16"/>
      <c r="M73" s="16"/>
      <c r="N73" s="16"/>
    </row>
    <row r="74" spans="1:14" ht="15.75" x14ac:dyDescent="0.25">
      <c r="A74" s="26" t="s">
        <v>748</v>
      </c>
      <c r="B74" s="5">
        <f>B65</f>
        <v>1150</v>
      </c>
      <c r="C74" s="1" t="s">
        <v>568</v>
      </c>
      <c r="F74" s="16"/>
      <c r="G74" s="58"/>
      <c r="H74" s="16"/>
      <c r="I74" s="16"/>
      <c r="J74" s="16"/>
      <c r="K74" s="16"/>
      <c r="L74" s="16"/>
      <c r="M74" s="16"/>
      <c r="N74" s="16"/>
    </row>
    <row r="75" spans="1:14" ht="15.75" x14ac:dyDescent="0.25">
      <c r="A75" s="2" t="s">
        <v>565</v>
      </c>
      <c r="B75" s="5" t="s">
        <v>567</v>
      </c>
      <c r="C75" s="1" t="s">
        <v>467</v>
      </c>
      <c r="F75" s="16"/>
      <c r="G75" s="58"/>
      <c r="H75" s="16"/>
      <c r="I75" s="16"/>
      <c r="J75" s="16"/>
      <c r="K75" s="16"/>
      <c r="L75" s="16"/>
      <c r="M75" s="16"/>
      <c r="N75" s="16"/>
    </row>
    <row r="76" spans="1:14" ht="15.75" x14ac:dyDescent="0.25">
      <c r="A76" s="26" t="s">
        <v>748</v>
      </c>
      <c r="B76" s="202">
        <f>B74*2*3.142/60</f>
        <v>120.44333333333333</v>
      </c>
      <c r="C76" s="1" t="s">
        <v>467</v>
      </c>
      <c r="F76" s="16"/>
      <c r="G76" s="203"/>
      <c r="H76" s="16"/>
      <c r="I76" s="16"/>
      <c r="J76" s="16"/>
      <c r="K76" s="16"/>
      <c r="L76" s="16"/>
      <c r="M76" s="16"/>
      <c r="N76" s="16"/>
    </row>
    <row r="77" spans="1:14" ht="15.75" x14ac:dyDescent="0.25">
      <c r="A77" s="2" t="s">
        <v>469</v>
      </c>
      <c r="B77" s="5" t="s">
        <v>470</v>
      </c>
      <c r="C77" s="1" t="s">
        <v>1078</v>
      </c>
      <c r="F77" s="16"/>
      <c r="G77" s="203"/>
      <c r="H77" s="16"/>
      <c r="I77" s="16"/>
      <c r="J77" s="16"/>
      <c r="K77" s="16"/>
      <c r="L77" s="16"/>
      <c r="M77" s="16"/>
      <c r="N77" s="16"/>
    </row>
    <row r="78" spans="1:14" ht="15.75" x14ac:dyDescent="0.25">
      <c r="A78" s="26" t="s">
        <v>112</v>
      </c>
      <c r="B78" s="50">
        <f>B68/B69</f>
        <v>1.68</v>
      </c>
      <c r="C78" s="1" t="s">
        <v>1078</v>
      </c>
      <c r="F78" s="16"/>
      <c r="G78" s="16"/>
      <c r="H78" s="16"/>
      <c r="I78" s="16"/>
      <c r="J78" s="16"/>
      <c r="K78" s="16"/>
      <c r="L78" s="16"/>
      <c r="M78" s="16"/>
      <c r="N78" s="16"/>
    </row>
    <row r="79" spans="1:14" ht="15.75" x14ac:dyDescent="0.25">
      <c r="A79" s="2" t="s">
        <v>471</v>
      </c>
      <c r="B79" s="5" t="s">
        <v>493</v>
      </c>
      <c r="C79" s="22"/>
      <c r="F79" s="16"/>
      <c r="G79" s="16"/>
      <c r="H79" s="16"/>
      <c r="I79" s="16"/>
      <c r="J79" s="16"/>
      <c r="K79" s="16"/>
      <c r="L79" s="16"/>
      <c r="M79" s="16"/>
      <c r="N79" s="16"/>
    </row>
    <row r="80" spans="1:14" ht="15.75" x14ac:dyDescent="0.25">
      <c r="A80" s="26" t="s">
        <v>112</v>
      </c>
      <c r="B80" s="3">
        <f>-1*1/((1-(B76/B72)^2))</f>
        <v>0.36306929271100224</v>
      </c>
      <c r="C80" s="22"/>
      <c r="F80" s="16"/>
      <c r="G80" s="16"/>
      <c r="H80" s="16"/>
      <c r="I80" s="16"/>
      <c r="J80" s="16"/>
      <c r="K80" s="16"/>
      <c r="L80" s="16"/>
      <c r="M80" s="16"/>
      <c r="N80" s="16"/>
    </row>
    <row r="81" spans="1:14" ht="16.5" thickBot="1" x14ac:dyDescent="0.3">
      <c r="A81" s="2" t="s">
        <v>494</v>
      </c>
      <c r="B81" s="5" t="s">
        <v>495</v>
      </c>
      <c r="C81" s="1" t="s">
        <v>1078</v>
      </c>
      <c r="F81" s="16"/>
      <c r="G81" s="16"/>
      <c r="H81" s="16"/>
      <c r="I81" s="16"/>
      <c r="J81" s="16"/>
      <c r="K81" s="16"/>
      <c r="L81" s="16"/>
      <c r="M81" s="16"/>
      <c r="N81" s="16"/>
    </row>
    <row r="82" spans="1:14" ht="16.5" thickBot="1" x14ac:dyDescent="0.3">
      <c r="A82" s="2" t="s">
        <v>1162</v>
      </c>
      <c r="B82" s="204">
        <f>B80*(B68/B69)</f>
        <v>0.60995641175448378</v>
      </c>
      <c r="C82" s="1" t="s">
        <v>1078</v>
      </c>
      <c r="D82" s="4" t="s">
        <v>1163</v>
      </c>
      <c r="F82" s="16"/>
      <c r="G82" s="16"/>
      <c r="H82" s="16"/>
      <c r="I82" s="16"/>
      <c r="J82" s="16"/>
      <c r="K82" s="16"/>
      <c r="L82" s="16"/>
      <c r="M82" s="16"/>
      <c r="N82" s="16"/>
    </row>
    <row r="83" spans="1:14" ht="15.75" x14ac:dyDescent="0.25">
      <c r="A83" s="1" t="s">
        <v>153</v>
      </c>
      <c r="C83" s="1"/>
      <c r="F83" s="16"/>
      <c r="G83" s="16"/>
      <c r="H83" s="16"/>
      <c r="I83" s="16"/>
      <c r="J83" s="16"/>
      <c r="K83" s="16"/>
      <c r="L83" s="16"/>
      <c r="M83" s="16"/>
      <c r="N83" s="16"/>
    </row>
    <row r="84" spans="1:14" ht="16.5" thickBot="1" x14ac:dyDescent="0.3">
      <c r="B84" s="30" t="s">
        <v>107</v>
      </c>
      <c r="C84" s="22"/>
      <c r="F84" s="16"/>
      <c r="G84" s="16"/>
      <c r="H84" s="16"/>
      <c r="I84" s="16"/>
      <c r="J84" s="16"/>
      <c r="K84" s="16"/>
      <c r="L84" s="16"/>
      <c r="M84" s="16"/>
      <c r="N84" s="16"/>
    </row>
    <row r="85" spans="1:14" x14ac:dyDescent="0.2">
      <c r="A85" s="28" t="s">
        <v>461</v>
      </c>
      <c r="B85" s="31">
        <v>500</v>
      </c>
      <c r="C85" s="22" t="s">
        <v>496</v>
      </c>
      <c r="F85" s="16"/>
      <c r="G85" s="16"/>
      <c r="H85" s="16"/>
      <c r="I85" s="16"/>
      <c r="J85" s="16"/>
      <c r="K85" s="16"/>
      <c r="L85" s="16"/>
      <c r="M85" s="16"/>
      <c r="N85" s="16"/>
    </row>
    <row r="86" spans="1:14" x14ac:dyDescent="0.2">
      <c r="A86" s="28" t="s">
        <v>462</v>
      </c>
      <c r="B86" s="32">
        <v>1750</v>
      </c>
      <c r="C86" s="22" t="s">
        <v>1086</v>
      </c>
      <c r="F86" s="16"/>
      <c r="G86" s="16"/>
      <c r="H86" s="16"/>
      <c r="I86" s="16"/>
      <c r="J86" s="16"/>
      <c r="K86" s="16"/>
      <c r="L86" s="16"/>
      <c r="M86" s="16"/>
      <c r="N86" s="16"/>
    </row>
    <row r="87" spans="1:14" x14ac:dyDescent="0.2">
      <c r="A87" s="28" t="s">
        <v>68</v>
      </c>
      <c r="B87" s="32">
        <v>32.200000000000003</v>
      </c>
      <c r="C87" s="22" t="s">
        <v>439</v>
      </c>
      <c r="F87" s="16"/>
      <c r="G87" s="16"/>
      <c r="H87" s="16"/>
      <c r="I87" s="16"/>
      <c r="J87" s="16"/>
      <c r="K87" s="16"/>
      <c r="L87" s="16"/>
      <c r="M87" s="16"/>
      <c r="N87" s="16"/>
    </row>
    <row r="88" spans="1:14" x14ac:dyDescent="0.2">
      <c r="A88" s="28" t="s">
        <v>69</v>
      </c>
      <c r="B88" s="32">
        <v>386.4</v>
      </c>
      <c r="C88" s="22" t="s">
        <v>463</v>
      </c>
      <c r="F88" s="16"/>
      <c r="G88" s="16"/>
      <c r="H88" s="16"/>
      <c r="I88" s="16"/>
      <c r="J88" s="16"/>
      <c r="K88" s="16"/>
      <c r="L88" s="16"/>
      <c r="M88" s="16"/>
      <c r="N88" s="16"/>
    </row>
    <row r="89" spans="1:14" x14ac:dyDescent="0.2">
      <c r="A89" s="28" t="s">
        <v>860</v>
      </c>
      <c r="B89" s="32">
        <v>20000</v>
      </c>
      <c r="C89" s="22" t="s">
        <v>438</v>
      </c>
      <c r="F89" s="16"/>
      <c r="G89" s="16"/>
      <c r="H89" s="16"/>
      <c r="I89" s="16"/>
      <c r="J89" s="16"/>
      <c r="K89" s="16"/>
      <c r="L89" s="16"/>
      <c r="M89" s="16"/>
      <c r="N89" s="16"/>
    </row>
    <row r="90" spans="1:14" x14ac:dyDescent="0.2">
      <c r="A90" s="28" t="s">
        <v>569</v>
      </c>
      <c r="B90" s="32">
        <v>40</v>
      </c>
      <c r="C90" s="22" t="s">
        <v>496</v>
      </c>
      <c r="F90" s="16"/>
      <c r="G90" s="16"/>
      <c r="H90" s="16"/>
      <c r="I90" s="16"/>
      <c r="J90" s="16"/>
      <c r="K90" s="16"/>
      <c r="L90" s="16"/>
      <c r="M90" s="16"/>
      <c r="N90" s="16"/>
    </row>
    <row r="91" spans="1:14" x14ac:dyDescent="0.2">
      <c r="A91" s="28" t="s">
        <v>497</v>
      </c>
      <c r="B91" s="32">
        <v>1.5</v>
      </c>
      <c r="C91" s="22" t="s">
        <v>1078</v>
      </c>
      <c r="F91" s="16"/>
      <c r="G91" s="58"/>
      <c r="H91" s="16"/>
      <c r="I91" s="16"/>
      <c r="J91" s="16"/>
      <c r="K91" s="16"/>
      <c r="L91" s="16"/>
      <c r="M91" s="16"/>
      <c r="N91" s="16"/>
    </row>
    <row r="92" spans="1:14" ht="15.75" thickBot="1" x14ac:dyDescent="0.25">
      <c r="A92" s="28" t="s">
        <v>498</v>
      </c>
      <c r="B92" s="54">
        <v>0.2</v>
      </c>
      <c r="C92" s="22" t="s">
        <v>1284</v>
      </c>
      <c r="F92" s="16"/>
      <c r="G92" s="58"/>
      <c r="H92" s="16"/>
      <c r="I92" s="16"/>
      <c r="J92" s="16"/>
      <c r="K92" s="16"/>
      <c r="L92" s="16"/>
      <c r="M92" s="16"/>
      <c r="N92" s="16"/>
    </row>
    <row r="93" spans="1:14" ht="15.75" x14ac:dyDescent="0.25">
      <c r="A93" s="2"/>
      <c r="B93" s="30" t="s">
        <v>876</v>
      </c>
      <c r="C93" s="22"/>
      <c r="F93" s="16"/>
      <c r="G93" s="58"/>
      <c r="H93" s="16"/>
      <c r="I93" s="16"/>
      <c r="J93" s="16"/>
      <c r="K93" s="16"/>
      <c r="L93" s="16"/>
      <c r="M93" s="16"/>
      <c r="N93" s="16"/>
    </row>
    <row r="94" spans="1:14" ht="15.75" x14ac:dyDescent="0.25">
      <c r="A94" s="2" t="s">
        <v>499</v>
      </c>
      <c r="B94" s="5" t="s">
        <v>442</v>
      </c>
      <c r="C94" s="1" t="s">
        <v>1078</v>
      </c>
      <c r="F94" s="16"/>
      <c r="G94" s="58"/>
      <c r="H94" s="16"/>
      <c r="I94" s="16"/>
      <c r="J94" s="16"/>
      <c r="K94" s="16"/>
      <c r="L94" s="16"/>
      <c r="M94" s="16"/>
      <c r="N94" s="16"/>
    </row>
    <row r="95" spans="1:14" ht="15.75" x14ac:dyDescent="0.25">
      <c r="A95" s="26" t="s">
        <v>748</v>
      </c>
      <c r="B95" s="51">
        <f>B85/B89</f>
        <v>2.5000000000000001E-2</v>
      </c>
      <c r="C95" s="1" t="s">
        <v>1078</v>
      </c>
      <c r="D95" s="12" t="s">
        <v>1071</v>
      </c>
      <c r="F95" s="16"/>
      <c r="G95" s="58"/>
      <c r="H95" s="16"/>
      <c r="I95" s="16"/>
      <c r="J95" s="16"/>
      <c r="K95" s="16"/>
      <c r="L95" s="16"/>
      <c r="M95" s="16"/>
      <c r="N95" s="16"/>
    </row>
    <row r="96" spans="1:14" ht="15.75" x14ac:dyDescent="0.25">
      <c r="A96" s="2" t="s">
        <v>500</v>
      </c>
      <c r="B96" s="5" t="s">
        <v>501</v>
      </c>
      <c r="C96" s="1"/>
      <c r="F96" s="16"/>
      <c r="G96" s="58"/>
      <c r="H96" s="16"/>
      <c r="I96" s="16"/>
      <c r="J96" s="16"/>
      <c r="K96" s="16"/>
      <c r="L96" s="16"/>
      <c r="M96" s="16"/>
      <c r="N96" s="16"/>
    </row>
    <row r="97" spans="1:14" ht="15.75" x14ac:dyDescent="0.25">
      <c r="A97" s="26" t="s">
        <v>748</v>
      </c>
      <c r="B97" s="3">
        <f>(1/(2*3.142)*(B88/B95)^0.5)</f>
        <v>19.783921410464739</v>
      </c>
      <c r="C97" s="1" t="s">
        <v>456</v>
      </c>
      <c r="F97" s="16"/>
      <c r="G97" s="58"/>
      <c r="H97" s="16"/>
      <c r="I97" s="16"/>
      <c r="J97" s="16"/>
      <c r="K97" s="16"/>
      <c r="L97" s="16"/>
      <c r="M97" s="16"/>
      <c r="N97" s="16"/>
    </row>
    <row r="98" spans="1:14" x14ac:dyDescent="0.2">
      <c r="C98" s="22"/>
      <c r="E98" s="58"/>
      <c r="F98" s="16"/>
      <c r="G98" s="58"/>
      <c r="H98" s="16"/>
      <c r="I98" s="16"/>
      <c r="J98" s="16"/>
      <c r="K98" s="16"/>
      <c r="L98" s="16"/>
      <c r="M98" s="16"/>
      <c r="N98" s="16"/>
    </row>
    <row r="99" spans="1:14" x14ac:dyDescent="0.2">
      <c r="C99" s="22"/>
      <c r="E99" s="58"/>
      <c r="F99" s="16"/>
      <c r="G99" s="16"/>
      <c r="H99" s="16"/>
      <c r="I99" s="16"/>
      <c r="J99" s="16"/>
      <c r="K99" s="16"/>
      <c r="L99" s="16"/>
      <c r="M99" s="16"/>
      <c r="N99" s="16"/>
    </row>
    <row r="100" spans="1:14" x14ac:dyDescent="0.2">
      <c r="E100" s="58"/>
      <c r="F100" s="16"/>
      <c r="G100" s="16"/>
      <c r="H100" s="16"/>
      <c r="I100" s="16"/>
      <c r="J100" s="16"/>
      <c r="K100" s="16"/>
      <c r="L100" s="16"/>
      <c r="M100" s="16"/>
      <c r="N100" s="16"/>
    </row>
    <row r="101" spans="1:14" x14ac:dyDescent="0.2">
      <c r="E101" s="58"/>
      <c r="F101" s="16"/>
      <c r="G101" s="16"/>
      <c r="H101" s="16"/>
      <c r="I101" s="16"/>
      <c r="J101" s="16"/>
      <c r="K101" s="16"/>
      <c r="L101" s="16"/>
      <c r="M101" s="16"/>
      <c r="N101" s="16"/>
    </row>
    <row r="102" spans="1:14" ht="15.75" x14ac:dyDescent="0.25">
      <c r="A102" s="2" t="s">
        <v>502</v>
      </c>
      <c r="B102" s="5" t="s">
        <v>503</v>
      </c>
      <c r="C102" s="1" t="s">
        <v>456</v>
      </c>
      <c r="E102" s="58"/>
      <c r="F102" s="16"/>
      <c r="G102" s="16"/>
      <c r="H102" s="16"/>
      <c r="I102" s="16"/>
      <c r="J102" s="16"/>
      <c r="K102" s="16"/>
      <c r="L102" s="16"/>
      <c r="M102" s="16"/>
      <c r="N102" s="16"/>
    </row>
    <row r="103" spans="1:14" ht="15.75" x14ac:dyDescent="0.25">
      <c r="A103" s="26" t="s">
        <v>112</v>
      </c>
      <c r="B103" s="37">
        <f>B86/60</f>
        <v>29.166666666666668</v>
      </c>
      <c r="C103" s="1" t="s">
        <v>456</v>
      </c>
      <c r="E103" s="58"/>
      <c r="F103" s="16"/>
      <c r="G103" s="16"/>
      <c r="H103" s="16"/>
      <c r="I103" s="16"/>
      <c r="J103" s="16"/>
      <c r="K103" s="16"/>
      <c r="L103" s="16"/>
      <c r="M103" s="16"/>
      <c r="N103" s="16"/>
    </row>
    <row r="104" spans="1:14" ht="15.75" x14ac:dyDescent="0.25">
      <c r="A104" s="2" t="s">
        <v>468</v>
      </c>
      <c r="B104" s="5" t="s">
        <v>505</v>
      </c>
      <c r="C104" s="1" t="s">
        <v>467</v>
      </c>
      <c r="E104" s="58"/>
      <c r="F104" s="16"/>
      <c r="G104" s="16"/>
      <c r="H104" s="16"/>
      <c r="I104" s="16"/>
      <c r="J104" s="16"/>
      <c r="K104" s="16"/>
      <c r="L104" s="16"/>
      <c r="M104" s="16"/>
      <c r="N104" s="16"/>
    </row>
    <row r="105" spans="1:14" ht="15.75" x14ac:dyDescent="0.25">
      <c r="A105" s="26" t="s">
        <v>748</v>
      </c>
      <c r="B105" s="202">
        <f>2*3.142*B103</f>
        <v>183.28333333333333</v>
      </c>
      <c r="C105" s="1" t="s">
        <v>467</v>
      </c>
      <c r="E105" s="58"/>
      <c r="F105" s="16"/>
      <c r="G105" s="16"/>
      <c r="H105" s="16"/>
      <c r="I105" s="16"/>
      <c r="J105" s="16"/>
      <c r="K105" s="16"/>
      <c r="L105" s="16"/>
      <c r="M105" s="16"/>
      <c r="N105" s="16"/>
    </row>
    <row r="106" spans="1:14" ht="15.75" x14ac:dyDescent="0.25">
      <c r="A106" s="1" t="s">
        <v>506</v>
      </c>
      <c r="B106" s="5"/>
      <c r="C106" s="1"/>
      <c r="F106" s="16"/>
      <c r="G106" s="16"/>
      <c r="H106" s="16"/>
      <c r="I106" s="16"/>
      <c r="J106" s="16"/>
      <c r="K106" s="16"/>
      <c r="L106" s="16"/>
      <c r="M106" s="16"/>
      <c r="N106" s="16"/>
    </row>
    <row r="107" spans="1:14" ht="15.75" x14ac:dyDescent="0.25">
      <c r="A107" s="2" t="s">
        <v>22</v>
      </c>
      <c r="B107" s="5" t="s">
        <v>507</v>
      </c>
      <c r="C107" s="1"/>
      <c r="F107" s="16"/>
      <c r="G107" s="16"/>
      <c r="H107" s="16"/>
      <c r="I107" s="16"/>
      <c r="J107" s="16"/>
      <c r="K107" s="16"/>
      <c r="L107" s="16"/>
      <c r="M107" s="16"/>
      <c r="N107" s="16"/>
    </row>
    <row r="108" spans="1:14" ht="15.75" x14ac:dyDescent="0.25">
      <c r="A108" s="26" t="s">
        <v>112</v>
      </c>
      <c r="B108" s="36">
        <f>B90*B105^2*B91/B88</f>
        <v>5216.2702294685996</v>
      </c>
      <c r="C108" s="1" t="s">
        <v>1100</v>
      </c>
      <c r="F108" s="16"/>
      <c r="G108" s="16"/>
      <c r="H108" s="16"/>
      <c r="I108" s="16"/>
      <c r="J108" s="16"/>
      <c r="K108" s="16"/>
      <c r="L108" s="16"/>
      <c r="M108" s="16"/>
      <c r="N108" s="16"/>
    </row>
    <row r="109" spans="1:14" x14ac:dyDescent="0.2">
      <c r="C109" s="22"/>
      <c r="F109" s="16"/>
      <c r="G109" s="16"/>
      <c r="H109" s="16"/>
      <c r="I109" s="16"/>
      <c r="J109" s="16"/>
      <c r="K109" s="16"/>
      <c r="L109" s="16"/>
      <c r="M109" s="16"/>
      <c r="N109" s="16"/>
    </row>
    <row r="110" spans="1:14" ht="15.75" x14ac:dyDescent="0.25">
      <c r="A110" s="2" t="s">
        <v>508</v>
      </c>
      <c r="B110" s="5" t="s">
        <v>509</v>
      </c>
      <c r="C110" s="1"/>
      <c r="F110" s="16"/>
      <c r="G110" s="16"/>
      <c r="H110" s="16"/>
      <c r="I110" s="16"/>
      <c r="J110" s="16"/>
      <c r="K110" s="16"/>
      <c r="L110" s="16"/>
      <c r="M110" s="16"/>
      <c r="N110" s="16"/>
    </row>
    <row r="111" spans="1:14" ht="15.75" x14ac:dyDescent="0.25">
      <c r="A111" s="26" t="s">
        <v>748</v>
      </c>
      <c r="B111" s="3">
        <f>B103/B97</f>
        <v>1.4742611467936235</v>
      </c>
      <c r="C111" s="1"/>
      <c r="F111" s="16"/>
      <c r="G111" s="16"/>
      <c r="H111" s="16"/>
      <c r="I111" s="16"/>
      <c r="J111" s="16"/>
      <c r="K111" s="16"/>
      <c r="L111" s="16"/>
      <c r="M111" s="16"/>
      <c r="N111" s="16"/>
    </row>
    <row r="112" spans="1:14" ht="15.75" x14ac:dyDescent="0.25">
      <c r="A112" s="2" t="s">
        <v>510</v>
      </c>
      <c r="B112" s="5" t="s">
        <v>511</v>
      </c>
      <c r="C112" s="1"/>
      <c r="F112" s="16"/>
      <c r="G112" s="16"/>
      <c r="H112" s="16"/>
      <c r="I112" s="16"/>
      <c r="J112" s="16"/>
      <c r="K112" s="16"/>
      <c r="L112" s="16"/>
      <c r="M112" s="16"/>
      <c r="N112" s="16"/>
    </row>
    <row r="113" spans="1:14" ht="15.75" x14ac:dyDescent="0.25">
      <c r="A113" s="26" t="s">
        <v>112</v>
      </c>
      <c r="B113" s="3">
        <f>1/((1-B111^2)^2+((2*B92*B111))^2)^0.5</f>
        <v>0.76144731059448367</v>
      </c>
      <c r="C113" s="1"/>
      <c r="F113" s="16"/>
      <c r="G113" s="16"/>
      <c r="H113" s="16"/>
      <c r="I113" s="16"/>
      <c r="J113" s="16"/>
      <c r="K113" s="16"/>
      <c r="L113" s="16"/>
      <c r="M113" s="16"/>
      <c r="N113" s="16"/>
    </row>
    <row r="114" spans="1:14" ht="15.75" x14ac:dyDescent="0.25">
      <c r="A114" s="2" t="s">
        <v>861</v>
      </c>
      <c r="B114" s="5" t="s">
        <v>512</v>
      </c>
      <c r="C114" s="1" t="s">
        <v>1078</v>
      </c>
      <c r="F114" s="16"/>
      <c r="G114" s="16"/>
      <c r="H114" s="16"/>
      <c r="I114" s="16"/>
      <c r="J114" s="16"/>
      <c r="K114" s="16"/>
      <c r="L114" s="16"/>
      <c r="M114" s="16"/>
      <c r="N114" s="16"/>
    </row>
    <row r="115" spans="1:14" ht="15.75" x14ac:dyDescent="0.25">
      <c r="A115" s="26" t="s">
        <v>748</v>
      </c>
      <c r="B115" s="51">
        <f>(B113)*(B108/B89)</f>
        <v>0.19859574687814677</v>
      </c>
      <c r="C115" s="1" t="s">
        <v>1078</v>
      </c>
      <c r="F115" s="16"/>
      <c r="G115" s="16"/>
      <c r="H115" s="16"/>
      <c r="I115" s="16"/>
      <c r="J115" s="16"/>
      <c r="K115" s="16"/>
      <c r="L115" s="16"/>
      <c r="M115" s="16"/>
      <c r="N115" s="16"/>
    </row>
    <row r="116" spans="1:14" ht="15.75" x14ac:dyDescent="0.25">
      <c r="A116" s="2" t="s">
        <v>513</v>
      </c>
      <c r="B116" s="5" t="s">
        <v>521</v>
      </c>
      <c r="C116" s="22"/>
      <c r="F116" s="16"/>
      <c r="G116" s="16"/>
      <c r="H116" s="16"/>
      <c r="I116" s="16"/>
      <c r="J116" s="16"/>
      <c r="K116" s="16"/>
      <c r="L116" s="16"/>
      <c r="M116" s="16"/>
      <c r="N116" s="16"/>
    </row>
    <row r="117" spans="1:14" ht="15.75" x14ac:dyDescent="0.25">
      <c r="A117" s="26" t="s">
        <v>112</v>
      </c>
      <c r="B117" s="3">
        <f>(B113)*(1+(2*B111*B92)^2)^0.5</f>
        <v>0.88398469252549594</v>
      </c>
      <c r="C117" s="22"/>
      <c r="F117" s="16"/>
      <c r="G117" s="16"/>
      <c r="H117" s="16"/>
      <c r="I117" s="16"/>
      <c r="J117" s="16"/>
      <c r="K117" s="16"/>
      <c r="L117" s="16"/>
      <c r="M117" s="16"/>
      <c r="N117" s="16"/>
    </row>
    <row r="118" spans="1:14" ht="15.75" x14ac:dyDescent="0.25">
      <c r="A118" s="2" t="s">
        <v>523</v>
      </c>
      <c r="B118" s="5" t="s">
        <v>524</v>
      </c>
      <c r="C118" s="1"/>
      <c r="F118" s="16"/>
      <c r="G118" s="16"/>
      <c r="H118" s="16"/>
      <c r="I118" s="16"/>
      <c r="J118" s="16"/>
      <c r="K118" s="16"/>
      <c r="L118" s="16"/>
      <c r="M118" s="16"/>
      <c r="N118" s="16"/>
    </row>
    <row r="119" spans="1:14" ht="15.75" x14ac:dyDescent="0.25">
      <c r="A119" s="26" t="s">
        <v>112</v>
      </c>
      <c r="B119" s="36">
        <f>B117*B108</f>
        <v>4611.1030349266985</v>
      </c>
      <c r="C119" s="1" t="s">
        <v>1100</v>
      </c>
      <c r="F119" s="16"/>
      <c r="G119" s="16"/>
      <c r="H119" s="16"/>
      <c r="I119" s="16"/>
      <c r="J119" s="16"/>
      <c r="K119" s="16"/>
      <c r="L119" s="16"/>
      <c r="M119" s="16"/>
      <c r="N119" s="16"/>
    </row>
    <row r="120" spans="1:14" ht="15.75" x14ac:dyDescent="0.25">
      <c r="A120" s="2"/>
      <c r="B120" s="5"/>
      <c r="C120" s="5"/>
      <c r="F120" s="16"/>
      <c r="G120" s="16"/>
      <c r="H120" s="16"/>
      <c r="I120" s="16"/>
      <c r="J120" s="16"/>
      <c r="K120" s="16"/>
      <c r="L120" s="16"/>
      <c r="M120" s="16"/>
      <c r="N120" s="16"/>
    </row>
    <row r="121" spans="1:14" ht="15.75" x14ac:dyDescent="0.25">
      <c r="A121" s="23"/>
      <c r="B121" s="23"/>
      <c r="C121" s="146"/>
      <c r="D121" s="23"/>
      <c r="E121" s="23"/>
      <c r="F121" s="16"/>
      <c r="G121" s="16"/>
      <c r="H121" s="16"/>
      <c r="I121" s="16"/>
      <c r="J121" s="16"/>
      <c r="K121" s="16"/>
      <c r="L121" s="16"/>
      <c r="M121" s="16"/>
      <c r="N121" s="16"/>
    </row>
    <row r="122" spans="1:14" x14ac:dyDescent="0.2">
      <c r="G122" s="16"/>
      <c r="H122" s="16"/>
      <c r="I122" s="16"/>
      <c r="J122" s="16"/>
      <c r="K122" s="16"/>
      <c r="L122" s="16"/>
      <c r="M122" s="16"/>
      <c r="N122" s="16"/>
    </row>
    <row r="123" spans="1:14" ht="15.75" x14ac:dyDescent="0.25">
      <c r="A123" s="1" t="s">
        <v>525</v>
      </c>
      <c r="C123" s="5"/>
      <c r="F123" s="16"/>
      <c r="G123" s="16"/>
      <c r="H123" s="16"/>
      <c r="I123" s="16"/>
      <c r="J123" s="16"/>
      <c r="K123" s="16"/>
      <c r="L123" s="16"/>
      <c r="M123" s="16"/>
      <c r="N123" s="16"/>
    </row>
    <row r="124" spans="1:14" ht="15.75" x14ac:dyDescent="0.25">
      <c r="A124" s="1" t="s">
        <v>526</v>
      </c>
      <c r="B124" s="5"/>
      <c r="C124" s="27"/>
      <c r="F124" s="16"/>
      <c r="G124" s="16"/>
      <c r="H124" s="16"/>
      <c r="I124" s="16"/>
      <c r="J124" s="16"/>
      <c r="K124" s="16"/>
      <c r="L124" s="16"/>
      <c r="M124" s="16"/>
      <c r="N124" s="16"/>
    </row>
    <row r="125" spans="1:14" ht="15.75" x14ac:dyDescent="0.25">
      <c r="A125" s="2" t="s">
        <v>1256</v>
      </c>
      <c r="B125" s="5" t="s">
        <v>527</v>
      </c>
      <c r="C125" s="27"/>
      <c r="F125" s="16"/>
      <c r="G125" s="16"/>
      <c r="H125" s="16"/>
      <c r="I125" s="16"/>
      <c r="J125" s="16"/>
      <c r="K125" s="16"/>
      <c r="L125" s="16"/>
      <c r="M125" s="16"/>
      <c r="N125" s="16"/>
    </row>
    <row r="126" spans="1:14" ht="15.75" x14ac:dyDescent="0.25">
      <c r="A126" s="2" t="s">
        <v>528</v>
      </c>
      <c r="B126" s="1" t="s">
        <v>529</v>
      </c>
      <c r="C126" s="27"/>
      <c r="F126" s="16"/>
      <c r="G126" s="16"/>
      <c r="H126" s="16"/>
      <c r="I126" s="16"/>
      <c r="J126" s="16"/>
      <c r="K126" s="16"/>
      <c r="L126" s="16"/>
      <c r="M126" s="16"/>
      <c r="N126" s="16"/>
    </row>
    <row r="127" spans="1:14" ht="15.75" x14ac:dyDescent="0.25">
      <c r="A127" s="2" t="s">
        <v>528</v>
      </c>
      <c r="B127" s="5" t="s">
        <v>530</v>
      </c>
      <c r="C127" s="27"/>
      <c r="F127" s="16"/>
      <c r="G127" s="16"/>
      <c r="H127" s="16"/>
      <c r="I127" s="16"/>
      <c r="J127" s="16"/>
      <c r="K127" s="16"/>
      <c r="L127" s="16"/>
      <c r="M127" s="16"/>
      <c r="N127" s="16"/>
    </row>
    <row r="128" spans="1:14" ht="15.75" x14ac:dyDescent="0.25">
      <c r="A128" s="2" t="s">
        <v>531</v>
      </c>
      <c r="B128" s="5" t="s">
        <v>532</v>
      </c>
      <c r="C128" s="27"/>
      <c r="F128" s="16"/>
      <c r="G128" s="16"/>
      <c r="H128" s="16"/>
      <c r="I128" s="16"/>
      <c r="J128" s="16"/>
      <c r="K128" s="16"/>
      <c r="L128" s="16"/>
      <c r="M128" s="16"/>
      <c r="N128" s="16"/>
    </row>
    <row r="129" spans="1:14" ht="15.75" x14ac:dyDescent="0.25">
      <c r="A129" s="2" t="s">
        <v>533</v>
      </c>
      <c r="B129" s="5" t="s">
        <v>534</v>
      </c>
      <c r="C129" s="27"/>
      <c r="F129" s="16"/>
      <c r="G129" s="16"/>
      <c r="H129" s="16"/>
      <c r="I129" s="16"/>
      <c r="J129" s="16"/>
      <c r="K129" s="16"/>
      <c r="L129" s="16"/>
      <c r="M129" s="16"/>
      <c r="N129" s="16"/>
    </row>
    <row r="130" spans="1:14" x14ac:dyDescent="0.2">
      <c r="F130" s="16"/>
      <c r="G130" s="16"/>
      <c r="H130" s="16"/>
      <c r="I130" s="16"/>
      <c r="J130" s="16"/>
      <c r="K130" s="16"/>
      <c r="L130" s="16"/>
      <c r="M130" s="16"/>
      <c r="N130" s="16"/>
    </row>
    <row r="131" spans="1:14" x14ac:dyDescent="0.2">
      <c r="F131" s="16"/>
      <c r="G131" s="16"/>
      <c r="H131" s="16"/>
      <c r="I131" s="16"/>
      <c r="J131" s="16"/>
      <c r="K131" s="16"/>
      <c r="L131" s="16"/>
      <c r="M131" s="16"/>
      <c r="N131" s="16"/>
    </row>
    <row r="132" spans="1:14" x14ac:dyDescent="0.2">
      <c r="F132" s="16"/>
      <c r="G132" s="16"/>
      <c r="H132" s="16"/>
      <c r="I132" s="16"/>
      <c r="J132" s="16"/>
      <c r="K132" s="16"/>
      <c r="L132" s="16"/>
      <c r="M132" s="16"/>
      <c r="N132" s="16"/>
    </row>
    <row r="133" spans="1:14" x14ac:dyDescent="0.2">
      <c r="C133" s="27"/>
      <c r="F133" s="16"/>
      <c r="G133" s="16"/>
      <c r="H133" s="16"/>
      <c r="I133" s="16"/>
      <c r="J133" s="16"/>
      <c r="K133" s="16"/>
      <c r="L133" s="16"/>
      <c r="M133" s="16"/>
      <c r="N133" s="16"/>
    </row>
    <row r="134" spans="1:14" x14ac:dyDescent="0.2">
      <c r="A134" s="28"/>
      <c r="B134" s="27"/>
      <c r="C134" s="27"/>
      <c r="F134" s="16"/>
      <c r="G134" s="16"/>
      <c r="H134" s="16"/>
      <c r="I134" s="16"/>
      <c r="J134" s="16"/>
      <c r="K134" s="16"/>
      <c r="L134" s="16"/>
      <c r="M134" s="16"/>
      <c r="N134" s="16"/>
    </row>
    <row r="135" spans="1:14" x14ac:dyDescent="0.2">
      <c r="A135" s="28"/>
      <c r="B135" s="27"/>
      <c r="C135" s="27"/>
      <c r="F135" s="16"/>
      <c r="G135" s="16"/>
      <c r="H135" s="16"/>
      <c r="I135" s="16"/>
      <c r="J135" s="16"/>
      <c r="K135" s="16"/>
      <c r="L135" s="16"/>
      <c r="M135" s="16"/>
      <c r="N135" s="16"/>
    </row>
    <row r="136" spans="1:14" x14ac:dyDescent="0.2">
      <c r="A136" s="28"/>
      <c r="F136" s="16"/>
      <c r="G136" s="16"/>
      <c r="H136" s="16"/>
      <c r="I136" s="16"/>
      <c r="J136" s="16"/>
      <c r="K136" s="16"/>
      <c r="L136" s="16"/>
      <c r="M136" s="16"/>
      <c r="N136" s="16"/>
    </row>
    <row r="137" spans="1:14" x14ac:dyDescent="0.2">
      <c r="A137" s="28"/>
      <c r="F137" s="16"/>
      <c r="G137" s="16"/>
      <c r="H137" s="16"/>
      <c r="I137" s="16"/>
      <c r="J137" s="16"/>
      <c r="K137" s="16"/>
      <c r="L137" s="16"/>
      <c r="M137" s="16"/>
      <c r="N137" s="16"/>
    </row>
    <row r="138" spans="1:14" x14ac:dyDescent="0.2">
      <c r="A138" s="28"/>
      <c r="F138" s="16"/>
      <c r="G138" s="16"/>
      <c r="H138" s="16"/>
      <c r="I138" s="16"/>
      <c r="J138" s="16"/>
      <c r="K138" s="16"/>
      <c r="L138" s="16"/>
      <c r="M138" s="16"/>
      <c r="N138" s="16"/>
    </row>
    <row r="139" spans="1:14" x14ac:dyDescent="0.2">
      <c r="A139" s="28"/>
      <c r="F139" s="16"/>
      <c r="G139" s="16"/>
      <c r="H139" s="16"/>
      <c r="I139" s="16"/>
      <c r="J139" s="16"/>
      <c r="K139" s="16"/>
      <c r="L139" s="16"/>
      <c r="M139" s="16"/>
      <c r="N139" s="16"/>
    </row>
    <row r="140" spans="1:14" x14ac:dyDescent="0.2">
      <c r="A140" s="28"/>
      <c r="F140" s="16"/>
      <c r="G140" s="16"/>
      <c r="H140" s="16"/>
      <c r="I140" s="16"/>
      <c r="J140" s="16"/>
      <c r="K140" s="16"/>
      <c r="L140" s="16"/>
      <c r="M140" s="16"/>
      <c r="N140" s="16"/>
    </row>
    <row r="141" spans="1:14" x14ac:dyDescent="0.2">
      <c r="A141" s="28"/>
      <c r="F141" s="16"/>
      <c r="G141" s="16"/>
      <c r="H141" s="16"/>
      <c r="I141" s="16"/>
      <c r="J141" s="16"/>
      <c r="K141" s="16"/>
      <c r="L141" s="16"/>
      <c r="M141" s="16"/>
      <c r="N141" s="16"/>
    </row>
    <row r="142" spans="1:14" x14ac:dyDescent="0.2">
      <c r="A142" s="28"/>
      <c r="F142" s="16"/>
      <c r="G142" s="16"/>
      <c r="H142" s="16"/>
      <c r="I142" s="16"/>
      <c r="J142" s="16"/>
      <c r="K142" s="16"/>
      <c r="L142" s="16"/>
      <c r="M142" s="16"/>
      <c r="N142" s="16"/>
    </row>
    <row r="143" spans="1:14" x14ac:dyDescent="0.2">
      <c r="A143" s="28"/>
      <c r="F143" s="16"/>
      <c r="G143" s="16"/>
      <c r="H143" s="16"/>
      <c r="I143" s="16"/>
      <c r="J143" s="16"/>
      <c r="K143" s="16"/>
      <c r="L143" s="16"/>
      <c r="M143" s="16"/>
      <c r="N143" s="16"/>
    </row>
    <row r="144" spans="1:14" x14ac:dyDescent="0.2">
      <c r="A144" s="28"/>
      <c r="B144" s="27"/>
      <c r="F144" s="16"/>
      <c r="G144" s="16"/>
      <c r="H144" s="16"/>
      <c r="I144" s="16"/>
      <c r="J144" s="16"/>
      <c r="K144" s="16"/>
      <c r="L144" s="16"/>
      <c r="M144" s="16"/>
      <c r="N144" s="16"/>
    </row>
    <row r="145" spans="1:14" x14ac:dyDescent="0.2">
      <c r="A145" s="28"/>
      <c r="B145" s="27"/>
      <c r="F145" s="16"/>
      <c r="G145" s="16"/>
      <c r="H145" s="16"/>
      <c r="I145" s="16"/>
      <c r="J145" s="16"/>
      <c r="K145" s="16"/>
      <c r="L145" s="16"/>
      <c r="M145" s="16"/>
      <c r="N145" s="16"/>
    </row>
    <row r="146" spans="1:14" x14ac:dyDescent="0.2">
      <c r="A146" s="28"/>
      <c r="F146" s="16"/>
      <c r="G146" s="16"/>
      <c r="H146" s="16"/>
      <c r="I146" s="16"/>
      <c r="J146" s="16"/>
      <c r="K146" s="16"/>
      <c r="L146" s="16"/>
      <c r="M146" s="16"/>
      <c r="N146" s="16"/>
    </row>
    <row r="147" spans="1:14" x14ac:dyDescent="0.2">
      <c r="A147" s="28"/>
      <c r="F147" s="16"/>
      <c r="G147" s="16"/>
      <c r="H147" s="16"/>
      <c r="I147" s="16"/>
      <c r="J147" s="16"/>
      <c r="K147" s="16"/>
      <c r="L147" s="16"/>
      <c r="M147" s="16"/>
      <c r="N147" s="16"/>
    </row>
    <row r="148" spans="1:14" x14ac:dyDescent="0.2">
      <c r="G148" s="16"/>
      <c r="H148" s="16"/>
      <c r="I148" s="16"/>
      <c r="J148" s="16"/>
      <c r="K148" s="16"/>
      <c r="L148" s="16"/>
      <c r="M148" s="16"/>
      <c r="N148" s="16"/>
    </row>
    <row r="149" spans="1:14" x14ac:dyDescent="0.2">
      <c r="F149" s="16"/>
      <c r="G149" s="16"/>
      <c r="H149" s="16"/>
      <c r="I149" s="16"/>
      <c r="J149" s="16"/>
      <c r="K149" s="16"/>
      <c r="L149" s="16"/>
      <c r="M149" s="16"/>
      <c r="N149" s="16"/>
    </row>
    <row r="150" spans="1:14" x14ac:dyDescent="0.2">
      <c r="A150" s="124"/>
      <c r="B150" s="23"/>
      <c r="C150" s="23"/>
      <c r="D150" s="23"/>
      <c r="E150" s="23"/>
      <c r="F150" s="16"/>
      <c r="G150" s="16"/>
      <c r="H150" s="16"/>
      <c r="I150" s="16"/>
      <c r="J150" s="16"/>
      <c r="K150" s="16"/>
      <c r="L150" s="16"/>
      <c r="M150" s="16"/>
      <c r="N150" s="16"/>
    </row>
    <row r="151" spans="1:14" x14ac:dyDescent="0.2">
      <c r="F151" s="16"/>
      <c r="G151" s="16"/>
      <c r="H151" s="16"/>
      <c r="I151" s="16"/>
      <c r="J151" s="16"/>
      <c r="K151" s="16"/>
      <c r="L151" s="16"/>
      <c r="M151" s="16"/>
      <c r="N151" s="16"/>
    </row>
    <row r="152" spans="1:14" ht="15.75" x14ac:dyDescent="0.25">
      <c r="A152" s="1"/>
      <c r="E152" s="5"/>
      <c r="F152" s="16"/>
      <c r="G152" s="16"/>
      <c r="H152" s="16"/>
      <c r="I152" s="16"/>
      <c r="J152" s="16"/>
      <c r="K152" s="16"/>
      <c r="L152" s="16"/>
      <c r="M152" s="16"/>
      <c r="N152" s="16"/>
    </row>
    <row r="153" spans="1:14" ht="15.75" x14ac:dyDescent="0.25">
      <c r="A153" s="1" t="s">
        <v>552</v>
      </c>
      <c r="B153" s="27"/>
      <c r="F153" s="16"/>
      <c r="G153" s="16"/>
      <c r="H153" s="16"/>
      <c r="I153" s="16"/>
      <c r="J153" s="16"/>
      <c r="K153" s="16"/>
      <c r="L153" s="16"/>
      <c r="M153" s="16"/>
      <c r="N153" s="16"/>
    </row>
    <row r="154" spans="1:14" x14ac:dyDescent="0.2">
      <c r="A154" s="22" t="s">
        <v>553</v>
      </c>
      <c r="B154" s="27"/>
      <c r="F154" s="16"/>
      <c r="G154" s="16"/>
      <c r="H154" s="16"/>
      <c r="I154" s="16"/>
      <c r="J154" s="16"/>
      <c r="K154" s="16"/>
      <c r="L154" s="16"/>
      <c r="M154" s="16"/>
      <c r="N154" s="16"/>
    </row>
    <row r="155" spans="1:14" x14ac:dyDescent="0.2">
      <c r="A155" s="22" t="s">
        <v>554</v>
      </c>
      <c r="B155" s="27"/>
      <c r="C155" s="27"/>
      <c r="F155" s="16"/>
      <c r="G155" s="16"/>
      <c r="H155" s="16"/>
      <c r="I155" s="16"/>
      <c r="J155" s="16"/>
      <c r="K155" s="16"/>
      <c r="L155" s="16"/>
      <c r="M155" s="16"/>
      <c r="N155" s="16"/>
    </row>
    <row r="156" spans="1:14" x14ac:dyDescent="0.2">
      <c r="A156" s="22" t="s">
        <v>570</v>
      </c>
      <c r="B156" s="27"/>
      <c r="C156" s="27"/>
      <c r="F156" s="16"/>
      <c r="G156" s="16"/>
      <c r="H156" s="16"/>
      <c r="I156" s="16"/>
      <c r="J156" s="16"/>
      <c r="K156" s="16"/>
      <c r="L156" s="16"/>
      <c r="M156" s="16"/>
      <c r="N156" s="16"/>
    </row>
    <row r="157" spans="1:14" x14ac:dyDescent="0.2">
      <c r="A157" s="22" t="s">
        <v>478</v>
      </c>
      <c r="B157" s="27"/>
      <c r="C157" s="27"/>
      <c r="F157" s="16"/>
      <c r="G157" s="16"/>
      <c r="H157" s="16"/>
      <c r="I157" s="16"/>
      <c r="J157" s="16"/>
      <c r="K157" s="16"/>
      <c r="L157" s="16"/>
      <c r="M157" s="16"/>
      <c r="N157" s="16"/>
    </row>
    <row r="158" spans="1:14" x14ac:dyDescent="0.2">
      <c r="A158" s="22"/>
      <c r="B158" s="27"/>
      <c r="C158" s="27"/>
      <c r="F158" s="16"/>
      <c r="G158" s="16"/>
      <c r="H158" s="16"/>
      <c r="I158" s="16"/>
      <c r="J158" s="16"/>
      <c r="K158" s="16"/>
      <c r="L158" s="16"/>
      <c r="M158" s="16"/>
      <c r="N158" s="16"/>
    </row>
    <row r="159" spans="1:14" x14ac:dyDescent="0.2">
      <c r="A159" s="22" t="s">
        <v>555</v>
      </c>
      <c r="B159" s="27"/>
      <c r="C159" s="27"/>
      <c r="F159" s="16"/>
      <c r="G159" s="16"/>
      <c r="H159" s="16"/>
      <c r="I159" s="16"/>
      <c r="J159" s="16"/>
      <c r="K159" s="16"/>
      <c r="L159" s="16"/>
      <c r="M159" s="16"/>
      <c r="N159" s="16"/>
    </row>
    <row r="160" spans="1:14" x14ac:dyDescent="0.2">
      <c r="A160" s="22" t="s">
        <v>556</v>
      </c>
      <c r="B160" s="27"/>
      <c r="C160" s="27"/>
      <c r="F160" s="16"/>
      <c r="G160" s="16"/>
      <c r="H160" s="16"/>
      <c r="I160" s="16"/>
      <c r="J160" s="16"/>
      <c r="K160" s="16"/>
      <c r="L160" s="16"/>
      <c r="M160" s="16"/>
      <c r="N160" s="16"/>
    </row>
    <row r="161" spans="1:14" x14ac:dyDescent="0.2">
      <c r="A161" s="22" t="s">
        <v>557</v>
      </c>
      <c r="B161" s="27"/>
      <c r="C161" s="27"/>
      <c r="F161" s="16"/>
      <c r="G161" s="16"/>
      <c r="H161" s="16"/>
      <c r="I161" s="16"/>
      <c r="J161" s="16"/>
      <c r="K161" s="16"/>
      <c r="L161" s="16"/>
      <c r="M161" s="16"/>
      <c r="N161" s="16"/>
    </row>
    <row r="162" spans="1:14" x14ac:dyDescent="0.2">
      <c r="B162" s="27"/>
      <c r="C162" s="27"/>
      <c r="F162" s="16"/>
      <c r="G162" s="16"/>
      <c r="H162" s="16"/>
      <c r="I162" s="16"/>
      <c r="J162" s="16"/>
      <c r="K162" s="16"/>
      <c r="L162" s="16"/>
      <c r="M162" s="16"/>
      <c r="N162" s="16"/>
    </row>
    <row r="163" spans="1:14" x14ac:dyDescent="0.2">
      <c r="A163" s="12" t="s">
        <v>558</v>
      </c>
      <c r="B163" s="27"/>
      <c r="C163" s="27"/>
      <c r="F163" s="16"/>
      <c r="G163" s="16"/>
      <c r="H163" s="16"/>
      <c r="I163" s="16"/>
      <c r="J163" s="16"/>
      <c r="K163" s="16"/>
      <c r="L163" s="16"/>
      <c r="M163" s="16"/>
      <c r="N163" s="16"/>
    </row>
    <row r="164" spans="1:14" x14ac:dyDescent="0.2">
      <c r="A164" s="22" t="s">
        <v>559</v>
      </c>
      <c r="B164" s="27"/>
      <c r="C164" s="27"/>
      <c r="F164" s="16"/>
      <c r="G164" s="16"/>
      <c r="H164" s="16"/>
      <c r="I164" s="16"/>
      <c r="J164" s="16"/>
      <c r="K164" s="16"/>
      <c r="L164" s="16"/>
      <c r="M164" s="16"/>
      <c r="N164" s="16"/>
    </row>
    <row r="165" spans="1:14" x14ac:dyDescent="0.2">
      <c r="A165" s="22" t="s">
        <v>560</v>
      </c>
      <c r="B165" s="27"/>
      <c r="C165" s="27"/>
      <c r="F165" s="16"/>
      <c r="G165" s="16"/>
      <c r="H165" s="16"/>
      <c r="I165" s="16"/>
      <c r="J165" s="16"/>
      <c r="K165" s="16"/>
      <c r="L165" s="16"/>
      <c r="M165" s="16"/>
      <c r="N165" s="16"/>
    </row>
    <row r="166" spans="1:14" x14ac:dyDescent="0.2">
      <c r="A166" s="28"/>
      <c r="B166" s="27"/>
      <c r="C166" s="27"/>
      <c r="F166" s="16"/>
      <c r="G166" s="16"/>
      <c r="H166" s="16"/>
      <c r="I166" s="16"/>
      <c r="J166" s="16"/>
      <c r="K166" s="16"/>
      <c r="L166" s="16"/>
      <c r="M166" s="16"/>
      <c r="N166" s="16"/>
    </row>
    <row r="167" spans="1:14" x14ac:dyDescent="0.2">
      <c r="A167" s="22" t="s">
        <v>561</v>
      </c>
      <c r="B167" s="27"/>
      <c r="C167" s="27"/>
      <c r="F167" s="16"/>
      <c r="G167" s="16"/>
      <c r="H167" s="16"/>
      <c r="I167" s="16"/>
      <c r="J167" s="16"/>
      <c r="K167" s="16"/>
      <c r="L167" s="16"/>
      <c r="M167" s="16"/>
      <c r="N167" s="16"/>
    </row>
    <row r="168" spans="1:14" x14ac:dyDescent="0.2">
      <c r="A168" s="22" t="s">
        <v>70</v>
      </c>
      <c r="B168" s="27"/>
      <c r="C168" s="27"/>
      <c r="F168" s="16"/>
      <c r="G168" s="16"/>
      <c r="H168" s="16"/>
      <c r="I168" s="16"/>
      <c r="J168" s="16"/>
      <c r="K168" s="16"/>
      <c r="L168" s="16"/>
      <c r="M168" s="16"/>
      <c r="N168" s="16"/>
    </row>
    <row r="169" spans="1:14" x14ac:dyDescent="0.2">
      <c r="A169" s="22" t="s">
        <v>576</v>
      </c>
      <c r="B169" s="27"/>
      <c r="C169" s="27"/>
      <c r="F169" s="16"/>
      <c r="G169" s="16"/>
      <c r="H169" s="16"/>
      <c r="I169" s="16"/>
      <c r="J169" s="16"/>
      <c r="K169" s="16"/>
      <c r="L169" s="16"/>
      <c r="M169" s="16"/>
      <c r="N169" s="16"/>
    </row>
    <row r="170" spans="1:14" x14ac:dyDescent="0.2">
      <c r="C170" s="27"/>
      <c r="F170" s="16"/>
      <c r="G170" s="16"/>
      <c r="H170" s="16"/>
      <c r="I170" s="16"/>
      <c r="J170" s="16"/>
      <c r="K170" s="16"/>
      <c r="L170" s="16"/>
      <c r="M170" s="16"/>
      <c r="N170" s="16"/>
    </row>
    <row r="171" spans="1:14" x14ac:dyDescent="0.2">
      <c r="C171" s="27"/>
      <c r="F171" s="16"/>
      <c r="G171" s="16"/>
      <c r="H171" s="16"/>
      <c r="I171" s="16"/>
      <c r="J171" s="16"/>
      <c r="K171" s="16"/>
      <c r="L171" s="16"/>
      <c r="M171" s="16"/>
      <c r="N171" s="16"/>
    </row>
    <row r="172" spans="1:14" x14ac:dyDescent="0.2">
      <c r="A172" s="28"/>
      <c r="B172" s="27"/>
      <c r="C172" s="27"/>
      <c r="F172" s="16"/>
      <c r="G172" s="16"/>
      <c r="H172" s="16"/>
      <c r="I172" s="16"/>
      <c r="J172" s="16"/>
      <c r="K172" s="16"/>
      <c r="L172" s="16"/>
      <c r="M172" s="16"/>
      <c r="N172" s="16"/>
    </row>
    <row r="173" spans="1:14" x14ac:dyDescent="0.2">
      <c r="A173" s="22" t="s">
        <v>577</v>
      </c>
      <c r="C173" s="27"/>
      <c r="F173" s="16"/>
      <c r="G173" s="16"/>
      <c r="H173" s="16"/>
      <c r="I173" s="16"/>
      <c r="J173" s="16"/>
      <c r="K173" s="16"/>
      <c r="L173" s="16"/>
      <c r="M173" s="16"/>
      <c r="N173" s="16"/>
    </row>
    <row r="174" spans="1:14" ht="15.75" x14ac:dyDescent="0.25">
      <c r="A174" s="2" t="s">
        <v>578</v>
      </c>
      <c r="B174" s="5" t="s">
        <v>579</v>
      </c>
      <c r="C174" s="27"/>
      <c r="F174" s="16"/>
      <c r="G174" s="16"/>
      <c r="H174" s="16"/>
      <c r="I174" s="16"/>
      <c r="J174" s="16"/>
      <c r="K174" s="16"/>
      <c r="L174" s="16"/>
      <c r="M174" s="16"/>
      <c r="N174" s="16"/>
    </row>
    <row r="175" spans="1:14" x14ac:dyDescent="0.2">
      <c r="A175" s="22" t="s">
        <v>71</v>
      </c>
      <c r="B175" s="27"/>
      <c r="C175" s="27"/>
      <c r="D175" s="12" t="s">
        <v>336</v>
      </c>
      <c r="F175" s="16"/>
      <c r="G175" s="16"/>
      <c r="H175" s="16"/>
      <c r="I175" s="16"/>
      <c r="J175" s="16"/>
      <c r="K175" s="16"/>
      <c r="L175" s="16"/>
      <c r="M175" s="16"/>
      <c r="N175" s="16"/>
    </row>
    <row r="176" spans="1:14" x14ac:dyDescent="0.2">
      <c r="F176" s="16"/>
      <c r="G176" s="16"/>
      <c r="H176" s="16"/>
      <c r="I176" s="16"/>
      <c r="J176" s="16"/>
      <c r="K176" s="16"/>
      <c r="L176" s="16"/>
      <c r="M176" s="16"/>
      <c r="N176" s="16"/>
    </row>
    <row r="177" spans="1:14" ht="16.5" thickBot="1" x14ac:dyDescent="0.3">
      <c r="A177" s="22"/>
      <c r="B177" s="30" t="s">
        <v>109</v>
      </c>
      <c r="C177" s="27"/>
      <c r="E177" s="5" t="s">
        <v>1071</v>
      </c>
      <c r="F177" s="16"/>
      <c r="G177" s="16"/>
      <c r="H177" s="16"/>
      <c r="I177" s="16"/>
      <c r="J177" s="16"/>
      <c r="K177" s="16"/>
      <c r="L177" s="16"/>
      <c r="M177" s="16"/>
      <c r="N177" s="16"/>
    </row>
    <row r="178" spans="1:14" x14ac:dyDescent="0.2">
      <c r="A178" s="28" t="s">
        <v>580</v>
      </c>
      <c r="B178" s="127">
        <v>16</v>
      </c>
      <c r="C178" s="22" t="s">
        <v>456</v>
      </c>
      <c r="F178" s="16"/>
      <c r="G178" s="16"/>
      <c r="H178" s="16"/>
      <c r="I178" s="16"/>
      <c r="J178" s="16"/>
      <c r="K178" s="16"/>
      <c r="L178" s="16"/>
      <c r="M178" s="16"/>
      <c r="N178" s="16"/>
    </row>
    <row r="179" spans="1:14" ht="15.75" thickBot="1" x14ac:dyDescent="0.25">
      <c r="A179" s="28" t="s">
        <v>500</v>
      </c>
      <c r="B179" s="35">
        <v>12</v>
      </c>
      <c r="C179" s="22" t="s">
        <v>456</v>
      </c>
      <c r="F179" s="16"/>
      <c r="G179" s="16"/>
      <c r="H179" s="16"/>
      <c r="I179" s="16"/>
      <c r="J179" s="16"/>
      <c r="K179" s="16"/>
      <c r="L179" s="16"/>
      <c r="M179" s="16"/>
      <c r="N179" s="16"/>
    </row>
    <row r="180" spans="1:14" ht="15.75" x14ac:dyDescent="0.25">
      <c r="A180" s="28"/>
      <c r="B180" s="30" t="s">
        <v>876</v>
      </c>
      <c r="C180" s="1"/>
      <c r="F180" s="16"/>
      <c r="G180" s="16"/>
      <c r="H180" s="16"/>
      <c r="I180" s="16"/>
      <c r="J180" s="16"/>
      <c r="K180" s="16"/>
      <c r="L180" s="16"/>
      <c r="M180" s="16"/>
      <c r="N180" s="16"/>
    </row>
    <row r="181" spans="1:14" ht="15.75" x14ac:dyDescent="0.25">
      <c r="A181" s="2" t="s">
        <v>513</v>
      </c>
      <c r="B181" s="5" t="s">
        <v>581</v>
      </c>
      <c r="C181" s="22"/>
      <c r="F181" s="16"/>
      <c r="G181" s="16"/>
      <c r="H181" s="16"/>
      <c r="I181" s="16"/>
      <c r="J181" s="16"/>
      <c r="K181" s="16"/>
      <c r="L181" s="16"/>
      <c r="M181" s="16"/>
      <c r="N181" s="16"/>
    </row>
    <row r="182" spans="1:14" ht="15.75" x14ac:dyDescent="0.25">
      <c r="A182" s="2" t="s">
        <v>522</v>
      </c>
      <c r="B182" s="3">
        <f>1/(1-(B178/B179)^2)</f>
        <v>-1.2857142857142858</v>
      </c>
      <c r="C182" s="22" t="s">
        <v>1284</v>
      </c>
      <c r="D182" s="12" t="s">
        <v>1071</v>
      </c>
      <c r="F182" s="16"/>
      <c r="G182" s="16"/>
      <c r="H182" s="16"/>
      <c r="I182" s="16"/>
      <c r="J182" s="16"/>
      <c r="K182" s="16"/>
      <c r="L182" s="16"/>
      <c r="M182" s="16"/>
      <c r="N182" s="16"/>
    </row>
    <row r="183" spans="1:14" ht="15.75" x14ac:dyDescent="0.25">
      <c r="A183" s="1" t="s">
        <v>571</v>
      </c>
      <c r="C183" s="22"/>
      <c r="F183" s="16"/>
      <c r="G183" s="16"/>
      <c r="H183" s="16"/>
      <c r="I183" s="16"/>
      <c r="J183" s="16"/>
      <c r="K183" s="16"/>
      <c r="L183" s="16"/>
      <c r="M183" s="16"/>
      <c r="N183" s="16"/>
    </row>
    <row r="184" spans="1:14" ht="16.5" thickBot="1" x14ac:dyDescent="0.3">
      <c r="A184" s="28"/>
      <c r="B184" s="30" t="s">
        <v>109</v>
      </c>
      <c r="C184" s="22"/>
      <c r="F184" s="16"/>
      <c r="G184" s="16"/>
      <c r="H184" s="16"/>
      <c r="I184" s="16"/>
      <c r="J184" s="16"/>
      <c r="K184" s="16"/>
      <c r="L184" s="16"/>
      <c r="M184" s="16"/>
      <c r="N184" s="16"/>
    </row>
    <row r="185" spans="1:14" x14ac:dyDescent="0.2">
      <c r="A185" s="28" t="s">
        <v>513</v>
      </c>
      <c r="B185" s="31">
        <v>0.5</v>
      </c>
      <c r="C185" s="22" t="s">
        <v>1284</v>
      </c>
      <c r="F185" s="16"/>
      <c r="G185" s="16"/>
      <c r="H185" s="16"/>
      <c r="I185" s="16"/>
      <c r="J185" s="16"/>
      <c r="K185" s="16"/>
      <c r="L185" s="16"/>
      <c r="M185" s="16"/>
      <c r="N185" s="16"/>
    </row>
    <row r="186" spans="1:14" ht="15.75" thickBot="1" x14ac:dyDescent="0.25">
      <c r="A186" s="28" t="s">
        <v>580</v>
      </c>
      <c r="B186" s="54">
        <v>14</v>
      </c>
      <c r="C186" s="22" t="s">
        <v>456</v>
      </c>
      <c r="F186" s="16"/>
      <c r="G186" s="16"/>
      <c r="H186" s="16"/>
      <c r="I186" s="16"/>
      <c r="J186" s="16"/>
      <c r="K186" s="16"/>
      <c r="L186" s="16"/>
      <c r="M186" s="16"/>
      <c r="N186" s="16"/>
    </row>
    <row r="187" spans="1:14" ht="15.75" x14ac:dyDescent="0.25">
      <c r="A187" s="28"/>
      <c r="B187" s="30" t="s">
        <v>125</v>
      </c>
      <c r="C187" s="22"/>
      <c r="F187" s="16"/>
      <c r="G187" s="16"/>
      <c r="H187" s="16"/>
      <c r="I187" s="16"/>
      <c r="J187" s="16"/>
      <c r="K187" s="16"/>
      <c r="L187" s="16"/>
      <c r="M187" s="16"/>
      <c r="N187" s="16"/>
    </row>
    <row r="188" spans="1:14" ht="15.75" x14ac:dyDescent="0.25">
      <c r="A188" s="2" t="s">
        <v>582</v>
      </c>
      <c r="B188" s="5" t="s">
        <v>583</v>
      </c>
      <c r="C188" s="22"/>
      <c r="F188" s="16"/>
      <c r="G188" s="16"/>
      <c r="H188" s="16"/>
      <c r="I188" s="16"/>
      <c r="J188" s="16"/>
      <c r="K188" s="16"/>
      <c r="L188" s="16"/>
      <c r="M188" s="16"/>
      <c r="N188" s="16"/>
    </row>
    <row r="189" spans="1:14" ht="15.75" x14ac:dyDescent="0.25">
      <c r="A189" s="2" t="s">
        <v>466</v>
      </c>
      <c r="B189" s="202">
        <f>B186/(1+(1/B185))^0.5</f>
        <v>8.0829037686547611</v>
      </c>
      <c r="C189" s="22" t="s">
        <v>456</v>
      </c>
      <c r="F189" s="16"/>
      <c r="G189" s="16"/>
      <c r="H189" s="16"/>
      <c r="I189" s="16"/>
      <c r="J189" s="16"/>
      <c r="K189" s="16"/>
      <c r="L189" s="16"/>
      <c r="M189" s="16"/>
      <c r="N189" s="16"/>
    </row>
    <row r="190" spans="1:14" x14ac:dyDescent="0.2">
      <c r="A190" s="22" t="s">
        <v>585</v>
      </c>
      <c r="B190" s="27"/>
      <c r="C190" s="22"/>
      <c r="F190" s="16"/>
      <c r="G190" s="16"/>
      <c r="H190" s="16"/>
      <c r="I190" s="16"/>
      <c r="J190" s="16"/>
      <c r="K190" s="16"/>
      <c r="L190" s="16"/>
      <c r="M190" s="16"/>
      <c r="N190" s="16"/>
    </row>
    <row r="191" spans="1:14" x14ac:dyDescent="0.2">
      <c r="B191" s="27"/>
      <c r="C191" s="22"/>
      <c r="F191" s="16"/>
      <c r="G191" s="16"/>
      <c r="H191" s="16"/>
      <c r="I191" s="16"/>
      <c r="J191" s="16"/>
      <c r="K191" s="16"/>
      <c r="L191" s="16"/>
      <c r="M191" s="16"/>
      <c r="N191" s="16"/>
    </row>
    <row r="192" spans="1:14" ht="16.5" thickBot="1" x14ac:dyDescent="0.3">
      <c r="A192" s="1" t="s">
        <v>593</v>
      </c>
      <c r="B192" s="30" t="s">
        <v>109</v>
      </c>
      <c r="C192" s="22"/>
      <c r="F192" s="16"/>
      <c r="G192" s="16"/>
      <c r="H192" s="16"/>
      <c r="I192" s="16"/>
      <c r="J192" s="16"/>
      <c r="K192" s="16"/>
      <c r="L192" s="16"/>
      <c r="M192" s="16"/>
      <c r="N192" s="16"/>
    </row>
    <row r="193" spans="1:14" x14ac:dyDescent="0.2">
      <c r="A193" s="28" t="s">
        <v>586</v>
      </c>
      <c r="B193" s="31">
        <v>10</v>
      </c>
      <c r="C193" s="22" t="s">
        <v>618</v>
      </c>
      <c r="F193" s="16"/>
      <c r="G193" s="16"/>
      <c r="H193" s="16"/>
      <c r="I193" s="16"/>
      <c r="J193" s="16"/>
      <c r="K193" s="16"/>
      <c r="L193" s="16"/>
      <c r="M193" s="16"/>
      <c r="N193" s="16"/>
    </row>
    <row r="194" spans="1:14" ht="15.75" thickBot="1" x14ac:dyDescent="0.25">
      <c r="A194" s="28" t="s">
        <v>587</v>
      </c>
      <c r="B194" s="54">
        <v>15</v>
      </c>
      <c r="C194" s="22" t="s">
        <v>618</v>
      </c>
      <c r="F194" s="16"/>
      <c r="G194" s="16"/>
      <c r="H194" s="16"/>
      <c r="I194" s="16"/>
      <c r="J194" s="16"/>
      <c r="K194" s="16"/>
      <c r="L194" s="16"/>
      <c r="M194" s="16"/>
      <c r="N194" s="16"/>
    </row>
    <row r="195" spans="1:14" ht="15.75" x14ac:dyDescent="0.25">
      <c r="A195" s="28"/>
      <c r="B195" s="30" t="s">
        <v>876</v>
      </c>
      <c r="C195" s="22"/>
      <c r="F195" s="16"/>
      <c r="G195" s="16"/>
      <c r="H195" s="16"/>
      <c r="I195" s="16"/>
      <c r="J195" s="16"/>
      <c r="K195" s="16"/>
      <c r="L195" s="16"/>
      <c r="M195" s="16"/>
      <c r="N195" s="16"/>
    </row>
    <row r="196" spans="1:14" ht="15.75" x14ac:dyDescent="0.25">
      <c r="A196" s="2" t="s">
        <v>588</v>
      </c>
      <c r="B196" s="5" t="s">
        <v>589</v>
      </c>
      <c r="C196" s="22"/>
      <c r="F196" s="16"/>
      <c r="G196" s="16"/>
      <c r="H196" s="16"/>
      <c r="I196" s="16"/>
      <c r="J196" s="16"/>
      <c r="K196" s="16"/>
      <c r="L196" s="16"/>
      <c r="M196" s="16"/>
      <c r="N196" s="16"/>
    </row>
    <row r="197" spans="1:14" ht="15.75" x14ac:dyDescent="0.25">
      <c r="A197" s="2" t="s">
        <v>590</v>
      </c>
      <c r="B197" s="5" t="s">
        <v>591</v>
      </c>
      <c r="C197" s="22"/>
      <c r="F197" s="16"/>
      <c r="G197" s="16"/>
      <c r="H197" s="16"/>
      <c r="I197" s="16"/>
      <c r="J197" s="16"/>
      <c r="K197" s="16"/>
      <c r="L197" s="16"/>
      <c r="M197" s="16"/>
      <c r="N197" s="16"/>
    </row>
    <row r="198" spans="1:14" ht="15.75" x14ac:dyDescent="0.25">
      <c r="A198" s="2" t="s">
        <v>592</v>
      </c>
      <c r="B198" s="5">
        <f>(B193*B194)/(B193+B194)</f>
        <v>6</v>
      </c>
      <c r="C198" s="22" t="s">
        <v>618</v>
      </c>
      <c r="F198" s="16"/>
      <c r="G198" s="16"/>
      <c r="H198" s="16"/>
      <c r="I198" s="16"/>
      <c r="J198" s="16"/>
      <c r="K198" s="16"/>
      <c r="L198" s="16"/>
      <c r="M198" s="16"/>
      <c r="N198" s="16"/>
    </row>
    <row r="199" spans="1:14" x14ac:dyDescent="0.2">
      <c r="A199" s="28"/>
      <c r="B199" s="27"/>
      <c r="C199" s="22"/>
      <c r="F199" s="16"/>
      <c r="G199" s="16"/>
      <c r="H199" s="16"/>
      <c r="I199" s="16"/>
      <c r="J199" s="16"/>
      <c r="K199" s="16"/>
      <c r="L199" s="16"/>
      <c r="M199" s="16"/>
      <c r="N199" s="16"/>
    </row>
    <row r="200" spans="1:14" x14ac:dyDescent="0.2">
      <c r="C200" s="22"/>
      <c r="F200" s="16"/>
      <c r="G200" s="16"/>
      <c r="H200" s="16"/>
      <c r="I200" s="16"/>
      <c r="J200" s="16"/>
      <c r="K200" s="16"/>
      <c r="L200" s="16"/>
      <c r="M200" s="16"/>
      <c r="N200" s="16"/>
    </row>
    <row r="201" spans="1:14" ht="15.75" x14ac:dyDescent="0.25">
      <c r="A201" s="1" t="s">
        <v>584</v>
      </c>
      <c r="B201" s="22"/>
      <c r="C201" s="22"/>
      <c r="F201" s="16"/>
      <c r="G201" s="16"/>
      <c r="H201" s="16"/>
      <c r="I201" s="16"/>
      <c r="J201" s="16"/>
      <c r="K201" s="16"/>
      <c r="L201" s="16"/>
      <c r="M201" s="16"/>
      <c r="N201" s="16"/>
    </row>
    <row r="202" spans="1:14" ht="16.5" thickBot="1" x14ac:dyDescent="0.3">
      <c r="A202" s="28"/>
      <c r="B202" s="30" t="s">
        <v>109</v>
      </c>
      <c r="C202" s="22"/>
      <c r="F202" s="16"/>
      <c r="G202" s="16"/>
      <c r="H202" s="16"/>
      <c r="I202" s="16"/>
      <c r="J202" s="16"/>
      <c r="K202" s="16"/>
      <c r="L202" s="16"/>
      <c r="M202" s="16"/>
      <c r="N202" s="16"/>
    </row>
    <row r="203" spans="1:14" x14ac:dyDescent="0.2">
      <c r="A203" s="28" t="s">
        <v>586</v>
      </c>
      <c r="B203" s="31">
        <v>12</v>
      </c>
      <c r="C203" s="22" t="s">
        <v>595</v>
      </c>
      <c r="F203" s="16"/>
      <c r="G203" s="16"/>
      <c r="H203" s="16"/>
      <c r="I203" s="16"/>
      <c r="J203" s="16"/>
      <c r="K203" s="16"/>
      <c r="L203" s="16"/>
      <c r="M203" s="16"/>
      <c r="N203" s="16"/>
    </row>
    <row r="204" spans="1:14" ht="15.75" thickBot="1" x14ac:dyDescent="0.25">
      <c r="A204" s="28" t="s">
        <v>587</v>
      </c>
      <c r="B204" s="54">
        <v>24</v>
      </c>
      <c r="C204" s="22" t="s">
        <v>595</v>
      </c>
      <c r="F204" s="16"/>
      <c r="G204" s="16"/>
      <c r="H204" s="16"/>
      <c r="I204" s="16"/>
      <c r="J204" s="16"/>
      <c r="K204" s="16"/>
      <c r="L204" s="16"/>
      <c r="M204" s="16"/>
      <c r="N204" s="16"/>
    </row>
    <row r="205" spans="1:14" ht="15.75" x14ac:dyDescent="0.25">
      <c r="A205" s="28"/>
      <c r="B205" s="30" t="s">
        <v>876</v>
      </c>
      <c r="C205" s="22"/>
      <c r="F205" s="16"/>
      <c r="G205" s="16"/>
      <c r="H205" s="16"/>
      <c r="I205" s="16"/>
      <c r="J205" s="16"/>
      <c r="K205" s="16"/>
      <c r="L205" s="16"/>
      <c r="M205" s="16"/>
      <c r="N205" s="16"/>
    </row>
    <row r="206" spans="1:14" ht="15.75" x14ac:dyDescent="0.25">
      <c r="A206" s="2" t="s">
        <v>592</v>
      </c>
      <c r="B206" s="5" t="s">
        <v>594</v>
      </c>
      <c r="C206" s="1"/>
      <c r="F206" s="16"/>
      <c r="G206" s="16"/>
      <c r="H206" s="16"/>
      <c r="I206" s="16"/>
      <c r="J206" s="16"/>
      <c r="K206" s="16"/>
      <c r="L206" s="16"/>
      <c r="M206" s="16"/>
      <c r="N206" s="16"/>
    </row>
    <row r="207" spans="1:14" ht="15.75" x14ac:dyDescent="0.25">
      <c r="A207" s="2" t="s">
        <v>590</v>
      </c>
      <c r="B207" s="5">
        <f>B203+B204</f>
        <v>36</v>
      </c>
      <c r="C207" s="1" t="s">
        <v>595</v>
      </c>
      <c r="F207" s="16"/>
      <c r="G207" s="16"/>
      <c r="H207" s="16"/>
      <c r="I207" s="16"/>
      <c r="J207" s="16"/>
      <c r="K207" s="16"/>
      <c r="L207" s="16"/>
      <c r="M207" s="16"/>
      <c r="N207" s="16"/>
    </row>
    <row r="208" spans="1:14" x14ac:dyDescent="0.2">
      <c r="C208" s="22"/>
      <c r="F208" s="16"/>
      <c r="G208" s="16"/>
      <c r="H208" s="16"/>
      <c r="I208" s="16"/>
      <c r="J208" s="16"/>
      <c r="K208" s="16"/>
      <c r="L208" s="16"/>
      <c r="M208" s="16"/>
      <c r="N208" s="16"/>
    </row>
    <row r="209" spans="1:14" x14ac:dyDescent="0.2">
      <c r="A209" s="23"/>
      <c r="B209" s="23"/>
      <c r="C209" s="23"/>
      <c r="D209" s="23"/>
      <c r="E209" s="23"/>
      <c r="F209" s="16"/>
      <c r="G209" s="16"/>
      <c r="H209" s="16"/>
      <c r="I209" s="16"/>
      <c r="J209" s="16"/>
      <c r="K209" s="16"/>
      <c r="L209" s="16"/>
      <c r="M209" s="16"/>
      <c r="N209" s="16"/>
    </row>
    <row r="210" spans="1:14" x14ac:dyDescent="0.2">
      <c r="F210" s="16"/>
      <c r="G210" s="16"/>
      <c r="H210" s="16"/>
      <c r="I210" s="16"/>
      <c r="J210" s="16"/>
      <c r="K210" s="16"/>
      <c r="L210" s="16"/>
      <c r="M210" s="16"/>
      <c r="N210" s="16"/>
    </row>
    <row r="211" spans="1:14" ht="15.75" x14ac:dyDescent="0.25">
      <c r="A211" s="1" t="s">
        <v>596</v>
      </c>
      <c r="B211" s="27"/>
      <c r="C211" s="27"/>
      <c r="F211" s="16"/>
      <c r="G211" s="16"/>
      <c r="H211" s="16"/>
      <c r="I211" s="16"/>
      <c r="J211" s="16"/>
      <c r="K211" s="16"/>
      <c r="L211" s="16"/>
      <c r="M211" s="16"/>
      <c r="N211" s="16"/>
    </row>
    <row r="212" spans="1:14" x14ac:dyDescent="0.2">
      <c r="A212" s="22" t="s">
        <v>597</v>
      </c>
      <c r="B212" s="27"/>
      <c r="C212" s="27"/>
      <c r="F212" s="16"/>
      <c r="G212" s="16"/>
      <c r="H212" s="16"/>
      <c r="I212" s="16"/>
      <c r="J212" s="16"/>
      <c r="K212" s="16"/>
      <c r="L212" s="16"/>
      <c r="M212" s="16"/>
      <c r="N212" s="16"/>
    </row>
    <row r="213" spans="1:14" x14ac:dyDescent="0.2">
      <c r="A213" s="22" t="s">
        <v>72</v>
      </c>
      <c r="B213" s="27"/>
      <c r="C213" s="27"/>
      <c r="F213" s="16"/>
      <c r="G213" s="16"/>
      <c r="H213" s="16"/>
      <c r="I213" s="16"/>
      <c r="J213" s="16"/>
      <c r="K213" s="16"/>
      <c r="L213" s="16"/>
      <c r="M213" s="16"/>
      <c r="N213" s="16"/>
    </row>
    <row r="214" spans="1:14" x14ac:dyDescent="0.2">
      <c r="A214" s="22" t="s">
        <v>598</v>
      </c>
      <c r="B214" s="27"/>
      <c r="C214" s="27"/>
      <c r="F214" s="16"/>
      <c r="G214" s="16"/>
      <c r="H214" s="16"/>
      <c r="I214" s="16"/>
      <c r="J214" s="16"/>
      <c r="K214" s="16"/>
      <c r="L214" s="16"/>
      <c r="M214" s="16"/>
      <c r="N214" s="16"/>
    </row>
    <row r="215" spans="1:14" x14ac:dyDescent="0.2">
      <c r="A215" s="22" t="s">
        <v>599</v>
      </c>
      <c r="B215" s="27"/>
      <c r="C215" s="27"/>
      <c r="F215" s="16"/>
      <c r="G215" s="16"/>
      <c r="H215" s="16"/>
      <c r="I215" s="16"/>
      <c r="J215" s="16"/>
      <c r="K215" s="16"/>
      <c r="L215" s="16"/>
      <c r="M215" s="16"/>
      <c r="N215" s="16"/>
    </row>
    <row r="216" spans="1:14" x14ac:dyDescent="0.2">
      <c r="A216" s="22" t="s">
        <v>600</v>
      </c>
      <c r="B216" s="27"/>
      <c r="C216" s="27"/>
      <c r="F216" s="16"/>
      <c r="G216" s="16"/>
      <c r="H216" s="16"/>
      <c r="I216" s="16"/>
      <c r="J216" s="16"/>
      <c r="K216" s="16"/>
      <c r="L216" s="16"/>
      <c r="M216" s="16"/>
      <c r="N216" s="16"/>
    </row>
    <row r="217" spans="1:14" x14ac:dyDescent="0.2">
      <c r="A217" s="22"/>
      <c r="B217" s="27"/>
      <c r="C217" s="27"/>
      <c r="F217" s="16"/>
      <c r="G217" s="16"/>
      <c r="H217" s="16"/>
      <c r="I217" s="16"/>
      <c r="J217" s="16"/>
      <c r="K217" s="16"/>
      <c r="L217" s="16"/>
      <c r="M217" s="16"/>
      <c r="N217" s="16"/>
    </row>
    <row r="218" spans="1:14" x14ac:dyDescent="0.2">
      <c r="A218" s="22" t="s">
        <v>601</v>
      </c>
      <c r="B218" s="27"/>
      <c r="C218" s="27"/>
      <c r="F218" s="16"/>
      <c r="G218" s="16"/>
      <c r="H218" s="16"/>
      <c r="I218" s="16"/>
      <c r="J218" s="16"/>
      <c r="K218" s="16"/>
      <c r="L218" s="16"/>
      <c r="M218" s="16"/>
      <c r="N218" s="16"/>
    </row>
    <row r="219" spans="1:14" x14ac:dyDescent="0.2">
      <c r="A219" s="22" t="s">
        <v>602</v>
      </c>
      <c r="B219" s="27"/>
      <c r="C219" s="27"/>
      <c r="F219" s="16"/>
      <c r="G219" s="16"/>
      <c r="H219" s="16"/>
      <c r="I219" s="16"/>
      <c r="J219" s="16"/>
      <c r="K219" s="16"/>
      <c r="L219" s="16"/>
      <c r="M219" s="16"/>
      <c r="N219" s="16"/>
    </row>
    <row r="220" spans="1:14" x14ac:dyDescent="0.2">
      <c r="A220" s="22"/>
      <c r="B220" s="27"/>
      <c r="C220" s="27"/>
      <c r="F220" s="16"/>
      <c r="G220" s="16"/>
      <c r="H220" s="16"/>
      <c r="I220" s="16"/>
      <c r="J220" s="16"/>
      <c r="K220" s="16"/>
      <c r="L220" s="16"/>
      <c r="M220" s="16"/>
      <c r="N220" s="16"/>
    </row>
    <row r="221" spans="1:14" x14ac:dyDescent="0.2">
      <c r="A221" s="28"/>
      <c r="B221" s="27"/>
      <c r="C221" s="27"/>
      <c r="F221" s="16"/>
      <c r="G221" s="16"/>
      <c r="H221" s="16"/>
      <c r="I221" s="16"/>
      <c r="J221" s="16"/>
      <c r="K221" s="16"/>
      <c r="L221" s="16"/>
      <c r="M221" s="16"/>
      <c r="N221" s="16"/>
    </row>
    <row r="222" spans="1:14" ht="16.5" thickBot="1" x14ac:dyDescent="0.3">
      <c r="A222" s="28"/>
      <c r="B222" s="30" t="s">
        <v>109</v>
      </c>
      <c r="C222" s="27"/>
      <c r="F222" s="16"/>
      <c r="G222" s="16"/>
      <c r="H222" s="16"/>
      <c r="I222" s="16"/>
      <c r="J222" s="16"/>
      <c r="K222" s="16"/>
      <c r="L222" s="16"/>
      <c r="M222" s="16"/>
      <c r="N222" s="16"/>
    </row>
    <row r="223" spans="1:14" x14ac:dyDescent="0.2">
      <c r="A223" s="28" t="s">
        <v>603</v>
      </c>
      <c r="B223" s="31">
        <v>50</v>
      </c>
      <c r="C223" s="22" t="s">
        <v>496</v>
      </c>
      <c r="F223" s="16"/>
      <c r="G223" s="16"/>
      <c r="H223" s="16"/>
      <c r="I223" s="16"/>
      <c r="J223" s="16"/>
      <c r="K223" s="16"/>
      <c r="L223" s="16"/>
      <c r="M223" s="16"/>
      <c r="N223" s="16"/>
    </row>
    <row r="224" spans="1:14" x14ac:dyDescent="0.2">
      <c r="A224" s="28" t="s">
        <v>1153</v>
      </c>
      <c r="B224" s="52">
        <v>1</v>
      </c>
      <c r="C224" s="22" t="s">
        <v>1078</v>
      </c>
      <c r="F224" s="16"/>
      <c r="G224" s="16"/>
      <c r="H224" s="16"/>
      <c r="I224" s="16"/>
      <c r="J224" s="16"/>
      <c r="K224" s="16"/>
      <c r="L224" s="16"/>
      <c r="M224" s="16"/>
      <c r="N224" s="16"/>
    </row>
    <row r="225" spans="1:14" x14ac:dyDescent="0.2">
      <c r="A225" s="28" t="s">
        <v>604</v>
      </c>
      <c r="B225" s="32">
        <v>29000000</v>
      </c>
      <c r="C225" s="22" t="s">
        <v>605</v>
      </c>
      <c r="F225" s="16"/>
      <c r="G225" s="16"/>
      <c r="H225" s="16"/>
      <c r="I225" s="16"/>
      <c r="J225" s="16"/>
      <c r="K225" s="16"/>
      <c r="L225" s="16"/>
      <c r="M225" s="16"/>
      <c r="N225" s="16"/>
    </row>
    <row r="226" spans="1:14" x14ac:dyDescent="0.2">
      <c r="A226" s="28" t="s">
        <v>1229</v>
      </c>
      <c r="B226" s="32">
        <v>20</v>
      </c>
      <c r="C226" s="22" t="s">
        <v>1078</v>
      </c>
      <c r="F226" s="16"/>
      <c r="G226" s="16"/>
      <c r="H226" s="16"/>
      <c r="I226" s="16"/>
      <c r="J226" s="16"/>
      <c r="K226" s="16"/>
      <c r="L226" s="16"/>
      <c r="M226" s="16"/>
      <c r="N226" s="16"/>
    </row>
    <row r="227" spans="1:14" x14ac:dyDescent="0.2">
      <c r="A227" s="28" t="s">
        <v>1230</v>
      </c>
      <c r="B227" s="32">
        <v>8</v>
      </c>
      <c r="C227" s="22" t="s">
        <v>1078</v>
      </c>
      <c r="F227" s="16"/>
      <c r="G227" s="16"/>
      <c r="H227" s="16"/>
      <c r="I227" s="16"/>
      <c r="J227" s="16"/>
      <c r="K227" s="16"/>
      <c r="L227" s="16"/>
      <c r="M227" s="16"/>
      <c r="N227" s="16"/>
    </row>
    <row r="228" spans="1:14" x14ac:dyDescent="0.2">
      <c r="A228" s="28" t="s">
        <v>73</v>
      </c>
      <c r="B228" s="32">
        <v>32.200000000000003</v>
      </c>
      <c r="C228" s="22" t="s">
        <v>439</v>
      </c>
      <c r="F228" s="16"/>
      <c r="G228" s="16"/>
      <c r="H228" s="16"/>
      <c r="I228" s="16"/>
      <c r="J228" s="16"/>
      <c r="K228" s="16"/>
      <c r="L228" s="16"/>
      <c r="M228" s="16"/>
      <c r="N228" s="16"/>
    </row>
    <row r="229" spans="1:14" ht="15.75" thickBot="1" x14ac:dyDescent="0.25">
      <c r="A229" s="28" t="s">
        <v>74</v>
      </c>
      <c r="B229" s="54">
        <f>B228*12</f>
        <v>386.40000000000003</v>
      </c>
      <c r="C229" s="22" t="s">
        <v>463</v>
      </c>
      <c r="F229" s="16"/>
      <c r="G229" s="16"/>
      <c r="H229" s="16"/>
      <c r="I229" s="16"/>
      <c r="J229" s="16"/>
      <c r="K229" s="16"/>
      <c r="L229" s="16"/>
      <c r="M229" s="16"/>
      <c r="N229" s="16"/>
    </row>
    <row r="230" spans="1:14" ht="15.75" x14ac:dyDescent="0.25">
      <c r="A230" s="28"/>
      <c r="B230" s="30" t="s">
        <v>876</v>
      </c>
      <c r="C230" s="22"/>
      <c r="F230" s="16"/>
      <c r="G230" s="16"/>
      <c r="H230" s="16"/>
      <c r="I230" s="16"/>
      <c r="J230" s="16"/>
      <c r="K230" s="16"/>
      <c r="L230" s="16"/>
      <c r="M230" s="16"/>
      <c r="N230" s="16"/>
    </row>
    <row r="231" spans="1:14" ht="15.75" x14ac:dyDescent="0.25">
      <c r="A231" s="2" t="s">
        <v>606</v>
      </c>
      <c r="B231" s="5" t="s">
        <v>607</v>
      </c>
      <c r="C231" s="1" t="s">
        <v>1078</v>
      </c>
      <c r="F231" s="16"/>
      <c r="G231" s="16"/>
      <c r="H231" s="16"/>
      <c r="I231" s="16"/>
      <c r="J231" s="16"/>
      <c r="K231" s="16"/>
      <c r="L231" s="16"/>
      <c r="M231" s="16"/>
      <c r="N231" s="16"/>
    </row>
    <row r="232" spans="1:14" ht="15.75" x14ac:dyDescent="0.25">
      <c r="A232" s="26" t="s">
        <v>748</v>
      </c>
      <c r="B232" s="3">
        <f>B224/2</f>
        <v>0.5</v>
      </c>
      <c r="C232" s="1" t="s">
        <v>1078</v>
      </c>
      <c r="E232" s="5" t="s">
        <v>1071</v>
      </c>
      <c r="F232" s="16"/>
      <c r="G232" s="16"/>
      <c r="H232" s="16"/>
      <c r="I232" s="16"/>
      <c r="J232" s="16"/>
      <c r="K232" s="16"/>
      <c r="L232" s="16"/>
      <c r="M232" s="16"/>
      <c r="N232" s="16"/>
    </row>
    <row r="233" spans="1:14" ht="15.75" x14ac:dyDescent="0.25">
      <c r="A233" s="2"/>
      <c r="B233" s="5"/>
      <c r="C233" s="1"/>
      <c r="F233" s="16"/>
      <c r="G233" s="16"/>
      <c r="H233" s="16"/>
      <c r="I233" s="16"/>
      <c r="J233" s="16"/>
      <c r="K233" s="16"/>
      <c r="L233" s="16"/>
      <c r="M233" s="16"/>
      <c r="N233" s="16"/>
    </row>
    <row r="234" spans="1:14" ht="15.75" x14ac:dyDescent="0.25">
      <c r="A234" s="2" t="s">
        <v>608</v>
      </c>
      <c r="B234" s="5" t="s">
        <v>609</v>
      </c>
      <c r="C234" s="1" t="s">
        <v>1073</v>
      </c>
      <c r="F234" s="16"/>
      <c r="G234" s="16"/>
      <c r="H234" s="16"/>
      <c r="I234" s="16"/>
      <c r="J234" s="16"/>
      <c r="K234" s="16"/>
      <c r="L234" s="16"/>
      <c r="M234" s="16"/>
      <c r="N234" s="16"/>
    </row>
    <row r="235" spans="1:14" ht="15.75" x14ac:dyDescent="0.25">
      <c r="A235" s="26" t="s">
        <v>748</v>
      </c>
      <c r="B235" s="51">
        <f>3.142*B232^4/4</f>
        <v>4.9093749999999999E-2</v>
      </c>
      <c r="C235" s="1" t="s">
        <v>1073</v>
      </c>
      <c r="F235" s="16"/>
      <c r="G235" s="16"/>
      <c r="H235" s="16"/>
      <c r="I235" s="16"/>
      <c r="J235" s="16"/>
      <c r="K235" s="16"/>
      <c r="L235" s="16"/>
      <c r="M235" s="16"/>
      <c r="N235" s="16"/>
    </row>
    <row r="236" spans="1:14" ht="15.75" x14ac:dyDescent="0.25">
      <c r="A236" s="2"/>
      <c r="B236" s="5"/>
      <c r="C236" s="1"/>
      <c r="F236" s="16"/>
      <c r="G236" s="16"/>
      <c r="H236" s="16"/>
      <c r="I236" s="16"/>
      <c r="J236" s="16"/>
      <c r="K236" s="16"/>
      <c r="L236" s="16"/>
      <c r="M236" s="16"/>
      <c r="N236" s="16"/>
    </row>
    <row r="237" spans="1:14" ht="15.75" x14ac:dyDescent="0.25">
      <c r="A237" s="2" t="s">
        <v>610</v>
      </c>
      <c r="B237" s="5"/>
      <c r="C237" s="1"/>
      <c r="F237" s="16"/>
      <c r="G237" s="16"/>
      <c r="H237" s="16"/>
      <c r="I237" s="16"/>
      <c r="J237" s="16"/>
      <c r="K237" s="16"/>
      <c r="L237" s="16"/>
      <c r="M237" s="16"/>
      <c r="N237" s="16"/>
    </row>
    <row r="238" spans="1:14" ht="15.75" x14ac:dyDescent="0.25">
      <c r="A238" s="2" t="s">
        <v>611</v>
      </c>
      <c r="B238" s="5"/>
      <c r="C238" s="1"/>
      <c r="F238" s="16"/>
      <c r="G238" s="16"/>
      <c r="H238" s="16"/>
      <c r="I238" s="16"/>
      <c r="J238" s="16"/>
      <c r="K238" s="16"/>
      <c r="L238" s="16"/>
      <c r="M238" s="16"/>
      <c r="N238" s="16"/>
    </row>
    <row r="239" spans="1:14" ht="15.75" x14ac:dyDescent="0.25">
      <c r="A239" s="2" t="s">
        <v>238</v>
      </c>
      <c r="B239" s="1" t="s">
        <v>859</v>
      </c>
      <c r="C239" s="1" t="s">
        <v>1078</v>
      </c>
      <c r="F239" s="16"/>
      <c r="G239" s="16"/>
      <c r="H239" s="16"/>
      <c r="I239" s="16"/>
      <c r="J239" s="16"/>
      <c r="K239" s="16"/>
      <c r="L239" s="16"/>
      <c r="M239" s="16"/>
      <c r="N239" s="16"/>
    </row>
    <row r="240" spans="1:14" ht="15.75" x14ac:dyDescent="0.25">
      <c r="A240" s="26" t="s">
        <v>112</v>
      </c>
      <c r="B240" s="3">
        <f>B223*B227^2*(B227+B226)/(3*B225*B235)</f>
        <v>2.0977926059249179E-2</v>
      </c>
      <c r="C240" s="1" t="s">
        <v>1078</v>
      </c>
      <c r="F240" s="16"/>
      <c r="G240" s="16"/>
      <c r="H240" s="16"/>
      <c r="I240" s="16"/>
      <c r="J240" s="16"/>
      <c r="K240" s="16"/>
      <c r="L240" s="16"/>
      <c r="M240" s="16"/>
      <c r="N240" s="16"/>
    </row>
    <row r="241" spans="1:14" ht="15.75" x14ac:dyDescent="0.25">
      <c r="A241" s="2"/>
      <c r="B241" s="5"/>
      <c r="C241" s="1"/>
      <c r="F241" s="16"/>
      <c r="G241" s="16"/>
      <c r="H241" s="16"/>
      <c r="I241" s="16"/>
      <c r="J241" s="16"/>
      <c r="K241" s="16"/>
      <c r="L241" s="16"/>
      <c r="M241" s="16"/>
      <c r="N241" s="16"/>
    </row>
    <row r="242" spans="1:14" ht="15.75" x14ac:dyDescent="0.25">
      <c r="A242" s="2" t="s">
        <v>612</v>
      </c>
      <c r="B242" s="5" t="s">
        <v>613</v>
      </c>
      <c r="C242" s="1" t="s">
        <v>456</v>
      </c>
      <c r="F242" s="16"/>
      <c r="G242" s="16"/>
      <c r="H242" s="16"/>
      <c r="I242" s="16"/>
      <c r="J242" s="16"/>
      <c r="K242" s="16"/>
      <c r="L242" s="16"/>
      <c r="M242" s="16"/>
      <c r="N242" s="16"/>
    </row>
    <row r="243" spans="1:14" ht="15.75" x14ac:dyDescent="0.25">
      <c r="A243" s="26" t="s">
        <v>748</v>
      </c>
      <c r="B243" s="202">
        <f>(1/(2*3.142)*((B229/B240)^0.5))</f>
        <v>21.597381874734115</v>
      </c>
      <c r="C243" s="1" t="s">
        <v>456</v>
      </c>
      <c r="F243" s="16"/>
      <c r="G243" s="16"/>
      <c r="H243" s="16"/>
      <c r="I243" s="16"/>
      <c r="J243" s="16"/>
      <c r="K243" s="16"/>
      <c r="L243" s="16"/>
      <c r="M243" s="16"/>
      <c r="N243" s="16"/>
    </row>
    <row r="244" spans="1:14" x14ac:dyDescent="0.2">
      <c r="A244" s="28"/>
      <c r="B244" s="27" t="s">
        <v>57</v>
      </c>
      <c r="C244" s="22"/>
      <c r="F244" s="16"/>
      <c r="G244" s="16"/>
      <c r="H244" s="16"/>
      <c r="I244" s="16"/>
      <c r="J244" s="16"/>
      <c r="K244" s="16"/>
      <c r="L244" s="16"/>
      <c r="M244" s="16"/>
      <c r="N244" s="16"/>
    </row>
    <row r="245" spans="1:14" x14ac:dyDescent="0.2">
      <c r="A245" s="23"/>
      <c r="B245" s="23"/>
      <c r="C245" s="23"/>
      <c r="D245" s="23"/>
      <c r="E245" s="23"/>
      <c r="F245" s="16"/>
      <c r="G245" s="16"/>
      <c r="H245" s="16"/>
      <c r="I245" s="16"/>
      <c r="J245" s="16"/>
      <c r="K245" s="16"/>
      <c r="L245" s="16"/>
      <c r="M245" s="16"/>
      <c r="N245" s="16"/>
    </row>
    <row r="246" spans="1:14" x14ac:dyDescent="0.2">
      <c r="F246" s="16"/>
      <c r="G246" s="16"/>
      <c r="H246" s="16"/>
      <c r="I246" s="16"/>
      <c r="J246" s="16"/>
      <c r="K246" s="16"/>
      <c r="L246" s="16"/>
      <c r="M246" s="16"/>
      <c r="N246" s="16"/>
    </row>
    <row r="247" spans="1:14" ht="15.75" x14ac:dyDescent="0.25">
      <c r="A247" s="1" t="s">
        <v>451</v>
      </c>
      <c r="B247" s="27"/>
      <c r="C247" s="27"/>
      <c r="F247" s="16"/>
      <c r="G247" s="16"/>
      <c r="H247" s="16"/>
      <c r="I247" s="16"/>
      <c r="J247" s="16"/>
      <c r="K247" s="16"/>
      <c r="L247" s="16"/>
      <c r="M247" s="16"/>
      <c r="N247" s="16"/>
    </row>
    <row r="248" spans="1:14" ht="16.5" thickBot="1" x14ac:dyDescent="0.3">
      <c r="A248" s="2" t="s">
        <v>152</v>
      </c>
      <c r="B248" s="30" t="s">
        <v>107</v>
      </c>
      <c r="C248" s="27"/>
      <c r="F248" s="16"/>
      <c r="G248" s="16"/>
      <c r="H248" s="16"/>
      <c r="I248" s="16"/>
      <c r="J248" s="16"/>
      <c r="K248" s="16"/>
      <c r="L248" s="16"/>
      <c r="M248" s="16"/>
      <c r="N248" s="16"/>
    </row>
    <row r="249" spans="1:14" x14ac:dyDescent="0.2">
      <c r="A249" s="28" t="s">
        <v>574</v>
      </c>
      <c r="B249" s="31">
        <v>600</v>
      </c>
      <c r="C249" s="22" t="s">
        <v>1100</v>
      </c>
      <c r="F249" s="16"/>
      <c r="G249" s="16"/>
      <c r="H249" s="16"/>
      <c r="I249" s="16"/>
      <c r="J249" s="16"/>
      <c r="K249" s="16"/>
      <c r="L249" s="16"/>
      <c r="M249" s="16"/>
      <c r="N249" s="16"/>
    </row>
    <row r="250" spans="1:14" x14ac:dyDescent="0.2">
      <c r="A250" s="28" t="s">
        <v>323</v>
      </c>
      <c r="B250" s="32">
        <v>30</v>
      </c>
      <c r="C250" s="22" t="s">
        <v>1078</v>
      </c>
      <c r="F250" s="16"/>
      <c r="G250" s="16"/>
      <c r="H250" s="16"/>
      <c r="I250" s="16"/>
      <c r="J250" s="16"/>
      <c r="K250" s="16"/>
      <c r="L250" s="16"/>
      <c r="M250" s="16"/>
      <c r="N250" s="16"/>
    </row>
    <row r="251" spans="1:14" x14ac:dyDescent="0.2">
      <c r="A251" s="28" t="s">
        <v>75</v>
      </c>
      <c r="B251" s="32">
        <v>29000000</v>
      </c>
      <c r="C251" s="22" t="s">
        <v>605</v>
      </c>
      <c r="F251" s="16"/>
      <c r="G251" s="16"/>
      <c r="H251" s="16"/>
      <c r="I251" s="16"/>
      <c r="J251" s="16"/>
      <c r="K251" s="16"/>
      <c r="L251" s="16"/>
      <c r="M251" s="16"/>
      <c r="N251" s="16"/>
    </row>
    <row r="252" spans="1:14" ht="15.75" thickBot="1" x14ac:dyDescent="0.25">
      <c r="A252" s="28" t="s">
        <v>614</v>
      </c>
      <c r="B252" s="65">
        <v>4</v>
      </c>
      <c r="C252" s="22" t="s">
        <v>1073</v>
      </c>
      <c r="F252" s="16"/>
      <c r="G252" s="16"/>
      <c r="H252" s="16"/>
      <c r="I252" s="16"/>
      <c r="J252" s="16"/>
      <c r="K252" s="16"/>
      <c r="L252" s="16"/>
      <c r="M252" s="16"/>
      <c r="N252" s="16"/>
    </row>
    <row r="253" spans="1:14" ht="15.75" x14ac:dyDescent="0.25">
      <c r="A253" s="28"/>
      <c r="B253" s="30" t="s">
        <v>876</v>
      </c>
      <c r="C253" s="22"/>
      <c r="F253" s="16"/>
      <c r="G253" s="16"/>
      <c r="H253" s="16"/>
      <c r="I253" s="16"/>
      <c r="J253" s="16"/>
      <c r="K253" s="16"/>
      <c r="L253" s="16"/>
      <c r="M253" s="16"/>
      <c r="N253" s="16"/>
    </row>
    <row r="254" spans="1:14" ht="15.75" x14ac:dyDescent="0.25">
      <c r="A254" s="2" t="s">
        <v>615</v>
      </c>
      <c r="B254" s="5" t="s">
        <v>575</v>
      </c>
      <c r="C254" s="1" t="s">
        <v>1078</v>
      </c>
      <c r="F254" s="16"/>
      <c r="G254" s="16"/>
      <c r="H254" s="16"/>
      <c r="I254" s="16"/>
      <c r="J254" s="16"/>
      <c r="K254" s="16"/>
      <c r="L254" s="16"/>
      <c r="M254" s="16"/>
      <c r="N254" s="16"/>
    </row>
    <row r="255" spans="1:14" ht="15.75" x14ac:dyDescent="0.25">
      <c r="A255" s="2" t="s">
        <v>443</v>
      </c>
      <c r="B255" s="3">
        <f>B249*B250^3/(3*B251*B252)</f>
        <v>4.6551724137931037E-2</v>
      </c>
      <c r="C255" s="1" t="s">
        <v>1078</v>
      </c>
      <c r="F255" s="16"/>
      <c r="G255" s="16"/>
      <c r="H255" s="16"/>
      <c r="I255" s="16"/>
      <c r="J255" s="16"/>
      <c r="K255" s="16"/>
      <c r="L255" s="16"/>
      <c r="M255" s="16"/>
      <c r="N255" s="16"/>
    </row>
    <row r="256" spans="1:14" ht="15.75" x14ac:dyDescent="0.25">
      <c r="A256" s="2" t="s">
        <v>616</v>
      </c>
      <c r="B256" s="5" t="s">
        <v>617</v>
      </c>
      <c r="C256" s="1" t="s">
        <v>618</v>
      </c>
      <c r="F256" s="16"/>
      <c r="G256" s="16"/>
      <c r="H256" s="16"/>
      <c r="I256" s="16"/>
      <c r="J256" s="16"/>
      <c r="K256" s="16"/>
      <c r="L256" s="16"/>
      <c r="M256" s="16"/>
      <c r="N256" s="16"/>
    </row>
    <row r="257" spans="1:14" ht="15.75" x14ac:dyDescent="0.25">
      <c r="A257" s="2" t="s">
        <v>619</v>
      </c>
      <c r="B257" s="36">
        <f>3*B251*B252/(B250^3)</f>
        <v>12888.888888888889</v>
      </c>
      <c r="C257" s="1" t="s">
        <v>618</v>
      </c>
      <c r="F257" s="16"/>
      <c r="G257" s="16"/>
      <c r="H257" s="16"/>
      <c r="I257" s="16"/>
      <c r="J257" s="16"/>
      <c r="K257" s="16"/>
      <c r="L257" s="16"/>
      <c r="M257" s="16"/>
      <c r="N257" s="16"/>
    </row>
    <row r="258" spans="1:14" ht="15.75" x14ac:dyDescent="0.25">
      <c r="A258" s="2" t="s">
        <v>448</v>
      </c>
      <c r="B258" s="5" t="s">
        <v>449</v>
      </c>
      <c r="C258" s="22"/>
      <c r="F258" s="16"/>
      <c r="G258" s="16"/>
      <c r="H258" s="16"/>
      <c r="I258" s="16"/>
      <c r="J258" s="16"/>
      <c r="K258" s="16"/>
      <c r="L258" s="16"/>
      <c r="M258" s="16"/>
      <c r="N258" s="16"/>
    </row>
    <row r="259" spans="1:14" ht="15.75" x14ac:dyDescent="0.25">
      <c r="A259" s="2" t="s">
        <v>450</v>
      </c>
      <c r="B259" s="36">
        <f>(1/(2*3.1416))*(386.4/B255)</f>
        <v>1321.0536739948504</v>
      </c>
      <c r="C259" s="1" t="s">
        <v>456</v>
      </c>
      <c r="F259" s="16"/>
      <c r="G259" s="16"/>
      <c r="H259" s="16"/>
      <c r="I259" s="16"/>
      <c r="J259" s="16"/>
      <c r="K259" s="16"/>
      <c r="L259" s="16"/>
      <c r="M259" s="16"/>
      <c r="N259" s="16"/>
    </row>
    <row r="260" spans="1:14" ht="16.5" thickBot="1" x14ac:dyDescent="0.3">
      <c r="A260" s="2" t="s">
        <v>620</v>
      </c>
      <c r="B260" s="30" t="s">
        <v>109</v>
      </c>
      <c r="C260" s="22"/>
      <c r="F260" s="16"/>
      <c r="G260" s="16"/>
      <c r="H260" s="16"/>
      <c r="I260" s="16"/>
      <c r="J260" s="16"/>
      <c r="K260" s="16"/>
      <c r="L260" s="16"/>
      <c r="M260" s="16"/>
      <c r="N260" s="16"/>
    </row>
    <row r="261" spans="1:14" x14ac:dyDescent="0.2">
      <c r="A261" s="28" t="s">
        <v>621</v>
      </c>
      <c r="B261" s="31">
        <v>450</v>
      </c>
      <c r="C261" s="22" t="s">
        <v>618</v>
      </c>
      <c r="F261" s="16"/>
      <c r="G261" s="16"/>
      <c r="H261" s="16"/>
      <c r="I261" s="16"/>
      <c r="J261" s="16"/>
      <c r="K261" s="16"/>
      <c r="L261" s="16"/>
      <c r="M261" s="16"/>
      <c r="N261" s="16"/>
    </row>
    <row r="262" spans="1:14" x14ac:dyDescent="0.2">
      <c r="A262" s="28" t="s">
        <v>323</v>
      </c>
      <c r="B262" s="32">
        <v>4</v>
      </c>
      <c r="C262" s="22" t="s">
        <v>1078</v>
      </c>
      <c r="F262" s="16"/>
      <c r="G262" s="16"/>
      <c r="H262" s="16"/>
      <c r="I262" s="16"/>
      <c r="J262" s="16"/>
      <c r="K262" s="16"/>
      <c r="L262" s="16"/>
      <c r="M262" s="16"/>
      <c r="N262" s="16"/>
    </row>
    <row r="263" spans="1:14" x14ac:dyDescent="0.2">
      <c r="A263" s="28" t="s">
        <v>75</v>
      </c>
      <c r="B263" s="32">
        <v>29000000</v>
      </c>
      <c r="C263" s="22" t="s">
        <v>605</v>
      </c>
      <c r="F263" s="16"/>
      <c r="G263" s="16"/>
      <c r="H263" s="16"/>
      <c r="I263" s="16"/>
      <c r="J263" s="16"/>
      <c r="K263" s="16"/>
      <c r="L263" s="16"/>
      <c r="M263" s="16"/>
      <c r="N263" s="16"/>
    </row>
    <row r="264" spans="1:14" ht="15.75" thickBot="1" x14ac:dyDescent="0.25">
      <c r="A264" s="28" t="s">
        <v>614</v>
      </c>
      <c r="B264" s="65">
        <v>2</v>
      </c>
      <c r="C264" s="22" t="s">
        <v>1073</v>
      </c>
      <c r="F264" s="16"/>
      <c r="G264" s="16"/>
      <c r="H264" s="16"/>
      <c r="I264" s="16"/>
      <c r="J264" s="16"/>
      <c r="K264" s="16"/>
      <c r="L264" s="16"/>
      <c r="M264" s="16"/>
      <c r="N264" s="16"/>
    </row>
    <row r="265" spans="1:14" ht="15.75" x14ac:dyDescent="0.25">
      <c r="A265" s="28"/>
      <c r="B265" s="30" t="s">
        <v>876</v>
      </c>
      <c r="C265" s="22"/>
      <c r="F265" s="16"/>
      <c r="G265" s="16"/>
      <c r="H265" s="16"/>
      <c r="I265" s="16"/>
      <c r="J265" s="16"/>
      <c r="K265" s="16"/>
      <c r="L265" s="16"/>
      <c r="M265" s="16"/>
      <c r="N265" s="16"/>
    </row>
    <row r="266" spans="1:14" ht="15.75" x14ac:dyDescent="0.25">
      <c r="A266" s="2" t="s">
        <v>615</v>
      </c>
      <c r="B266" s="5" t="s">
        <v>622</v>
      </c>
      <c r="C266" s="1" t="s">
        <v>1078</v>
      </c>
      <c r="F266" s="16"/>
      <c r="G266" s="16"/>
      <c r="H266" s="16"/>
      <c r="I266" s="16"/>
      <c r="J266" s="16"/>
      <c r="K266" s="16"/>
      <c r="L266" s="16"/>
      <c r="M266" s="16"/>
      <c r="N266" s="16"/>
    </row>
    <row r="267" spans="1:14" ht="15.75" x14ac:dyDescent="0.25">
      <c r="A267" s="2" t="s">
        <v>443</v>
      </c>
      <c r="B267" s="3">
        <f>B261*B262^4/(3*B263*B264)</f>
        <v>6.6206896551724138E-4</v>
      </c>
      <c r="C267" s="1" t="s">
        <v>1078</v>
      </c>
      <c r="F267" s="16"/>
      <c r="G267" s="16"/>
      <c r="H267" s="16"/>
      <c r="I267" s="16"/>
      <c r="J267" s="16"/>
      <c r="K267" s="16"/>
      <c r="L267" s="16"/>
      <c r="M267" s="16"/>
      <c r="N267" s="16"/>
    </row>
    <row r="268" spans="1:14" ht="15.75" x14ac:dyDescent="0.25">
      <c r="A268" s="2" t="s">
        <v>616</v>
      </c>
      <c r="B268" s="5" t="s">
        <v>623</v>
      </c>
      <c r="C268" s="1" t="s">
        <v>618</v>
      </c>
      <c r="F268" s="16"/>
      <c r="G268" s="16"/>
      <c r="H268" s="16"/>
      <c r="I268" s="16"/>
      <c r="J268" s="16"/>
      <c r="K268" s="16"/>
      <c r="L268" s="16"/>
      <c r="M268" s="16"/>
      <c r="N268" s="16"/>
    </row>
    <row r="269" spans="1:14" ht="15.75" x14ac:dyDescent="0.25">
      <c r="A269" s="2" t="s">
        <v>448</v>
      </c>
      <c r="B269" s="5" t="s">
        <v>449</v>
      </c>
      <c r="C269" s="22"/>
      <c r="F269" s="16"/>
      <c r="G269" s="16"/>
      <c r="H269" s="16"/>
      <c r="I269" s="16"/>
      <c r="J269" s="16"/>
      <c r="K269" s="16"/>
      <c r="L269" s="16"/>
      <c r="M269" s="16"/>
      <c r="N269" s="16"/>
    </row>
    <row r="270" spans="1:14" ht="15.75" x14ac:dyDescent="0.25">
      <c r="A270" s="2" t="s">
        <v>450</v>
      </c>
      <c r="B270" s="36">
        <f>(1/(2*3.1416))*(386.4/B267)</f>
        <v>92886.586452762931</v>
      </c>
      <c r="C270" s="1" t="s">
        <v>456</v>
      </c>
      <c r="F270" s="16"/>
      <c r="G270" s="16"/>
      <c r="H270" s="16"/>
      <c r="I270" s="16"/>
      <c r="J270" s="16"/>
      <c r="K270" s="16"/>
      <c r="L270" s="16"/>
      <c r="M270" s="16"/>
      <c r="N270" s="16"/>
    </row>
    <row r="271" spans="1:14" x14ac:dyDescent="0.2">
      <c r="C271" s="22"/>
      <c r="F271" s="16"/>
      <c r="G271" s="16"/>
      <c r="H271" s="16"/>
      <c r="I271" s="16"/>
      <c r="J271" s="16"/>
      <c r="K271" s="16"/>
      <c r="L271" s="16"/>
      <c r="M271" s="16"/>
      <c r="N271" s="16"/>
    </row>
    <row r="272" spans="1:14" ht="16.5" thickBot="1" x14ac:dyDescent="0.3">
      <c r="A272" s="2" t="s">
        <v>150</v>
      </c>
      <c r="B272" s="30" t="s">
        <v>109</v>
      </c>
      <c r="C272" s="22"/>
      <c r="F272" s="16"/>
      <c r="G272" s="16"/>
      <c r="H272" s="16"/>
      <c r="I272" s="16"/>
      <c r="J272" s="16"/>
      <c r="K272" s="16"/>
      <c r="L272" s="16"/>
      <c r="M272" s="16"/>
      <c r="N272" s="16"/>
    </row>
    <row r="273" spans="1:14" x14ac:dyDescent="0.2">
      <c r="A273" s="28" t="s">
        <v>572</v>
      </c>
      <c r="B273" s="31">
        <v>400</v>
      </c>
      <c r="C273" s="22" t="s">
        <v>162</v>
      </c>
      <c r="F273" s="16"/>
      <c r="G273" s="16"/>
      <c r="H273" s="16"/>
      <c r="I273" s="16"/>
      <c r="J273" s="16"/>
      <c r="K273" s="16"/>
      <c r="L273" s="16"/>
      <c r="M273" s="16"/>
      <c r="N273" s="16"/>
    </row>
    <row r="274" spans="1:14" x14ac:dyDescent="0.2">
      <c r="A274" s="28" t="s">
        <v>323</v>
      </c>
      <c r="B274" s="32">
        <v>60</v>
      </c>
      <c r="C274" s="22" t="s">
        <v>1078</v>
      </c>
      <c r="F274" s="16"/>
      <c r="G274" s="16"/>
      <c r="H274" s="16"/>
      <c r="I274" s="16"/>
      <c r="J274" s="16"/>
      <c r="K274" s="16"/>
      <c r="L274" s="16"/>
      <c r="M274" s="16"/>
      <c r="N274" s="16"/>
    </row>
    <row r="275" spans="1:14" x14ac:dyDescent="0.2">
      <c r="A275" s="28" t="s">
        <v>75</v>
      </c>
      <c r="B275" s="32">
        <v>29000000</v>
      </c>
      <c r="C275" s="22" t="s">
        <v>605</v>
      </c>
      <c r="F275" s="16"/>
      <c r="G275" s="16"/>
      <c r="H275" s="16"/>
      <c r="I275" s="16"/>
      <c r="J275" s="16"/>
      <c r="K275" s="16"/>
      <c r="L275" s="16"/>
      <c r="M275" s="16"/>
      <c r="N275" s="16"/>
    </row>
    <row r="276" spans="1:14" ht="15.75" thickBot="1" x14ac:dyDescent="0.25">
      <c r="A276" s="28" t="s">
        <v>614</v>
      </c>
      <c r="B276" s="65">
        <v>3</v>
      </c>
      <c r="C276" s="22" t="s">
        <v>1073</v>
      </c>
      <c r="F276" s="16"/>
      <c r="G276" s="16"/>
      <c r="H276" s="16"/>
      <c r="I276" s="16"/>
      <c r="J276" s="16"/>
      <c r="K276" s="16"/>
      <c r="L276" s="16"/>
      <c r="M276" s="16"/>
      <c r="N276" s="16"/>
    </row>
    <row r="277" spans="1:14" ht="15.75" x14ac:dyDescent="0.25">
      <c r="A277" s="28"/>
      <c r="B277" s="30" t="s">
        <v>876</v>
      </c>
      <c r="C277" s="22"/>
      <c r="F277" s="16"/>
      <c r="G277" s="16"/>
      <c r="H277" s="16"/>
      <c r="I277" s="16"/>
      <c r="J277" s="16"/>
      <c r="K277" s="16"/>
      <c r="L277" s="16"/>
      <c r="M277" s="16"/>
      <c r="N277" s="16"/>
    </row>
    <row r="278" spans="1:14" ht="15.75" x14ac:dyDescent="0.25">
      <c r="A278" s="2" t="s">
        <v>615</v>
      </c>
      <c r="B278" s="5" t="s">
        <v>573</v>
      </c>
      <c r="C278" s="1" t="s">
        <v>1078</v>
      </c>
      <c r="F278" s="16"/>
      <c r="G278" s="16"/>
      <c r="H278" s="16"/>
      <c r="I278" s="16"/>
      <c r="J278" s="16"/>
      <c r="K278" s="16"/>
      <c r="L278" s="16"/>
      <c r="M278" s="16"/>
      <c r="N278" s="16"/>
    </row>
    <row r="279" spans="1:14" ht="15.75" x14ac:dyDescent="0.25">
      <c r="A279" s="2" t="s">
        <v>443</v>
      </c>
      <c r="B279" s="205">
        <f>B273*B274^3/(48*B275*B276)</f>
        <v>2.0689655172413793E-2</v>
      </c>
      <c r="C279" s="1" t="s">
        <v>1078</v>
      </c>
      <c r="F279" s="16"/>
      <c r="G279" s="16"/>
      <c r="H279" s="16"/>
      <c r="I279" s="16"/>
      <c r="J279" s="16"/>
      <c r="K279" s="16"/>
      <c r="L279" s="16"/>
      <c r="M279" s="16"/>
      <c r="N279" s="16"/>
    </row>
    <row r="280" spans="1:14" ht="15.75" x14ac:dyDescent="0.25">
      <c r="A280" s="2" t="s">
        <v>616</v>
      </c>
      <c r="B280" s="5" t="s">
        <v>624</v>
      </c>
      <c r="C280" s="1" t="s">
        <v>618</v>
      </c>
      <c r="F280" s="16"/>
      <c r="G280" s="16"/>
      <c r="H280" s="16"/>
      <c r="I280" s="16"/>
      <c r="J280" s="16"/>
      <c r="K280" s="16"/>
      <c r="L280" s="16"/>
      <c r="M280" s="16"/>
      <c r="N280" s="16"/>
    </row>
    <row r="281" spans="1:14" ht="15.75" x14ac:dyDescent="0.25">
      <c r="A281" s="2" t="s">
        <v>619</v>
      </c>
      <c r="B281" s="5">
        <f>48*B275*B276/(B274^3)</f>
        <v>19333.333333333332</v>
      </c>
      <c r="C281" s="1" t="s">
        <v>618</v>
      </c>
      <c r="F281" s="16"/>
      <c r="G281" s="16"/>
      <c r="H281" s="16"/>
      <c r="I281" s="16"/>
      <c r="J281" s="16"/>
      <c r="K281" s="16"/>
      <c r="L281" s="16"/>
      <c r="M281" s="16"/>
      <c r="N281" s="16"/>
    </row>
    <row r="282" spans="1:14" ht="15.75" x14ac:dyDescent="0.25">
      <c r="A282" s="2" t="s">
        <v>448</v>
      </c>
      <c r="B282" s="5" t="s">
        <v>449</v>
      </c>
      <c r="C282" s="22"/>
      <c r="F282" s="16"/>
      <c r="G282" s="16"/>
      <c r="H282" s="16"/>
      <c r="I282" s="16"/>
      <c r="J282" s="16"/>
      <c r="K282" s="16"/>
      <c r="L282" s="16"/>
      <c r="M282" s="16"/>
      <c r="N282" s="16"/>
    </row>
    <row r="283" spans="1:14" ht="15.75" x14ac:dyDescent="0.25">
      <c r="A283" s="2" t="s">
        <v>450</v>
      </c>
      <c r="B283" s="36">
        <f>(1/(2*3.1416))*(386.4/B279)</f>
        <v>2972.3707664884137</v>
      </c>
      <c r="C283" s="1" t="s">
        <v>456</v>
      </c>
      <c r="F283" s="16"/>
      <c r="G283" s="16"/>
      <c r="H283" s="16"/>
      <c r="I283" s="16"/>
      <c r="J283" s="16"/>
      <c r="K283" s="16"/>
      <c r="L283" s="16"/>
      <c r="M283" s="16"/>
      <c r="N283" s="16"/>
    </row>
    <row r="284" spans="1:14" ht="16.5" thickBot="1" x14ac:dyDescent="0.3">
      <c r="A284" s="2" t="s">
        <v>625</v>
      </c>
      <c r="B284" s="30" t="s">
        <v>109</v>
      </c>
      <c r="C284" s="22"/>
      <c r="F284" s="16"/>
      <c r="G284" s="16"/>
      <c r="H284" s="16"/>
      <c r="I284" s="16"/>
      <c r="J284" s="16"/>
      <c r="K284" s="16"/>
      <c r="L284" s="16"/>
      <c r="M284" s="16"/>
      <c r="N284" s="16"/>
    </row>
    <row r="285" spans="1:14" ht="15.75" x14ac:dyDescent="0.25">
      <c r="A285" s="28" t="s">
        <v>621</v>
      </c>
      <c r="B285" s="31">
        <v>500</v>
      </c>
      <c r="C285" s="22" t="s">
        <v>618</v>
      </c>
      <c r="D285" s="5" t="s">
        <v>1071</v>
      </c>
      <c r="E285" s="5" t="s">
        <v>1071</v>
      </c>
      <c r="F285" s="16"/>
      <c r="G285" s="16"/>
      <c r="H285" s="16"/>
      <c r="I285" s="16"/>
      <c r="J285" s="16"/>
      <c r="K285" s="16"/>
      <c r="L285" s="16"/>
      <c r="M285" s="16"/>
      <c r="N285" s="16"/>
    </row>
    <row r="286" spans="1:14" x14ac:dyDescent="0.2">
      <c r="A286" s="28" t="s">
        <v>323</v>
      </c>
      <c r="B286" s="32">
        <v>40</v>
      </c>
      <c r="C286" s="22" t="s">
        <v>1078</v>
      </c>
      <c r="F286" s="16"/>
      <c r="G286" s="16"/>
      <c r="H286" s="16"/>
      <c r="I286" s="16"/>
      <c r="J286" s="16"/>
      <c r="K286" s="16"/>
      <c r="L286" s="16"/>
      <c r="M286" s="16"/>
      <c r="N286" s="16"/>
    </row>
    <row r="287" spans="1:14" x14ac:dyDescent="0.2">
      <c r="A287" s="28" t="s">
        <v>75</v>
      </c>
      <c r="B287" s="32">
        <v>29000000</v>
      </c>
      <c r="C287" s="22" t="s">
        <v>605</v>
      </c>
      <c r="F287" s="16"/>
      <c r="G287" s="16"/>
      <c r="H287" s="16"/>
      <c r="I287" s="16"/>
      <c r="J287" s="16"/>
      <c r="K287" s="16"/>
      <c r="L287" s="16"/>
      <c r="M287" s="16"/>
      <c r="N287" s="16"/>
    </row>
    <row r="288" spans="1:14" ht="15.75" thickBot="1" x14ac:dyDescent="0.25">
      <c r="A288" s="28" t="s">
        <v>614</v>
      </c>
      <c r="B288" s="65">
        <v>2</v>
      </c>
      <c r="C288" s="22" t="s">
        <v>1073</v>
      </c>
      <c r="F288" s="16"/>
      <c r="G288" s="16"/>
      <c r="H288" s="16"/>
      <c r="I288" s="16"/>
      <c r="J288" s="16"/>
      <c r="K288" s="16"/>
      <c r="L288" s="16"/>
      <c r="M288" s="16"/>
      <c r="N288" s="16"/>
    </row>
    <row r="289" spans="1:14" ht="15.75" x14ac:dyDescent="0.25">
      <c r="A289" s="28"/>
      <c r="B289" s="30" t="s">
        <v>876</v>
      </c>
      <c r="C289" s="22"/>
      <c r="F289" s="16"/>
      <c r="G289" s="16"/>
      <c r="H289" s="16"/>
      <c r="I289" s="16"/>
      <c r="J289" s="16"/>
      <c r="K289" s="16"/>
      <c r="L289" s="16"/>
      <c r="M289" s="16"/>
      <c r="N289" s="16"/>
    </row>
    <row r="290" spans="1:14" ht="15.75" x14ac:dyDescent="0.25">
      <c r="A290" s="2" t="s">
        <v>615</v>
      </c>
      <c r="B290" s="5" t="s">
        <v>626</v>
      </c>
      <c r="C290" s="1" t="s">
        <v>1078</v>
      </c>
      <c r="F290" s="16"/>
      <c r="G290" s="16"/>
      <c r="H290" s="16"/>
      <c r="I290" s="16"/>
      <c r="J290" s="16"/>
      <c r="K290" s="16"/>
      <c r="L290" s="16"/>
      <c r="M290" s="16"/>
      <c r="N290" s="16"/>
    </row>
    <row r="291" spans="1:14" ht="15.75" x14ac:dyDescent="0.25">
      <c r="A291" s="2" t="s">
        <v>443</v>
      </c>
      <c r="B291" s="3">
        <f>5*B285*B286^4/(384*B287*B288)</f>
        <v>0.28735632183908044</v>
      </c>
      <c r="C291" s="1" t="s">
        <v>1078</v>
      </c>
      <c r="F291" s="16"/>
      <c r="G291" s="16"/>
      <c r="H291" s="16"/>
      <c r="I291" s="16"/>
      <c r="J291" s="16"/>
      <c r="K291" s="16"/>
      <c r="L291" s="16"/>
      <c r="M291" s="16"/>
      <c r="N291" s="16"/>
    </row>
    <row r="292" spans="1:14" ht="15.75" x14ac:dyDescent="0.25">
      <c r="A292" s="2" t="s">
        <v>616</v>
      </c>
      <c r="B292" s="5" t="s">
        <v>627</v>
      </c>
      <c r="C292" s="1" t="s">
        <v>618</v>
      </c>
      <c r="F292" s="16"/>
      <c r="G292" s="16"/>
      <c r="H292" s="16"/>
      <c r="I292" s="16"/>
      <c r="J292" s="16"/>
      <c r="K292" s="16"/>
      <c r="L292" s="16"/>
      <c r="M292" s="16"/>
      <c r="N292" s="16"/>
    </row>
    <row r="293" spans="1:14" ht="15.75" x14ac:dyDescent="0.25">
      <c r="A293" s="2" t="s">
        <v>619</v>
      </c>
      <c r="B293" s="36">
        <f>384*B287*B288/(5*B286^3)</f>
        <v>69600</v>
      </c>
      <c r="C293" s="1" t="s">
        <v>618</v>
      </c>
      <c r="F293" s="16"/>
      <c r="G293" s="16"/>
      <c r="H293" s="16"/>
      <c r="I293" s="16"/>
      <c r="J293" s="16"/>
      <c r="K293" s="16"/>
      <c r="L293" s="16"/>
      <c r="M293" s="16"/>
      <c r="N293" s="16"/>
    </row>
    <row r="294" spans="1:14" ht="15.75" x14ac:dyDescent="0.25">
      <c r="A294" s="2" t="s">
        <v>448</v>
      </c>
      <c r="B294" s="5" t="s">
        <v>449</v>
      </c>
      <c r="C294" s="22"/>
      <c r="F294" s="16"/>
      <c r="G294" s="16"/>
      <c r="H294" s="16"/>
      <c r="I294" s="16"/>
      <c r="J294" s="16"/>
      <c r="K294" s="16"/>
      <c r="L294" s="16"/>
      <c r="M294" s="16"/>
      <c r="N294" s="16"/>
    </row>
    <row r="295" spans="1:14" ht="15.75" x14ac:dyDescent="0.25">
      <c r="A295" s="2" t="s">
        <v>450</v>
      </c>
      <c r="B295" s="36">
        <f>(1/(2*3.1416))*(386.4/B291)</f>
        <v>214.01069518716579</v>
      </c>
      <c r="C295" s="1" t="s">
        <v>456</v>
      </c>
      <c r="F295" s="16"/>
      <c r="G295" s="16"/>
      <c r="H295" s="16"/>
      <c r="I295" s="16"/>
      <c r="J295" s="16"/>
      <c r="K295" s="16"/>
      <c r="L295" s="16"/>
      <c r="M295" s="16"/>
      <c r="N295" s="16"/>
    </row>
    <row r="296" spans="1:14" x14ac:dyDescent="0.2">
      <c r="C296" s="22"/>
      <c r="F296" s="16"/>
      <c r="G296" s="16"/>
      <c r="H296" s="16"/>
      <c r="I296" s="16"/>
      <c r="J296" s="16"/>
      <c r="K296" s="16"/>
      <c r="L296" s="16"/>
      <c r="M296" s="16"/>
      <c r="N296" s="16"/>
    </row>
    <row r="297" spans="1:14" x14ac:dyDescent="0.2">
      <c r="C297" s="22"/>
      <c r="F297" s="16"/>
      <c r="G297" s="16"/>
      <c r="H297" s="16"/>
      <c r="I297" s="16"/>
      <c r="J297" s="16"/>
      <c r="K297" s="16"/>
      <c r="L297" s="16"/>
      <c r="M297" s="16"/>
      <c r="N297" s="16"/>
    </row>
    <row r="298" spans="1:14" ht="16.5" thickBot="1" x14ac:dyDescent="0.3">
      <c r="A298" s="2" t="s">
        <v>151</v>
      </c>
      <c r="B298" s="30" t="s">
        <v>109</v>
      </c>
      <c r="C298" s="22"/>
      <c r="F298" s="16"/>
      <c r="G298" s="16"/>
      <c r="H298" s="16"/>
      <c r="I298" s="16"/>
      <c r="J298" s="16"/>
      <c r="K298" s="16"/>
      <c r="L298" s="16"/>
      <c r="M298" s="16"/>
      <c r="N298" s="16"/>
    </row>
    <row r="299" spans="1:14" x14ac:dyDescent="0.2">
      <c r="A299" s="28" t="s">
        <v>572</v>
      </c>
      <c r="B299" s="31">
        <v>700</v>
      </c>
      <c r="C299" s="22" t="s">
        <v>1100</v>
      </c>
      <c r="F299" s="16"/>
      <c r="G299" s="16"/>
      <c r="H299" s="16"/>
      <c r="I299" s="16"/>
      <c r="J299" s="16"/>
      <c r="K299" s="16"/>
      <c r="L299" s="16"/>
      <c r="M299" s="16"/>
      <c r="N299" s="16"/>
    </row>
    <row r="300" spans="1:14" x14ac:dyDescent="0.2">
      <c r="A300" s="28" t="s">
        <v>323</v>
      </c>
      <c r="B300" s="32">
        <v>80</v>
      </c>
      <c r="C300" s="22" t="s">
        <v>1078</v>
      </c>
      <c r="F300" s="16"/>
      <c r="G300" s="16"/>
      <c r="H300" s="16"/>
      <c r="I300" s="16"/>
      <c r="J300" s="16"/>
      <c r="K300" s="16"/>
      <c r="L300" s="16"/>
      <c r="M300" s="16"/>
      <c r="N300" s="16"/>
    </row>
    <row r="301" spans="1:14" x14ac:dyDescent="0.2">
      <c r="A301" s="28" t="s">
        <v>75</v>
      </c>
      <c r="B301" s="32">
        <v>29000000</v>
      </c>
      <c r="C301" s="22" t="s">
        <v>605</v>
      </c>
      <c r="F301" s="16"/>
      <c r="G301" s="16"/>
      <c r="H301" s="16"/>
      <c r="I301" s="16"/>
      <c r="J301" s="16"/>
      <c r="K301" s="16"/>
      <c r="L301" s="16"/>
      <c r="M301" s="16"/>
      <c r="N301" s="16"/>
    </row>
    <row r="302" spans="1:14" ht="15.75" thickBot="1" x14ac:dyDescent="0.25">
      <c r="A302" s="28" t="s">
        <v>614</v>
      </c>
      <c r="B302" s="65">
        <v>2</v>
      </c>
      <c r="C302" s="22" t="s">
        <v>1073</v>
      </c>
      <c r="F302" s="16"/>
      <c r="G302" s="16"/>
      <c r="H302" s="16"/>
      <c r="I302" s="16"/>
      <c r="J302" s="16"/>
      <c r="K302" s="16"/>
      <c r="L302" s="16"/>
      <c r="M302" s="16"/>
      <c r="N302" s="16"/>
    </row>
    <row r="303" spans="1:14" ht="15.75" x14ac:dyDescent="0.25">
      <c r="A303" s="28"/>
      <c r="B303" s="30" t="s">
        <v>876</v>
      </c>
      <c r="C303" s="22"/>
      <c r="F303" s="16"/>
      <c r="G303" s="16"/>
      <c r="H303" s="16"/>
      <c r="I303" s="16"/>
      <c r="J303" s="16"/>
      <c r="K303" s="16"/>
      <c r="L303" s="16"/>
      <c r="M303" s="16"/>
      <c r="N303" s="16"/>
    </row>
    <row r="304" spans="1:14" ht="15.75" x14ac:dyDescent="0.25">
      <c r="A304" s="2" t="s">
        <v>615</v>
      </c>
      <c r="B304" s="5" t="s">
        <v>452</v>
      </c>
      <c r="C304" s="1" t="s">
        <v>1078</v>
      </c>
      <c r="F304" s="16"/>
      <c r="G304" s="16"/>
      <c r="H304" s="16"/>
      <c r="I304" s="16"/>
      <c r="J304" s="16"/>
      <c r="K304" s="16"/>
      <c r="L304" s="16"/>
      <c r="M304" s="16"/>
      <c r="N304" s="16"/>
    </row>
    <row r="305" spans="1:14" ht="15.75" x14ac:dyDescent="0.25">
      <c r="A305" s="2" t="s">
        <v>443</v>
      </c>
      <c r="B305" s="3">
        <f>B299*B300^3/(192*B301*B302)</f>
        <v>3.2183908045977011E-2</v>
      </c>
      <c r="C305" s="1" t="s">
        <v>1078</v>
      </c>
      <c r="F305" s="16"/>
      <c r="G305" s="16"/>
      <c r="H305" s="16"/>
      <c r="I305" s="16"/>
      <c r="J305" s="16"/>
      <c r="K305" s="16"/>
      <c r="L305" s="16"/>
      <c r="M305" s="16"/>
      <c r="N305" s="16"/>
    </row>
    <row r="306" spans="1:14" ht="15.75" x14ac:dyDescent="0.25">
      <c r="A306" s="2" t="s">
        <v>616</v>
      </c>
      <c r="B306" s="5" t="s">
        <v>628</v>
      </c>
      <c r="C306" s="1" t="s">
        <v>618</v>
      </c>
      <c r="F306" s="16"/>
      <c r="G306" s="16"/>
      <c r="H306" s="16"/>
      <c r="I306" s="16"/>
      <c r="J306" s="16"/>
      <c r="K306" s="16"/>
      <c r="L306" s="16"/>
      <c r="M306" s="16"/>
      <c r="N306" s="16"/>
    </row>
    <row r="307" spans="1:14" ht="15.75" x14ac:dyDescent="0.25">
      <c r="A307" s="2" t="s">
        <v>619</v>
      </c>
      <c r="B307" s="5">
        <f>192*B301*B302/(B300^3)</f>
        <v>21750</v>
      </c>
      <c r="C307" s="1" t="s">
        <v>618</v>
      </c>
      <c r="F307" s="16"/>
      <c r="G307" s="16"/>
      <c r="H307" s="16"/>
      <c r="I307" s="16"/>
      <c r="J307" s="16"/>
      <c r="K307" s="16"/>
      <c r="L307" s="16"/>
      <c r="M307" s="16"/>
      <c r="N307" s="16"/>
    </row>
    <row r="308" spans="1:14" ht="15.75" x14ac:dyDescent="0.25">
      <c r="A308" s="2" t="s">
        <v>448</v>
      </c>
      <c r="B308" s="5" t="s">
        <v>449</v>
      </c>
      <c r="C308" s="22"/>
      <c r="F308" s="16"/>
      <c r="G308" s="16"/>
      <c r="H308" s="16"/>
      <c r="I308" s="16"/>
      <c r="J308" s="16"/>
      <c r="K308" s="16"/>
      <c r="L308" s="16"/>
      <c r="M308" s="16"/>
      <c r="N308" s="16"/>
    </row>
    <row r="309" spans="1:14" ht="15.75" x14ac:dyDescent="0.25">
      <c r="A309" s="2" t="s">
        <v>450</v>
      </c>
      <c r="B309" s="36">
        <f>(1/(2*3.1416))*(386.4/B305)</f>
        <v>1910.8097784568374</v>
      </c>
      <c r="C309" s="1" t="s">
        <v>456</v>
      </c>
      <c r="F309" s="16"/>
      <c r="G309" s="16"/>
      <c r="H309" s="16"/>
      <c r="I309" s="16"/>
      <c r="J309" s="16"/>
      <c r="K309" s="16"/>
      <c r="L309" s="16"/>
      <c r="M309" s="16"/>
      <c r="N309" s="16"/>
    </row>
    <row r="310" spans="1:14" ht="16.5" thickBot="1" x14ac:dyDescent="0.3">
      <c r="A310" s="2" t="s">
        <v>629</v>
      </c>
      <c r="B310" s="30" t="s">
        <v>109</v>
      </c>
      <c r="C310" s="22"/>
      <c r="F310" s="16"/>
      <c r="G310" s="16"/>
      <c r="H310" s="16"/>
      <c r="I310" s="16"/>
      <c r="J310" s="16"/>
      <c r="K310" s="16"/>
      <c r="L310" s="16"/>
      <c r="M310" s="16"/>
      <c r="N310" s="16"/>
    </row>
    <row r="311" spans="1:14" x14ac:dyDescent="0.2">
      <c r="A311" s="28" t="s">
        <v>621</v>
      </c>
      <c r="B311" s="31">
        <v>600</v>
      </c>
      <c r="C311" s="22" t="s">
        <v>618</v>
      </c>
      <c r="F311" s="16"/>
      <c r="G311" s="16"/>
      <c r="H311" s="16"/>
      <c r="I311" s="16"/>
      <c r="J311" s="16"/>
      <c r="K311" s="16"/>
      <c r="L311" s="16"/>
      <c r="M311" s="16"/>
      <c r="N311" s="16"/>
    </row>
    <row r="312" spans="1:14" x14ac:dyDescent="0.2">
      <c r="A312" s="28" t="s">
        <v>323</v>
      </c>
      <c r="B312" s="32">
        <v>50</v>
      </c>
      <c r="C312" s="22" t="s">
        <v>1078</v>
      </c>
      <c r="F312" s="16"/>
      <c r="G312" s="16"/>
      <c r="H312" s="16"/>
      <c r="I312" s="16"/>
      <c r="J312" s="16"/>
      <c r="K312" s="16"/>
      <c r="L312" s="16"/>
      <c r="M312" s="16"/>
      <c r="N312" s="16"/>
    </row>
    <row r="313" spans="1:14" x14ac:dyDescent="0.2">
      <c r="A313" s="28" t="s">
        <v>75</v>
      </c>
      <c r="B313" s="32">
        <v>29000000</v>
      </c>
      <c r="C313" s="22" t="s">
        <v>605</v>
      </c>
      <c r="F313" s="16"/>
      <c r="G313" s="16"/>
      <c r="H313" s="16"/>
      <c r="I313" s="16"/>
      <c r="J313" s="16"/>
      <c r="K313" s="16"/>
      <c r="L313" s="16"/>
      <c r="M313" s="16"/>
      <c r="N313" s="16"/>
    </row>
    <row r="314" spans="1:14" ht="15.75" thickBot="1" x14ac:dyDescent="0.25">
      <c r="A314" s="28" t="s">
        <v>614</v>
      </c>
      <c r="B314" s="65">
        <v>2</v>
      </c>
      <c r="C314" s="22" t="s">
        <v>1073</v>
      </c>
      <c r="F314" s="16"/>
      <c r="G314" s="16"/>
      <c r="H314" s="16"/>
      <c r="I314" s="16"/>
      <c r="J314" s="16"/>
      <c r="K314" s="16"/>
      <c r="L314" s="16"/>
      <c r="M314" s="16"/>
      <c r="N314" s="16"/>
    </row>
    <row r="315" spans="1:14" ht="15.75" x14ac:dyDescent="0.25">
      <c r="A315" s="28"/>
      <c r="B315" s="30" t="s">
        <v>876</v>
      </c>
      <c r="C315" s="22"/>
      <c r="F315" s="16"/>
      <c r="G315" s="16"/>
      <c r="H315" s="16"/>
      <c r="I315" s="16"/>
      <c r="J315" s="16"/>
      <c r="K315" s="16"/>
      <c r="L315" s="16"/>
      <c r="M315" s="16"/>
      <c r="N315" s="16"/>
    </row>
    <row r="316" spans="1:14" ht="15.75" x14ac:dyDescent="0.25">
      <c r="A316" s="2" t="s">
        <v>615</v>
      </c>
      <c r="B316" s="5" t="s">
        <v>630</v>
      </c>
      <c r="C316" s="1" t="s">
        <v>1078</v>
      </c>
      <c r="F316" s="16"/>
      <c r="G316" s="16"/>
      <c r="H316" s="16"/>
      <c r="I316" s="16"/>
      <c r="J316" s="16"/>
      <c r="K316" s="16"/>
      <c r="L316" s="16"/>
      <c r="M316" s="16"/>
      <c r="N316" s="16"/>
    </row>
    <row r="317" spans="1:14" ht="15.75" x14ac:dyDescent="0.25">
      <c r="A317" s="2" t="s">
        <v>443</v>
      </c>
      <c r="B317" s="3">
        <f>B311*B312^4/(384*B313*B314)</f>
        <v>0.16837284482758622</v>
      </c>
      <c r="C317" s="1" t="s">
        <v>1078</v>
      </c>
      <c r="F317" s="16"/>
      <c r="G317" s="16"/>
      <c r="H317" s="16"/>
      <c r="I317" s="16"/>
      <c r="J317" s="16"/>
      <c r="K317" s="16"/>
      <c r="L317" s="16"/>
      <c r="M317" s="16"/>
      <c r="N317" s="16"/>
    </row>
    <row r="318" spans="1:14" ht="15.75" x14ac:dyDescent="0.25">
      <c r="A318" s="2" t="s">
        <v>616</v>
      </c>
      <c r="B318" s="5" t="s">
        <v>631</v>
      </c>
      <c r="C318" s="1" t="s">
        <v>618</v>
      </c>
      <c r="F318" s="16"/>
      <c r="G318" s="16"/>
      <c r="H318" s="16"/>
      <c r="I318" s="16"/>
      <c r="J318" s="16"/>
      <c r="K318" s="16"/>
      <c r="L318" s="16"/>
      <c r="M318" s="16"/>
      <c r="N318" s="16"/>
    </row>
    <row r="319" spans="1:14" ht="15.75" x14ac:dyDescent="0.25">
      <c r="A319" s="2" t="s">
        <v>619</v>
      </c>
      <c r="B319" s="5">
        <f>384*B313*B314/(B312^3)</f>
        <v>178176</v>
      </c>
      <c r="C319" s="1" t="s">
        <v>618</v>
      </c>
      <c r="F319" s="16"/>
      <c r="G319" s="16"/>
      <c r="H319" s="16"/>
      <c r="I319" s="16"/>
      <c r="J319" s="16"/>
      <c r="K319" s="16"/>
      <c r="L319" s="16"/>
      <c r="M319" s="16"/>
      <c r="N319" s="16"/>
    </row>
    <row r="320" spans="1:14" ht="15.75" x14ac:dyDescent="0.25">
      <c r="A320" s="2" t="s">
        <v>448</v>
      </c>
      <c r="B320" s="5" t="s">
        <v>449</v>
      </c>
      <c r="C320" s="22"/>
      <c r="F320" s="16"/>
      <c r="G320" s="16"/>
      <c r="H320" s="16"/>
      <c r="I320" s="16"/>
      <c r="J320" s="16"/>
      <c r="K320" s="16"/>
      <c r="L320" s="16"/>
      <c r="M320" s="16"/>
      <c r="N320" s="16"/>
    </row>
    <row r="321" spans="1:14" ht="15.75" x14ac:dyDescent="0.25">
      <c r="A321" s="2" t="s">
        <v>450</v>
      </c>
      <c r="B321" s="36">
        <f>(1/(2*3.1416))*(386.4/B317)</f>
        <v>365.2449197860962</v>
      </c>
      <c r="C321" s="1" t="s">
        <v>456</v>
      </c>
      <c r="F321" s="16"/>
      <c r="G321" s="16"/>
      <c r="H321" s="16"/>
      <c r="I321" s="16"/>
      <c r="J321" s="16"/>
      <c r="K321" s="16"/>
      <c r="L321" s="16"/>
      <c r="M321" s="16"/>
      <c r="N321" s="16"/>
    </row>
    <row r="322" spans="1:14" x14ac:dyDescent="0.2">
      <c r="A322" s="23"/>
      <c r="B322" s="23"/>
      <c r="C322" s="23"/>
      <c r="D322" s="23"/>
      <c r="E322" s="23"/>
      <c r="F322" s="16"/>
      <c r="G322" s="16"/>
      <c r="H322" s="16"/>
      <c r="I322" s="16"/>
      <c r="J322" s="16"/>
      <c r="K322" s="16"/>
      <c r="L322" s="16"/>
      <c r="M322" s="16"/>
      <c r="N322" s="16"/>
    </row>
    <row r="323" spans="1:14" ht="15.75" x14ac:dyDescent="0.25">
      <c r="A323" s="1" t="s">
        <v>632</v>
      </c>
      <c r="B323" s="27"/>
      <c r="C323" s="27"/>
      <c r="F323" s="16"/>
      <c r="G323" s="16"/>
      <c r="H323" s="16"/>
      <c r="I323" s="16"/>
      <c r="J323" s="16"/>
      <c r="K323" s="16"/>
      <c r="L323" s="16"/>
      <c r="M323" s="16"/>
      <c r="N323" s="16"/>
    </row>
    <row r="324" spans="1:14" ht="15.75" x14ac:dyDescent="0.25">
      <c r="A324" s="2" t="s">
        <v>154</v>
      </c>
      <c r="B324" s="1" t="s">
        <v>634</v>
      </c>
      <c r="C324" s="27"/>
      <c r="F324" s="16"/>
      <c r="G324" s="16" t="s">
        <v>1071</v>
      </c>
      <c r="H324" s="16"/>
      <c r="I324" s="16"/>
      <c r="J324" s="16"/>
      <c r="K324" s="16"/>
      <c r="L324" s="16"/>
      <c r="M324" s="16"/>
      <c r="N324" s="16"/>
    </row>
    <row r="325" spans="1:14" ht="15.75" x14ac:dyDescent="0.25">
      <c r="A325" s="28" t="s">
        <v>635</v>
      </c>
      <c r="B325" s="1" t="s">
        <v>636</v>
      </c>
      <c r="C325" s="27"/>
      <c r="F325" s="16"/>
      <c r="G325" s="16"/>
      <c r="H325" s="16"/>
      <c r="I325" s="16"/>
      <c r="J325" s="16"/>
      <c r="K325" s="16"/>
      <c r="L325" s="16"/>
      <c r="M325" s="16"/>
      <c r="N325" s="16"/>
    </row>
    <row r="326" spans="1:14" ht="15.75" x14ac:dyDescent="0.25">
      <c r="A326" s="28" t="s">
        <v>637</v>
      </c>
      <c r="B326" s="1" t="s">
        <v>638</v>
      </c>
      <c r="C326" s="27"/>
      <c r="F326" s="16"/>
      <c r="G326" s="16"/>
      <c r="H326" s="16"/>
      <c r="I326" s="16"/>
      <c r="J326" s="16"/>
      <c r="K326" s="16"/>
      <c r="L326" s="16"/>
      <c r="M326" s="16"/>
      <c r="N326" s="16"/>
    </row>
    <row r="327" spans="1:14" ht="16.5" thickBot="1" x14ac:dyDescent="0.3">
      <c r="A327" s="28"/>
      <c r="B327" s="1" t="s">
        <v>639</v>
      </c>
      <c r="F327" s="16"/>
      <c r="G327" s="16"/>
      <c r="H327" s="16"/>
      <c r="I327" s="16"/>
      <c r="J327" s="16"/>
      <c r="K327" s="16"/>
      <c r="L327" s="16"/>
      <c r="M327" s="16"/>
      <c r="N327" s="16"/>
    </row>
    <row r="328" spans="1:14" ht="16.5" thickBot="1" x14ac:dyDescent="0.3">
      <c r="A328" s="28"/>
      <c r="B328" s="77" t="s">
        <v>640</v>
      </c>
      <c r="C328" s="39" t="s">
        <v>636</v>
      </c>
      <c r="D328" s="206" t="s">
        <v>638</v>
      </c>
      <c r="F328" s="16"/>
      <c r="G328" s="16"/>
      <c r="H328" s="16"/>
      <c r="I328" s="16"/>
      <c r="J328" s="16"/>
      <c r="K328" s="16"/>
      <c r="L328" s="16"/>
      <c r="M328" s="16"/>
      <c r="N328" s="16"/>
    </row>
    <row r="329" spans="1:14" ht="15.75" x14ac:dyDescent="0.25">
      <c r="A329" s="28"/>
      <c r="B329" s="207">
        <v>1</v>
      </c>
      <c r="C329" s="74">
        <v>19.7</v>
      </c>
      <c r="D329" s="207">
        <v>36</v>
      </c>
      <c r="F329" s="16"/>
      <c r="G329" s="16"/>
      <c r="H329" s="16"/>
      <c r="I329" s="16"/>
      <c r="J329" s="16"/>
      <c r="K329" s="16"/>
      <c r="L329" s="16"/>
      <c r="M329" s="16"/>
      <c r="N329" s="16"/>
    </row>
    <row r="330" spans="1:14" ht="15.75" x14ac:dyDescent="0.25">
      <c r="A330" s="28"/>
      <c r="B330" s="42">
        <v>0.8</v>
      </c>
      <c r="C330" s="75">
        <v>16.2</v>
      </c>
      <c r="D330" s="42">
        <v>29.9</v>
      </c>
      <c r="F330" s="16"/>
      <c r="G330" s="16"/>
      <c r="H330" s="16"/>
      <c r="I330" s="16"/>
      <c r="J330" s="16"/>
      <c r="K330" s="16"/>
      <c r="L330" s="16"/>
      <c r="M330" s="16"/>
      <c r="N330" s="16"/>
    </row>
    <row r="331" spans="1:14" ht="15.75" x14ac:dyDescent="0.25">
      <c r="A331" s="28"/>
      <c r="B331" s="42">
        <v>0.6</v>
      </c>
      <c r="C331" s="75">
        <v>13.4</v>
      </c>
      <c r="D331" s="42">
        <v>25.9</v>
      </c>
      <c r="F331" s="16"/>
      <c r="G331" s="16"/>
      <c r="H331" s="16"/>
      <c r="I331" s="16"/>
      <c r="J331" s="16"/>
      <c r="K331" s="16"/>
      <c r="L331" s="16"/>
      <c r="M331" s="16"/>
      <c r="N331" s="16"/>
    </row>
    <row r="332" spans="1:14" ht="15.75" x14ac:dyDescent="0.25">
      <c r="A332" s="28"/>
      <c r="B332" s="42">
        <v>0.4</v>
      </c>
      <c r="C332" s="75">
        <v>11.5</v>
      </c>
      <c r="D332" s="42">
        <v>23.6</v>
      </c>
      <c r="F332" s="16"/>
      <c r="G332" s="16"/>
      <c r="H332" s="16"/>
      <c r="I332" s="16"/>
      <c r="J332" s="16"/>
      <c r="K332" s="16"/>
      <c r="L332" s="16"/>
      <c r="M332" s="16"/>
      <c r="N332" s="16"/>
    </row>
    <row r="333" spans="1:14" ht="15.75" x14ac:dyDescent="0.25">
      <c r="A333" s="28"/>
      <c r="B333" s="42">
        <v>0.2</v>
      </c>
      <c r="C333" s="75">
        <v>10.3</v>
      </c>
      <c r="D333" s="42">
        <v>22.6</v>
      </c>
      <c r="F333" s="16"/>
      <c r="G333" s="16"/>
      <c r="H333" s="16"/>
      <c r="I333" s="16"/>
      <c r="J333" s="16"/>
      <c r="K333" s="16"/>
      <c r="L333" s="16"/>
      <c r="M333" s="16"/>
      <c r="N333" s="16"/>
    </row>
    <row r="334" spans="1:14" ht="16.5" thickBot="1" x14ac:dyDescent="0.3">
      <c r="A334" s="28"/>
      <c r="B334" s="45">
        <v>0</v>
      </c>
      <c r="C334" s="71">
        <v>9.8699999999999992</v>
      </c>
      <c r="D334" s="45">
        <v>22.4</v>
      </c>
      <c r="F334" s="16"/>
      <c r="G334" s="16"/>
      <c r="H334" s="16"/>
      <c r="I334" s="16"/>
      <c r="J334" s="16"/>
      <c r="K334" s="16"/>
      <c r="L334" s="16"/>
      <c r="M334" s="16"/>
      <c r="N334" s="16"/>
    </row>
    <row r="335" spans="1:14" ht="15.75" x14ac:dyDescent="0.25">
      <c r="A335" s="1" t="s">
        <v>1119</v>
      </c>
      <c r="B335" s="5"/>
      <c r="C335" s="27"/>
      <c r="F335" s="16"/>
      <c r="G335" s="16"/>
      <c r="H335" s="16"/>
      <c r="I335" s="16"/>
      <c r="J335" s="16"/>
      <c r="K335" s="16"/>
      <c r="L335" s="16"/>
      <c r="M335" s="16"/>
      <c r="N335" s="16"/>
    </row>
    <row r="336" spans="1:14" ht="16.5" thickBot="1" x14ac:dyDescent="0.3">
      <c r="B336" s="30" t="s">
        <v>109</v>
      </c>
      <c r="C336" s="27"/>
      <c r="F336" s="16"/>
      <c r="G336" s="16"/>
      <c r="H336" s="16"/>
      <c r="I336" s="16"/>
      <c r="J336" s="16"/>
      <c r="K336" s="16"/>
      <c r="L336" s="16"/>
      <c r="M336" s="16"/>
      <c r="N336" s="16"/>
    </row>
    <row r="337" spans="1:14" x14ac:dyDescent="0.2">
      <c r="A337" s="28" t="s">
        <v>1099</v>
      </c>
      <c r="B337" s="208">
        <v>29000000</v>
      </c>
      <c r="C337" s="22" t="s">
        <v>1154</v>
      </c>
      <c r="F337" s="16"/>
      <c r="G337" s="16"/>
      <c r="H337" s="16"/>
      <c r="I337" s="16"/>
      <c r="J337" s="16"/>
      <c r="K337" s="16"/>
      <c r="L337" s="16"/>
      <c r="M337" s="16"/>
      <c r="N337" s="16"/>
    </row>
    <row r="338" spans="1:14" ht="15.75" x14ac:dyDescent="0.25">
      <c r="A338" s="28" t="s">
        <v>641</v>
      </c>
      <c r="B338" s="32">
        <v>0.5</v>
      </c>
      <c r="C338" s="22" t="s">
        <v>1078</v>
      </c>
      <c r="E338" s="5" t="s">
        <v>1071</v>
      </c>
      <c r="F338" s="16"/>
      <c r="G338" s="16"/>
      <c r="H338" s="16"/>
      <c r="I338" s="16"/>
      <c r="J338" s="16"/>
      <c r="K338" s="16"/>
      <c r="L338" s="16"/>
      <c r="M338" s="16"/>
      <c r="N338" s="16"/>
    </row>
    <row r="339" spans="1:14" x14ac:dyDescent="0.2">
      <c r="A339" s="28" t="s">
        <v>642</v>
      </c>
      <c r="B339" s="32">
        <v>0.3</v>
      </c>
      <c r="C339" s="22"/>
      <c r="F339" s="16"/>
      <c r="G339" s="16"/>
      <c r="H339" s="16"/>
      <c r="I339" s="16"/>
      <c r="J339" s="16"/>
      <c r="K339" s="16"/>
      <c r="L339" s="16"/>
      <c r="M339" s="16"/>
      <c r="N339" s="16"/>
    </row>
    <row r="340" spans="1:14" x14ac:dyDescent="0.2">
      <c r="A340" s="28" t="s">
        <v>643</v>
      </c>
      <c r="B340" s="32">
        <v>36</v>
      </c>
      <c r="C340" s="22" t="s">
        <v>1078</v>
      </c>
      <c r="F340" s="16"/>
      <c r="G340" s="16"/>
      <c r="H340" s="16"/>
      <c r="I340" s="16"/>
      <c r="J340" s="16"/>
      <c r="K340" s="16"/>
      <c r="L340" s="16"/>
      <c r="M340" s="16"/>
      <c r="N340" s="16"/>
    </row>
    <row r="341" spans="1:14" x14ac:dyDescent="0.2">
      <c r="A341" s="28" t="s">
        <v>644</v>
      </c>
      <c r="B341" s="33">
        <v>45.009407999999993</v>
      </c>
      <c r="C341" s="22" t="s">
        <v>1078</v>
      </c>
      <c r="F341" s="16"/>
      <c r="G341" s="16"/>
      <c r="H341" s="16"/>
      <c r="I341" s="16"/>
      <c r="J341" s="16"/>
      <c r="K341" s="16"/>
      <c r="L341" s="16"/>
      <c r="M341" s="16"/>
      <c r="N341" s="16"/>
    </row>
    <row r="342" spans="1:14" x14ac:dyDescent="0.2">
      <c r="A342" s="28" t="s">
        <v>645</v>
      </c>
      <c r="B342" s="32">
        <v>16.2</v>
      </c>
      <c r="C342" s="22"/>
      <c r="F342" s="16"/>
      <c r="G342" s="16"/>
      <c r="H342" s="16"/>
      <c r="I342" s="16"/>
      <c r="J342" s="16"/>
      <c r="K342" s="16"/>
      <c r="L342" s="16"/>
      <c r="M342" s="16"/>
      <c r="N342" s="16"/>
    </row>
    <row r="343" spans="1:14" ht="15.75" thickBot="1" x14ac:dyDescent="0.25">
      <c r="A343" s="28" t="s">
        <v>646</v>
      </c>
      <c r="B343" s="54">
        <v>50</v>
      </c>
      <c r="C343" s="22" t="s">
        <v>1092</v>
      </c>
      <c r="F343" s="16"/>
      <c r="G343" s="16"/>
      <c r="H343" s="16"/>
      <c r="I343" s="16"/>
      <c r="J343" s="16"/>
      <c r="K343" s="16"/>
      <c r="L343" s="16"/>
      <c r="M343" s="16"/>
      <c r="N343" s="16"/>
    </row>
    <row r="344" spans="1:14" x14ac:dyDescent="0.2">
      <c r="C344" s="22"/>
      <c r="F344" s="16"/>
      <c r="G344" s="16"/>
      <c r="H344" s="16"/>
      <c r="I344" s="16"/>
      <c r="J344" s="16"/>
      <c r="K344" s="16"/>
      <c r="L344" s="16"/>
      <c r="M344" s="16"/>
      <c r="N344" s="16"/>
    </row>
    <row r="345" spans="1:14" ht="15.75" x14ac:dyDescent="0.25">
      <c r="A345" s="28"/>
      <c r="B345" s="30" t="s">
        <v>876</v>
      </c>
      <c r="C345" s="22"/>
      <c r="F345" s="16"/>
      <c r="G345" s="16"/>
      <c r="H345" s="16"/>
      <c r="I345" s="16"/>
      <c r="J345" s="16"/>
      <c r="K345" s="16"/>
      <c r="L345" s="16"/>
      <c r="M345" s="16"/>
      <c r="N345" s="16"/>
    </row>
    <row r="346" spans="1:14" ht="15.75" x14ac:dyDescent="0.25">
      <c r="A346" s="2" t="s">
        <v>647</v>
      </c>
      <c r="B346" s="37">
        <f>B340/B341</f>
        <v>0.79983278162645477</v>
      </c>
      <c r="C346" s="1"/>
      <c r="F346" s="16"/>
      <c r="G346" s="16"/>
      <c r="H346" s="16"/>
      <c r="I346" s="16"/>
      <c r="J346" s="16"/>
      <c r="K346" s="16"/>
      <c r="L346" s="16"/>
      <c r="M346" s="16"/>
      <c r="N346" s="16"/>
    </row>
    <row r="347" spans="1:14" ht="15.75" x14ac:dyDescent="0.25">
      <c r="A347" s="2" t="s">
        <v>264</v>
      </c>
      <c r="B347" s="5" t="s">
        <v>648</v>
      </c>
      <c r="C347" s="1"/>
      <c r="F347" s="16"/>
      <c r="G347" s="16"/>
      <c r="H347" s="16"/>
      <c r="I347" s="16"/>
      <c r="J347" s="16"/>
      <c r="K347" s="16"/>
      <c r="L347" s="16"/>
      <c r="M347" s="16"/>
      <c r="N347" s="16"/>
    </row>
    <row r="348" spans="1:14" ht="15.75" x14ac:dyDescent="0.25">
      <c r="A348" s="2" t="s">
        <v>649</v>
      </c>
      <c r="B348" s="36">
        <f>B337*B338^3/(12*(1-B339^2))</f>
        <v>331959.70695970696</v>
      </c>
      <c r="C348" s="1"/>
      <c r="F348" s="16"/>
      <c r="G348" s="16"/>
      <c r="H348" s="16"/>
      <c r="I348" s="16"/>
      <c r="J348" s="16"/>
      <c r="K348" s="16"/>
      <c r="L348" s="16"/>
      <c r="M348" s="16"/>
      <c r="N348" s="16"/>
    </row>
    <row r="349" spans="1:14" ht="15.75" x14ac:dyDescent="0.25">
      <c r="A349" s="2" t="s">
        <v>440</v>
      </c>
      <c r="B349" s="5">
        <v>3.1419999999999999</v>
      </c>
      <c r="C349" s="1"/>
      <c r="F349" s="16"/>
      <c r="G349" s="16"/>
      <c r="H349" s="16"/>
      <c r="I349" s="16"/>
      <c r="J349" s="16"/>
      <c r="K349" s="16"/>
      <c r="L349" s="16"/>
      <c r="M349" s="16"/>
      <c r="N349" s="16"/>
    </row>
    <row r="350" spans="1:14" ht="15.75" x14ac:dyDescent="0.25">
      <c r="A350" s="2" t="s">
        <v>650</v>
      </c>
      <c r="B350" s="5">
        <v>386.4</v>
      </c>
      <c r="C350" s="1" t="s">
        <v>463</v>
      </c>
      <c r="F350" s="16"/>
      <c r="G350" s="16"/>
      <c r="H350" s="16"/>
      <c r="I350" s="16"/>
      <c r="J350" s="16"/>
      <c r="K350" s="16"/>
      <c r="L350" s="16"/>
      <c r="M350" s="16"/>
      <c r="N350" s="16"/>
    </row>
    <row r="351" spans="1:14" ht="15.75" x14ac:dyDescent="0.25">
      <c r="A351" s="2" t="s">
        <v>633</v>
      </c>
      <c r="B351" s="5" t="s">
        <v>634</v>
      </c>
      <c r="C351" s="1"/>
      <c r="F351" s="16"/>
      <c r="G351" s="16"/>
      <c r="H351" s="16"/>
      <c r="I351" s="16"/>
      <c r="J351" s="16"/>
      <c r="K351" s="16"/>
      <c r="L351" s="16"/>
      <c r="M351" s="16"/>
      <c r="N351" s="16"/>
    </row>
    <row r="352" spans="1:14" ht="15.75" x14ac:dyDescent="0.25">
      <c r="A352" s="2" t="s">
        <v>504</v>
      </c>
      <c r="B352" s="3">
        <f>(B342/(2*B349))*((B348*B350)/(B343*B340^4))</f>
        <v>3.9375068383926863</v>
      </c>
      <c r="C352" s="1" t="s">
        <v>456</v>
      </c>
      <c r="F352" s="16"/>
      <c r="G352" s="16"/>
      <c r="H352" s="16"/>
      <c r="I352" s="16"/>
      <c r="J352" s="16"/>
      <c r="K352" s="16"/>
      <c r="L352" s="16"/>
      <c r="M352" s="16"/>
      <c r="N352" s="16"/>
    </row>
    <row r="353" spans="1:14" x14ac:dyDescent="0.2">
      <c r="C353" s="22"/>
      <c r="F353" s="16"/>
      <c r="G353" s="16"/>
      <c r="H353" s="16"/>
      <c r="I353" s="16"/>
      <c r="J353" s="16"/>
      <c r="K353" s="16"/>
      <c r="L353" s="16"/>
      <c r="M353" s="16"/>
      <c r="N353" s="16"/>
    </row>
    <row r="354" spans="1:14" x14ac:dyDescent="0.2">
      <c r="C354" s="22"/>
      <c r="F354" s="16"/>
      <c r="G354" s="16"/>
      <c r="H354" s="16"/>
      <c r="I354" s="16"/>
      <c r="J354" s="16"/>
      <c r="K354" s="16"/>
      <c r="L354" s="16"/>
      <c r="M354" s="16"/>
      <c r="N354" s="16"/>
    </row>
    <row r="355" spans="1:14" x14ac:dyDescent="0.2">
      <c r="A355" s="124"/>
      <c r="B355" s="125"/>
      <c r="C355" s="126"/>
      <c r="D355" s="23"/>
      <c r="E355" s="23"/>
      <c r="F355" s="16"/>
      <c r="G355" s="16"/>
      <c r="H355" s="16"/>
      <c r="I355" s="16"/>
      <c r="J355" s="16"/>
      <c r="K355" s="16"/>
      <c r="L355" s="16"/>
      <c r="M355" s="16"/>
      <c r="N355" s="16"/>
    </row>
    <row r="356" spans="1:14" x14ac:dyDescent="0.2">
      <c r="A356" s="28"/>
      <c r="B356" s="27"/>
      <c r="C356" s="22"/>
      <c r="F356" s="16"/>
      <c r="G356" s="16"/>
      <c r="H356" s="16"/>
      <c r="I356" s="16"/>
      <c r="J356" s="16"/>
      <c r="K356" s="16"/>
      <c r="L356" s="16"/>
      <c r="M356" s="16"/>
      <c r="N356" s="16"/>
    </row>
    <row r="357" spans="1:14" ht="16.5" thickBot="1" x14ac:dyDescent="0.3">
      <c r="A357" s="1" t="s">
        <v>651</v>
      </c>
      <c r="B357" s="30" t="s">
        <v>109</v>
      </c>
      <c r="C357" s="22"/>
      <c r="F357" s="16"/>
      <c r="G357" s="16"/>
      <c r="H357" s="16"/>
      <c r="I357" s="16"/>
      <c r="J357" s="16"/>
      <c r="K357" s="16"/>
      <c r="L357" s="16"/>
      <c r="M357" s="16"/>
      <c r="N357" s="16"/>
    </row>
    <row r="358" spans="1:14" x14ac:dyDescent="0.2">
      <c r="A358" s="28" t="s">
        <v>646</v>
      </c>
      <c r="B358" s="31">
        <v>50</v>
      </c>
      <c r="C358" s="22" t="s">
        <v>1092</v>
      </c>
      <c r="F358" s="16"/>
      <c r="G358" s="16"/>
      <c r="H358" s="16"/>
      <c r="I358" s="16"/>
      <c r="J358" s="16"/>
      <c r="K358" s="16"/>
      <c r="L358" s="16"/>
      <c r="M358" s="16"/>
      <c r="N358" s="16"/>
    </row>
    <row r="359" spans="1:14" x14ac:dyDescent="0.2">
      <c r="A359" s="28" t="s">
        <v>1099</v>
      </c>
      <c r="B359" s="56">
        <v>29000000</v>
      </c>
      <c r="C359" s="22" t="s">
        <v>1092</v>
      </c>
      <c r="F359" s="16"/>
      <c r="G359" s="16"/>
      <c r="H359" s="16"/>
      <c r="I359" s="16"/>
      <c r="J359" s="16"/>
      <c r="K359" s="16"/>
      <c r="L359" s="16"/>
      <c r="M359" s="16"/>
      <c r="N359" s="16"/>
    </row>
    <row r="360" spans="1:14" x14ac:dyDescent="0.2">
      <c r="A360" s="28" t="s">
        <v>641</v>
      </c>
      <c r="B360" s="32">
        <v>0.5</v>
      </c>
      <c r="C360" s="22"/>
      <c r="F360" s="16"/>
      <c r="G360" s="16"/>
      <c r="H360" s="16"/>
      <c r="I360" s="16"/>
      <c r="J360" s="16"/>
      <c r="K360" s="16"/>
      <c r="L360" s="16"/>
      <c r="M360" s="16"/>
      <c r="N360" s="16"/>
    </row>
    <row r="361" spans="1:14" x14ac:dyDescent="0.2">
      <c r="A361" s="28" t="s">
        <v>642</v>
      </c>
      <c r="B361" s="32">
        <v>0.3</v>
      </c>
      <c r="C361" s="22"/>
      <c r="F361" s="16"/>
      <c r="G361" s="16"/>
      <c r="H361" s="16"/>
      <c r="I361" s="16"/>
      <c r="J361" s="16"/>
      <c r="K361" s="16"/>
      <c r="L361" s="16"/>
      <c r="M361" s="16"/>
      <c r="N361" s="16"/>
    </row>
    <row r="362" spans="1:14" x14ac:dyDescent="0.2">
      <c r="A362" s="28" t="s">
        <v>652</v>
      </c>
      <c r="B362" s="32">
        <v>36</v>
      </c>
      <c r="C362" s="22" t="s">
        <v>1078</v>
      </c>
      <c r="F362" s="16"/>
      <c r="G362" s="16"/>
      <c r="H362" s="16"/>
      <c r="I362" s="16"/>
      <c r="J362" s="16"/>
      <c r="K362" s="16"/>
      <c r="L362" s="16"/>
      <c r="M362" s="16"/>
      <c r="N362" s="16"/>
    </row>
    <row r="363" spans="1:14" x14ac:dyDescent="0.2">
      <c r="A363" s="28" t="s">
        <v>653</v>
      </c>
      <c r="B363" s="32">
        <v>4.99</v>
      </c>
      <c r="C363" s="22"/>
      <c r="F363" s="16"/>
      <c r="G363" s="16"/>
      <c r="H363" s="16"/>
      <c r="I363" s="16"/>
      <c r="J363" s="16"/>
      <c r="K363" s="16"/>
      <c r="L363" s="16"/>
      <c r="M363" s="16"/>
      <c r="N363" s="16"/>
    </row>
    <row r="364" spans="1:14" ht="15.75" thickBot="1" x14ac:dyDescent="0.25">
      <c r="A364" s="28" t="s">
        <v>654</v>
      </c>
      <c r="B364" s="54">
        <v>10.199999999999999</v>
      </c>
      <c r="C364" s="22"/>
      <c r="F364" s="16"/>
      <c r="G364" s="16"/>
      <c r="H364" s="16"/>
      <c r="I364" s="16"/>
      <c r="J364" s="16"/>
      <c r="K364" s="16"/>
      <c r="L364" s="16"/>
      <c r="M364" s="16"/>
      <c r="N364" s="16"/>
    </row>
    <row r="365" spans="1:14" ht="15.75" x14ac:dyDescent="0.25">
      <c r="A365" s="28"/>
      <c r="B365" s="30" t="s">
        <v>876</v>
      </c>
      <c r="C365" s="22"/>
      <c r="F365" s="16"/>
      <c r="G365" s="16"/>
      <c r="H365" s="16"/>
      <c r="I365" s="16"/>
      <c r="J365" s="16"/>
      <c r="K365" s="16"/>
      <c r="L365" s="16"/>
      <c r="M365" s="16"/>
      <c r="N365" s="16"/>
    </row>
    <row r="366" spans="1:14" ht="15.75" x14ac:dyDescent="0.25">
      <c r="A366" s="2" t="s">
        <v>440</v>
      </c>
      <c r="B366" s="5">
        <v>3.1419999999999999</v>
      </c>
      <c r="C366" s="1"/>
      <c r="F366" s="16"/>
      <c r="G366" s="16"/>
      <c r="H366" s="16"/>
      <c r="I366" s="16"/>
      <c r="J366" s="16"/>
      <c r="K366" s="16"/>
      <c r="L366" s="16"/>
      <c r="M366" s="16"/>
      <c r="N366" s="16"/>
    </row>
    <row r="367" spans="1:14" ht="15.75" x14ac:dyDescent="0.25">
      <c r="A367" s="2" t="s">
        <v>655</v>
      </c>
      <c r="B367" s="5">
        <v>386.4</v>
      </c>
      <c r="C367" s="1" t="s">
        <v>463</v>
      </c>
      <c r="F367" s="16"/>
      <c r="G367" s="16"/>
      <c r="H367" s="16"/>
      <c r="I367" s="16"/>
      <c r="J367" s="16"/>
      <c r="K367" s="16"/>
      <c r="L367" s="16"/>
      <c r="M367" s="16"/>
      <c r="N367" s="16"/>
    </row>
    <row r="368" spans="1:14" ht="15.75" x14ac:dyDescent="0.25">
      <c r="A368" s="2" t="s">
        <v>264</v>
      </c>
      <c r="B368" s="5" t="s">
        <v>648</v>
      </c>
      <c r="C368" s="1"/>
      <c r="F368" s="16"/>
      <c r="G368" s="16"/>
      <c r="H368" s="16"/>
      <c r="I368" s="16"/>
      <c r="J368" s="16"/>
      <c r="K368" s="16"/>
      <c r="L368" s="16"/>
      <c r="M368" s="16"/>
      <c r="N368" s="16"/>
    </row>
    <row r="369" spans="1:14" ht="15.75" x14ac:dyDescent="0.25">
      <c r="A369" s="2" t="s">
        <v>649</v>
      </c>
      <c r="B369" s="36">
        <f>B359*B360^3/(12*(1-B361^2))</f>
        <v>331959.70695970696</v>
      </c>
      <c r="C369" s="1"/>
      <c r="F369" s="16"/>
      <c r="G369" s="16"/>
      <c r="H369" s="16"/>
      <c r="I369" s="16"/>
      <c r="J369" s="16"/>
      <c r="K369" s="16"/>
      <c r="L369" s="16"/>
      <c r="M369" s="16"/>
      <c r="N369" s="16"/>
    </row>
    <row r="370" spans="1:14" x14ac:dyDescent="0.2">
      <c r="A370" s="28"/>
      <c r="B370" s="27"/>
      <c r="C370" s="22"/>
      <c r="F370" s="16"/>
      <c r="G370" s="16"/>
      <c r="H370" s="16"/>
      <c r="I370" s="16"/>
      <c r="J370" s="16"/>
      <c r="K370" s="16"/>
      <c r="L370" s="16"/>
      <c r="M370" s="16"/>
      <c r="N370" s="16"/>
    </row>
    <row r="371" spans="1:14" ht="15.75" x14ac:dyDescent="0.25">
      <c r="A371" s="2" t="s">
        <v>751</v>
      </c>
      <c r="B371" s="5" t="s">
        <v>752</v>
      </c>
      <c r="C371" s="22"/>
      <c r="F371" s="16"/>
      <c r="G371" s="16"/>
      <c r="H371" s="16"/>
      <c r="I371" s="16"/>
      <c r="J371" s="16"/>
      <c r="K371" s="16"/>
      <c r="L371" s="16"/>
      <c r="M371" s="16"/>
      <c r="N371" s="16"/>
    </row>
    <row r="372" spans="1:14" ht="15.75" x14ac:dyDescent="0.25">
      <c r="A372" s="2" t="s">
        <v>504</v>
      </c>
      <c r="B372" s="6">
        <f>(B363/(2*B366))*(B369*B367)/(B358*B362^4)</f>
        <v>1.2128493286160187</v>
      </c>
      <c r="C372" s="1" t="s">
        <v>456</v>
      </c>
      <c r="F372" s="16"/>
      <c r="G372" s="16"/>
      <c r="H372" s="16"/>
      <c r="I372" s="16"/>
      <c r="J372" s="16"/>
      <c r="K372" s="16"/>
      <c r="L372" s="16"/>
      <c r="M372" s="16"/>
      <c r="N372" s="16"/>
    </row>
    <row r="373" spans="1:14" x14ac:dyDescent="0.2">
      <c r="A373" s="28"/>
      <c r="B373" s="27"/>
      <c r="C373" s="22"/>
      <c r="F373" s="16"/>
      <c r="G373" s="16"/>
      <c r="H373" s="16"/>
      <c r="I373" s="16"/>
      <c r="J373" s="16"/>
      <c r="K373" s="16"/>
      <c r="L373" s="16"/>
      <c r="M373" s="16"/>
      <c r="N373" s="16"/>
    </row>
    <row r="374" spans="1:14" ht="15.75" x14ac:dyDescent="0.25">
      <c r="A374" s="2" t="s">
        <v>753</v>
      </c>
      <c r="B374" s="5" t="s">
        <v>752</v>
      </c>
      <c r="C374" s="22"/>
      <c r="F374" s="16"/>
      <c r="G374" s="16"/>
      <c r="H374" s="16"/>
      <c r="I374" s="16"/>
      <c r="J374" s="16"/>
      <c r="K374" s="16"/>
      <c r="L374" s="16"/>
      <c r="M374" s="16"/>
      <c r="N374" s="16"/>
    </row>
    <row r="375" spans="1:14" ht="15.75" x14ac:dyDescent="0.25">
      <c r="A375" s="2" t="s">
        <v>504</v>
      </c>
      <c r="B375" s="6">
        <f>(B364/(2*B366))*(B369*B367)/(B358*B362^4)</f>
        <v>2.4791709723213207</v>
      </c>
      <c r="C375" s="1" t="s">
        <v>456</v>
      </c>
      <c r="F375" s="16"/>
      <c r="G375" s="16"/>
      <c r="H375" s="16"/>
      <c r="I375" s="16"/>
      <c r="J375" s="16"/>
      <c r="K375" s="16"/>
      <c r="L375" s="16"/>
      <c r="M375" s="16"/>
      <c r="N375" s="16"/>
    </row>
    <row r="376" spans="1:14" x14ac:dyDescent="0.2">
      <c r="C376" s="22"/>
      <c r="G376" s="16"/>
      <c r="H376" s="16"/>
      <c r="I376" s="16"/>
      <c r="J376" s="16"/>
      <c r="K376" s="16"/>
      <c r="L376" s="16"/>
      <c r="M376" s="16"/>
      <c r="N376" s="16"/>
    </row>
    <row r="377" spans="1:14" x14ac:dyDescent="0.2">
      <c r="A377" s="23"/>
      <c r="B377" s="23"/>
      <c r="C377" s="23"/>
      <c r="D377" s="23"/>
      <c r="E377" s="23"/>
      <c r="F377" s="16"/>
      <c r="G377" s="16"/>
      <c r="H377" s="16"/>
      <c r="I377" s="16"/>
      <c r="J377" s="16"/>
      <c r="K377" s="16"/>
      <c r="L377" s="16"/>
      <c r="M377" s="16"/>
      <c r="N377" s="16"/>
    </row>
    <row r="378" spans="1:14" x14ac:dyDescent="0.2">
      <c r="A378" s="28"/>
      <c r="B378" s="27"/>
      <c r="C378" s="27"/>
      <c r="F378" s="16"/>
      <c r="G378" s="16"/>
      <c r="H378" s="16"/>
      <c r="I378" s="16"/>
      <c r="J378" s="16"/>
      <c r="K378" s="16"/>
      <c r="L378" s="16"/>
      <c r="M378" s="16"/>
      <c r="N378" s="16"/>
    </row>
    <row r="379" spans="1:14" ht="15.75" x14ac:dyDescent="0.25">
      <c r="A379" s="1" t="s">
        <v>754</v>
      </c>
      <c r="B379" s="27"/>
      <c r="C379" s="27"/>
      <c r="F379" s="16"/>
      <c r="G379" s="16"/>
      <c r="H379" s="16"/>
      <c r="I379" s="16"/>
      <c r="J379" s="16"/>
      <c r="K379" s="16"/>
      <c r="L379" s="16"/>
      <c r="M379" s="16"/>
      <c r="N379" s="16"/>
    </row>
    <row r="380" spans="1:14" x14ac:dyDescent="0.2">
      <c r="A380" s="28"/>
      <c r="B380" s="27"/>
      <c r="C380" s="27"/>
      <c r="F380" s="16"/>
      <c r="G380" s="16"/>
      <c r="H380" s="16"/>
      <c r="I380" s="16"/>
      <c r="J380" s="16"/>
      <c r="K380" s="16"/>
      <c r="L380" s="16"/>
      <c r="M380" s="16"/>
      <c r="N380" s="16"/>
    </row>
    <row r="381" spans="1:14" ht="15.75" x14ac:dyDescent="0.25">
      <c r="A381" s="4" t="s">
        <v>1124</v>
      </c>
      <c r="B381" s="27"/>
      <c r="C381" s="27"/>
      <c r="F381" s="16"/>
      <c r="G381" s="16"/>
      <c r="H381" s="16"/>
      <c r="I381" s="16"/>
      <c r="J381" s="16"/>
      <c r="K381" s="16"/>
      <c r="L381" s="16"/>
      <c r="M381" s="16"/>
      <c r="N381" s="16"/>
    </row>
    <row r="382" spans="1:14" x14ac:dyDescent="0.2">
      <c r="A382" s="22" t="s">
        <v>755</v>
      </c>
      <c r="B382" s="27"/>
      <c r="C382" s="27"/>
      <c r="F382" s="16"/>
      <c r="G382" s="16"/>
      <c r="H382" s="16"/>
      <c r="I382" s="16"/>
      <c r="J382" s="16"/>
      <c r="K382" s="16"/>
      <c r="L382" s="16"/>
      <c r="M382" s="16"/>
      <c r="N382" s="16"/>
    </row>
    <row r="383" spans="1:14" x14ac:dyDescent="0.2">
      <c r="A383" s="22" t="s">
        <v>756</v>
      </c>
      <c r="B383" s="27"/>
      <c r="C383" s="27"/>
      <c r="F383" s="16"/>
      <c r="G383" s="16"/>
      <c r="H383" s="16"/>
      <c r="I383" s="16"/>
      <c r="J383" s="16"/>
      <c r="K383" s="16"/>
      <c r="L383" s="16"/>
      <c r="M383" s="16"/>
      <c r="N383" s="16"/>
    </row>
    <row r="384" spans="1:14" x14ac:dyDescent="0.2">
      <c r="A384" s="22" t="s">
        <v>757</v>
      </c>
      <c r="B384" s="27"/>
      <c r="C384" s="27"/>
      <c r="F384" s="16"/>
      <c r="G384" s="16"/>
      <c r="H384" s="16"/>
      <c r="I384" s="16"/>
      <c r="J384" s="16"/>
      <c r="K384" s="16"/>
      <c r="L384" s="16"/>
      <c r="M384" s="16"/>
      <c r="N384" s="16"/>
    </row>
    <row r="385" spans="1:14" x14ac:dyDescent="0.2">
      <c r="A385" s="22" t="s">
        <v>758</v>
      </c>
      <c r="B385" s="27"/>
      <c r="C385" s="27"/>
      <c r="F385" s="16"/>
      <c r="G385" s="16"/>
      <c r="H385" s="16"/>
      <c r="I385" s="16"/>
      <c r="J385" s="16"/>
      <c r="K385" s="16"/>
      <c r="L385" s="16"/>
      <c r="M385" s="16"/>
      <c r="N385" s="16"/>
    </row>
    <row r="386" spans="1:14" x14ac:dyDescent="0.2">
      <c r="B386" s="27"/>
      <c r="C386" s="27"/>
      <c r="F386" s="16"/>
      <c r="G386" s="16"/>
      <c r="H386" s="16"/>
      <c r="I386" s="16"/>
      <c r="J386" s="16"/>
      <c r="K386" s="16"/>
      <c r="L386" s="16"/>
      <c r="M386" s="16"/>
      <c r="N386" s="16"/>
    </row>
    <row r="387" spans="1:14" ht="15.75" x14ac:dyDescent="0.25">
      <c r="A387" s="2" t="s">
        <v>1122</v>
      </c>
      <c r="B387" s="27"/>
      <c r="C387" s="27"/>
      <c r="F387" s="16"/>
      <c r="G387" s="16"/>
      <c r="H387" s="16"/>
      <c r="I387" s="16"/>
      <c r="J387" s="16"/>
      <c r="K387" s="16"/>
      <c r="L387" s="16"/>
      <c r="M387" s="16"/>
      <c r="N387" s="16"/>
    </row>
    <row r="388" spans="1:14" ht="15.75" x14ac:dyDescent="0.25">
      <c r="A388" s="2"/>
      <c r="B388" s="27"/>
      <c r="C388" s="27"/>
      <c r="F388" s="16"/>
      <c r="G388" s="16"/>
      <c r="H388" s="16"/>
      <c r="I388" s="16"/>
      <c r="J388" s="16"/>
      <c r="K388" s="16"/>
      <c r="L388" s="16"/>
      <c r="M388" s="16"/>
      <c r="N388" s="16"/>
    </row>
    <row r="389" spans="1:14" ht="15.75" x14ac:dyDescent="0.25">
      <c r="A389" s="2" t="s">
        <v>1123</v>
      </c>
      <c r="B389" s="27"/>
      <c r="C389" s="27"/>
      <c r="F389" s="16"/>
      <c r="G389" s="16"/>
      <c r="H389" s="16"/>
      <c r="I389" s="16"/>
      <c r="J389" s="16"/>
      <c r="K389" s="16"/>
      <c r="L389" s="16"/>
      <c r="M389" s="16"/>
      <c r="N389" s="16"/>
    </row>
    <row r="390" spans="1:14" x14ac:dyDescent="0.2">
      <c r="A390" s="28"/>
      <c r="B390" s="27"/>
      <c r="C390" s="27"/>
      <c r="F390" s="16"/>
      <c r="G390" s="16"/>
      <c r="H390" s="16"/>
      <c r="I390" s="16"/>
      <c r="J390" s="16"/>
      <c r="K390" s="16"/>
      <c r="L390" s="16"/>
      <c r="M390" s="16"/>
      <c r="N390" s="16"/>
    </row>
    <row r="391" spans="1:14" ht="15.75" x14ac:dyDescent="0.25">
      <c r="A391" s="4" t="s">
        <v>1125</v>
      </c>
      <c r="F391" s="16"/>
      <c r="G391" s="16"/>
      <c r="H391" s="16"/>
      <c r="I391" s="16"/>
      <c r="J391" s="16"/>
      <c r="K391" s="16"/>
      <c r="L391" s="16"/>
      <c r="M391" s="16"/>
      <c r="N391" s="16"/>
    </row>
    <row r="392" spans="1:14" x14ac:dyDescent="0.2">
      <c r="A392" s="22" t="s">
        <v>760</v>
      </c>
      <c r="F392" s="16"/>
      <c r="G392" s="16"/>
      <c r="H392" s="16"/>
      <c r="I392" s="16"/>
      <c r="J392" s="16"/>
      <c r="K392" s="16"/>
      <c r="L392" s="16"/>
      <c r="M392" s="16"/>
      <c r="N392" s="16"/>
    </row>
    <row r="393" spans="1:14" x14ac:dyDescent="0.2">
      <c r="A393" s="22" t="s">
        <v>761</v>
      </c>
      <c r="F393" s="16"/>
      <c r="G393" s="16"/>
      <c r="H393" s="16"/>
      <c r="I393" s="16"/>
      <c r="J393" s="16"/>
      <c r="K393" s="16"/>
      <c r="L393" s="16"/>
      <c r="M393" s="16"/>
      <c r="N393" s="16"/>
    </row>
    <row r="394" spans="1:14" x14ac:dyDescent="0.2">
      <c r="A394" s="22"/>
      <c r="B394" s="27"/>
      <c r="C394" s="27"/>
      <c r="F394" s="16"/>
      <c r="G394" s="16"/>
      <c r="H394" s="16"/>
      <c r="I394" s="16"/>
      <c r="J394" s="16"/>
      <c r="K394" s="16"/>
      <c r="L394" s="16"/>
      <c r="M394" s="16"/>
      <c r="N394" s="16"/>
    </row>
    <row r="395" spans="1:14" x14ac:dyDescent="0.2">
      <c r="A395" s="22" t="s">
        <v>762</v>
      </c>
      <c r="B395" s="27"/>
      <c r="C395" s="27"/>
      <c r="F395" s="16"/>
      <c r="G395" s="16"/>
      <c r="H395" s="16"/>
      <c r="I395" s="16"/>
      <c r="J395" s="16"/>
      <c r="K395" s="16"/>
      <c r="L395" s="16"/>
      <c r="M395" s="16"/>
      <c r="N395" s="16"/>
    </row>
    <row r="396" spans="1:14" x14ac:dyDescent="0.2">
      <c r="A396" s="22" t="s">
        <v>763</v>
      </c>
      <c r="B396" s="27"/>
      <c r="C396" s="27"/>
      <c r="F396" s="16"/>
      <c r="G396" s="16"/>
      <c r="H396" s="16"/>
      <c r="I396" s="16"/>
      <c r="J396" s="16"/>
      <c r="K396" s="16"/>
      <c r="L396" s="16"/>
      <c r="M396" s="16"/>
      <c r="N396" s="16"/>
    </row>
    <row r="397" spans="1:14" x14ac:dyDescent="0.2">
      <c r="B397" s="27"/>
      <c r="C397" s="27"/>
      <c r="F397" s="16"/>
      <c r="G397" s="16"/>
      <c r="H397" s="16"/>
      <c r="I397" s="16"/>
      <c r="J397" s="16"/>
      <c r="K397" s="16"/>
      <c r="L397" s="16"/>
      <c r="M397" s="16"/>
      <c r="N397" s="16"/>
    </row>
    <row r="398" spans="1:14" ht="15.75" x14ac:dyDescent="0.25">
      <c r="A398" s="2" t="s">
        <v>1120</v>
      </c>
      <c r="B398" s="27"/>
      <c r="C398" s="27"/>
      <c r="F398" s="16"/>
      <c r="G398" s="16"/>
      <c r="H398" s="16"/>
      <c r="I398" s="16"/>
      <c r="J398" s="16"/>
      <c r="K398" s="16"/>
      <c r="L398" s="16"/>
      <c r="M398" s="16"/>
      <c r="N398" s="16"/>
    </row>
    <row r="399" spans="1:14" ht="15.75" x14ac:dyDescent="0.25">
      <c r="A399" s="2"/>
      <c r="B399" s="27"/>
      <c r="C399" s="27"/>
      <c r="F399" s="16"/>
      <c r="G399" s="16"/>
      <c r="H399" s="16"/>
      <c r="I399" s="16"/>
      <c r="J399" s="16"/>
      <c r="K399" s="16"/>
      <c r="L399" s="16"/>
      <c r="M399" s="16"/>
      <c r="N399" s="16"/>
    </row>
    <row r="400" spans="1:14" ht="15.75" x14ac:dyDescent="0.25">
      <c r="A400" s="2" t="s">
        <v>1121</v>
      </c>
      <c r="B400" s="27"/>
      <c r="C400" s="27"/>
      <c r="F400" s="16"/>
      <c r="G400" s="16"/>
      <c r="H400" s="16"/>
      <c r="I400" s="16"/>
      <c r="J400" s="16"/>
      <c r="K400" s="16"/>
      <c r="L400" s="16"/>
      <c r="M400" s="16"/>
      <c r="N400" s="16"/>
    </row>
    <row r="401" spans="1:14" x14ac:dyDescent="0.2">
      <c r="B401" s="27"/>
      <c r="C401" s="27"/>
      <c r="F401" s="16"/>
      <c r="G401" s="16"/>
      <c r="H401" s="16"/>
      <c r="I401" s="16"/>
      <c r="J401" s="16"/>
      <c r="K401" s="16"/>
      <c r="L401" s="16"/>
      <c r="M401" s="16"/>
      <c r="N401" s="16"/>
    </row>
    <row r="402" spans="1:14" x14ac:dyDescent="0.2">
      <c r="B402" s="27"/>
      <c r="C402" s="27"/>
      <c r="F402" s="16"/>
      <c r="G402" s="16"/>
      <c r="H402" s="16"/>
      <c r="I402" s="16"/>
      <c r="J402" s="16"/>
      <c r="K402" s="16"/>
      <c r="L402" s="16"/>
      <c r="M402" s="16"/>
      <c r="N402" s="16"/>
    </row>
    <row r="403" spans="1:14" x14ac:dyDescent="0.2">
      <c r="B403" s="27"/>
      <c r="C403" s="27"/>
      <c r="F403" s="16"/>
      <c r="G403" s="16"/>
      <c r="H403" s="16"/>
      <c r="I403" s="16"/>
      <c r="J403" s="16"/>
      <c r="K403" s="16"/>
      <c r="L403" s="16"/>
      <c r="M403" s="16"/>
      <c r="N403" s="16"/>
    </row>
    <row r="404" spans="1:14" x14ac:dyDescent="0.2">
      <c r="B404" s="27"/>
      <c r="C404" s="27"/>
      <c r="F404" s="16"/>
      <c r="G404" s="16"/>
      <c r="H404" s="16"/>
      <c r="I404" s="16"/>
      <c r="J404" s="16"/>
      <c r="K404" s="16"/>
      <c r="L404" s="16"/>
      <c r="M404" s="16"/>
      <c r="N404" s="16"/>
    </row>
    <row r="405" spans="1:14" x14ac:dyDescent="0.2">
      <c r="B405" s="27"/>
      <c r="C405" s="27"/>
      <c r="F405" s="16"/>
      <c r="G405" s="16"/>
      <c r="H405" s="16"/>
      <c r="I405" s="16"/>
      <c r="J405" s="16"/>
      <c r="K405" s="16"/>
      <c r="L405" s="16"/>
      <c r="M405" s="16"/>
      <c r="N405" s="16"/>
    </row>
    <row r="406" spans="1:14" x14ac:dyDescent="0.2">
      <c r="B406" s="27"/>
      <c r="C406" s="27"/>
      <c r="F406" s="16"/>
      <c r="G406" s="16"/>
      <c r="H406" s="16"/>
      <c r="I406" s="16"/>
      <c r="J406" s="16"/>
      <c r="K406" s="16"/>
      <c r="L406" s="16"/>
      <c r="M406" s="16"/>
      <c r="N406" s="16"/>
    </row>
    <row r="407" spans="1:14" x14ac:dyDescent="0.2">
      <c r="B407" s="27"/>
      <c r="C407" s="27"/>
      <c r="F407" s="16"/>
      <c r="G407" s="16"/>
      <c r="H407" s="16"/>
      <c r="I407" s="16"/>
      <c r="J407" s="16"/>
      <c r="K407" s="16"/>
      <c r="L407" s="16"/>
      <c r="M407" s="16"/>
      <c r="N407" s="16"/>
    </row>
    <row r="408" spans="1:14" x14ac:dyDescent="0.2">
      <c r="F408" s="16"/>
      <c r="G408" s="16"/>
      <c r="H408" s="16"/>
      <c r="I408" s="16"/>
      <c r="J408" s="16"/>
      <c r="K408" s="16"/>
      <c r="L408" s="16"/>
      <c r="M408" s="16"/>
      <c r="N408" s="16"/>
    </row>
    <row r="409" spans="1:14" x14ac:dyDescent="0.2">
      <c r="A409" s="28"/>
      <c r="B409" s="27"/>
      <c r="C409" s="27"/>
      <c r="F409" s="16"/>
      <c r="G409" s="16"/>
      <c r="H409" s="16"/>
      <c r="I409" s="16"/>
      <c r="J409" s="16"/>
      <c r="K409" s="16"/>
      <c r="L409" s="16"/>
      <c r="M409" s="16"/>
      <c r="N409" s="16"/>
    </row>
    <row r="410" spans="1:14" x14ac:dyDescent="0.2">
      <c r="A410" s="28"/>
      <c r="B410" s="27"/>
      <c r="C410" s="27"/>
      <c r="F410" s="16"/>
      <c r="G410" s="16"/>
      <c r="H410" s="16"/>
      <c r="I410" s="16"/>
      <c r="J410" s="16"/>
      <c r="K410" s="16"/>
      <c r="L410" s="16"/>
      <c r="M410" s="16"/>
      <c r="N410" s="16"/>
    </row>
    <row r="411" spans="1:14" x14ac:dyDescent="0.2">
      <c r="A411" s="28"/>
      <c r="B411" s="27"/>
      <c r="C411" s="27"/>
      <c r="F411" s="16"/>
      <c r="G411" s="16"/>
      <c r="H411" s="16"/>
      <c r="I411" s="16"/>
      <c r="J411" s="16"/>
      <c r="K411" s="16"/>
      <c r="L411" s="16"/>
      <c r="M411" s="16"/>
      <c r="N411" s="16"/>
    </row>
    <row r="412" spans="1:14" x14ac:dyDescent="0.2">
      <c r="A412" s="28"/>
      <c r="B412" s="27"/>
      <c r="C412" s="27"/>
      <c r="F412" s="16"/>
      <c r="G412" s="16"/>
      <c r="H412" s="16"/>
      <c r="I412" s="16"/>
      <c r="J412" s="16"/>
      <c r="K412" s="16"/>
      <c r="L412" s="16"/>
      <c r="M412" s="16"/>
      <c r="N412" s="16"/>
    </row>
    <row r="413" spans="1:14" x14ac:dyDescent="0.2">
      <c r="A413" s="28"/>
      <c r="B413" s="27"/>
      <c r="C413" s="27"/>
      <c r="F413" s="16"/>
      <c r="G413" s="16"/>
      <c r="H413" s="16"/>
      <c r="I413" s="16"/>
      <c r="J413" s="16"/>
      <c r="K413" s="16"/>
      <c r="L413" s="16"/>
      <c r="M413" s="16"/>
      <c r="N413" s="16"/>
    </row>
    <row r="414" spans="1:14" x14ac:dyDescent="0.2">
      <c r="A414" s="28"/>
      <c r="B414" s="27"/>
      <c r="C414" s="27"/>
      <c r="F414" s="16"/>
      <c r="G414" s="16"/>
      <c r="H414" s="16"/>
      <c r="I414" s="16"/>
      <c r="J414" s="16"/>
      <c r="K414" s="16"/>
      <c r="L414" s="16"/>
      <c r="M414" s="16"/>
      <c r="N414" s="16"/>
    </row>
    <row r="415" spans="1:14" x14ac:dyDescent="0.2">
      <c r="A415" s="28"/>
      <c r="B415" s="27"/>
      <c r="C415" s="27"/>
      <c r="F415" s="16"/>
      <c r="G415" s="16"/>
      <c r="H415" s="16"/>
      <c r="I415" s="16"/>
      <c r="J415" s="16"/>
      <c r="K415" s="16"/>
      <c r="L415" s="16"/>
      <c r="M415" s="16"/>
      <c r="N415" s="16"/>
    </row>
    <row r="416" spans="1:14" x14ac:dyDescent="0.2">
      <c r="A416" s="22" t="s">
        <v>764</v>
      </c>
      <c r="B416" s="27"/>
      <c r="C416" s="27"/>
      <c r="F416" s="16"/>
      <c r="G416" s="16"/>
      <c r="H416" s="16"/>
      <c r="I416" s="16"/>
      <c r="J416" s="16"/>
      <c r="K416" s="16"/>
      <c r="L416" s="16"/>
      <c r="M416" s="16"/>
      <c r="N416" s="16"/>
    </row>
    <row r="417" spans="1:14" x14ac:dyDescent="0.2">
      <c r="A417" s="22" t="s">
        <v>765</v>
      </c>
      <c r="B417" s="27"/>
      <c r="C417" s="27"/>
      <c r="F417" s="16"/>
      <c r="G417" s="16"/>
      <c r="H417" s="16"/>
      <c r="I417" s="16"/>
      <c r="J417" s="16"/>
      <c r="K417" s="16"/>
      <c r="L417" s="16"/>
      <c r="M417" s="16"/>
      <c r="N417" s="16"/>
    </row>
    <row r="418" spans="1:14" x14ac:dyDescent="0.2">
      <c r="A418" s="22" t="s">
        <v>766</v>
      </c>
      <c r="B418" s="27"/>
      <c r="C418" s="27"/>
      <c r="F418" s="16"/>
      <c r="G418" s="16"/>
      <c r="H418" s="16"/>
      <c r="I418" s="16"/>
      <c r="J418" s="16"/>
      <c r="K418" s="16"/>
      <c r="L418" s="16"/>
      <c r="M418" s="16"/>
      <c r="N418" s="16"/>
    </row>
    <row r="419" spans="1:14" x14ac:dyDescent="0.2">
      <c r="A419" s="22" t="s">
        <v>767</v>
      </c>
      <c r="B419" s="27"/>
      <c r="C419" s="27"/>
      <c r="F419" s="16"/>
      <c r="G419" s="16"/>
      <c r="H419" s="16"/>
      <c r="I419" s="16"/>
      <c r="J419" s="16"/>
      <c r="K419" s="16"/>
      <c r="L419" s="16"/>
      <c r="M419" s="16"/>
      <c r="N419" s="16"/>
    </row>
    <row r="420" spans="1:14" x14ac:dyDescent="0.2">
      <c r="A420" s="28"/>
      <c r="B420" s="27"/>
      <c r="C420" s="27"/>
      <c r="F420" s="16"/>
      <c r="G420" s="16"/>
      <c r="H420" s="16"/>
      <c r="I420" s="16"/>
      <c r="J420" s="16"/>
      <c r="K420" s="16"/>
      <c r="L420" s="16"/>
      <c r="M420" s="16"/>
      <c r="N420" s="16"/>
    </row>
    <row r="421" spans="1:14" ht="16.5" thickBot="1" x14ac:dyDescent="0.3">
      <c r="A421" s="28"/>
      <c r="B421" s="30" t="s">
        <v>109</v>
      </c>
      <c r="C421" s="5"/>
      <c r="D421" s="209" t="s">
        <v>768</v>
      </c>
      <c r="F421" s="16"/>
      <c r="G421" s="16"/>
      <c r="H421" s="16"/>
      <c r="I421" s="16"/>
      <c r="J421" s="16"/>
      <c r="K421" s="16"/>
      <c r="L421" s="16"/>
      <c r="M421" s="16"/>
      <c r="N421" s="16"/>
    </row>
    <row r="422" spans="1:14" x14ac:dyDescent="0.2">
      <c r="A422" s="28" t="s">
        <v>769</v>
      </c>
      <c r="B422" s="31">
        <v>10</v>
      </c>
      <c r="C422" s="22" t="s">
        <v>1078</v>
      </c>
      <c r="D422" s="210">
        <v>12</v>
      </c>
      <c r="F422" s="16"/>
      <c r="G422" s="16"/>
      <c r="H422" s="16"/>
      <c r="I422" s="16"/>
      <c r="J422" s="16"/>
      <c r="K422" s="16"/>
      <c r="L422" s="16"/>
      <c r="M422" s="16"/>
      <c r="N422" s="16"/>
    </row>
    <row r="423" spans="1:14" x14ac:dyDescent="0.2">
      <c r="A423" s="28" t="s">
        <v>770</v>
      </c>
      <c r="B423" s="32">
        <v>16</v>
      </c>
      <c r="C423" s="22" t="s">
        <v>1078</v>
      </c>
      <c r="D423" s="210">
        <v>18</v>
      </c>
      <c r="F423" s="16"/>
      <c r="G423" s="16"/>
      <c r="H423" s="16"/>
      <c r="I423" s="16"/>
      <c r="J423" s="16"/>
      <c r="K423" s="16"/>
      <c r="L423" s="16"/>
      <c r="M423" s="16"/>
      <c r="N423" s="16"/>
    </row>
    <row r="424" spans="1:14" x14ac:dyDescent="0.2">
      <c r="A424" s="28" t="s">
        <v>771</v>
      </c>
      <c r="B424" s="32">
        <v>14</v>
      </c>
      <c r="C424" s="22" t="s">
        <v>1078</v>
      </c>
      <c r="D424" s="210">
        <v>12</v>
      </c>
      <c r="F424" s="16"/>
      <c r="G424" s="16"/>
      <c r="H424" s="16"/>
      <c r="I424" s="16"/>
      <c r="J424" s="16"/>
      <c r="K424" s="16"/>
      <c r="L424" s="16"/>
      <c r="M424" s="16"/>
      <c r="N424" s="16"/>
    </row>
    <row r="425" spans="1:14" x14ac:dyDescent="0.2">
      <c r="A425" s="28" t="s">
        <v>772</v>
      </c>
      <c r="B425" s="32">
        <v>30</v>
      </c>
      <c r="C425" s="22" t="s">
        <v>1078</v>
      </c>
      <c r="D425" s="210">
        <v>36</v>
      </c>
      <c r="F425" s="16"/>
      <c r="G425" s="16"/>
      <c r="H425" s="16"/>
      <c r="I425" s="16"/>
      <c r="J425" s="16"/>
      <c r="K425" s="16"/>
      <c r="L425" s="16"/>
      <c r="M425" s="16"/>
      <c r="N425" s="16"/>
    </row>
    <row r="426" spans="1:14" x14ac:dyDescent="0.2">
      <c r="A426" s="28" t="s">
        <v>773</v>
      </c>
      <c r="B426" s="32">
        <v>450</v>
      </c>
      <c r="C426" s="22" t="s">
        <v>496</v>
      </c>
      <c r="D426" s="210">
        <v>570</v>
      </c>
      <c r="F426" s="16"/>
      <c r="G426" s="16"/>
      <c r="H426" s="16"/>
      <c r="I426" s="16"/>
      <c r="J426" s="16"/>
      <c r="K426" s="16"/>
      <c r="L426" s="16"/>
      <c r="M426" s="16"/>
      <c r="N426" s="16"/>
    </row>
    <row r="427" spans="1:14" ht="15.75" thickBot="1" x14ac:dyDescent="0.25">
      <c r="A427" s="28" t="s">
        <v>774</v>
      </c>
      <c r="B427" s="54">
        <v>2.5</v>
      </c>
      <c r="C427" s="22" t="s">
        <v>1078</v>
      </c>
      <c r="D427" s="210">
        <v>3.96</v>
      </c>
      <c r="F427" s="16"/>
      <c r="G427" s="16"/>
      <c r="H427" s="16"/>
      <c r="I427" s="16"/>
      <c r="J427" s="16"/>
      <c r="K427" s="16"/>
      <c r="L427" s="16"/>
      <c r="M427" s="16"/>
      <c r="N427" s="16"/>
    </row>
    <row r="428" spans="1:14" ht="15.75" x14ac:dyDescent="0.25">
      <c r="A428" s="2" t="s">
        <v>775</v>
      </c>
      <c r="B428" s="30" t="s">
        <v>876</v>
      </c>
      <c r="C428" s="22"/>
      <c r="F428" s="16"/>
      <c r="G428" s="16"/>
      <c r="H428" s="16"/>
      <c r="I428" s="16"/>
      <c r="J428" s="16"/>
      <c r="K428" s="16"/>
      <c r="L428" s="16"/>
      <c r="M428" s="16"/>
      <c r="N428" s="16"/>
    </row>
    <row r="429" spans="1:14" ht="15.75" x14ac:dyDescent="0.25">
      <c r="A429" s="2" t="s">
        <v>776</v>
      </c>
      <c r="B429" s="5" t="s">
        <v>777</v>
      </c>
      <c r="C429" s="22"/>
      <c r="F429" s="16"/>
      <c r="G429" s="16"/>
      <c r="H429" s="16"/>
      <c r="I429" s="16"/>
      <c r="J429" s="16"/>
      <c r="K429" s="16"/>
      <c r="L429" s="16"/>
      <c r="M429" s="16"/>
      <c r="N429" s="16"/>
    </row>
    <row r="430" spans="1:14" ht="15.75" x14ac:dyDescent="0.25">
      <c r="A430" s="2" t="s">
        <v>535</v>
      </c>
      <c r="B430" s="5" t="s">
        <v>778</v>
      </c>
      <c r="C430" s="22"/>
      <c r="F430" s="16"/>
      <c r="G430" s="16"/>
      <c r="H430" s="16"/>
      <c r="I430" s="16"/>
      <c r="J430" s="16"/>
      <c r="K430" s="16"/>
      <c r="L430" s="16"/>
      <c r="M430" s="16"/>
      <c r="N430" s="16"/>
    </row>
    <row r="431" spans="1:14" ht="15.75" x14ac:dyDescent="0.25">
      <c r="A431" s="2" t="s">
        <v>779</v>
      </c>
      <c r="B431" s="5">
        <f>B426*B427*B423/(B424*(B423+B425))</f>
        <v>27.950310559006212</v>
      </c>
      <c r="C431" s="1" t="s">
        <v>496</v>
      </c>
      <c r="F431" s="16"/>
      <c r="G431" s="16"/>
      <c r="H431" s="16"/>
      <c r="I431" s="16"/>
      <c r="J431" s="16"/>
      <c r="K431" s="16"/>
      <c r="L431" s="16"/>
      <c r="M431" s="16"/>
      <c r="N431" s="16"/>
    </row>
    <row r="432" spans="1:14" ht="15.75" x14ac:dyDescent="0.25">
      <c r="A432" s="2" t="s">
        <v>780</v>
      </c>
      <c r="B432" s="5"/>
      <c r="C432" s="22"/>
      <c r="F432" s="16"/>
      <c r="G432" s="16"/>
      <c r="H432" s="16"/>
      <c r="I432" s="16"/>
      <c r="J432" s="16"/>
      <c r="K432" s="16"/>
      <c r="L432" s="16"/>
      <c r="M432" s="16"/>
      <c r="N432" s="16"/>
    </row>
    <row r="433" spans="1:14" ht="15.75" x14ac:dyDescent="0.25">
      <c r="A433" s="2" t="s">
        <v>759</v>
      </c>
      <c r="B433" s="5">
        <v>0</v>
      </c>
      <c r="C433" s="22"/>
      <c r="F433" s="16"/>
      <c r="G433" s="16"/>
      <c r="H433" s="16"/>
      <c r="I433" s="16"/>
      <c r="J433" s="16"/>
      <c r="K433" s="16"/>
      <c r="L433" s="16"/>
      <c r="M433" s="16"/>
      <c r="N433" s="16"/>
    </row>
    <row r="434" spans="1:14" ht="15.75" x14ac:dyDescent="0.25">
      <c r="A434" s="2" t="s">
        <v>781</v>
      </c>
      <c r="B434" s="5" t="s">
        <v>782</v>
      </c>
      <c r="C434" s="22"/>
      <c r="F434" s="16"/>
      <c r="G434" s="16"/>
      <c r="H434" s="16"/>
      <c r="I434" s="16"/>
      <c r="J434" s="16"/>
      <c r="K434" s="16"/>
      <c r="L434" s="16"/>
      <c r="M434" s="16"/>
      <c r="N434" s="16"/>
    </row>
    <row r="435" spans="1:14" ht="15.75" x14ac:dyDescent="0.25">
      <c r="A435" s="2" t="s">
        <v>76</v>
      </c>
      <c r="B435" s="61" t="s">
        <v>783</v>
      </c>
      <c r="C435" s="22"/>
      <c r="F435" s="16"/>
      <c r="G435" s="16"/>
      <c r="H435" s="16"/>
      <c r="I435" s="16"/>
      <c r="J435" s="16"/>
      <c r="K435" s="16"/>
      <c r="L435" s="16"/>
      <c r="M435" s="16"/>
      <c r="N435" s="16"/>
    </row>
    <row r="436" spans="1:14" ht="15.75" x14ac:dyDescent="0.25">
      <c r="A436" s="2" t="s">
        <v>784</v>
      </c>
      <c r="B436" s="5">
        <f>((-B431*B424)+(B426*B427))/B422</f>
        <v>73.369565217391298</v>
      </c>
      <c r="C436" s="1" t="s">
        <v>496</v>
      </c>
      <c r="F436" s="16"/>
      <c r="G436" s="16"/>
      <c r="H436" s="16"/>
      <c r="I436" s="16"/>
      <c r="J436" s="16"/>
      <c r="K436" s="16"/>
      <c r="L436" s="16"/>
      <c r="M436" s="16"/>
      <c r="N436" s="16"/>
    </row>
    <row r="437" spans="1:14" x14ac:dyDescent="0.2">
      <c r="A437" s="28"/>
      <c r="B437" s="27"/>
      <c r="C437" s="22"/>
      <c r="F437" s="16"/>
      <c r="G437" s="16"/>
      <c r="H437" s="16"/>
      <c r="I437" s="16"/>
      <c r="J437" s="16"/>
      <c r="K437" s="16"/>
      <c r="L437" s="16"/>
      <c r="M437" s="16"/>
      <c r="N437" s="16"/>
    </row>
    <row r="438" spans="1:14" x14ac:dyDescent="0.2">
      <c r="A438" s="23"/>
      <c r="B438" s="23"/>
      <c r="C438" s="23"/>
      <c r="D438" s="23"/>
      <c r="E438" s="23"/>
      <c r="F438" s="16"/>
      <c r="G438" s="16"/>
      <c r="H438" s="16"/>
      <c r="I438" s="16"/>
      <c r="J438" s="16"/>
      <c r="K438" s="16"/>
      <c r="L438" s="16"/>
      <c r="M438" s="16"/>
      <c r="N438" s="16"/>
    </row>
    <row r="439" spans="1:14" x14ac:dyDescent="0.2">
      <c r="F439" s="16"/>
      <c r="G439" s="16"/>
      <c r="H439" s="16"/>
      <c r="I439" s="16"/>
      <c r="J439" s="16"/>
      <c r="K439" s="16"/>
      <c r="L439" s="16"/>
      <c r="M439" s="16"/>
      <c r="N439" s="16"/>
    </row>
    <row r="440" spans="1:14" ht="15.75" x14ac:dyDescent="0.25">
      <c r="A440" s="1" t="s">
        <v>785</v>
      </c>
      <c r="B440" s="27"/>
      <c r="C440" s="27"/>
      <c r="F440" s="16"/>
      <c r="G440" s="16"/>
      <c r="H440" s="16"/>
      <c r="I440" s="16"/>
      <c r="J440" s="16"/>
      <c r="K440" s="16"/>
      <c r="L440" s="16"/>
      <c r="M440" s="16"/>
      <c r="N440" s="16"/>
    </row>
    <row r="441" spans="1:14" x14ac:dyDescent="0.2">
      <c r="A441" s="28"/>
      <c r="B441" s="27"/>
      <c r="C441" s="27"/>
      <c r="F441" s="16"/>
      <c r="G441" s="16"/>
      <c r="H441" s="16"/>
      <c r="I441" s="16"/>
      <c r="J441" s="16"/>
      <c r="K441" s="16"/>
      <c r="L441" s="16"/>
      <c r="M441" s="16"/>
      <c r="N441" s="16"/>
    </row>
    <row r="442" spans="1:14" x14ac:dyDescent="0.2">
      <c r="A442" s="28"/>
      <c r="B442" s="27"/>
      <c r="C442" s="27"/>
      <c r="F442" s="16"/>
      <c r="G442" s="16"/>
      <c r="H442" s="16"/>
      <c r="I442" s="16"/>
      <c r="J442" s="16"/>
      <c r="K442" s="16"/>
      <c r="L442" s="16"/>
      <c r="M442" s="16"/>
      <c r="N442" s="16"/>
    </row>
    <row r="443" spans="1:14" x14ac:dyDescent="0.2">
      <c r="A443" s="28"/>
      <c r="B443" s="27"/>
      <c r="C443" s="27"/>
      <c r="F443" s="16"/>
      <c r="G443" s="16"/>
      <c r="H443" s="16"/>
      <c r="I443" s="16"/>
      <c r="J443" s="16"/>
      <c r="K443" s="16"/>
      <c r="L443" s="16"/>
      <c r="M443" s="16"/>
      <c r="N443" s="16"/>
    </row>
    <row r="444" spans="1:14" x14ac:dyDescent="0.2">
      <c r="A444" s="28"/>
      <c r="B444" s="27"/>
      <c r="C444" s="27"/>
      <c r="F444" s="16"/>
      <c r="G444" s="16"/>
      <c r="H444" s="16"/>
      <c r="I444" s="16"/>
      <c r="J444" s="16"/>
      <c r="K444" s="16"/>
      <c r="L444" s="16"/>
      <c r="M444" s="16"/>
      <c r="N444" s="16"/>
    </row>
    <row r="445" spans="1:14" x14ac:dyDescent="0.2">
      <c r="A445" s="28"/>
      <c r="B445" s="27"/>
      <c r="C445" s="27"/>
      <c r="F445" s="16"/>
      <c r="G445" s="16"/>
      <c r="H445" s="16"/>
      <c r="I445" s="16"/>
      <c r="J445" s="16"/>
      <c r="K445" s="16"/>
      <c r="L445" s="16"/>
      <c r="M445" s="16"/>
      <c r="N445" s="16"/>
    </row>
    <row r="446" spans="1:14" x14ac:dyDescent="0.2">
      <c r="A446" s="28"/>
      <c r="B446" s="27"/>
      <c r="C446" s="27"/>
      <c r="F446" s="16"/>
      <c r="G446" s="16"/>
      <c r="H446" s="16"/>
      <c r="I446" s="16"/>
      <c r="J446" s="16"/>
      <c r="K446" s="16"/>
      <c r="L446" s="16"/>
      <c r="M446" s="16"/>
      <c r="N446" s="16"/>
    </row>
    <row r="447" spans="1:14" x14ac:dyDescent="0.2">
      <c r="A447" s="22" t="s">
        <v>788</v>
      </c>
      <c r="B447" s="27"/>
      <c r="C447" s="27"/>
      <c r="F447" s="16"/>
      <c r="G447" s="16"/>
      <c r="H447" s="16"/>
      <c r="I447" s="16"/>
      <c r="J447" s="16"/>
      <c r="K447" s="16"/>
      <c r="L447" s="16"/>
      <c r="M447" s="16"/>
      <c r="N447" s="16"/>
    </row>
    <row r="448" spans="1:14" x14ac:dyDescent="0.2">
      <c r="A448" s="22" t="s">
        <v>77</v>
      </c>
      <c r="B448" s="27"/>
      <c r="C448" s="27"/>
      <c r="F448" s="16"/>
      <c r="G448" s="16"/>
      <c r="H448" s="16"/>
      <c r="I448" s="16"/>
      <c r="J448" s="16"/>
      <c r="K448" s="16"/>
      <c r="L448" s="16"/>
      <c r="M448" s="16"/>
      <c r="N448" s="16"/>
    </row>
    <row r="449" spans="1:14" x14ac:dyDescent="0.2">
      <c r="A449" s="22" t="s">
        <v>789</v>
      </c>
      <c r="B449" s="27"/>
      <c r="C449" s="27"/>
      <c r="F449" s="16"/>
      <c r="G449" s="16"/>
      <c r="H449" s="16"/>
      <c r="I449" s="16"/>
      <c r="J449" s="16"/>
      <c r="K449" s="16"/>
      <c r="L449" s="16"/>
      <c r="M449" s="16"/>
      <c r="N449" s="16"/>
    </row>
    <row r="450" spans="1:14" x14ac:dyDescent="0.2">
      <c r="A450" s="22" t="s">
        <v>790</v>
      </c>
      <c r="B450" s="27"/>
      <c r="C450" s="27"/>
      <c r="F450" s="16"/>
      <c r="G450" s="16"/>
      <c r="H450" s="16"/>
      <c r="I450" s="16"/>
      <c r="J450" s="16"/>
      <c r="K450" s="16"/>
      <c r="L450" s="16"/>
      <c r="M450" s="16"/>
      <c r="N450" s="16"/>
    </row>
    <row r="451" spans="1:14" x14ac:dyDescent="0.2">
      <c r="A451" s="22" t="s">
        <v>791</v>
      </c>
      <c r="B451" s="27"/>
      <c r="C451" s="27"/>
      <c r="F451" s="16"/>
      <c r="G451" s="16"/>
      <c r="H451" s="16"/>
      <c r="I451" s="16"/>
      <c r="J451" s="16"/>
      <c r="K451" s="16"/>
      <c r="L451" s="16"/>
      <c r="M451" s="16"/>
      <c r="N451" s="16"/>
    </row>
    <row r="452" spans="1:14" x14ac:dyDescent="0.2">
      <c r="F452" s="16"/>
      <c r="G452" s="16"/>
      <c r="H452" s="16"/>
      <c r="I452" s="16"/>
      <c r="J452" s="16"/>
      <c r="K452" s="16"/>
      <c r="L452" s="16"/>
      <c r="M452" s="16"/>
      <c r="N452" s="16"/>
    </row>
    <row r="453" spans="1:14" x14ac:dyDescent="0.2">
      <c r="F453" s="16"/>
      <c r="G453" s="16"/>
      <c r="H453" s="16"/>
      <c r="I453" s="16"/>
      <c r="J453" s="16"/>
      <c r="K453" s="16"/>
      <c r="L453" s="16"/>
      <c r="M453" s="16"/>
      <c r="N453" s="16"/>
    </row>
    <row r="454" spans="1:14" ht="16.5" thickBot="1" x14ac:dyDescent="0.3">
      <c r="A454" s="28"/>
      <c r="B454" s="30" t="s">
        <v>109</v>
      </c>
      <c r="C454" s="27"/>
      <c r="F454" s="16"/>
      <c r="G454" s="16"/>
      <c r="H454" s="16"/>
      <c r="I454" s="16"/>
      <c r="J454" s="16"/>
      <c r="K454" s="16"/>
      <c r="L454" s="16"/>
      <c r="M454" s="16"/>
      <c r="N454" s="16"/>
    </row>
    <row r="455" spans="1:14" x14ac:dyDescent="0.2">
      <c r="A455" s="28" t="s">
        <v>792</v>
      </c>
      <c r="B455" s="31">
        <v>360</v>
      </c>
      <c r="C455" s="22" t="s">
        <v>1086</v>
      </c>
      <c r="F455" s="16"/>
      <c r="G455" s="16"/>
      <c r="H455" s="16"/>
      <c r="I455" s="16"/>
      <c r="J455" s="16"/>
      <c r="K455" s="16"/>
      <c r="L455" s="16"/>
      <c r="M455" s="16"/>
      <c r="N455" s="16"/>
    </row>
    <row r="456" spans="1:14" x14ac:dyDescent="0.2">
      <c r="A456" s="28" t="s">
        <v>793</v>
      </c>
      <c r="B456" s="32">
        <v>80</v>
      </c>
      <c r="C456" s="22" t="s">
        <v>496</v>
      </c>
      <c r="F456" s="16"/>
      <c r="G456" s="16"/>
      <c r="H456" s="16"/>
      <c r="I456" s="16"/>
      <c r="J456" s="16"/>
      <c r="K456" s="16"/>
      <c r="L456" s="16"/>
      <c r="M456" s="16"/>
      <c r="N456" s="16"/>
    </row>
    <row r="457" spans="1:14" x14ac:dyDescent="0.2">
      <c r="A457" s="28" t="s">
        <v>794</v>
      </c>
      <c r="B457" s="32" t="s">
        <v>795</v>
      </c>
      <c r="C457" s="22"/>
      <c r="F457" s="16"/>
      <c r="G457" s="16"/>
      <c r="H457" s="16"/>
      <c r="I457" s="16"/>
      <c r="J457" s="16"/>
      <c r="K457" s="16"/>
      <c r="L457" s="16"/>
      <c r="M457" s="16"/>
      <c r="N457" s="16"/>
    </row>
    <row r="458" spans="1:14" x14ac:dyDescent="0.2">
      <c r="A458" s="28" t="s">
        <v>796</v>
      </c>
      <c r="B458" s="32" t="s">
        <v>797</v>
      </c>
      <c r="C458" s="22"/>
      <c r="F458" s="16"/>
      <c r="G458" s="16"/>
      <c r="H458" s="16"/>
      <c r="I458" s="16"/>
      <c r="J458" s="16"/>
      <c r="K458" s="16"/>
      <c r="L458" s="16"/>
      <c r="M458" s="16"/>
      <c r="N458" s="16"/>
    </row>
    <row r="459" spans="1:14" x14ac:dyDescent="0.2">
      <c r="A459" s="28" t="s">
        <v>798</v>
      </c>
      <c r="B459" s="32" t="s">
        <v>799</v>
      </c>
      <c r="C459" s="22"/>
      <c r="F459" s="16"/>
      <c r="G459" s="16"/>
      <c r="H459" s="16"/>
      <c r="I459" s="16"/>
      <c r="J459" s="16"/>
      <c r="K459" s="16"/>
      <c r="L459" s="16"/>
      <c r="M459" s="16"/>
      <c r="N459" s="16"/>
    </row>
    <row r="460" spans="1:14" x14ac:dyDescent="0.2">
      <c r="A460" s="28"/>
      <c r="B460" s="32">
        <v>0.05</v>
      </c>
      <c r="C460" s="22"/>
      <c r="F460" s="16"/>
      <c r="G460" s="16"/>
      <c r="H460" s="16"/>
      <c r="I460" s="16"/>
      <c r="J460" s="16"/>
      <c r="K460" s="16"/>
      <c r="L460" s="16"/>
      <c r="M460" s="16"/>
      <c r="N460" s="16"/>
    </row>
    <row r="461" spans="1:14" ht="15.75" thickBot="1" x14ac:dyDescent="0.25">
      <c r="A461" s="28" t="s">
        <v>78</v>
      </c>
      <c r="B461" s="54">
        <v>0.25</v>
      </c>
      <c r="C461" s="22" t="s">
        <v>1078</v>
      </c>
      <c r="F461" s="16"/>
      <c r="G461" s="16"/>
      <c r="H461" s="16"/>
      <c r="I461" s="16"/>
      <c r="J461" s="16"/>
      <c r="K461" s="16"/>
      <c r="L461" s="16"/>
      <c r="M461" s="16"/>
      <c r="N461" s="16"/>
    </row>
    <row r="462" spans="1:14" ht="15.75" x14ac:dyDescent="0.25">
      <c r="A462" s="28"/>
      <c r="B462" s="30" t="s">
        <v>876</v>
      </c>
      <c r="C462" s="22"/>
      <c r="F462" s="16"/>
      <c r="G462" s="16"/>
      <c r="H462" s="16"/>
      <c r="I462" s="16"/>
      <c r="J462" s="16"/>
      <c r="K462" s="16"/>
      <c r="L462" s="16"/>
      <c r="M462" s="16"/>
      <c r="N462" s="16"/>
    </row>
    <row r="463" spans="1:14" ht="15.75" x14ac:dyDescent="0.25">
      <c r="A463" s="2" t="s">
        <v>800</v>
      </c>
      <c r="B463" s="5" t="s">
        <v>801</v>
      </c>
      <c r="C463" s="1" t="s">
        <v>1071</v>
      </c>
      <c r="F463" s="16"/>
      <c r="G463" s="16"/>
      <c r="H463" s="16"/>
      <c r="I463" s="16"/>
      <c r="J463" s="16"/>
      <c r="K463" s="16"/>
      <c r="L463" s="16"/>
      <c r="M463" s="16"/>
      <c r="N463" s="16"/>
    </row>
    <row r="464" spans="1:14" ht="15.75" x14ac:dyDescent="0.25">
      <c r="A464" s="2" t="s">
        <v>459</v>
      </c>
      <c r="B464" s="5">
        <f>2*3.142*B455/60</f>
        <v>37.703999999999994</v>
      </c>
      <c r="C464" s="1" t="s">
        <v>802</v>
      </c>
      <c r="F464" s="16"/>
      <c r="G464" s="16"/>
      <c r="H464" s="16"/>
      <c r="I464" s="16"/>
      <c r="J464" s="16"/>
      <c r="K464" s="16"/>
      <c r="L464" s="16"/>
      <c r="M464" s="16"/>
      <c r="N464" s="16"/>
    </row>
    <row r="465" spans="1:14" ht="15.75" x14ac:dyDescent="0.25">
      <c r="A465" s="2" t="s">
        <v>803</v>
      </c>
      <c r="B465" s="5">
        <v>386.4</v>
      </c>
      <c r="C465" s="1" t="s">
        <v>463</v>
      </c>
      <c r="F465" s="16"/>
      <c r="G465" s="16"/>
      <c r="H465" s="16"/>
      <c r="I465" s="16"/>
      <c r="J465" s="16"/>
      <c r="K465" s="16"/>
      <c r="L465" s="16"/>
      <c r="M465" s="16"/>
      <c r="N465" s="16"/>
    </row>
    <row r="466" spans="1:14" ht="15.75" x14ac:dyDescent="0.25">
      <c r="A466" s="2" t="s">
        <v>533</v>
      </c>
      <c r="B466" s="5" t="s">
        <v>804</v>
      </c>
      <c r="C466" s="1"/>
      <c r="F466" s="16"/>
      <c r="G466" s="16"/>
      <c r="H466" s="16"/>
      <c r="I466" s="16"/>
      <c r="J466" s="16"/>
      <c r="K466" s="16"/>
      <c r="L466" s="16"/>
      <c r="M466" s="16"/>
      <c r="N466" s="16"/>
    </row>
    <row r="467" spans="1:14" ht="15.75" x14ac:dyDescent="0.25">
      <c r="A467" s="2" t="s">
        <v>447</v>
      </c>
      <c r="B467" s="51">
        <f>B456/B465</f>
        <v>0.20703933747412009</v>
      </c>
      <c r="C467" s="1" t="s">
        <v>453</v>
      </c>
      <c r="F467" s="16"/>
      <c r="G467" s="16"/>
      <c r="H467" s="16"/>
      <c r="I467" s="16"/>
      <c r="J467" s="16"/>
      <c r="K467" s="16"/>
      <c r="L467" s="16"/>
      <c r="M467" s="16"/>
      <c r="N467" s="16"/>
    </row>
    <row r="468" spans="1:14" ht="15.75" x14ac:dyDescent="0.25">
      <c r="A468" s="2" t="s">
        <v>815</v>
      </c>
      <c r="B468" s="5" t="s">
        <v>816</v>
      </c>
      <c r="C468" s="1" t="s">
        <v>1071</v>
      </c>
      <c r="F468" s="16"/>
      <c r="G468" s="16"/>
      <c r="H468" s="16"/>
      <c r="I468" s="16"/>
      <c r="J468" s="16"/>
      <c r="K468" s="16"/>
      <c r="L468" s="16"/>
      <c r="M468" s="16"/>
      <c r="N468" s="16"/>
    </row>
    <row r="469" spans="1:14" ht="15.75" x14ac:dyDescent="0.25">
      <c r="A469" s="2" t="s">
        <v>817</v>
      </c>
      <c r="B469" s="5" t="s">
        <v>818</v>
      </c>
      <c r="C469" s="1" t="s">
        <v>1071</v>
      </c>
      <c r="F469" s="16"/>
      <c r="G469" s="16"/>
      <c r="H469" s="16"/>
      <c r="I469" s="16"/>
      <c r="J469" s="16"/>
      <c r="K469" s="16"/>
      <c r="L469" s="16"/>
      <c r="M469" s="16"/>
      <c r="N469" s="16"/>
    </row>
    <row r="470" spans="1:14" ht="15.75" x14ac:dyDescent="0.25">
      <c r="A470" s="2" t="s">
        <v>819</v>
      </c>
      <c r="B470" s="202">
        <f>B467*B464^2</f>
        <v>294.32538633540361</v>
      </c>
      <c r="C470" s="1" t="s">
        <v>820</v>
      </c>
      <c r="F470" s="16"/>
      <c r="G470" s="16"/>
      <c r="H470" s="16"/>
      <c r="I470" s="16"/>
      <c r="J470" s="16"/>
      <c r="K470" s="16"/>
      <c r="L470" s="16"/>
      <c r="M470" s="16"/>
      <c r="N470" s="16"/>
    </row>
    <row r="471" spans="1:14" ht="15.75" x14ac:dyDescent="0.25">
      <c r="A471" s="2" t="s">
        <v>531</v>
      </c>
      <c r="B471" s="5" t="s">
        <v>821</v>
      </c>
      <c r="C471" s="1" t="s">
        <v>1071</v>
      </c>
      <c r="F471" s="16"/>
      <c r="G471" s="16"/>
      <c r="H471" s="16"/>
      <c r="I471" s="16"/>
      <c r="J471" s="16"/>
      <c r="K471" s="16"/>
      <c r="L471" s="16"/>
      <c r="M471" s="16"/>
      <c r="N471" s="16"/>
    </row>
    <row r="472" spans="1:14" ht="15.75" x14ac:dyDescent="0.25">
      <c r="A472" s="2" t="s">
        <v>822</v>
      </c>
      <c r="B472" s="202">
        <f>B470/2</f>
        <v>147.1626931677018</v>
      </c>
      <c r="C472" s="1" t="s">
        <v>820</v>
      </c>
      <c r="F472" s="16"/>
      <c r="G472" s="16"/>
      <c r="H472" s="16"/>
      <c r="I472" s="16"/>
      <c r="J472" s="16"/>
      <c r="K472" s="16"/>
      <c r="L472" s="16"/>
      <c r="M472" s="16"/>
      <c r="N472" s="16"/>
    </row>
    <row r="473" spans="1:14" ht="15.75" x14ac:dyDescent="0.25">
      <c r="A473" s="2" t="s">
        <v>823</v>
      </c>
      <c r="B473" s="5" t="s">
        <v>824</v>
      </c>
      <c r="C473" s="22"/>
      <c r="F473" s="16"/>
      <c r="G473" s="16"/>
      <c r="H473" s="16"/>
      <c r="I473" s="16"/>
      <c r="J473" s="16"/>
      <c r="K473" s="16"/>
      <c r="L473" s="16"/>
      <c r="M473" s="16"/>
      <c r="N473" s="16"/>
    </row>
    <row r="474" spans="1:14" ht="15.75" x14ac:dyDescent="0.25">
      <c r="A474" s="2" t="s">
        <v>825</v>
      </c>
      <c r="B474" s="37">
        <f>2*(B470*B467)^0.5</f>
        <v>15.612422360248445</v>
      </c>
      <c r="C474" s="22"/>
      <c r="F474" s="16"/>
      <c r="G474" s="16"/>
      <c r="H474" s="16"/>
      <c r="I474" s="16"/>
      <c r="J474" s="16"/>
      <c r="K474" s="16"/>
      <c r="L474" s="16"/>
      <c r="M474" s="16"/>
      <c r="N474" s="16"/>
    </row>
    <row r="475" spans="1:14" ht="15.75" x14ac:dyDescent="0.25">
      <c r="A475" s="2" t="s">
        <v>826</v>
      </c>
      <c r="B475" s="5" t="s">
        <v>827</v>
      </c>
      <c r="C475" s="1"/>
      <c r="F475" s="16"/>
      <c r="G475" s="16"/>
      <c r="H475" s="16"/>
      <c r="I475" s="16"/>
      <c r="J475" s="16"/>
      <c r="K475" s="16"/>
      <c r="L475" s="16"/>
      <c r="M475" s="16"/>
      <c r="N475" s="16"/>
    </row>
    <row r="476" spans="1:14" ht="15.75" x14ac:dyDescent="0.25">
      <c r="A476" s="2" t="s">
        <v>828</v>
      </c>
      <c r="B476" s="3">
        <f>B474*B460</f>
        <v>0.78062111801242229</v>
      </c>
      <c r="C476" s="1"/>
      <c r="F476" s="16"/>
      <c r="G476" s="16"/>
      <c r="H476" s="16"/>
      <c r="I476" s="16"/>
      <c r="J476" s="16"/>
      <c r="K476" s="16"/>
      <c r="L476" s="16"/>
      <c r="M476" s="16"/>
      <c r="N476" s="16"/>
    </row>
    <row r="477" spans="1:14" ht="15.75" x14ac:dyDescent="0.25">
      <c r="A477" s="2" t="s">
        <v>829</v>
      </c>
      <c r="B477" s="5" t="s">
        <v>830</v>
      </c>
      <c r="C477" s="1" t="s">
        <v>1100</v>
      </c>
      <c r="F477" s="16"/>
      <c r="G477" s="16"/>
      <c r="H477" s="16"/>
      <c r="I477" s="16"/>
      <c r="J477" s="16"/>
      <c r="K477" s="16"/>
      <c r="L477" s="16"/>
      <c r="M477" s="16"/>
      <c r="N477" s="16"/>
    </row>
    <row r="478" spans="1:14" ht="15.75" x14ac:dyDescent="0.25">
      <c r="A478" s="2" t="s">
        <v>831</v>
      </c>
      <c r="B478" s="5" t="s">
        <v>832</v>
      </c>
      <c r="C478" s="1" t="s">
        <v>1100</v>
      </c>
      <c r="F478" s="16"/>
      <c r="G478" s="16"/>
      <c r="H478" s="16"/>
      <c r="I478" s="16"/>
      <c r="J478" s="16"/>
      <c r="K478" s="16"/>
      <c r="L478" s="16"/>
      <c r="M478" s="16"/>
      <c r="N478" s="16"/>
    </row>
    <row r="479" spans="1:14" ht="15.75" x14ac:dyDescent="0.25">
      <c r="A479" s="2" t="s">
        <v>833</v>
      </c>
      <c r="B479" s="5" t="s">
        <v>834</v>
      </c>
      <c r="C479" s="1" t="s">
        <v>1078</v>
      </c>
      <c r="F479" s="16"/>
      <c r="G479" s="16"/>
      <c r="H479" s="16"/>
      <c r="I479" s="16"/>
      <c r="J479" s="16"/>
      <c r="K479" s="16"/>
      <c r="L479" s="16"/>
      <c r="M479" s="16"/>
      <c r="N479" s="16"/>
    </row>
    <row r="480" spans="1:14" ht="15.75" x14ac:dyDescent="0.25">
      <c r="A480" s="2" t="s">
        <v>250</v>
      </c>
      <c r="B480" s="5" t="s">
        <v>832</v>
      </c>
      <c r="C480" s="1"/>
      <c r="F480" s="16"/>
      <c r="G480" s="16"/>
      <c r="H480" s="16"/>
      <c r="I480" s="16"/>
      <c r="J480" s="16"/>
      <c r="K480" s="16"/>
      <c r="L480" s="16"/>
      <c r="M480" s="16"/>
      <c r="N480" s="16"/>
    </row>
    <row r="481" spans="1:14" ht="15.75" x14ac:dyDescent="0.25">
      <c r="A481" s="2" t="s">
        <v>835</v>
      </c>
      <c r="B481" s="37">
        <f>B476*B464*B461</f>
        <v>7.3581346583850911</v>
      </c>
      <c r="C481" s="1" t="s">
        <v>1100</v>
      </c>
      <c r="D481" s="12" t="s">
        <v>1071</v>
      </c>
      <c r="F481" s="16"/>
      <c r="G481" s="16"/>
      <c r="H481" s="16"/>
      <c r="I481" s="16"/>
      <c r="J481" s="16"/>
      <c r="K481" s="16"/>
      <c r="L481" s="16"/>
      <c r="M481" s="16"/>
      <c r="N481" s="16"/>
    </row>
    <row r="482" spans="1:14" x14ac:dyDescent="0.2">
      <c r="C482" s="22"/>
      <c r="F482" s="16"/>
      <c r="G482" s="16"/>
      <c r="H482" s="16"/>
      <c r="I482" s="16"/>
      <c r="J482" s="16"/>
      <c r="K482" s="16"/>
      <c r="L482" s="16"/>
      <c r="M482" s="16"/>
      <c r="N482" s="16"/>
    </row>
    <row r="483" spans="1:14" x14ac:dyDescent="0.2">
      <c r="A483" s="23"/>
      <c r="B483" s="23"/>
      <c r="C483" s="23"/>
      <c r="D483" s="23"/>
      <c r="E483" s="23"/>
      <c r="F483" s="16"/>
      <c r="G483" s="16"/>
      <c r="H483" s="16"/>
      <c r="I483" s="16"/>
      <c r="J483" s="16"/>
      <c r="K483" s="16"/>
      <c r="L483" s="16"/>
      <c r="M483" s="16"/>
      <c r="N483" s="16"/>
    </row>
    <row r="484" spans="1:14" x14ac:dyDescent="0.2">
      <c r="F484" s="16"/>
      <c r="G484" s="16"/>
      <c r="H484" s="16"/>
      <c r="I484" s="16"/>
      <c r="J484" s="16"/>
      <c r="K484" s="16"/>
      <c r="L484" s="16"/>
      <c r="M484" s="16"/>
      <c r="N484" s="16"/>
    </row>
    <row r="485" spans="1:14" x14ac:dyDescent="0.2">
      <c r="B485" s="27"/>
      <c r="C485" s="27"/>
      <c r="F485" s="16"/>
      <c r="G485" s="16"/>
      <c r="H485" s="16"/>
      <c r="I485" s="16"/>
      <c r="J485" s="16"/>
      <c r="K485" s="16"/>
      <c r="L485" s="16"/>
      <c r="M485" s="16"/>
      <c r="N485" s="16"/>
    </row>
    <row r="486" spans="1:14" x14ac:dyDescent="0.2">
      <c r="A486" s="28"/>
      <c r="B486" s="27"/>
      <c r="C486" s="27"/>
      <c r="F486" s="16"/>
      <c r="G486" s="16"/>
      <c r="H486" s="16"/>
      <c r="I486" s="16"/>
      <c r="J486" s="16"/>
      <c r="K486" s="16"/>
      <c r="L486" s="16"/>
      <c r="M486" s="16"/>
      <c r="N486" s="16"/>
    </row>
    <row r="487" spans="1:14" ht="15.75" x14ac:dyDescent="0.25">
      <c r="A487" s="1" t="s">
        <v>843</v>
      </c>
      <c r="B487" s="27"/>
      <c r="C487" s="27"/>
      <c r="F487" s="16"/>
      <c r="G487" s="16"/>
      <c r="H487" s="16"/>
      <c r="I487" s="16"/>
      <c r="J487" s="16"/>
      <c r="K487" s="16"/>
      <c r="L487" s="16"/>
      <c r="M487" s="16"/>
      <c r="N487" s="16"/>
    </row>
    <row r="488" spans="1:14" x14ac:dyDescent="0.2">
      <c r="A488" s="22" t="s">
        <v>844</v>
      </c>
      <c r="B488" s="27"/>
      <c r="C488" s="27"/>
      <c r="F488" s="16"/>
      <c r="G488" s="16"/>
      <c r="H488" s="16"/>
      <c r="I488" s="16"/>
      <c r="J488" s="16"/>
      <c r="K488" s="16"/>
      <c r="L488" s="16"/>
      <c r="M488" s="16"/>
      <c r="N488" s="16"/>
    </row>
    <row r="489" spans="1:14" x14ac:dyDescent="0.2">
      <c r="A489" s="22" t="s">
        <v>1128</v>
      </c>
      <c r="B489" s="27"/>
      <c r="C489" s="27"/>
      <c r="F489" s="16"/>
      <c r="G489" s="16"/>
      <c r="H489" s="16"/>
      <c r="I489" s="16"/>
      <c r="J489" s="16"/>
      <c r="K489" s="16"/>
      <c r="L489" s="16"/>
      <c r="M489" s="16"/>
      <c r="N489" s="16"/>
    </row>
    <row r="490" spans="1:14" x14ac:dyDescent="0.2">
      <c r="A490" s="22" t="s">
        <v>1127</v>
      </c>
      <c r="B490" s="27"/>
      <c r="C490" s="27"/>
      <c r="F490" s="16"/>
      <c r="G490" s="16"/>
      <c r="H490" s="16"/>
      <c r="I490" s="16"/>
      <c r="J490" s="16"/>
      <c r="K490" s="16"/>
      <c r="L490" s="16"/>
      <c r="M490" s="16"/>
      <c r="N490" s="16"/>
    </row>
    <row r="491" spans="1:14" x14ac:dyDescent="0.2">
      <c r="A491" s="22" t="s">
        <v>79</v>
      </c>
      <c r="B491" s="27"/>
      <c r="C491" s="27"/>
      <c r="F491" s="16"/>
      <c r="G491" s="16"/>
      <c r="H491" s="16"/>
      <c r="I491" s="16"/>
      <c r="J491" s="16"/>
      <c r="K491" s="16"/>
      <c r="L491" s="16"/>
      <c r="M491" s="16"/>
      <c r="N491" s="16"/>
    </row>
    <row r="492" spans="1:14" ht="15.75" x14ac:dyDescent="0.25">
      <c r="B492" s="27"/>
      <c r="C492" s="27"/>
      <c r="E492" s="5" t="s">
        <v>1071</v>
      </c>
      <c r="F492" s="16"/>
      <c r="G492" s="16"/>
      <c r="H492" s="16"/>
      <c r="I492" s="16"/>
      <c r="J492" s="16"/>
      <c r="K492" s="16"/>
      <c r="L492" s="16"/>
      <c r="M492" s="16"/>
      <c r="N492" s="16"/>
    </row>
    <row r="493" spans="1:14" x14ac:dyDescent="0.2">
      <c r="A493" s="22" t="s">
        <v>80</v>
      </c>
      <c r="B493" s="27"/>
      <c r="C493" s="27"/>
      <c r="F493" s="16"/>
      <c r="G493" s="16"/>
      <c r="H493" s="16"/>
      <c r="I493" s="16"/>
      <c r="J493" s="16"/>
      <c r="K493" s="16"/>
      <c r="L493" s="16"/>
      <c r="M493" s="16"/>
      <c r="N493" s="16"/>
    </row>
    <row r="494" spans="1:14" x14ac:dyDescent="0.2">
      <c r="A494" s="22" t="s">
        <v>899</v>
      </c>
      <c r="B494" s="27"/>
      <c r="C494" s="27"/>
      <c r="F494" s="16"/>
      <c r="G494" s="16"/>
      <c r="H494" s="16"/>
      <c r="I494" s="16"/>
      <c r="J494" s="16"/>
      <c r="K494" s="16"/>
      <c r="L494" s="16"/>
      <c r="M494" s="16"/>
      <c r="N494" s="16"/>
    </row>
    <row r="495" spans="1:14" x14ac:dyDescent="0.2">
      <c r="F495" s="16"/>
      <c r="G495" s="16"/>
      <c r="H495" s="16"/>
      <c r="I495" s="16"/>
      <c r="J495" s="16"/>
      <c r="K495" s="16"/>
      <c r="L495" s="16"/>
      <c r="M495" s="16"/>
      <c r="N495" s="16"/>
    </row>
    <row r="496" spans="1:14" ht="15.75" x14ac:dyDescent="0.25">
      <c r="A496" s="4" t="s">
        <v>1126</v>
      </c>
      <c r="F496" s="16"/>
      <c r="G496" s="16"/>
      <c r="H496" s="16"/>
      <c r="I496" s="16"/>
      <c r="J496" s="16"/>
      <c r="K496" s="16"/>
      <c r="L496" s="16"/>
      <c r="M496" s="16"/>
      <c r="N496" s="16"/>
    </row>
    <row r="497" spans="1:14" ht="15.75" x14ac:dyDescent="0.25">
      <c r="A497" s="1" t="s">
        <v>900</v>
      </c>
      <c r="B497" s="27"/>
      <c r="C497" s="27"/>
      <c r="F497" s="16"/>
      <c r="G497" s="16"/>
      <c r="H497" s="16"/>
      <c r="I497" s="16"/>
      <c r="J497" s="16"/>
      <c r="K497" s="16"/>
      <c r="L497" s="16"/>
      <c r="M497" s="16"/>
      <c r="N497" s="16"/>
    </row>
    <row r="498" spans="1:14" ht="16.5" thickBot="1" x14ac:dyDescent="0.3">
      <c r="A498" s="1" t="s">
        <v>901</v>
      </c>
      <c r="B498" s="30" t="s">
        <v>109</v>
      </c>
      <c r="C498" s="27"/>
      <c r="F498" s="16"/>
      <c r="G498" s="16"/>
      <c r="H498" s="16"/>
      <c r="I498" s="16"/>
      <c r="J498" s="16"/>
      <c r="K498" s="16"/>
      <c r="L498" s="16"/>
      <c r="M498" s="16"/>
      <c r="N498" s="16"/>
    </row>
    <row r="499" spans="1:14" x14ac:dyDescent="0.2">
      <c r="A499" s="28" t="s">
        <v>902</v>
      </c>
      <c r="B499" s="31">
        <v>200</v>
      </c>
      <c r="C499" s="22" t="s">
        <v>496</v>
      </c>
      <c r="F499" s="16"/>
      <c r="G499" s="16"/>
      <c r="H499" s="16"/>
      <c r="I499" s="16"/>
      <c r="J499" s="16"/>
      <c r="K499" s="16"/>
      <c r="L499" s="16"/>
      <c r="M499" s="16"/>
      <c r="N499" s="16"/>
    </row>
    <row r="500" spans="1:14" x14ac:dyDescent="0.2">
      <c r="A500" s="28" t="s">
        <v>903</v>
      </c>
      <c r="B500" s="32">
        <v>4</v>
      </c>
      <c r="C500" s="22"/>
      <c r="F500" s="16"/>
      <c r="G500" s="16"/>
      <c r="H500" s="16"/>
      <c r="I500" s="16"/>
      <c r="J500" s="16"/>
      <c r="K500" s="16"/>
      <c r="L500" s="16"/>
      <c r="M500" s="16"/>
      <c r="N500" s="16"/>
    </row>
    <row r="501" spans="1:14" x14ac:dyDescent="0.2">
      <c r="A501" s="28" t="s">
        <v>904</v>
      </c>
      <c r="B501" s="47">
        <v>0.8</v>
      </c>
      <c r="C501" s="22"/>
      <c r="F501" s="16"/>
      <c r="G501" s="16"/>
      <c r="H501" s="16"/>
      <c r="I501" s="16"/>
      <c r="J501" s="16"/>
      <c r="K501" s="16"/>
      <c r="L501" s="16"/>
      <c r="M501" s="16"/>
      <c r="N501" s="16"/>
    </row>
    <row r="502" spans="1:14" ht="15.75" thickBot="1" x14ac:dyDescent="0.25">
      <c r="A502" s="28" t="s">
        <v>905</v>
      </c>
      <c r="B502" s="54">
        <v>1080</v>
      </c>
      <c r="C502" s="22" t="s">
        <v>1086</v>
      </c>
      <c r="F502" s="16"/>
      <c r="G502" s="16"/>
      <c r="H502" s="16"/>
      <c r="I502" s="16"/>
      <c r="J502" s="16"/>
      <c r="K502" s="16"/>
      <c r="L502" s="16"/>
      <c r="M502" s="16"/>
      <c r="N502" s="16"/>
    </row>
    <row r="503" spans="1:14" x14ac:dyDescent="0.2">
      <c r="A503" s="28"/>
      <c r="B503" s="27"/>
      <c r="C503" s="22"/>
      <c r="F503" s="16"/>
      <c r="G503" s="16"/>
      <c r="H503" s="16"/>
      <c r="I503" s="16"/>
      <c r="J503" s="16"/>
      <c r="K503" s="16"/>
      <c r="L503" s="16"/>
      <c r="M503" s="16"/>
      <c r="N503" s="16"/>
    </row>
    <row r="504" spans="1:14" ht="15.75" x14ac:dyDescent="0.25">
      <c r="A504" s="28"/>
      <c r="B504" s="30" t="s">
        <v>876</v>
      </c>
      <c r="C504" s="22"/>
      <c r="F504" s="16"/>
      <c r="G504" s="16"/>
      <c r="H504" s="16"/>
      <c r="I504" s="16"/>
      <c r="J504" s="16"/>
      <c r="K504" s="16"/>
      <c r="L504" s="16"/>
      <c r="M504" s="16"/>
      <c r="N504" s="16"/>
    </row>
    <row r="505" spans="1:14" ht="15.75" x14ac:dyDescent="0.25">
      <c r="A505" s="2" t="s">
        <v>906</v>
      </c>
      <c r="B505" s="5" t="s">
        <v>907</v>
      </c>
      <c r="C505" s="1" t="s">
        <v>496</v>
      </c>
      <c r="F505" s="16"/>
      <c r="G505" s="16"/>
      <c r="H505" s="16"/>
      <c r="I505" s="16"/>
      <c r="J505" s="16"/>
      <c r="K505" s="16"/>
      <c r="L505" s="16"/>
      <c r="M505" s="16"/>
      <c r="N505" s="16"/>
    </row>
    <row r="506" spans="1:14" ht="15.75" x14ac:dyDescent="0.25">
      <c r="A506" s="2" t="s">
        <v>908</v>
      </c>
      <c r="B506" s="5">
        <f>B499/B500</f>
        <v>50</v>
      </c>
      <c r="C506" s="1"/>
      <c r="F506" s="16"/>
      <c r="G506" s="16"/>
      <c r="H506" s="16"/>
      <c r="I506" s="16"/>
      <c r="J506" s="16"/>
      <c r="K506" s="16"/>
      <c r="L506" s="16"/>
      <c r="M506" s="16"/>
      <c r="N506" s="16"/>
    </row>
    <row r="507" spans="1:14" x14ac:dyDescent="0.2">
      <c r="A507" s="28"/>
      <c r="B507" s="27"/>
      <c r="C507" s="22"/>
      <c r="F507" s="16"/>
      <c r="G507" s="16"/>
      <c r="H507" s="16"/>
      <c r="I507" s="16"/>
      <c r="J507" s="16"/>
      <c r="K507" s="16"/>
      <c r="L507" s="16"/>
      <c r="M507" s="16"/>
      <c r="N507" s="16"/>
    </row>
    <row r="508" spans="1:14" ht="15.75" x14ac:dyDescent="0.25">
      <c r="A508" s="2" t="s">
        <v>909</v>
      </c>
      <c r="B508" s="5" t="s">
        <v>910</v>
      </c>
      <c r="C508" s="1"/>
      <c r="F508" s="16"/>
      <c r="G508" s="16"/>
      <c r="H508" s="16"/>
      <c r="I508" s="16"/>
      <c r="J508" s="16"/>
      <c r="K508" s="16"/>
      <c r="L508" s="16"/>
      <c r="M508" s="16"/>
      <c r="N508" s="16"/>
    </row>
    <row r="509" spans="1:14" ht="15.75" x14ac:dyDescent="0.25">
      <c r="A509" s="2" t="s">
        <v>1222</v>
      </c>
      <c r="B509" s="37">
        <f>1-B501</f>
        <v>0.19999999999999996</v>
      </c>
      <c r="C509" s="22"/>
      <c r="F509" s="16"/>
      <c r="G509" s="16"/>
      <c r="H509" s="16"/>
      <c r="I509" s="16"/>
      <c r="J509" s="16"/>
      <c r="K509" s="16"/>
      <c r="L509" s="16"/>
      <c r="M509" s="16"/>
      <c r="N509" s="16"/>
    </row>
    <row r="510" spans="1:14" x14ac:dyDescent="0.2">
      <c r="A510" s="28"/>
      <c r="B510" s="27"/>
      <c r="C510" s="22"/>
      <c r="F510" s="16"/>
      <c r="G510" s="16"/>
      <c r="H510" s="16"/>
      <c r="I510" s="16"/>
      <c r="J510" s="16"/>
      <c r="K510" s="16"/>
      <c r="L510" s="16"/>
      <c r="M510" s="16"/>
      <c r="N510" s="16"/>
    </row>
    <row r="511" spans="1:14" ht="15.75" x14ac:dyDescent="0.25">
      <c r="A511" s="2" t="s">
        <v>911</v>
      </c>
      <c r="B511" s="5">
        <f>B502/60</f>
        <v>18</v>
      </c>
      <c r="C511" s="1" t="s">
        <v>912</v>
      </c>
      <c r="F511" s="16"/>
      <c r="G511" s="16"/>
      <c r="H511" s="16"/>
      <c r="I511" s="16"/>
      <c r="J511" s="16"/>
      <c r="K511" s="16"/>
      <c r="L511" s="16"/>
      <c r="M511" s="16"/>
      <c r="N511" s="16"/>
    </row>
    <row r="512" spans="1:14" ht="15.75" x14ac:dyDescent="0.25">
      <c r="A512" s="2" t="s">
        <v>909</v>
      </c>
      <c r="B512" s="5" t="s">
        <v>913</v>
      </c>
      <c r="C512" s="22"/>
      <c r="F512" s="16"/>
      <c r="G512" s="16"/>
      <c r="H512" s="16"/>
      <c r="I512" s="16"/>
      <c r="J512" s="16"/>
      <c r="K512" s="16"/>
      <c r="L512" s="16"/>
      <c r="M512" s="16"/>
      <c r="N512" s="16"/>
    </row>
    <row r="513" spans="1:14" ht="15.75" x14ac:dyDescent="0.25">
      <c r="A513" s="2" t="s">
        <v>914</v>
      </c>
      <c r="B513" s="5" t="s">
        <v>915</v>
      </c>
      <c r="C513" s="22"/>
      <c r="F513" s="16"/>
      <c r="G513" s="16"/>
      <c r="H513" s="16"/>
      <c r="I513" s="16"/>
      <c r="J513" s="16"/>
      <c r="K513" s="16"/>
      <c r="L513" s="16"/>
      <c r="M513" s="16"/>
      <c r="N513" s="16"/>
    </row>
    <row r="514" spans="1:14" ht="15.75" x14ac:dyDescent="0.25">
      <c r="A514" s="2" t="s">
        <v>916</v>
      </c>
      <c r="B514" s="37">
        <f>B511/(1+(1/B509))^0.5</f>
        <v>7.3484692283495336</v>
      </c>
      <c r="C514" s="1" t="s">
        <v>456</v>
      </c>
      <c r="F514" s="16"/>
      <c r="G514" s="16"/>
      <c r="H514" s="16"/>
      <c r="I514" s="16"/>
      <c r="J514" s="16"/>
      <c r="K514" s="16"/>
      <c r="L514" s="16"/>
      <c r="M514" s="16"/>
      <c r="N514" s="16"/>
    </row>
    <row r="515" spans="1:14" x14ac:dyDescent="0.2">
      <c r="A515" s="28"/>
      <c r="B515" s="27"/>
      <c r="C515" s="22"/>
      <c r="F515" s="16"/>
      <c r="G515" s="16"/>
      <c r="H515" s="16"/>
      <c r="I515" s="16"/>
      <c r="J515" s="16"/>
      <c r="K515" s="16"/>
      <c r="L515" s="16"/>
      <c r="M515" s="16"/>
      <c r="N515" s="16"/>
    </row>
    <row r="516" spans="1:14" ht="15.75" x14ac:dyDescent="0.25">
      <c r="A516" s="2" t="s">
        <v>803</v>
      </c>
      <c r="B516" s="5">
        <v>386.4</v>
      </c>
      <c r="C516" s="1" t="s">
        <v>917</v>
      </c>
      <c r="F516" s="16"/>
      <c r="G516" s="16"/>
      <c r="H516" s="16"/>
      <c r="I516" s="16"/>
      <c r="J516" s="16"/>
      <c r="K516" s="16"/>
      <c r="L516" s="16"/>
      <c r="M516" s="16"/>
      <c r="N516" s="16"/>
    </row>
    <row r="517" spans="1:14" ht="15.75" x14ac:dyDescent="0.25">
      <c r="A517" s="2" t="s">
        <v>918</v>
      </c>
      <c r="B517" s="5" t="s">
        <v>919</v>
      </c>
      <c r="C517" s="1"/>
      <c r="F517" s="16"/>
      <c r="G517" s="16"/>
      <c r="H517" s="16"/>
      <c r="I517" s="16"/>
      <c r="J517" s="16"/>
      <c r="K517" s="16"/>
      <c r="L517" s="16"/>
      <c r="M517" s="16"/>
      <c r="N517" s="16"/>
    </row>
    <row r="518" spans="1:14" ht="15.75" x14ac:dyDescent="0.25">
      <c r="A518" s="2" t="s">
        <v>615</v>
      </c>
      <c r="B518" s="5" t="s">
        <v>920</v>
      </c>
      <c r="C518" s="1"/>
      <c r="F518" s="16"/>
      <c r="G518" s="16"/>
      <c r="H518" s="16"/>
      <c r="I518" s="16"/>
      <c r="J518" s="16"/>
      <c r="K518" s="16"/>
      <c r="L518" s="16"/>
      <c r="M518" s="16"/>
      <c r="N518" s="16"/>
    </row>
    <row r="519" spans="1:14" ht="15.75" x14ac:dyDescent="0.25">
      <c r="A519" s="2" t="s">
        <v>921</v>
      </c>
      <c r="B519" s="5" t="s">
        <v>922</v>
      </c>
      <c r="C519" s="1" t="s">
        <v>456</v>
      </c>
      <c r="F519" s="16"/>
      <c r="G519" s="16"/>
      <c r="H519" s="16"/>
      <c r="I519" s="16"/>
      <c r="J519" s="16"/>
      <c r="K519" s="16"/>
      <c r="L519" s="16"/>
      <c r="M519" s="16"/>
      <c r="N519" s="16"/>
    </row>
    <row r="520" spans="1:14" ht="15.75" x14ac:dyDescent="0.25">
      <c r="A520" s="2" t="s">
        <v>923</v>
      </c>
      <c r="B520" s="5" t="s">
        <v>924</v>
      </c>
      <c r="C520" s="1"/>
      <c r="F520" s="16"/>
      <c r="G520" s="16"/>
      <c r="H520" s="16"/>
      <c r="I520" s="16"/>
      <c r="J520" s="16"/>
      <c r="K520" s="16"/>
      <c r="L520" s="16"/>
      <c r="M520" s="16"/>
      <c r="N520" s="16"/>
    </row>
    <row r="521" spans="1:14" ht="15.75" x14ac:dyDescent="0.25">
      <c r="A521" s="2" t="s">
        <v>923</v>
      </c>
      <c r="B521" s="5" t="s">
        <v>925</v>
      </c>
      <c r="C521" s="1"/>
      <c r="F521" s="16"/>
      <c r="G521" s="16"/>
      <c r="H521" s="16"/>
      <c r="I521" s="16"/>
      <c r="J521" s="16"/>
      <c r="K521" s="16"/>
      <c r="L521" s="16"/>
      <c r="M521" s="16"/>
      <c r="N521" s="16"/>
    </row>
    <row r="522" spans="1:14" x14ac:dyDescent="0.2">
      <c r="A522" s="28"/>
      <c r="B522" s="27"/>
      <c r="C522" s="22"/>
      <c r="F522" s="16"/>
      <c r="G522" s="16"/>
      <c r="H522" s="16"/>
      <c r="I522" s="16"/>
      <c r="J522" s="16"/>
      <c r="K522" s="16"/>
      <c r="L522" s="16"/>
      <c r="M522" s="16"/>
      <c r="N522" s="16"/>
    </row>
    <row r="523" spans="1:14" ht="15.75" x14ac:dyDescent="0.25">
      <c r="A523" s="2" t="s">
        <v>926</v>
      </c>
      <c r="B523" s="5" t="s">
        <v>927</v>
      </c>
      <c r="C523" s="22"/>
      <c r="F523" s="16"/>
      <c r="G523" s="16"/>
      <c r="H523" s="16"/>
      <c r="I523" s="16"/>
      <c r="J523" s="16"/>
      <c r="K523" s="16"/>
      <c r="L523" s="16"/>
      <c r="M523" s="16"/>
      <c r="N523" s="16"/>
    </row>
    <row r="524" spans="1:14" ht="15.75" x14ac:dyDescent="0.25">
      <c r="A524" s="2" t="s">
        <v>443</v>
      </c>
      <c r="B524" s="3">
        <f>(3.128)^2/(B514)^2</f>
        <v>0.18119229629629635</v>
      </c>
      <c r="C524" s="1" t="s">
        <v>1078</v>
      </c>
      <c r="F524" s="16"/>
      <c r="G524" s="16"/>
      <c r="H524" s="16"/>
      <c r="I524" s="16"/>
      <c r="J524" s="16"/>
      <c r="K524" s="16"/>
      <c r="L524" s="16"/>
      <c r="M524" s="16"/>
      <c r="N524" s="16"/>
    </row>
    <row r="525" spans="1:14" x14ac:dyDescent="0.2">
      <c r="A525" s="28"/>
      <c r="B525" s="27" t="s">
        <v>1071</v>
      </c>
      <c r="C525" s="22"/>
      <c r="F525" s="16"/>
      <c r="G525" s="16"/>
      <c r="H525" s="16"/>
      <c r="I525" s="16"/>
      <c r="J525" s="16"/>
      <c r="K525" s="16"/>
      <c r="L525" s="16"/>
      <c r="M525" s="16"/>
      <c r="N525" s="16"/>
    </row>
    <row r="526" spans="1:14" ht="15.75" x14ac:dyDescent="0.25">
      <c r="A526" s="2" t="s">
        <v>928</v>
      </c>
      <c r="B526" s="5">
        <v>10</v>
      </c>
      <c r="C526" s="27"/>
      <c r="F526" s="16"/>
      <c r="G526" s="16"/>
      <c r="H526" s="16"/>
      <c r="I526" s="16"/>
      <c r="J526" s="16"/>
      <c r="K526" s="16"/>
      <c r="L526" s="16"/>
      <c r="M526" s="16"/>
      <c r="N526" s="16"/>
    </row>
    <row r="527" spans="1:14" ht="15.75" x14ac:dyDescent="0.25">
      <c r="A527" s="1" t="s">
        <v>155</v>
      </c>
      <c r="B527" s="5"/>
      <c r="C527" s="27"/>
      <c r="F527" s="16"/>
      <c r="G527" s="16"/>
      <c r="H527" s="16"/>
      <c r="I527" s="16"/>
      <c r="J527" s="16"/>
      <c r="K527" s="16"/>
      <c r="L527" s="16"/>
      <c r="M527" s="16"/>
      <c r="N527" s="16"/>
    </row>
    <row r="528" spans="1:14" ht="15.75" x14ac:dyDescent="0.25">
      <c r="A528" s="2"/>
      <c r="B528" s="5"/>
      <c r="C528" s="27"/>
      <c r="F528" s="16"/>
      <c r="G528" s="16"/>
      <c r="H528" s="16"/>
      <c r="I528" s="16"/>
      <c r="J528" s="16"/>
      <c r="K528" s="16"/>
      <c r="L528" s="16"/>
      <c r="M528" s="16"/>
      <c r="N528" s="16"/>
    </row>
    <row r="529" spans="1:14" ht="15.75" x14ac:dyDescent="0.25">
      <c r="A529" s="2"/>
      <c r="B529" s="5"/>
      <c r="C529" s="27"/>
      <c r="F529" s="16"/>
      <c r="G529" s="16"/>
      <c r="H529" s="16"/>
      <c r="I529" s="16"/>
      <c r="J529" s="16"/>
      <c r="K529" s="16"/>
      <c r="L529" s="16"/>
      <c r="M529" s="16"/>
      <c r="N529" s="16"/>
    </row>
    <row r="530" spans="1:14" ht="15.75" x14ac:dyDescent="0.25">
      <c r="A530" s="2" t="s">
        <v>929</v>
      </c>
      <c r="B530" s="5" t="s">
        <v>930</v>
      </c>
      <c r="C530" s="27"/>
      <c r="F530" s="16"/>
      <c r="G530" s="16"/>
      <c r="H530" s="16"/>
      <c r="I530" s="16"/>
      <c r="J530" s="16"/>
      <c r="K530" s="16"/>
      <c r="L530" s="16"/>
      <c r="M530" s="16"/>
      <c r="N530" s="16"/>
    </row>
    <row r="531" spans="1:14" ht="15.75" x14ac:dyDescent="0.25">
      <c r="A531" s="2" t="s">
        <v>931</v>
      </c>
      <c r="B531" s="5" t="s">
        <v>932</v>
      </c>
      <c r="C531" s="27"/>
      <c r="F531" s="16"/>
      <c r="G531" s="16"/>
      <c r="H531" s="16"/>
      <c r="I531" s="16"/>
      <c r="J531" s="16"/>
      <c r="K531" s="16"/>
      <c r="L531" s="16"/>
      <c r="M531" s="16"/>
      <c r="N531" s="16"/>
    </row>
    <row r="532" spans="1:14" ht="15.75" x14ac:dyDescent="0.25">
      <c r="A532" s="2" t="s">
        <v>933</v>
      </c>
      <c r="B532" s="37">
        <f>1/(2*B526)</f>
        <v>0.05</v>
      </c>
      <c r="C532" s="27"/>
      <c r="F532" s="16"/>
      <c r="G532" s="16"/>
      <c r="H532" s="16"/>
      <c r="I532" s="16"/>
      <c r="J532" s="16"/>
      <c r="K532" s="16"/>
      <c r="L532" s="16"/>
      <c r="M532" s="16"/>
      <c r="N532" s="16"/>
    </row>
    <row r="533" spans="1:14" x14ac:dyDescent="0.2">
      <c r="A533" s="28"/>
      <c r="B533" s="27"/>
      <c r="C533" s="27"/>
      <c r="F533" s="16"/>
      <c r="G533" s="16"/>
      <c r="H533" s="16"/>
      <c r="I533" s="16"/>
      <c r="J533" s="16"/>
      <c r="K533" s="16"/>
      <c r="L533" s="16"/>
      <c r="M533" s="16"/>
      <c r="N533" s="16"/>
    </row>
    <row r="534" spans="1:14" ht="15.75" x14ac:dyDescent="0.25">
      <c r="A534" s="2" t="s">
        <v>934</v>
      </c>
      <c r="B534" s="22" t="s">
        <v>935</v>
      </c>
      <c r="C534" s="27"/>
      <c r="F534" s="16"/>
      <c r="G534" s="16"/>
      <c r="H534" s="16"/>
      <c r="I534" s="16"/>
      <c r="J534" s="16"/>
      <c r="K534" s="16"/>
      <c r="L534" s="16"/>
      <c r="M534" s="16"/>
      <c r="N534" s="16"/>
    </row>
    <row r="535" spans="1:14" ht="15.75" x14ac:dyDescent="0.25">
      <c r="A535" s="2" t="s">
        <v>936</v>
      </c>
      <c r="B535" s="211" t="s">
        <v>937</v>
      </c>
      <c r="C535" s="5"/>
      <c r="F535" s="16"/>
      <c r="G535" s="16"/>
      <c r="H535" s="16"/>
      <c r="I535" s="16"/>
      <c r="J535" s="16"/>
      <c r="K535" s="16"/>
      <c r="L535" s="16"/>
      <c r="M535" s="16"/>
      <c r="N535" s="16"/>
    </row>
    <row r="536" spans="1:14" ht="15.75" x14ac:dyDescent="0.25">
      <c r="A536" s="2" t="s">
        <v>938</v>
      </c>
      <c r="B536" s="5"/>
      <c r="C536" s="5"/>
      <c r="F536" s="16"/>
      <c r="G536" s="16"/>
      <c r="H536" s="16"/>
      <c r="I536" s="16"/>
      <c r="J536" s="16"/>
      <c r="K536" s="16"/>
      <c r="L536" s="16"/>
      <c r="M536" s="16"/>
      <c r="N536" s="16"/>
    </row>
    <row r="537" spans="1:14" ht="15.75" x14ac:dyDescent="0.25">
      <c r="A537" s="2" t="s">
        <v>939</v>
      </c>
      <c r="B537" s="5"/>
      <c r="C537" s="5"/>
      <c r="F537" s="16"/>
      <c r="G537" s="16"/>
      <c r="H537" s="16"/>
      <c r="I537" s="16"/>
      <c r="J537" s="16"/>
      <c r="K537" s="16"/>
      <c r="L537" s="16"/>
      <c r="M537" s="16"/>
      <c r="N537" s="16"/>
    </row>
    <row r="538" spans="1:14" ht="15.75" x14ac:dyDescent="0.25">
      <c r="A538" s="2" t="s">
        <v>940</v>
      </c>
      <c r="B538" s="5">
        <v>0.27500000000000002</v>
      </c>
      <c r="C538" s="1" t="s">
        <v>1078</v>
      </c>
      <c r="D538" s="12" t="s">
        <v>941</v>
      </c>
      <c r="F538" s="16"/>
      <c r="G538" s="16"/>
      <c r="H538" s="16"/>
      <c r="I538" s="16"/>
      <c r="J538" s="16"/>
      <c r="K538" s="16"/>
      <c r="L538" s="16"/>
      <c r="M538" s="16"/>
      <c r="N538" s="16"/>
    </row>
    <row r="539" spans="1:14" ht="15.75" x14ac:dyDescent="0.25">
      <c r="A539" s="2" t="s">
        <v>942</v>
      </c>
      <c r="B539" s="5">
        <v>7.2</v>
      </c>
      <c r="C539" s="1" t="s">
        <v>456</v>
      </c>
      <c r="F539" s="16"/>
      <c r="G539" s="16"/>
      <c r="H539" s="16"/>
      <c r="I539" s="16"/>
      <c r="J539" s="16"/>
      <c r="K539" s="16"/>
      <c r="L539" s="16"/>
      <c r="M539" s="16"/>
      <c r="N539" s="16"/>
    </row>
    <row r="540" spans="1:14" x14ac:dyDescent="0.2">
      <c r="C540" s="22"/>
      <c r="F540" s="16"/>
      <c r="G540" s="16"/>
      <c r="H540" s="16"/>
      <c r="I540" s="16"/>
      <c r="J540" s="16"/>
      <c r="K540" s="16"/>
      <c r="L540" s="16"/>
      <c r="M540" s="16"/>
      <c r="N540" s="16"/>
    </row>
    <row r="541" spans="1:14" x14ac:dyDescent="0.2">
      <c r="F541" s="16"/>
      <c r="G541" s="16"/>
      <c r="H541" s="16"/>
      <c r="I541" s="16"/>
      <c r="J541" s="16"/>
      <c r="K541" s="16"/>
      <c r="L541" s="16"/>
      <c r="M541" s="16"/>
      <c r="N541" s="16"/>
    </row>
    <row r="542" spans="1:14" x14ac:dyDescent="0.2">
      <c r="F542" s="16"/>
      <c r="G542" s="16"/>
      <c r="H542" s="16"/>
      <c r="I542" s="16"/>
      <c r="J542" s="16"/>
      <c r="K542" s="16"/>
      <c r="L542" s="16"/>
      <c r="M542" s="16"/>
      <c r="N542" s="16"/>
    </row>
    <row r="543" spans="1:14" x14ac:dyDescent="0.2">
      <c r="F543" s="16"/>
      <c r="G543" s="16"/>
      <c r="H543" s="16"/>
      <c r="I543" s="16"/>
      <c r="J543" s="16"/>
      <c r="K543" s="16"/>
      <c r="L543" s="16"/>
      <c r="M543" s="16"/>
      <c r="N543" s="16"/>
    </row>
    <row r="544" spans="1:14" x14ac:dyDescent="0.2">
      <c r="F544" s="16"/>
      <c r="G544" s="16"/>
      <c r="H544" s="16"/>
      <c r="I544" s="16"/>
      <c r="J544" s="16"/>
      <c r="K544" s="16"/>
      <c r="L544" s="16"/>
      <c r="M544" s="16"/>
      <c r="N544" s="16"/>
    </row>
    <row r="545" spans="6:14" x14ac:dyDescent="0.2">
      <c r="F545" s="16"/>
      <c r="G545" s="16"/>
      <c r="H545" s="16"/>
      <c r="I545" s="16"/>
      <c r="J545" s="16"/>
      <c r="K545" s="16"/>
      <c r="L545" s="16"/>
      <c r="M545" s="16"/>
      <c r="N545" s="16"/>
    </row>
    <row r="546" spans="6:14" x14ac:dyDescent="0.2">
      <c r="F546" s="16"/>
      <c r="G546" s="16"/>
      <c r="H546" s="16"/>
      <c r="I546" s="16"/>
      <c r="J546" s="16"/>
      <c r="K546" s="16"/>
      <c r="L546" s="16"/>
      <c r="M546" s="16"/>
      <c r="N546" s="16"/>
    </row>
    <row r="547" spans="6:14" x14ac:dyDescent="0.2">
      <c r="F547" s="16"/>
      <c r="G547" s="16"/>
      <c r="H547" s="16"/>
      <c r="I547" s="16"/>
      <c r="J547" s="16"/>
      <c r="K547" s="16"/>
      <c r="L547" s="16"/>
      <c r="M547" s="16"/>
      <c r="N547" s="16"/>
    </row>
    <row r="548" spans="6:14" x14ac:dyDescent="0.2">
      <c r="F548" s="16"/>
      <c r="G548" s="16"/>
      <c r="H548" s="16"/>
      <c r="I548" s="16"/>
      <c r="J548" s="16"/>
      <c r="K548" s="16"/>
      <c r="L548" s="16"/>
      <c r="M548" s="16"/>
      <c r="N548" s="16"/>
    </row>
    <row r="549" spans="6:14" x14ac:dyDescent="0.2">
      <c r="F549" s="16"/>
      <c r="G549" s="16"/>
      <c r="H549" s="16"/>
      <c r="I549" s="16"/>
      <c r="J549" s="16"/>
      <c r="K549" s="16"/>
      <c r="L549" s="16"/>
      <c r="M549" s="16"/>
      <c r="N549" s="16"/>
    </row>
    <row r="550" spans="6:14" x14ac:dyDescent="0.2">
      <c r="F550" s="16"/>
      <c r="G550" s="16"/>
      <c r="H550" s="16"/>
      <c r="I550" s="16"/>
      <c r="J550" s="16"/>
      <c r="K550" s="16"/>
      <c r="L550" s="16"/>
      <c r="M550" s="16"/>
      <c r="N550" s="16"/>
    </row>
    <row r="551" spans="6:14" x14ac:dyDescent="0.2">
      <c r="F551" s="16"/>
      <c r="G551" s="16"/>
      <c r="H551" s="16"/>
      <c r="I551" s="16"/>
      <c r="J551" s="16"/>
      <c r="K551" s="16"/>
      <c r="L551" s="16"/>
      <c r="M551" s="16"/>
      <c r="N551" s="16"/>
    </row>
    <row r="552" spans="6:14" x14ac:dyDescent="0.2">
      <c r="F552" s="16"/>
      <c r="G552" s="16"/>
      <c r="H552" s="16"/>
      <c r="I552" s="16"/>
      <c r="J552" s="16"/>
      <c r="K552" s="16"/>
      <c r="L552" s="16"/>
      <c r="M552" s="16"/>
      <c r="N552" s="16"/>
    </row>
    <row r="553" spans="6:14" x14ac:dyDescent="0.2">
      <c r="F553" s="16"/>
      <c r="G553" s="16"/>
      <c r="H553" s="16"/>
      <c r="I553" s="16"/>
      <c r="J553" s="16"/>
      <c r="K553" s="16"/>
      <c r="L553" s="16"/>
      <c r="M553" s="16"/>
      <c r="N553" s="16"/>
    </row>
    <row r="554" spans="6:14" x14ac:dyDescent="0.2">
      <c r="F554" s="16"/>
      <c r="G554" s="16"/>
      <c r="H554" s="16"/>
      <c r="I554" s="16"/>
      <c r="J554" s="16"/>
      <c r="K554" s="16"/>
      <c r="L554" s="16"/>
      <c r="M554" s="16"/>
      <c r="N554" s="16"/>
    </row>
    <row r="555" spans="6:14" x14ac:dyDescent="0.2">
      <c r="F555" s="16"/>
      <c r="G555" s="16"/>
      <c r="H555" s="16"/>
      <c r="I555" s="16"/>
      <c r="J555" s="16"/>
      <c r="K555" s="16"/>
      <c r="L555" s="16"/>
      <c r="M555" s="16"/>
      <c r="N555" s="16"/>
    </row>
    <row r="556" spans="6:14" x14ac:dyDescent="0.2">
      <c r="F556" s="16"/>
      <c r="G556" s="16"/>
      <c r="H556" s="16"/>
      <c r="I556" s="16"/>
      <c r="J556" s="16"/>
      <c r="K556" s="16"/>
      <c r="L556" s="16"/>
      <c r="M556" s="16"/>
      <c r="N556" s="16"/>
    </row>
    <row r="557" spans="6:14" x14ac:dyDescent="0.2">
      <c r="F557" s="16"/>
      <c r="G557" s="16"/>
      <c r="H557" s="16"/>
      <c r="I557" s="16"/>
      <c r="J557" s="16"/>
      <c r="K557" s="16"/>
      <c r="L557" s="16"/>
      <c r="M557" s="16"/>
      <c r="N557" s="16"/>
    </row>
    <row r="558" spans="6:14" x14ac:dyDescent="0.2">
      <c r="F558" s="16"/>
      <c r="G558" s="16"/>
      <c r="H558" s="16"/>
      <c r="I558" s="16"/>
      <c r="J558" s="16"/>
      <c r="K558" s="16"/>
      <c r="L558" s="16"/>
      <c r="M558" s="16"/>
      <c r="N558" s="16"/>
    </row>
    <row r="559" spans="6:14" x14ac:dyDescent="0.2">
      <c r="F559" s="16"/>
      <c r="G559" s="16"/>
      <c r="H559" s="16"/>
      <c r="I559" s="16"/>
      <c r="J559" s="16"/>
      <c r="K559" s="16"/>
      <c r="L559" s="16"/>
      <c r="M559" s="16"/>
      <c r="N559" s="16"/>
    </row>
    <row r="560" spans="6:14" x14ac:dyDescent="0.2">
      <c r="F560" s="16"/>
      <c r="G560" s="16"/>
      <c r="H560" s="16"/>
      <c r="I560" s="16"/>
      <c r="J560" s="16"/>
      <c r="K560" s="16"/>
      <c r="L560" s="16"/>
      <c r="M560" s="16"/>
      <c r="N560" s="16"/>
    </row>
    <row r="561" spans="1:14" x14ac:dyDescent="0.2">
      <c r="F561" s="16"/>
      <c r="G561" s="16"/>
      <c r="H561" s="16"/>
      <c r="I561" s="16"/>
      <c r="J561" s="16"/>
      <c r="K561" s="16"/>
      <c r="L561" s="16"/>
      <c r="M561" s="16"/>
      <c r="N561" s="16"/>
    </row>
    <row r="562" spans="1:14" x14ac:dyDescent="0.2">
      <c r="F562" s="16"/>
      <c r="G562" s="16"/>
      <c r="H562" s="16"/>
      <c r="I562" s="16"/>
      <c r="J562" s="16"/>
      <c r="K562" s="16"/>
      <c r="L562" s="16"/>
      <c r="M562" s="16"/>
      <c r="N562" s="16"/>
    </row>
    <row r="563" spans="1:14" x14ac:dyDescent="0.2">
      <c r="F563" s="16"/>
      <c r="G563" s="16"/>
      <c r="H563" s="16"/>
      <c r="I563" s="16"/>
      <c r="J563" s="16"/>
      <c r="K563" s="16"/>
      <c r="L563" s="16"/>
      <c r="M563" s="16"/>
      <c r="N563" s="16"/>
    </row>
    <row r="564" spans="1:14" x14ac:dyDescent="0.2">
      <c r="F564" s="16"/>
      <c r="G564" s="16"/>
      <c r="H564" s="16"/>
      <c r="I564" s="16"/>
      <c r="J564" s="16"/>
      <c r="K564" s="16"/>
      <c r="L564" s="16"/>
      <c r="M564" s="16"/>
      <c r="N564" s="16"/>
    </row>
    <row r="565" spans="1:14" x14ac:dyDescent="0.2">
      <c r="F565" s="16"/>
      <c r="G565" s="16"/>
      <c r="H565" s="16"/>
      <c r="I565" s="16"/>
      <c r="J565" s="16"/>
      <c r="K565" s="16"/>
      <c r="L565" s="16"/>
      <c r="M565" s="16"/>
      <c r="N565" s="16"/>
    </row>
    <row r="566" spans="1:14" x14ac:dyDescent="0.2">
      <c r="F566" s="16"/>
      <c r="G566" s="16"/>
      <c r="H566" s="16"/>
      <c r="I566" s="16"/>
      <c r="J566" s="16"/>
      <c r="K566" s="16"/>
      <c r="L566" s="16"/>
      <c r="M566" s="16"/>
      <c r="N566" s="16"/>
    </row>
    <row r="567" spans="1:14" x14ac:dyDescent="0.2">
      <c r="F567" s="16"/>
      <c r="G567" s="16"/>
      <c r="H567" s="16"/>
      <c r="I567" s="16"/>
      <c r="J567" s="16"/>
      <c r="K567" s="16"/>
      <c r="L567" s="16"/>
      <c r="M567" s="16"/>
      <c r="N567" s="16"/>
    </row>
    <row r="568" spans="1:14" x14ac:dyDescent="0.2">
      <c r="A568" s="23"/>
      <c r="B568" s="23"/>
      <c r="C568" s="23"/>
      <c r="D568" s="23"/>
      <c r="E568" s="23"/>
      <c r="F568" s="16"/>
      <c r="G568" s="16"/>
      <c r="H568" s="16"/>
      <c r="I568" s="16"/>
      <c r="J568" s="16"/>
      <c r="K568" s="16"/>
      <c r="L568" s="16"/>
      <c r="M568" s="16"/>
      <c r="N568" s="16"/>
    </row>
    <row r="569" spans="1:14" x14ac:dyDescent="0.2">
      <c r="F569" s="16"/>
      <c r="G569" s="16"/>
      <c r="H569" s="16"/>
      <c r="I569" s="16"/>
      <c r="J569" s="16"/>
      <c r="K569" s="16"/>
      <c r="L569" s="16"/>
      <c r="M569" s="16"/>
      <c r="N569" s="16"/>
    </row>
    <row r="570" spans="1:14" x14ac:dyDescent="0.2">
      <c r="F570" s="16"/>
      <c r="G570" s="16"/>
      <c r="H570" s="16"/>
      <c r="I570" s="16"/>
      <c r="J570" s="16"/>
      <c r="K570" s="16"/>
      <c r="L570" s="16"/>
      <c r="M570" s="16"/>
      <c r="N570" s="16"/>
    </row>
    <row r="571" spans="1:14" x14ac:dyDescent="0.2">
      <c r="F571" s="16"/>
      <c r="G571" s="16"/>
      <c r="H571" s="16"/>
      <c r="I571" s="16"/>
      <c r="J571" s="16"/>
      <c r="K571" s="16"/>
      <c r="L571" s="16"/>
      <c r="M571" s="16"/>
      <c r="N571" s="16"/>
    </row>
    <row r="572" spans="1:14" x14ac:dyDescent="0.2">
      <c r="F572" s="16"/>
      <c r="G572" s="16"/>
      <c r="H572" s="16"/>
      <c r="I572" s="16"/>
      <c r="J572" s="16"/>
      <c r="K572" s="16"/>
      <c r="L572" s="16"/>
      <c r="M572" s="16"/>
      <c r="N572" s="16"/>
    </row>
    <row r="573" spans="1:14" x14ac:dyDescent="0.2">
      <c r="F573" s="16"/>
      <c r="G573" s="16"/>
      <c r="H573" s="16"/>
      <c r="I573" s="16"/>
      <c r="J573" s="16"/>
      <c r="K573" s="16"/>
      <c r="L573" s="16"/>
      <c r="M573" s="16"/>
      <c r="N573" s="16"/>
    </row>
    <row r="574" spans="1:14" x14ac:dyDescent="0.2">
      <c r="F574" s="16"/>
      <c r="G574" s="16"/>
      <c r="H574" s="16"/>
      <c r="I574" s="16"/>
      <c r="J574" s="16"/>
      <c r="K574" s="16"/>
      <c r="L574" s="16"/>
      <c r="M574" s="16"/>
      <c r="N574" s="16"/>
    </row>
    <row r="575" spans="1:14" x14ac:dyDescent="0.2">
      <c r="F575" s="16"/>
      <c r="G575" s="16"/>
      <c r="H575" s="16"/>
      <c r="I575" s="16"/>
      <c r="J575" s="16"/>
      <c r="K575" s="16"/>
      <c r="L575" s="16"/>
      <c r="M575" s="16"/>
      <c r="N575" s="16"/>
    </row>
    <row r="576" spans="1:14" x14ac:dyDescent="0.2">
      <c r="A576" s="28"/>
      <c r="B576" s="27"/>
      <c r="C576" s="27"/>
      <c r="F576" s="16"/>
      <c r="G576" s="16"/>
      <c r="H576" s="16"/>
      <c r="I576" s="16"/>
      <c r="J576" s="16"/>
      <c r="K576" s="16"/>
      <c r="L576" s="16"/>
      <c r="M576" s="16"/>
      <c r="N576" s="16"/>
    </row>
    <row r="577" spans="1:14" x14ac:dyDescent="0.2">
      <c r="A577" s="28"/>
      <c r="B577" s="27"/>
      <c r="C577" s="27"/>
      <c r="F577" s="16"/>
      <c r="G577" s="16"/>
      <c r="H577" s="16"/>
      <c r="I577" s="16"/>
      <c r="J577" s="16"/>
      <c r="K577" s="16"/>
      <c r="L577" s="16"/>
      <c r="M577" s="16"/>
      <c r="N577" s="16"/>
    </row>
    <row r="578" spans="1:14" ht="15.75" x14ac:dyDescent="0.25">
      <c r="A578" s="28"/>
      <c r="B578" s="27"/>
      <c r="C578" s="27"/>
      <c r="E578" s="5" t="s">
        <v>1071</v>
      </c>
      <c r="F578" s="16"/>
      <c r="G578" s="16"/>
      <c r="H578" s="16"/>
      <c r="I578" s="16"/>
      <c r="J578" s="16"/>
      <c r="K578" s="16"/>
      <c r="L578" s="16"/>
      <c r="M578" s="16"/>
      <c r="N578" s="16"/>
    </row>
    <row r="579" spans="1:14" x14ac:dyDescent="0.2">
      <c r="A579" s="28"/>
      <c r="B579" s="27"/>
      <c r="C579" s="27"/>
      <c r="F579" s="16"/>
      <c r="G579" s="16"/>
      <c r="H579" s="16"/>
      <c r="I579" s="16"/>
      <c r="J579" s="16"/>
      <c r="K579" s="16"/>
      <c r="L579" s="16"/>
      <c r="M579" s="16"/>
      <c r="N579" s="16"/>
    </row>
    <row r="580" spans="1:14" x14ac:dyDescent="0.2">
      <c r="A580" s="28"/>
      <c r="B580" s="27"/>
      <c r="C580" s="27"/>
      <c r="F580" s="16"/>
      <c r="G580" s="16"/>
      <c r="H580" s="16"/>
      <c r="I580" s="16"/>
      <c r="J580" s="16"/>
      <c r="K580" s="16"/>
      <c r="L580" s="16"/>
      <c r="M580" s="16"/>
      <c r="N580" s="16"/>
    </row>
    <row r="581" spans="1:14" x14ac:dyDescent="0.2">
      <c r="A581" s="28"/>
      <c r="B581" s="27"/>
      <c r="C581" s="27"/>
      <c r="F581" s="16"/>
      <c r="G581" s="16"/>
      <c r="H581" s="16"/>
      <c r="I581" s="16"/>
      <c r="J581" s="16"/>
      <c r="K581" s="16"/>
      <c r="L581" s="16"/>
      <c r="M581" s="16"/>
      <c r="N581" s="16"/>
    </row>
    <row r="582" spans="1:14" x14ac:dyDescent="0.2">
      <c r="A582" s="28"/>
      <c r="B582" s="27"/>
      <c r="C582" s="27"/>
      <c r="F582" s="16"/>
      <c r="G582" s="16"/>
      <c r="H582" s="16"/>
      <c r="I582" s="16"/>
      <c r="J582" s="16"/>
      <c r="K582" s="16"/>
      <c r="L582" s="16"/>
      <c r="M582" s="16"/>
      <c r="N582" s="16"/>
    </row>
    <row r="583" spans="1:14" x14ac:dyDescent="0.2">
      <c r="A583" s="28"/>
      <c r="B583" s="27"/>
      <c r="C583" s="27"/>
      <c r="F583" s="16"/>
      <c r="G583" s="16"/>
      <c r="H583" s="16"/>
      <c r="I583" s="16"/>
      <c r="J583" s="16"/>
      <c r="K583" s="16"/>
      <c r="L583" s="16"/>
      <c r="M583" s="16"/>
      <c r="N583" s="16"/>
    </row>
    <row r="584" spans="1:14" x14ac:dyDescent="0.2">
      <c r="A584" s="28"/>
      <c r="B584" s="27"/>
      <c r="C584" s="27"/>
      <c r="F584" s="16"/>
      <c r="G584" s="16"/>
      <c r="H584" s="16"/>
      <c r="I584" s="16"/>
      <c r="J584" s="16"/>
      <c r="K584" s="16"/>
      <c r="L584" s="16"/>
      <c r="M584" s="16"/>
      <c r="N584" s="16"/>
    </row>
    <row r="585" spans="1:14" x14ac:dyDescent="0.2">
      <c r="A585" s="28"/>
      <c r="B585" s="27"/>
      <c r="C585" s="27"/>
      <c r="F585" s="16"/>
      <c r="G585" s="16"/>
      <c r="H585" s="16"/>
      <c r="I585" s="16"/>
      <c r="J585" s="16"/>
      <c r="K585" s="16"/>
      <c r="L585" s="16"/>
      <c r="M585" s="16"/>
      <c r="N585" s="16"/>
    </row>
    <row r="586" spans="1:14" x14ac:dyDescent="0.2">
      <c r="A586" s="28"/>
      <c r="B586" s="27"/>
      <c r="C586" s="27"/>
      <c r="F586" s="16"/>
      <c r="G586" s="16"/>
      <c r="H586" s="16"/>
      <c r="I586" s="16"/>
      <c r="J586" s="16"/>
      <c r="K586" s="16"/>
      <c r="L586" s="16"/>
      <c r="M586" s="16"/>
      <c r="N586" s="16"/>
    </row>
    <row r="587" spans="1:14" x14ac:dyDescent="0.2">
      <c r="A587" s="28"/>
      <c r="B587" s="27"/>
      <c r="C587" s="27"/>
      <c r="F587" s="16"/>
      <c r="G587" s="16"/>
      <c r="H587" s="16"/>
      <c r="I587" s="16"/>
      <c r="J587" s="16"/>
      <c r="K587" s="16"/>
      <c r="L587" s="16"/>
      <c r="M587" s="16"/>
      <c r="N587" s="16"/>
    </row>
    <row r="588" spans="1:14" x14ac:dyDescent="0.2">
      <c r="A588" s="28"/>
      <c r="B588" s="27"/>
      <c r="C588" s="27"/>
      <c r="F588" s="16"/>
      <c r="G588" s="16"/>
      <c r="H588" s="16"/>
      <c r="I588" s="16"/>
      <c r="J588" s="16"/>
      <c r="K588" s="16"/>
      <c r="L588" s="16"/>
      <c r="M588" s="16"/>
      <c r="N588" s="16"/>
    </row>
    <row r="589" spans="1:14" x14ac:dyDescent="0.2">
      <c r="A589" s="28"/>
      <c r="B589" s="27"/>
      <c r="C589" s="27"/>
      <c r="F589" s="16"/>
      <c r="G589" s="16"/>
      <c r="H589" s="16"/>
      <c r="I589" s="16"/>
      <c r="J589" s="16"/>
      <c r="K589" s="16"/>
      <c r="L589" s="16"/>
      <c r="M589" s="16"/>
      <c r="N589" s="16"/>
    </row>
    <row r="590" spans="1:14" x14ac:dyDescent="0.2">
      <c r="A590" s="28"/>
      <c r="B590" s="27"/>
      <c r="C590" s="27"/>
      <c r="F590" s="16"/>
      <c r="G590" s="16"/>
      <c r="H590" s="16"/>
      <c r="I590" s="16"/>
      <c r="J590" s="16"/>
      <c r="K590" s="16"/>
      <c r="L590" s="16"/>
      <c r="M590" s="16"/>
      <c r="N590" s="16"/>
    </row>
    <row r="591" spans="1:14" x14ac:dyDescent="0.2">
      <c r="A591" s="28"/>
      <c r="B591" s="27"/>
      <c r="C591" s="27"/>
      <c r="F591" s="16"/>
      <c r="G591" s="16"/>
      <c r="H591" s="16"/>
      <c r="I591" s="16"/>
      <c r="J591" s="16"/>
      <c r="K591" s="16"/>
      <c r="L591" s="16"/>
      <c r="M591" s="16"/>
      <c r="N591" s="16"/>
    </row>
    <row r="592" spans="1:14" x14ac:dyDescent="0.2">
      <c r="A592" s="28"/>
      <c r="B592" s="27"/>
      <c r="C592" s="27"/>
      <c r="F592" s="16"/>
      <c r="G592" s="16"/>
      <c r="H592" s="16"/>
      <c r="I592" s="16"/>
      <c r="J592" s="16"/>
      <c r="K592" s="16"/>
      <c r="L592" s="16"/>
      <c r="M592" s="16"/>
      <c r="N592" s="16"/>
    </row>
    <row r="593" spans="1:14" x14ac:dyDescent="0.2">
      <c r="A593" s="28"/>
      <c r="B593" s="27"/>
      <c r="C593" s="27"/>
      <c r="F593" s="16"/>
      <c r="G593" s="16"/>
      <c r="H593" s="16"/>
      <c r="I593" s="16"/>
      <c r="J593" s="16"/>
      <c r="K593" s="16"/>
      <c r="L593" s="16"/>
      <c r="M593" s="16"/>
      <c r="N593" s="16"/>
    </row>
    <row r="594" spans="1:14" ht="15.75" x14ac:dyDescent="0.25">
      <c r="A594" s="28"/>
      <c r="B594" s="27"/>
      <c r="C594" s="27"/>
      <c r="D594" s="5" t="s">
        <v>1071</v>
      </c>
      <c r="F594" s="16"/>
      <c r="G594" s="16"/>
      <c r="H594" s="16"/>
      <c r="I594" s="16"/>
      <c r="J594" s="16"/>
      <c r="K594" s="16"/>
      <c r="L594" s="16"/>
      <c r="M594" s="16"/>
      <c r="N594" s="16"/>
    </row>
    <row r="595" spans="1:14" x14ac:dyDescent="0.2">
      <c r="A595" s="28"/>
      <c r="B595" s="27"/>
      <c r="C595" s="27"/>
      <c r="F595" s="16"/>
      <c r="G595" s="16"/>
      <c r="H595" s="16"/>
      <c r="I595" s="16"/>
      <c r="J595" s="16"/>
      <c r="K595" s="16"/>
      <c r="L595" s="16"/>
      <c r="M595" s="16"/>
      <c r="N595" s="16"/>
    </row>
    <row r="596" spans="1:14" x14ac:dyDescent="0.2">
      <c r="A596" s="28"/>
      <c r="B596" s="27"/>
      <c r="C596" s="27"/>
      <c r="F596" s="16"/>
      <c r="G596" s="16"/>
      <c r="H596" s="16"/>
      <c r="I596" s="16"/>
      <c r="J596" s="16"/>
      <c r="K596" s="16"/>
      <c r="L596" s="16"/>
      <c r="M596" s="16"/>
      <c r="N596" s="16"/>
    </row>
    <row r="597" spans="1:14" x14ac:dyDescent="0.2">
      <c r="A597" s="28"/>
      <c r="B597" s="27"/>
      <c r="C597" s="27"/>
      <c r="F597" s="16"/>
      <c r="G597" s="16"/>
      <c r="H597" s="16"/>
      <c r="I597" s="16"/>
      <c r="J597" s="16"/>
      <c r="K597" s="16"/>
      <c r="L597" s="16"/>
      <c r="M597" s="16"/>
      <c r="N597" s="16"/>
    </row>
    <row r="598" spans="1:14" x14ac:dyDescent="0.2">
      <c r="A598" s="28"/>
      <c r="B598" s="27"/>
      <c r="C598" s="27"/>
      <c r="F598" s="16"/>
      <c r="G598" s="16"/>
      <c r="H598" s="16"/>
      <c r="I598" s="16"/>
      <c r="J598" s="16"/>
      <c r="K598" s="16"/>
      <c r="L598" s="16"/>
      <c r="M598" s="16"/>
      <c r="N598" s="16"/>
    </row>
    <row r="599" spans="1:14" x14ac:dyDescent="0.2">
      <c r="A599" s="28"/>
      <c r="B599" s="27"/>
      <c r="C599" s="27"/>
      <c r="F599" s="16"/>
      <c r="G599" s="16"/>
      <c r="H599" s="16"/>
      <c r="I599" s="16"/>
      <c r="J599" s="16"/>
      <c r="K599" s="16"/>
      <c r="L599" s="16"/>
      <c r="M599" s="16"/>
      <c r="N599" s="16"/>
    </row>
    <row r="600" spans="1:14" x14ac:dyDescent="0.2">
      <c r="A600" s="22" t="s">
        <v>943</v>
      </c>
      <c r="B600" s="27"/>
      <c r="C600" s="212"/>
      <c r="D600" s="12" t="s">
        <v>1071</v>
      </c>
      <c r="F600" s="16"/>
      <c r="G600" s="16"/>
      <c r="H600" s="16"/>
      <c r="I600" s="16"/>
      <c r="J600" s="16"/>
      <c r="K600" s="16"/>
      <c r="L600" s="16"/>
      <c r="M600" s="16"/>
      <c r="N600" s="16"/>
    </row>
    <row r="601" spans="1:14" x14ac:dyDescent="0.2">
      <c r="A601" s="213" t="s">
        <v>944</v>
      </c>
      <c r="B601" s="27"/>
      <c r="C601" s="27"/>
      <c r="F601" s="16"/>
      <c r="G601" s="16"/>
      <c r="H601" s="16"/>
      <c r="I601" s="16"/>
      <c r="J601" s="16"/>
      <c r="K601" s="16"/>
      <c r="L601" s="16"/>
      <c r="M601" s="16"/>
      <c r="N601" s="16"/>
    </row>
    <row r="602" spans="1:14" x14ac:dyDescent="0.2">
      <c r="A602" s="22" t="s">
        <v>945</v>
      </c>
      <c r="B602" s="27"/>
      <c r="C602" s="27"/>
      <c r="F602" s="16"/>
      <c r="G602" s="16"/>
      <c r="H602" s="16"/>
      <c r="I602" s="16"/>
      <c r="J602" s="16"/>
      <c r="K602" s="16"/>
      <c r="L602" s="16"/>
      <c r="M602" s="16"/>
      <c r="N602" s="16"/>
    </row>
    <row r="603" spans="1:14" x14ac:dyDescent="0.2">
      <c r="A603" s="22" t="s">
        <v>946</v>
      </c>
      <c r="B603" s="27"/>
      <c r="C603" s="27"/>
      <c r="F603" s="16"/>
      <c r="G603" s="16"/>
      <c r="H603" s="16"/>
      <c r="I603" s="16"/>
      <c r="J603" s="16"/>
      <c r="K603" s="16"/>
      <c r="L603" s="16"/>
      <c r="M603" s="16"/>
      <c r="N603" s="16"/>
    </row>
    <row r="604" spans="1:14" x14ac:dyDescent="0.2">
      <c r="A604" s="22" t="s">
        <v>954</v>
      </c>
      <c r="B604" s="27"/>
      <c r="C604" s="27"/>
      <c r="F604" s="16"/>
      <c r="G604" s="16"/>
      <c r="H604" s="16"/>
      <c r="I604" s="16"/>
      <c r="J604" s="16"/>
      <c r="K604" s="16"/>
      <c r="L604" s="16"/>
      <c r="M604" s="16"/>
      <c r="N604" s="16"/>
    </row>
    <row r="605" spans="1:14" x14ac:dyDescent="0.2">
      <c r="A605" s="22" t="s">
        <v>955</v>
      </c>
      <c r="B605" s="27"/>
      <c r="C605" s="27"/>
      <c r="F605" s="16"/>
      <c r="G605" s="16"/>
      <c r="H605" s="16"/>
      <c r="I605" s="16"/>
      <c r="J605" s="16"/>
      <c r="K605" s="16"/>
      <c r="L605" s="16"/>
      <c r="M605" s="16"/>
      <c r="N605" s="16"/>
    </row>
    <row r="606" spans="1:14" x14ac:dyDescent="0.2">
      <c r="A606" s="22" t="s">
        <v>956</v>
      </c>
      <c r="B606" s="27"/>
      <c r="C606" s="27"/>
      <c r="F606" s="16"/>
      <c r="G606" s="16"/>
      <c r="H606" s="16"/>
      <c r="I606" s="16"/>
      <c r="J606" s="16"/>
      <c r="K606" s="16"/>
      <c r="L606" s="16"/>
      <c r="M606" s="16"/>
      <c r="N606" s="16"/>
    </row>
    <row r="607" spans="1:14" x14ac:dyDescent="0.2">
      <c r="A607" s="22" t="s">
        <v>957</v>
      </c>
      <c r="B607" s="27"/>
      <c r="C607" s="27"/>
      <c r="F607" s="16"/>
      <c r="G607" s="16"/>
      <c r="H607" s="16"/>
      <c r="I607" s="16"/>
      <c r="J607" s="16"/>
      <c r="K607" s="16"/>
      <c r="L607" s="16"/>
      <c r="M607" s="16"/>
      <c r="N607" s="16"/>
    </row>
    <row r="608" spans="1:14" x14ac:dyDescent="0.2">
      <c r="B608" s="27"/>
      <c r="C608" s="27"/>
      <c r="F608" s="16"/>
      <c r="G608" s="16"/>
      <c r="H608" s="16"/>
      <c r="I608" s="16"/>
      <c r="J608" s="16"/>
      <c r="K608" s="16"/>
      <c r="L608" s="16"/>
      <c r="M608" s="16"/>
      <c r="N608" s="16"/>
    </row>
    <row r="609" spans="1:14" ht="15.75" x14ac:dyDescent="0.25">
      <c r="A609" s="1"/>
      <c r="B609" s="27"/>
      <c r="C609" s="27"/>
      <c r="F609" s="16"/>
      <c r="G609" s="16"/>
      <c r="H609" s="16"/>
      <c r="I609" s="16"/>
      <c r="J609" s="16"/>
      <c r="K609" s="16"/>
      <c r="L609" s="16"/>
      <c r="M609" s="16"/>
      <c r="N609" s="16"/>
    </row>
    <row r="610" spans="1:14" x14ac:dyDescent="0.2">
      <c r="F610" s="16"/>
      <c r="G610" s="16"/>
      <c r="H610" s="16"/>
      <c r="I610" s="16"/>
      <c r="J610" s="16"/>
      <c r="K610" s="16"/>
      <c r="L610" s="16"/>
      <c r="M610" s="16"/>
      <c r="N610" s="16"/>
    </row>
    <row r="611" spans="1:14" x14ac:dyDescent="0.2">
      <c r="F611" s="16"/>
      <c r="G611" s="16"/>
      <c r="H611" s="16"/>
      <c r="I611" s="16"/>
      <c r="J611" s="16"/>
      <c r="K611" s="16"/>
      <c r="L611" s="16"/>
      <c r="M611" s="16"/>
      <c r="N611" s="16"/>
    </row>
    <row r="612" spans="1:14" x14ac:dyDescent="0.2">
      <c r="F612" s="16"/>
      <c r="G612" s="16"/>
      <c r="H612" s="16"/>
      <c r="I612" s="16"/>
      <c r="J612" s="16"/>
      <c r="K612" s="16"/>
      <c r="L612" s="16"/>
      <c r="M612" s="16"/>
      <c r="N612" s="16"/>
    </row>
    <row r="613" spans="1:14" x14ac:dyDescent="0.2">
      <c r="F613" s="16"/>
      <c r="G613" s="16"/>
      <c r="H613" s="16"/>
      <c r="I613" s="16"/>
      <c r="J613" s="16"/>
      <c r="K613" s="16"/>
      <c r="L613" s="16"/>
      <c r="M613" s="16"/>
      <c r="N613" s="16"/>
    </row>
    <row r="614" spans="1:14" x14ac:dyDescent="0.2">
      <c r="F614" s="16"/>
      <c r="G614" s="16"/>
      <c r="H614" s="16"/>
      <c r="I614" s="16"/>
      <c r="J614" s="16"/>
      <c r="K614" s="16"/>
      <c r="L614" s="16"/>
      <c r="M614" s="16"/>
      <c r="N614" s="16"/>
    </row>
    <row r="615" spans="1:14" x14ac:dyDescent="0.2">
      <c r="F615" s="16"/>
      <c r="G615" s="16"/>
      <c r="H615" s="16"/>
      <c r="I615" s="16"/>
      <c r="J615" s="16"/>
      <c r="K615" s="16"/>
      <c r="L615" s="16"/>
      <c r="M615" s="16"/>
      <c r="N615" s="16"/>
    </row>
    <row r="616" spans="1:14" x14ac:dyDescent="0.2">
      <c r="F616" s="16"/>
      <c r="G616" s="16"/>
      <c r="H616" s="16"/>
      <c r="I616" s="16"/>
      <c r="J616" s="16"/>
      <c r="K616" s="16"/>
      <c r="L616" s="16"/>
      <c r="M616" s="16"/>
      <c r="N616" s="16"/>
    </row>
    <row r="617" spans="1:14" x14ac:dyDescent="0.2">
      <c r="F617" s="16"/>
      <c r="G617" s="16"/>
      <c r="H617" s="16"/>
      <c r="I617" s="16"/>
      <c r="J617" s="16"/>
      <c r="K617" s="16"/>
      <c r="L617" s="16"/>
      <c r="M617" s="16"/>
      <c r="N617" s="16"/>
    </row>
    <row r="618" spans="1:14" x14ac:dyDescent="0.2">
      <c r="F618" s="16"/>
      <c r="G618" s="16"/>
      <c r="H618" s="16"/>
      <c r="I618" s="16"/>
      <c r="J618" s="16"/>
      <c r="K618" s="16"/>
      <c r="L618" s="16"/>
      <c r="M618" s="16"/>
      <c r="N618" s="16"/>
    </row>
    <row r="619" spans="1:14" x14ac:dyDescent="0.2">
      <c r="F619" s="16"/>
      <c r="G619" s="16"/>
      <c r="H619" s="16"/>
      <c r="I619" s="16"/>
      <c r="J619" s="16"/>
      <c r="K619" s="16"/>
      <c r="L619" s="16"/>
      <c r="M619" s="16"/>
      <c r="N619" s="16"/>
    </row>
    <row r="620" spans="1:14" x14ac:dyDescent="0.2">
      <c r="F620" s="16"/>
      <c r="G620" s="16"/>
      <c r="H620" s="16"/>
      <c r="I620" s="16"/>
      <c r="J620" s="16"/>
      <c r="K620" s="16"/>
      <c r="L620" s="16"/>
      <c r="M620" s="16"/>
      <c r="N620" s="16"/>
    </row>
    <row r="621" spans="1:14" x14ac:dyDescent="0.2">
      <c r="F621" s="16"/>
      <c r="G621" s="16"/>
      <c r="H621" s="16"/>
      <c r="I621" s="16"/>
      <c r="J621" s="16"/>
      <c r="K621" s="16"/>
      <c r="L621" s="16"/>
      <c r="M621" s="16"/>
      <c r="N621" s="16"/>
    </row>
    <row r="622" spans="1:14" x14ac:dyDescent="0.2">
      <c r="F622" s="16"/>
      <c r="G622" s="16"/>
      <c r="H622" s="16"/>
      <c r="I622" s="16"/>
      <c r="J622" s="16"/>
      <c r="K622" s="16"/>
      <c r="L622" s="16"/>
      <c r="M622" s="16"/>
      <c r="N622" s="16"/>
    </row>
    <row r="623" spans="1:14" ht="15.75" x14ac:dyDescent="0.25">
      <c r="E623" s="5" t="s">
        <v>1071</v>
      </c>
      <c r="F623" s="16"/>
      <c r="G623" s="16"/>
      <c r="H623" s="16"/>
      <c r="I623" s="16"/>
      <c r="J623" s="16"/>
      <c r="K623" s="16"/>
      <c r="L623" s="16"/>
      <c r="M623" s="16"/>
      <c r="N623" s="16"/>
    </row>
    <row r="624" spans="1:14" x14ac:dyDescent="0.2">
      <c r="A624" s="28"/>
      <c r="B624" s="27"/>
      <c r="C624" s="27"/>
      <c r="F624" s="16"/>
      <c r="G624" s="16"/>
      <c r="H624" s="16"/>
      <c r="I624" s="16"/>
      <c r="J624" s="16"/>
      <c r="K624" s="16"/>
      <c r="L624" s="16"/>
      <c r="M624" s="16"/>
      <c r="N624" s="16"/>
    </row>
    <row r="625" spans="1:14" x14ac:dyDescent="0.2">
      <c r="A625" s="28"/>
      <c r="B625" s="27"/>
      <c r="C625" s="27"/>
      <c r="F625" s="16"/>
      <c r="G625" s="16"/>
      <c r="H625" s="16"/>
      <c r="I625" s="16"/>
      <c r="J625" s="16"/>
      <c r="K625" s="16"/>
      <c r="L625" s="16"/>
      <c r="M625" s="16"/>
      <c r="N625" s="16"/>
    </row>
    <row r="626" spans="1:14" x14ac:dyDescent="0.2">
      <c r="A626" s="28"/>
      <c r="B626" s="27"/>
      <c r="C626" s="27"/>
      <c r="F626" s="16"/>
      <c r="G626" s="16"/>
      <c r="H626" s="16"/>
      <c r="I626" s="16"/>
      <c r="J626" s="16"/>
      <c r="K626" s="16"/>
      <c r="L626" s="16"/>
      <c r="M626" s="16"/>
      <c r="N626" s="16"/>
    </row>
    <row r="627" spans="1:14" x14ac:dyDescent="0.2">
      <c r="A627" s="22" t="s">
        <v>972</v>
      </c>
      <c r="B627" s="27"/>
      <c r="C627" s="27"/>
      <c r="F627" s="16"/>
      <c r="G627" s="16"/>
      <c r="H627" s="16"/>
      <c r="I627" s="16"/>
      <c r="J627" s="16"/>
      <c r="K627" s="16"/>
      <c r="L627" s="16"/>
      <c r="M627" s="16"/>
      <c r="N627" s="16"/>
    </row>
    <row r="628" spans="1:14" x14ac:dyDescent="0.2">
      <c r="A628" s="28"/>
      <c r="B628" s="27"/>
      <c r="C628" s="27"/>
      <c r="F628" s="16"/>
      <c r="G628" s="16"/>
      <c r="H628" s="16"/>
      <c r="I628" s="16"/>
      <c r="J628" s="16"/>
      <c r="K628" s="16"/>
      <c r="L628" s="16"/>
      <c r="M628" s="16"/>
      <c r="N628" s="16"/>
    </row>
    <row r="629" spans="1:14" x14ac:dyDescent="0.2">
      <c r="A629" s="28"/>
      <c r="B629" s="27"/>
      <c r="C629" s="27"/>
      <c r="F629" s="16"/>
      <c r="G629" s="16"/>
      <c r="H629" s="16"/>
      <c r="I629" s="16"/>
      <c r="J629" s="16"/>
      <c r="K629" s="16"/>
      <c r="L629" s="16"/>
      <c r="M629" s="16"/>
      <c r="N629" s="16"/>
    </row>
    <row r="630" spans="1:14" x14ac:dyDescent="0.2">
      <c r="A630" s="28"/>
      <c r="B630" s="27"/>
      <c r="C630" s="27"/>
      <c r="F630" s="16"/>
      <c r="G630" s="16"/>
      <c r="H630" s="16"/>
      <c r="I630" s="16"/>
      <c r="J630" s="16"/>
      <c r="K630" s="16"/>
      <c r="L630" s="16"/>
      <c r="M630" s="16"/>
      <c r="N630" s="16"/>
    </row>
    <row r="631" spans="1:14" x14ac:dyDescent="0.2">
      <c r="A631" s="28"/>
      <c r="B631" s="27"/>
      <c r="C631" s="27"/>
      <c r="F631" s="16"/>
      <c r="G631" s="16"/>
      <c r="H631" s="16"/>
      <c r="I631" s="16"/>
      <c r="J631" s="16"/>
      <c r="K631" s="16"/>
      <c r="L631" s="16"/>
      <c r="M631" s="16"/>
      <c r="N631" s="16"/>
    </row>
    <row r="632" spans="1:14" x14ac:dyDescent="0.2">
      <c r="A632" s="28"/>
      <c r="B632" s="27"/>
      <c r="C632" s="27"/>
      <c r="F632" s="16"/>
      <c r="G632" s="16"/>
      <c r="H632" s="16"/>
      <c r="I632" s="16"/>
      <c r="J632" s="16"/>
      <c r="K632" s="16"/>
      <c r="L632" s="16"/>
      <c r="M632" s="16"/>
      <c r="N632" s="16"/>
    </row>
    <row r="633" spans="1:14" x14ac:dyDescent="0.2">
      <c r="A633" s="28"/>
      <c r="B633" s="27"/>
      <c r="C633" s="27"/>
      <c r="F633" s="16"/>
      <c r="G633" s="16"/>
      <c r="H633" s="16"/>
      <c r="I633" s="16"/>
      <c r="J633" s="16"/>
      <c r="K633" s="16"/>
      <c r="L633" s="16"/>
      <c r="M633" s="16"/>
      <c r="N633" s="16"/>
    </row>
    <row r="634" spans="1:14" x14ac:dyDescent="0.2">
      <c r="A634" s="28"/>
      <c r="B634" s="27"/>
      <c r="C634" s="27"/>
      <c r="F634" s="16"/>
      <c r="G634" s="16"/>
      <c r="H634" s="16"/>
      <c r="I634" s="16"/>
      <c r="J634" s="16"/>
      <c r="K634" s="16"/>
      <c r="L634" s="16"/>
      <c r="M634" s="16"/>
      <c r="N634" s="16"/>
    </row>
    <row r="635" spans="1:14" x14ac:dyDescent="0.2">
      <c r="A635" s="28"/>
      <c r="B635" s="27"/>
      <c r="C635" s="27"/>
      <c r="F635" s="16"/>
      <c r="G635" s="16"/>
      <c r="H635" s="16"/>
      <c r="I635" s="16"/>
      <c r="J635" s="16"/>
      <c r="K635" s="16"/>
      <c r="L635" s="16"/>
      <c r="M635" s="16"/>
      <c r="N635" s="16"/>
    </row>
    <row r="636" spans="1:14" x14ac:dyDescent="0.2">
      <c r="A636" s="28"/>
      <c r="B636" s="27"/>
      <c r="C636" s="27"/>
      <c r="F636" s="16"/>
      <c r="G636" s="16"/>
      <c r="H636" s="16"/>
      <c r="I636" s="16"/>
      <c r="J636" s="16"/>
      <c r="K636" s="16"/>
      <c r="L636" s="16"/>
      <c r="M636" s="16"/>
      <c r="N636" s="16"/>
    </row>
    <row r="637" spans="1:14" x14ac:dyDescent="0.2">
      <c r="A637" s="28"/>
      <c r="B637" s="27"/>
      <c r="C637" s="27"/>
      <c r="F637" s="16"/>
      <c r="G637" s="16"/>
      <c r="H637" s="16"/>
      <c r="I637" s="16"/>
      <c r="J637" s="16"/>
      <c r="K637" s="16"/>
      <c r="L637" s="16"/>
      <c r="M637" s="16"/>
      <c r="N637" s="16"/>
    </row>
    <row r="638" spans="1:14" x14ac:dyDescent="0.2">
      <c r="A638" s="28"/>
      <c r="B638" s="27"/>
      <c r="C638" s="27"/>
      <c r="F638" s="16"/>
      <c r="G638" s="16"/>
      <c r="H638" s="16"/>
      <c r="I638" s="16"/>
      <c r="J638" s="16"/>
      <c r="K638" s="16"/>
      <c r="L638" s="16"/>
      <c r="M638" s="16"/>
      <c r="N638" s="16"/>
    </row>
    <row r="639" spans="1:14" x14ac:dyDescent="0.2">
      <c r="A639" s="28"/>
      <c r="B639" s="27"/>
      <c r="C639" s="27"/>
      <c r="F639" s="16"/>
      <c r="G639" s="16"/>
      <c r="H639" s="16"/>
      <c r="I639" s="16"/>
      <c r="J639" s="16"/>
      <c r="K639" s="16"/>
      <c r="L639" s="16"/>
      <c r="M639" s="16"/>
      <c r="N639" s="16"/>
    </row>
    <row r="640" spans="1:14" x14ac:dyDescent="0.2">
      <c r="A640" s="28"/>
      <c r="B640" s="27"/>
      <c r="C640" s="27"/>
      <c r="F640" s="16"/>
      <c r="G640" s="16"/>
      <c r="H640" s="16"/>
      <c r="I640" s="16"/>
      <c r="J640" s="16"/>
      <c r="K640" s="16"/>
      <c r="L640" s="16"/>
      <c r="M640" s="16"/>
      <c r="N640" s="16"/>
    </row>
    <row r="641" spans="1:14" ht="15.75" x14ac:dyDescent="0.25">
      <c r="A641" s="28"/>
      <c r="B641" s="27"/>
      <c r="C641" s="27"/>
      <c r="D641" s="2" t="s">
        <v>1071</v>
      </c>
      <c r="F641" s="16"/>
      <c r="G641" s="16"/>
      <c r="H641" s="16"/>
      <c r="I641" s="16"/>
      <c r="J641" s="16"/>
      <c r="K641" s="16"/>
      <c r="L641" s="16"/>
      <c r="M641" s="16"/>
      <c r="N641" s="16"/>
    </row>
    <row r="642" spans="1:14" x14ac:dyDescent="0.2">
      <c r="A642" s="28"/>
      <c r="B642" s="27"/>
      <c r="C642" s="27"/>
      <c r="F642" s="16"/>
      <c r="G642" s="16"/>
      <c r="H642" s="16"/>
      <c r="I642" s="16"/>
      <c r="J642" s="16"/>
      <c r="K642" s="16"/>
      <c r="L642" s="16"/>
      <c r="M642" s="16"/>
      <c r="N642" s="16"/>
    </row>
    <row r="643" spans="1:14" x14ac:dyDescent="0.2">
      <c r="A643" s="28"/>
      <c r="B643" s="27"/>
      <c r="C643" s="27"/>
      <c r="F643" s="16"/>
      <c r="G643" s="16"/>
      <c r="H643" s="16"/>
      <c r="I643" s="16"/>
      <c r="J643" s="16"/>
      <c r="K643" s="16"/>
      <c r="L643" s="16"/>
      <c r="M643" s="16"/>
      <c r="N643" s="16"/>
    </row>
    <row r="644" spans="1:14" x14ac:dyDescent="0.2">
      <c r="A644" s="28"/>
      <c r="B644" s="27"/>
      <c r="C644" s="27"/>
      <c r="F644" s="16"/>
      <c r="G644" s="16"/>
      <c r="H644" s="16"/>
      <c r="I644" s="16"/>
      <c r="J644" s="16"/>
      <c r="K644" s="16"/>
      <c r="L644" s="16"/>
      <c r="M644" s="16"/>
      <c r="N644" s="16"/>
    </row>
    <row r="645" spans="1:14" x14ac:dyDescent="0.2">
      <c r="F645" s="16"/>
      <c r="G645" s="16"/>
      <c r="H645" s="16"/>
      <c r="I645" s="16"/>
      <c r="J645" s="16"/>
      <c r="K645" s="16"/>
      <c r="L645" s="16"/>
      <c r="M645" s="16"/>
      <c r="N645" s="16"/>
    </row>
    <row r="646" spans="1:14" x14ac:dyDescent="0.2">
      <c r="F646" s="16"/>
      <c r="G646" s="16"/>
      <c r="H646" s="16"/>
      <c r="I646" s="16"/>
      <c r="J646" s="16"/>
      <c r="K646" s="16"/>
      <c r="L646" s="16"/>
      <c r="M646" s="16"/>
      <c r="N646" s="16"/>
    </row>
    <row r="647" spans="1:14" x14ac:dyDescent="0.2">
      <c r="F647" s="16"/>
      <c r="G647" s="16"/>
      <c r="H647" s="16"/>
      <c r="I647" s="16"/>
      <c r="J647" s="16"/>
      <c r="K647" s="16"/>
      <c r="L647" s="16"/>
      <c r="M647" s="16"/>
      <c r="N647" s="16"/>
    </row>
    <row r="648" spans="1:14" x14ac:dyDescent="0.2">
      <c r="A648" s="23"/>
      <c r="B648" s="125"/>
      <c r="C648" s="125"/>
      <c r="D648" s="23"/>
      <c r="E648" s="23"/>
      <c r="F648" s="16"/>
      <c r="G648" s="16"/>
      <c r="H648" s="16"/>
      <c r="I648" s="16"/>
      <c r="J648" s="16"/>
      <c r="K648" s="16"/>
      <c r="L648" s="16"/>
      <c r="M648" s="16"/>
      <c r="N648" s="16"/>
    </row>
    <row r="649" spans="1:14" x14ac:dyDescent="0.2">
      <c r="F649" s="16"/>
      <c r="G649" s="16"/>
      <c r="H649" s="16"/>
      <c r="I649" s="16"/>
      <c r="J649" s="16"/>
      <c r="K649" s="16"/>
      <c r="L649" s="16"/>
      <c r="M649" s="16"/>
      <c r="N649" s="16"/>
    </row>
    <row r="650" spans="1:14" x14ac:dyDescent="0.2">
      <c r="F650" s="16"/>
      <c r="G650" s="16"/>
      <c r="H650" s="16"/>
      <c r="I650" s="16"/>
      <c r="J650" s="16"/>
      <c r="K650" s="16"/>
      <c r="L650" s="16"/>
      <c r="M650" s="16"/>
      <c r="N650" s="16"/>
    </row>
    <row r="651" spans="1:14" x14ac:dyDescent="0.2">
      <c r="B651" s="12" t="s">
        <v>1418</v>
      </c>
      <c r="F651" s="16"/>
      <c r="G651" s="16"/>
      <c r="H651" s="16"/>
      <c r="I651" s="16"/>
      <c r="J651" s="16"/>
      <c r="K651" s="16"/>
      <c r="L651" s="16"/>
      <c r="M651" s="16"/>
      <c r="N651" s="16"/>
    </row>
    <row r="652" spans="1:14" x14ac:dyDescent="0.2">
      <c r="B652" s="27"/>
      <c r="C652" s="27"/>
      <c r="F652" s="16"/>
      <c r="G652" s="16"/>
      <c r="H652" s="16"/>
      <c r="I652" s="16"/>
      <c r="J652" s="16"/>
      <c r="K652" s="16"/>
      <c r="L652" s="16"/>
      <c r="M652" s="16"/>
      <c r="N652" s="16"/>
    </row>
    <row r="653" spans="1:14" ht="15.75" x14ac:dyDescent="0.25">
      <c r="A653" s="1"/>
      <c r="G653" s="16"/>
      <c r="H653" s="16"/>
      <c r="I653" s="16"/>
      <c r="J653" s="16"/>
      <c r="K653" s="16"/>
      <c r="L653" s="16"/>
      <c r="M653" s="16"/>
      <c r="N653" s="16"/>
    </row>
    <row r="654" spans="1:14" x14ac:dyDescent="0.2">
      <c r="G654" s="16"/>
      <c r="H654" s="16"/>
      <c r="I654" s="16"/>
      <c r="J654" s="16"/>
      <c r="K654" s="16"/>
      <c r="L654" s="16"/>
      <c r="M654" s="16"/>
      <c r="N654" s="16"/>
    </row>
    <row r="655" spans="1:14" x14ac:dyDescent="0.2">
      <c r="G655" s="16"/>
      <c r="H655" s="16"/>
      <c r="I655" s="16"/>
      <c r="J655" s="16"/>
      <c r="K655" s="16"/>
      <c r="L655" s="16"/>
      <c r="M655" s="16"/>
      <c r="N655" s="16"/>
    </row>
    <row r="656" spans="1:14" x14ac:dyDescent="0.2">
      <c r="L656" s="16"/>
      <c r="M656" s="16"/>
      <c r="N656" s="16"/>
    </row>
    <row r="657" spans="7:14" x14ac:dyDescent="0.2">
      <c r="L657" s="16"/>
      <c r="M657" s="16"/>
      <c r="N657" s="16"/>
    </row>
    <row r="658" spans="7:14" x14ac:dyDescent="0.2">
      <c r="L658" s="16"/>
      <c r="M658" s="16"/>
      <c r="N658" s="16"/>
    </row>
    <row r="659" spans="7:14" x14ac:dyDescent="0.2">
      <c r="L659" s="16"/>
      <c r="M659" s="16"/>
      <c r="N659" s="16"/>
    </row>
    <row r="660" spans="7:14" x14ac:dyDescent="0.2">
      <c r="L660" s="16"/>
      <c r="M660" s="16"/>
      <c r="N660" s="16"/>
    </row>
    <row r="661" spans="7:14" x14ac:dyDescent="0.2">
      <c r="G661" s="16"/>
      <c r="H661" s="16"/>
      <c r="I661" s="16"/>
      <c r="J661" s="16"/>
      <c r="K661" s="16"/>
      <c r="L661" s="16"/>
      <c r="M661" s="16"/>
      <c r="N661" s="16"/>
    </row>
    <row r="662" spans="7:14" x14ac:dyDescent="0.2">
      <c r="G662" s="16"/>
      <c r="H662" s="16"/>
      <c r="I662" s="16"/>
      <c r="J662" s="16"/>
      <c r="K662" s="16"/>
      <c r="L662" s="16"/>
      <c r="M662" s="16"/>
      <c r="N662" s="16"/>
    </row>
    <row r="663" spans="7:14" x14ac:dyDescent="0.2">
      <c r="G663" s="16"/>
      <c r="H663" s="16"/>
      <c r="I663" s="16"/>
      <c r="J663" s="16"/>
      <c r="K663" s="16"/>
      <c r="L663" s="16"/>
      <c r="M663" s="16"/>
      <c r="N663" s="16"/>
    </row>
    <row r="664" spans="7:14" x14ac:dyDescent="0.2">
      <c r="G664" s="16"/>
      <c r="H664" s="16"/>
      <c r="I664" s="16"/>
      <c r="J664" s="16"/>
      <c r="K664" s="16"/>
      <c r="L664" s="16"/>
      <c r="M664" s="16"/>
      <c r="N664" s="16"/>
    </row>
    <row r="665" spans="7:14" x14ac:dyDescent="0.2">
      <c r="G665" s="16"/>
      <c r="H665" s="16"/>
      <c r="I665" s="16"/>
      <c r="J665" s="16"/>
      <c r="K665" s="16"/>
      <c r="L665" s="16"/>
      <c r="M665" s="16"/>
      <c r="N665" s="16"/>
    </row>
    <row r="666" spans="7:14" x14ac:dyDescent="0.2">
      <c r="G666" s="16"/>
      <c r="H666" s="16"/>
      <c r="I666" s="16"/>
      <c r="J666" s="16"/>
      <c r="K666" s="16"/>
      <c r="L666" s="16"/>
      <c r="M666" s="16"/>
      <c r="N666" s="16"/>
    </row>
    <row r="667" spans="7:14" x14ac:dyDescent="0.2">
      <c r="G667" s="16"/>
      <c r="H667" s="16"/>
      <c r="I667" s="16"/>
      <c r="J667" s="16"/>
      <c r="K667" s="16"/>
      <c r="L667" s="16"/>
      <c r="M667" s="16"/>
      <c r="N667" s="16"/>
    </row>
    <row r="668" spans="7:14" x14ac:dyDescent="0.2">
      <c r="G668" s="16"/>
      <c r="H668" s="16"/>
      <c r="I668" s="16"/>
      <c r="J668" s="16"/>
      <c r="K668" s="16"/>
      <c r="L668" s="16"/>
      <c r="M668" s="16"/>
      <c r="N668" s="16"/>
    </row>
    <row r="669" spans="7:14" x14ac:dyDescent="0.2">
      <c r="G669" s="16"/>
      <c r="H669" s="16"/>
      <c r="I669" s="16"/>
      <c r="J669" s="16"/>
      <c r="K669" s="16"/>
      <c r="L669" s="16"/>
      <c r="M669" s="16"/>
      <c r="N669" s="16"/>
    </row>
    <row r="670" spans="7:14" x14ac:dyDescent="0.2">
      <c r="G670" s="16"/>
      <c r="H670" s="16"/>
      <c r="I670" s="16"/>
      <c r="J670" s="16"/>
      <c r="K670" s="16"/>
      <c r="L670" s="16"/>
      <c r="M670" s="16"/>
      <c r="N670" s="16"/>
    </row>
    <row r="671" spans="7:14" x14ac:dyDescent="0.2">
      <c r="G671" s="16"/>
      <c r="H671" s="16"/>
      <c r="I671" s="16"/>
      <c r="J671" s="16"/>
      <c r="K671" s="16"/>
      <c r="L671" s="16"/>
      <c r="M671" s="16"/>
      <c r="N671" s="16"/>
    </row>
    <row r="672" spans="7:14" x14ac:dyDescent="0.2">
      <c r="G672" s="16"/>
      <c r="H672" s="16"/>
      <c r="I672" s="16"/>
      <c r="J672" s="16"/>
      <c r="K672" s="16"/>
      <c r="L672" s="16"/>
      <c r="M672" s="16"/>
      <c r="N672" s="16"/>
    </row>
    <row r="673" spans="7:14" x14ac:dyDescent="0.2">
      <c r="G673" s="16"/>
      <c r="H673" s="16"/>
      <c r="I673" s="16"/>
      <c r="J673" s="16"/>
      <c r="K673" s="16"/>
      <c r="L673" s="16"/>
      <c r="M673" s="16"/>
      <c r="N673" s="16"/>
    </row>
    <row r="674" spans="7:14" x14ac:dyDescent="0.2">
      <c r="G674" s="16"/>
      <c r="H674" s="16"/>
      <c r="I674" s="16"/>
      <c r="J674" s="16"/>
      <c r="K674" s="16"/>
      <c r="L674" s="16"/>
      <c r="M674" s="16"/>
      <c r="N674" s="16"/>
    </row>
    <row r="675" spans="7:14" x14ac:dyDescent="0.2">
      <c r="G675" s="16"/>
      <c r="H675" s="16"/>
      <c r="I675" s="16"/>
      <c r="J675" s="16"/>
      <c r="K675" s="16"/>
      <c r="L675" s="16"/>
      <c r="M675" s="16"/>
      <c r="N675" s="16"/>
    </row>
    <row r="676" spans="7:14" x14ac:dyDescent="0.2">
      <c r="J676" s="16"/>
      <c r="K676" s="16"/>
      <c r="L676" s="16"/>
      <c r="M676" s="16"/>
      <c r="N676" s="16"/>
    </row>
    <row r="677" spans="7:14" x14ac:dyDescent="0.2">
      <c r="J677" s="16"/>
      <c r="K677" s="16"/>
      <c r="L677" s="16"/>
      <c r="M677" s="16"/>
      <c r="N677" s="16"/>
    </row>
    <row r="678" spans="7:14" x14ac:dyDescent="0.2">
      <c r="J678" s="16"/>
      <c r="K678" s="16"/>
      <c r="L678" s="16"/>
      <c r="M678" s="16"/>
      <c r="N678" s="16"/>
    </row>
    <row r="679" spans="7:14" x14ac:dyDescent="0.2">
      <c r="G679" s="16"/>
      <c r="H679" s="16"/>
      <c r="I679" s="16"/>
      <c r="J679" s="16"/>
      <c r="K679" s="16"/>
      <c r="L679" s="16"/>
      <c r="M679" s="16"/>
      <c r="N679" s="16"/>
    </row>
    <row r="680" spans="7:14" x14ac:dyDescent="0.2">
      <c r="G680" s="16"/>
      <c r="H680" s="16"/>
      <c r="I680" s="16"/>
      <c r="J680" s="16"/>
      <c r="K680" s="16"/>
      <c r="L680" s="16"/>
      <c r="M680" s="16"/>
      <c r="N680" s="16"/>
    </row>
    <row r="681" spans="7:14" x14ac:dyDescent="0.2">
      <c r="J681" s="16"/>
      <c r="K681" s="16"/>
      <c r="L681" s="16"/>
      <c r="M681" s="16"/>
      <c r="N681" s="16"/>
    </row>
    <row r="682" spans="7:14" x14ac:dyDescent="0.2">
      <c r="J682" s="16"/>
      <c r="K682" s="16"/>
      <c r="L682" s="16"/>
      <c r="M682" s="16"/>
      <c r="N682" s="16"/>
    </row>
    <row r="683" spans="7:14" x14ac:dyDescent="0.2">
      <c r="J683" s="16"/>
      <c r="K683" s="16"/>
      <c r="L683" s="16"/>
      <c r="M683" s="16"/>
      <c r="N683" s="16"/>
    </row>
    <row r="684" spans="7:14" x14ac:dyDescent="0.2">
      <c r="J684" s="16"/>
      <c r="K684" s="16"/>
      <c r="L684" s="16"/>
      <c r="M684" s="16"/>
      <c r="N684" s="16"/>
    </row>
    <row r="685" spans="7:14" x14ac:dyDescent="0.2">
      <c r="J685" s="16"/>
      <c r="K685" s="16"/>
      <c r="L685" s="16"/>
      <c r="M685" s="16"/>
      <c r="N685" s="16"/>
    </row>
    <row r="686" spans="7:14" x14ac:dyDescent="0.2">
      <c r="J686" s="16"/>
      <c r="K686" s="16"/>
      <c r="L686" s="16"/>
      <c r="M686" s="16"/>
      <c r="N686" s="16"/>
    </row>
    <row r="687" spans="7:14" x14ac:dyDescent="0.2">
      <c r="G687" s="16"/>
      <c r="H687" s="16"/>
      <c r="I687" s="16"/>
      <c r="J687" s="16"/>
      <c r="K687" s="16"/>
      <c r="L687" s="16"/>
      <c r="M687" s="16"/>
      <c r="N687" s="16"/>
    </row>
    <row r="688" spans="7:14" x14ac:dyDescent="0.2">
      <c r="G688" s="16"/>
      <c r="H688" s="16"/>
      <c r="I688" s="16"/>
      <c r="J688" s="16"/>
      <c r="K688" s="16"/>
      <c r="L688" s="16"/>
      <c r="M688" s="16"/>
      <c r="N688" s="16"/>
    </row>
    <row r="689" spans="7:14" x14ac:dyDescent="0.2">
      <c r="G689" s="16"/>
      <c r="H689" s="16"/>
      <c r="I689" s="16"/>
      <c r="K689" s="16"/>
      <c r="L689" s="16"/>
      <c r="M689" s="16"/>
      <c r="N689" s="16"/>
    </row>
    <row r="690" spans="7:14" x14ac:dyDescent="0.2">
      <c r="G690" s="16"/>
      <c r="H690" s="16"/>
      <c r="I690" s="16"/>
      <c r="K690" s="16"/>
      <c r="L690" s="16"/>
      <c r="M690" s="16"/>
      <c r="N690" s="16"/>
    </row>
    <row r="691" spans="7:14" x14ac:dyDescent="0.2">
      <c r="G691" s="16"/>
      <c r="H691" s="16"/>
      <c r="I691" s="16"/>
      <c r="K691" s="16"/>
      <c r="L691" s="16"/>
      <c r="M691" s="16"/>
      <c r="N691" s="16"/>
    </row>
    <row r="692" spans="7:14" x14ac:dyDescent="0.2">
      <c r="G692" s="16"/>
      <c r="H692" s="16"/>
      <c r="I692" s="16"/>
      <c r="K692" s="16"/>
      <c r="L692" s="16"/>
      <c r="M692" s="16"/>
      <c r="N692" s="16"/>
    </row>
    <row r="693" spans="7:14" x14ac:dyDescent="0.2">
      <c r="G693" s="16"/>
      <c r="H693" s="16"/>
      <c r="I693" s="16"/>
      <c r="K693" s="16"/>
      <c r="L693" s="16"/>
      <c r="M693" s="16"/>
      <c r="N693" s="16"/>
    </row>
    <row r="694" spans="7:14" x14ac:dyDescent="0.2">
      <c r="G694" s="16"/>
      <c r="H694" s="16"/>
      <c r="I694" s="16"/>
      <c r="K694" s="16"/>
      <c r="L694" s="16"/>
      <c r="M694" s="16"/>
      <c r="N694" s="16"/>
    </row>
    <row r="695" spans="7:14" x14ac:dyDescent="0.2">
      <c r="G695" s="16"/>
      <c r="H695" s="16"/>
      <c r="I695" s="16"/>
      <c r="K695" s="16"/>
      <c r="L695" s="16"/>
      <c r="M695" s="16"/>
      <c r="N695" s="16"/>
    </row>
    <row r="696" spans="7:14" x14ac:dyDescent="0.2">
      <c r="G696" s="16"/>
      <c r="H696" s="16"/>
      <c r="I696" s="16"/>
      <c r="K696" s="16"/>
      <c r="L696" s="16"/>
      <c r="M696" s="16"/>
      <c r="N696" s="16"/>
    </row>
    <row r="697" spans="7:14" x14ac:dyDescent="0.2">
      <c r="G697" s="16"/>
      <c r="H697" s="16"/>
      <c r="I697" s="16"/>
      <c r="K697" s="16"/>
      <c r="L697" s="16"/>
      <c r="M697" s="16"/>
      <c r="N697" s="16"/>
    </row>
    <row r="698" spans="7:14" x14ac:dyDescent="0.2">
      <c r="G698" s="16"/>
      <c r="H698" s="16"/>
      <c r="I698" s="16"/>
      <c r="J698" s="16"/>
      <c r="K698" s="16"/>
      <c r="L698" s="16"/>
      <c r="M698" s="16"/>
      <c r="N698" s="16"/>
    </row>
    <row r="699" spans="7:14" x14ac:dyDescent="0.2">
      <c r="G699" s="16"/>
      <c r="H699" s="16"/>
      <c r="I699" s="16"/>
      <c r="J699" s="16"/>
      <c r="K699" s="16"/>
      <c r="L699" s="16"/>
      <c r="M699" s="16"/>
      <c r="N699" s="16"/>
    </row>
    <row r="700" spans="7:14" x14ac:dyDescent="0.2">
      <c r="G700" s="16"/>
      <c r="H700" s="16"/>
      <c r="I700" s="16"/>
      <c r="J700" s="16"/>
      <c r="K700" s="16"/>
      <c r="L700" s="16"/>
      <c r="M700" s="16"/>
      <c r="N700" s="16"/>
    </row>
    <row r="701" spans="7:14" x14ac:dyDescent="0.2">
      <c r="G701" s="16"/>
      <c r="H701" s="16"/>
      <c r="I701" s="16"/>
      <c r="J701" s="16"/>
      <c r="K701" s="16"/>
      <c r="L701" s="16"/>
      <c r="M701" s="16"/>
      <c r="N701" s="16"/>
    </row>
    <row r="702" spans="7:14" x14ac:dyDescent="0.2">
      <c r="G702" s="16"/>
      <c r="H702" s="16"/>
      <c r="I702" s="16"/>
      <c r="J702" s="16"/>
      <c r="K702" s="16"/>
      <c r="L702" s="16"/>
      <c r="M702" s="16"/>
      <c r="N702" s="16"/>
    </row>
    <row r="703" spans="7:14" x14ac:dyDescent="0.2">
      <c r="G703" s="16"/>
      <c r="H703" s="16"/>
      <c r="I703" s="16"/>
      <c r="J703" s="16"/>
      <c r="K703" s="16"/>
      <c r="L703" s="16"/>
      <c r="M703" s="16"/>
      <c r="N703" s="16"/>
    </row>
    <row r="704" spans="7:14" x14ac:dyDescent="0.2">
      <c r="J704" s="16"/>
      <c r="K704" s="16"/>
      <c r="L704" s="16"/>
      <c r="M704" s="16"/>
      <c r="N704" s="16"/>
    </row>
    <row r="705" spans="7:14" x14ac:dyDescent="0.2">
      <c r="J705" s="16"/>
      <c r="K705" s="16"/>
      <c r="L705" s="16"/>
      <c r="M705" s="16"/>
      <c r="N705" s="16"/>
    </row>
    <row r="706" spans="7:14" x14ac:dyDescent="0.2">
      <c r="J706" s="16"/>
      <c r="K706" s="16"/>
      <c r="L706" s="16"/>
      <c r="M706" s="16"/>
      <c r="N706" s="16"/>
    </row>
    <row r="707" spans="7:14" x14ac:dyDescent="0.2">
      <c r="J707" s="16"/>
      <c r="K707" s="16"/>
      <c r="L707" s="16"/>
      <c r="M707" s="16"/>
      <c r="N707" s="16"/>
    </row>
    <row r="708" spans="7:14" x14ac:dyDescent="0.2">
      <c r="G708" s="16"/>
      <c r="H708" s="16"/>
      <c r="I708" s="16"/>
      <c r="J708" s="16"/>
      <c r="K708" s="16"/>
      <c r="L708" s="16"/>
      <c r="M708" s="16"/>
      <c r="N708" s="16"/>
    </row>
    <row r="709" spans="7:14" x14ac:dyDescent="0.2">
      <c r="G709" s="16"/>
      <c r="H709" s="16"/>
      <c r="I709" s="16"/>
      <c r="J709" s="16"/>
      <c r="K709" s="16"/>
      <c r="L709" s="16"/>
      <c r="M709" s="16"/>
      <c r="N709" s="16"/>
    </row>
    <row r="710" spans="7:14" x14ac:dyDescent="0.2">
      <c r="G710" s="16"/>
      <c r="H710" s="16"/>
      <c r="I710" s="16"/>
      <c r="J710" s="16"/>
      <c r="K710" s="16"/>
      <c r="L710" s="16"/>
      <c r="M710" s="16"/>
      <c r="N710" s="16"/>
    </row>
    <row r="711" spans="7:14" x14ac:dyDescent="0.2">
      <c r="G711" s="16"/>
      <c r="H711" s="16"/>
      <c r="I711" s="16"/>
      <c r="J711" s="16"/>
      <c r="K711" s="16"/>
      <c r="L711" s="16"/>
      <c r="M711" s="16"/>
      <c r="N711" s="16"/>
    </row>
    <row r="712" spans="7:14" x14ac:dyDescent="0.2">
      <c r="G712" s="16"/>
      <c r="H712" s="16"/>
      <c r="I712" s="16"/>
      <c r="J712" s="16"/>
      <c r="K712" s="16"/>
      <c r="L712" s="16"/>
      <c r="M712" s="16"/>
      <c r="N712" s="16"/>
    </row>
    <row r="713" spans="7:14" x14ac:dyDescent="0.2">
      <c r="J713" s="16"/>
      <c r="K713" s="16"/>
      <c r="L713" s="16"/>
      <c r="M713" s="16"/>
      <c r="N713" s="16"/>
    </row>
    <row r="714" spans="7:14" x14ac:dyDescent="0.2">
      <c r="J714" s="16"/>
      <c r="K714" s="16"/>
      <c r="L714" s="16"/>
      <c r="M714" s="16"/>
      <c r="N714" s="16"/>
    </row>
    <row r="715" spans="7:14" x14ac:dyDescent="0.2">
      <c r="J715" s="16"/>
      <c r="K715" s="16"/>
      <c r="L715" s="16"/>
      <c r="M715" s="16"/>
      <c r="N715" s="16"/>
    </row>
    <row r="716" spans="7:14" x14ac:dyDescent="0.2">
      <c r="J716" s="16"/>
      <c r="K716" s="16"/>
      <c r="L716" s="16"/>
      <c r="M716" s="16"/>
      <c r="N716" s="16"/>
    </row>
    <row r="717" spans="7:14" x14ac:dyDescent="0.2">
      <c r="G717" s="16"/>
      <c r="H717" s="16"/>
      <c r="I717" s="16"/>
      <c r="M717" s="16"/>
      <c r="N717" s="16"/>
    </row>
    <row r="718" spans="7:14" x14ac:dyDescent="0.2">
      <c r="G718" s="16"/>
      <c r="H718" s="16"/>
      <c r="I718" s="16"/>
      <c r="M718" s="16"/>
      <c r="N718" s="16"/>
    </row>
    <row r="719" spans="7:14" x14ac:dyDescent="0.2">
      <c r="G719" s="16"/>
      <c r="H719" s="16"/>
      <c r="I719" s="16"/>
      <c r="M719" s="16"/>
      <c r="N719" s="16"/>
    </row>
    <row r="720" spans="7:14" x14ac:dyDescent="0.2">
      <c r="G720" s="16"/>
      <c r="H720" s="16"/>
      <c r="I720" s="16"/>
      <c r="M720" s="16"/>
      <c r="N720" s="16"/>
    </row>
    <row r="721" spans="7:14" x14ac:dyDescent="0.2">
      <c r="G721" s="16"/>
      <c r="H721" s="16"/>
      <c r="I721" s="16"/>
      <c r="J721" s="16"/>
      <c r="K721" s="16"/>
      <c r="L721" s="16"/>
      <c r="N721" s="16"/>
    </row>
    <row r="722" spans="7:14" x14ac:dyDescent="0.2">
      <c r="G722" s="16"/>
      <c r="H722" s="16"/>
      <c r="I722" s="16"/>
      <c r="J722" s="16"/>
      <c r="K722" s="16"/>
      <c r="L722" s="16"/>
      <c r="N722" s="16"/>
    </row>
    <row r="723" spans="7:14" x14ac:dyDescent="0.2">
      <c r="G723" s="16"/>
      <c r="H723" s="16"/>
      <c r="I723" s="16"/>
      <c r="J723" s="16"/>
      <c r="K723" s="16"/>
      <c r="L723" s="16"/>
      <c r="N723" s="16"/>
    </row>
    <row r="724" spans="7:14" x14ac:dyDescent="0.2">
      <c r="J724" s="16"/>
      <c r="K724" s="16"/>
      <c r="L724" s="16"/>
      <c r="N724" s="16"/>
    </row>
    <row r="725" spans="7:14" x14ac:dyDescent="0.2">
      <c r="J725" s="16"/>
      <c r="K725" s="16"/>
      <c r="L725" s="16"/>
      <c r="M725" s="16"/>
      <c r="N725" s="16"/>
    </row>
    <row r="726" spans="7:14" x14ac:dyDescent="0.2">
      <c r="M726" s="16"/>
      <c r="N726" s="16"/>
    </row>
    <row r="727" spans="7:14" x14ac:dyDescent="0.2">
      <c r="M727" s="16"/>
      <c r="N727" s="16"/>
    </row>
    <row r="728" spans="7:14" x14ac:dyDescent="0.2">
      <c r="M728" s="16"/>
      <c r="N728" s="16"/>
    </row>
    <row r="729" spans="7:14" x14ac:dyDescent="0.2">
      <c r="M729" s="16"/>
      <c r="N729" s="16"/>
    </row>
    <row r="730" spans="7:14" x14ac:dyDescent="0.2">
      <c r="J730" s="16"/>
      <c r="K730" s="16"/>
      <c r="L730" s="16"/>
      <c r="M730" s="16"/>
    </row>
    <row r="731" spans="7:14" x14ac:dyDescent="0.2">
      <c r="J731" s="16"/>
      <c r="K731" s="16"/>
      <c r="L731" s="16"/>
      <c r="M731" s="16"/>
    </row>
    <row r="732" spans="7:14" x14ac:dyDescent="0.2">
      <c r="G732" s="16"/>
      <c r="H732" s="16"/>
      <c r="I732" s="16"/>
      <c r="J732" s="16"/>
      <c r="K732" s="16"/>
      <c r="L732" s="16"/>
      <c r="M732" s="16"/>
    </row>
    <row r="733" spans="7:14" x14ac:dyDescent="0.2">
      <c r="G733" s="16"/>
      <c r="H733" s="16"/>
      <c r="I733" s="16"/>
      <c r="J733" s="16"/>
      <c r="K733" s="16"/>
      <c r="L733" s="16"/>
      <c r="M733" s="16"/>
    </row>
    <row r="734" spans="7:14" x14ac:dyDescent="0.2">
      <c r="G734" s="16"/>
      <c r="H734" s="16"/>
      <c r="I734" s="16"/>
      <c r="J734" s="16"/>
      <c r="K734" s="16"/>
      <c r="L734" s="16"/>
      <c r="M734" s="16"/>
      <c r="N734" s="16"/>
    </row>
    <row r="735" spans="7:14" x14ac:dyDescent="0.2">
      <c r="G735" s="16"/>
      <c r="H735" s="16"/>
      <c r="I735" s="16"/>
      <c r="J735" s="16"/>
      <c r="K735" s="16"/>
      <c r="L735" s="16"/>
      <c r="M735" s="16"/>
      <c r="N735" s="16"/>
    </row>
    <row r="736" spans="7:14" x14ac:dyDescent="0.2">
      <c r="G736" s="16"/>
      <c r="H736" s="16"/>
      <c r="I736" s="16"/>
      <c r="J736" s="16"/>
      <c r="K736" s="16"/>
      <c r="L736" s="16"/>
      <c r="M736" s="16"/>
      <c r="N736" s="16"/>
    </row>
    <row r="737" spans="7:14" x14ac:dyDescent="0.2">
      <c r="J737" s="16"/>
      <c r="K737" s="16"/>
      <c r="L737" s="16"/>
      <c r="M737" s="16"/>
      <c r="N737" s="16"/>
    </row>
    <row r="738" spans="7:14" x14ac:dyDescent="0.2">
      <c r="J738" s="16"/>
      <c r="K738" s="16"/>
      <c r="L738" s="16"/>
      <c r="M738" s="16"/>
      <c r="N738" s="16"/>
    </row>
    <row r="739" spans="7:14" x14ac:dyDescent="0.2">
      <c r="J739" s="16"/>
      <c r="K739" s="16"/>
      <c r="L739" s="16"/>
      <c r="M739" s="16"/>
      <c r="N739" s="16"/>
    </row>
    <row r="740" spans="7:14" x14ac:dyDescent="0.2">
      <c r="J740" s="16"/>
      <c r="K740" s="16"/>
      <c r="L740" s="16"/>
      <c r="M740" s="16"/>
      <c r="N740" s="16"/>
    </row>
    <row r="741" spans="7:14" x14ac:dyDescent="0.2">
      <c r="G741" s="16"/>
      <c r="H741" s="16"/>
      <c r="I741" s="16"/>
      <c r="J741" s="16"/>
      <c r="K741" s="16"/>
      <c r="L741" s="16"/>
      <c r="M741" s="16"/>
      <c r="N741" s="16"/>
    </row>
    <row r="742" spans="7:14" x14ac:dyDescent="0.2">
      <c r="G742" s="16"/>
      <c r="H742" s="16"/>
      <c r="I742" s="16"/>
      <c r="N742" s="16"/>
    </row>
    <row r="743" spans="7:14" x14ac:dyDescent="0.2">
      <c r="G743" s="16"/>
      <c r="H743" s="16"/>
      <c r="I743" s="16"/>
      <c r="N743" s="16"/>
    </row>
    <row r="744" spans="7:14" x14ac:dyDescent="0.2">
      <c r="G744" s="16"/>
      <c r="H744" s="16"/>
      <c r="I744" s="16"/>
      <c r="N744" s="16"/>
    </row>
    <row r="745" spans="7:14" x14ac:dyDescent="0.2">
      <c r="G745" s="16"/>
      <c r="H745" s="16"/>
      <c r="I745" s="16"/>
      <c r="N745" s="16"/>
    </row>
    <row r="746" spans="7:14" x14ac:dyDescent="0.2">
      <c r="G746" s="16"/>
      <c r="H746" s="16"/>
      <c r="I746" s="16"/>
      <c r="J746" s="16"/>
      <c r="K746" s="16"/>
      <c r="L746" s="16"/>
      <c r="M746" s="16"/>
      <c r="N746" s="16"/>
    </row>
    <row r="747" spans="7:14" x14ac:dyDescent="0.2">
      <c r="G747" s="16"/>
      <c r="H747" s="16"/>
      <c r="I747" s="16"/>
      <c r="J747" s="16"/>
      <c r="K747" s="16"/>
      <c r="L747" s="16"/>
      <c r="M747" s="16"/>
      <c r="N747" s="16"/>
    </row>
    <row r="748" spans="7:14" x14ac:dyDescent="0.2">
      <c r="G748" s="16"/>
      <c r="H748" s="16"/>
      <c r="I748" s="16"/>
      <c r="J748" s="16"/>
      <c r="K748" s="16"/>
      <c r="L748" s="16"/>
      <c r="M748" s="16"/>
      <c r="N748" s="16"/>
    </row>
    <row r="749" spans="7:14" x14ac:dyDescent="0.2">
      <c r="G749" s="16"/>
      <c r="H749" s="16"/>
      <c r="I749" s="16"/>
      <c r="J749" s="16"/>
      <c r="K749" s="16"/>
      <c r="L749" s="16"/>
      <c r="M749" s="16"/>
      <c r="N749" s="16"/>
    </row>
    <row r="750" spans="7:14" x14ac:dyDescent="0.2">
      <c r="G750" s="16"/>
      <c r="H750" s="16"/>
      <c r="I750" s="16"/>
      <c r="J750" s="16"/>
      <c r="K750" s="16"/>
      <c r="L750" s="16"/>
      <c r="M750" s="16"/>
      <c r="N750" s="16"/>
    </row>
    <row r="751" spans="7:14" x14ac:dyDescent="0.2">
      <c r="G751" s="16"/>
      <c r="H751" s="16"/>
      <c r="I751" s="16"/>
      <c r="J751" s="16"/>
      <c r="K751" s="16"/>
      <c r="L751" s="16"/>
      <c r="M751" s="16"/>
    </row>
    <row r="752" spans="7:14" x14ac:dyDescent="0.2">
      <c r="G752" s="16"/>
      <c r="H752" s="16"/>
      <c r="I752" s="16"/>
      <c r="J752" s="16"/>
      <c r="K752" s="16"/>
      <c r="L752" s="16"/>
      <c r="M752" s="16"/>
    </row>
    <row r="753" spans="7:14" x14ac:dyDescent="0.2">
      <c r="G753" s="16"/>
      <c r="H753" s="16"/>
      <c r="I753" s="16"/>
      <c r="J753" s="16"/>
      <c r="K753" s="16"/>
      <c r="L753" s="16"/>
      <c r="M753" s="16"/>
    </row>
    <row r="754" spans="7:14" x14ac:dyDescent="0.2">
      <c r="G754" s="16"/>
      <c r="H754" s="16"/>
      <c r="I754" s="16"/>
      <c r="J754" s="16"/>
      <c r="K754" s="16"/>
      <c r="L754" s="16"/>
      <c r="M754" s="16"/>
    </row>
    <row r="755" spans="7:14" x14ac:dyDescent="0.2">
      <c r="G755" s="16"/>
      <c r="H755" s="16"/>
      <c r="I755" s="16"/>
      <c r="J755" s="16"/>
      <c r="K755" s="16"/>
      <c r="L755" s="16"/>
      <c r="M755" s="16"/>
      <c r="N755" s="16"/>
    </row>
    <row r="756" spans="7:14" x14ac:dyDescent="0.2">
      <c r="G756" s="16"/>
      <c r="H756" s="16"/>
      <c r="I756" s="16"/>
      <c r="J756" s="16"/>
      <c r="K756" s="16"/>
      <c r="L756" s="16"/>
      <c r="M756" s="16"/>
      <c r="N756" s="16"/>
    </row>
    <row r="757" spans="7:14" x14ac:dyDescent="0.2">
      <c r="G757" s="16"/>
      <c r="H757" s="16"/>
      <c r="I757" s="16"/>
      <c r="J757" s="16"/>
      <c r="K757" s="16"/>
      <c r="L757" s="16"/>
      <c r="M757" s="16"/>
      <c r="N757" s="16"/>
    </row>
    <row r="758" spans="7:14" x14ac:dyDescent="0.2">
      <c r="G758" s="16"/>
      <c r="H758" s="16"/>
      <c r="I758" s="16"/>
      <c r="J758" s="16"/>
      <c r="K758" s="16"/>
      <c r="L758" s="16"/>
      <c r="M758" s="16"/>
      <c r="N758" s="16"/>
    </row>
    <row r="759" spans="7:14" x14ac:dyDescent="0.2">
      <c r="G759" s="16"/>
      <c r="H759" s="16"/>
      <c r="I759" s="16"/>
      <c r="J759" s="16"/>
      <c r="K759" s="16"/>
      <c r="L759" s="16"/>
      <c r="M759" s="16"/>
      <c r="N759" s="16"/>
    </row>
    <row r="760" spans="7:14" x14ac:dyDescent="0.2">
      <c r="G760" s="16"/>
      <c r="H760" s="16"/>
      <c r="I760" s="16"/>
      <c r="J760" s="16"/>
      <c r="K760" s="16"/>
      <c r="L760" s="16"/>
      <c r="M760" s="16"/>
      <c r="N760" s="16"/>
    </row>
    <row r="761" spans="7:14" x14ac:dyDescent="0.2">
      <c r="G761" s="16"/>
      <c r="H761" s="16"/>
      <c r="I761" s="16"/>
      <c r="J761" s="16"/>
      <c r="K761" s="16"/>
      <c r="L761" s="16"/>
      <c r="M761" s="16"/>
      <c r="N761" s="16"/>
    </row>
    <row r="762" spans="7:14" x14ac:dyDescent="0.2">
      <c r="G762" s="16"/>
      <c r="H762" s="16"/>
      <c r="I762" s="16"/>
      <c r="J762" s="16"/>
      <c r="K762" s="16"/>
      <c r="L762" s="16"/>
      <c r="M762" s="16"/>
      <c r="N762" s="16"/>
    </row>
    <row r="763" spans="7:14" x14ac:dyDescent="0.2">
      <c r="G763" s="16"/>
      <c r="H763" s="16"/>
      <c r="I763" s="16"/>
      <c r="J763" s="16"/>
      <c r="K763" s="16"/>
      <c r="L763" s="16"/>
      <c r="M763" s="16"/>
      <c r="N763" s="16"/>
    </row>
    <row r="764" spans="7:14" x14ac:dyDescent="0.2">
      <c r="G764" s="16"/>
      <c r="H764" s="16"/>
      <c r="I764" s="16"/>
      <c r="J764" s="16"/>
      <c r="K764" s="16"/>
      <c r="L764" s="16"/>
      <c r="M764" s="16"/>
      <c r="N764" s="16"/>
    </row>
    <row r="765" spans="7:14" x14ac:dyDescent="0.2">
      <c r="G765" s="16"/>
      <c r="H765" s="16"/>
      <c r="I765" s="16"/>
      <c r="J765" s="16"/>
      <c r="K765" s="16"/>
      <c r="L765" s="16"/>
      <c r="M765" s="16"/>
      <c r="N765" s="16"/>
    </row>
    <row r="766" spans="7:14" x14ac:dyDescent="0.2">
      <c r="G766" s="16"/>
      <c r="H766" s="16"/>
      <c r="I766" s="16"/>
      <c r="J766" s="16"/>
      <c r="K766" s="16"/>
      <c r="L766" s="16"/>
      <c r="M766" s="16"/>
      <c r="N766" s="16"/>
    </row>
    <row r="767" spans="7:14" x14ac:dyDescent="0.2">
      <c r="G767" s="16"/>
      <c r="H767" s="16"/>
      <c r="I767" s="16"/>
      <c r="J767" s="16"/>
      <c r="K767" s="16"/>
      <c r="L767" s="16"/>
      <c r="M767" s="16"/>
      <c r="N767" s="16"/>
    </row>
    <row r="768" spans="7:14" x14ac:dyDescent="0.2">
      <c r="G768" s="16"/>
      <c r="H768" s="16"/>
      <c r="I768" s="16"/>
      <c r="J768" s="16"/>
      <c r="K768" s="16"/>
      <c r="L768" s="16"/>
      <c r="M768" s="16"/>
      <c r="N768" s="16"/>
    </row>
    <row r="769" spans="7:14" x14ac:dyDescent="0.2">
      <c r="G769" s="16"/>
      <c r="H769" s="16"/>
      <c r="I769" s="16"/>
      <c r="J769" s="16"/>
      <c r="K769" s="16"/>
      <c r="L769" s="16"/>
      <c r="M769" s="16"/>
      <c r="N769" s="16"/>
    </row>
    <row r="770" spans="7:14" x14ac:dyDescent="0.2">
      <c r="G770" s="16"/>
      <c r="H770" s="16"/>
      <c r="I770" s="16"/>
      <c r="J770" s="16"/>
      <c r="K770" s="16"/>
      <c r="L770" s="16"/>
      <c r="M770" s="16"/>
      <c r="N770" s="16"/>
    </row>
    <row r="771" spans="7:14" x14ac:dyDescent="0.2">
      <c r="G771" s="16"/>
      <c r="H771" s="16"/>
      <c r="I771" s="16"/>
      <c r="J771" s="16"/>
      <c r="K771" s="16"/>
      <c r="L771" s="16"/>
      <c r="M771" s="16"/>
      <c r="N771" s="16"/>
    </row>
    <row r="772" spans="7:14" x14ac:dyDescent="0.2">
      <c r="G772" s="16"/>
      <c r="H772" s="16"/>
      <c r="I772" s="16"/>
      <c r="J772" s="16"/>
      <c r="K772" s="16"/>
      <c r="L772" s="16"/>
      <c r="M772" s="16"/>
      <c r="N772" s="16"/>
    </row>
    <row r="773" spans="7:14" x14ac:dyDescent="0.2">
      <c r="G773" s="16"/>
      <c r="H773" s="16"/>
      <c r="I773" s="16"/>
      <c r="J773" s="16"/>
      <c r="K773" s="16"/>
      <c r="L773" s="16"/>
      <c r="M773" s="16"/>
      <c r="N773" s="16"/>
    </row>
    <row r="774" spans="7:14" x14ac:dyDescent="0.2">
      <c r="G774" s="16"/>
      <c r="H774" s="16"/>
      <c r="I774" s="16"/>
      <c r="J774" s="16"/>
      <c r="K774" s="16"/>
      <c r="L774" s="16"/>
      <c r="M774" s="16"/>
      <c r="N774" s="16"/>
    </row>
    <row r="775" spans="7:14" x14ac:dyDescent="0.2">
      <c r="G775" s="16"/>
      <c r="H775" s="16"/>
      <c r="I775" s="16"/>
      <c r="J775" s="16"/>
      <c r="K775" s="16"/>
      <c r="L775" s="16"/>
      <c r="M775" s="16"/>
      <c r="N775" s="16"/>
    </row>
    <row r="776" spans="7:14" x14ac:dyDescent="0.2">
      <c r="G776" s="16"/>
      <c r="H776" s="16"/>
      <c r="I776" s="16"/>
      <c r="J776" s="16"/>
      <c r="K776" s="16"/>
      <c r="L776" s="16"/>
      <c r="M776" s="16"/>
      <c r="N776" s="16"/>
    </row>
    <row r="777" spans="7:14" x14ac:dyDescent="0.2">
      <c r="G777" s="16"/>
      <c r="H777" s="16"/>
      <c r="I777" s="16"/>
      <c r="J777" s="16"/>
      <c r="K777" s="16"/>
      <c r="L777" s="16"/>
      <c r="M777" s="16"/>
      <c r="N777" s="16"/>
    </row>
    <row r="778" spans="7:14" x14ac:dyDescent="0.2">
      <c r="G778" s="16"/>
      <c r="H778" s="16"/>
      <c r="I778" s="16"/>
      <c r="J778" s="16"/>
      <c r="K778" s="16"/>
      <c r="L778" s="16"/>
      <c r="M778" s="16"/>
      <c r="N778" s="16"/>
    </row>
    <row r="779" spans="7:14" x14ac:dyDescent="0.2">
      <c r="G779" s="16"/>
      <c r="H779" s="16"/>
      <c r="I779" s="16"/>
      <c r="J779" s="16"/>
      <c r="K779" s="16"/>
      <c r="L779" s="16"/>
      <c r="M779" s="16"/>
      <c r="N779" s="16"/>
    </row>
    <row r="780" spans="7:14" x14ac:dyDescent="0.2">
      <c r="G780" s="16"/>
      <c r="H780" s="16"/>
      <c r="I780" s="16"/>
      <c r="J780" s="16"/>
      <c r="K780" s="16"/>
      <c r="L780" s="16"/>
      <c r="M780" s="16"/>
      <c r="N780" s="16"/>
    </row>
    <row r="781" spans="7:14" x14ac:dyDescent="0.2">
      <c r="G781" s="16"/>
      <c r="H781" s="16"/>
      <c r="I781" s="16"/>
      <c r="J781" s="16"/>
      <c r="K781" s="16"/>
      <c r="L781" s="16"/>
      <c r="M781" s="16"/>
      <c r="N781" s="16"/>
    </row>
    <row r="782" spans="7:14" x14ac:dyDescent="0.2">
      <c r="G782" s="16"/>
      <c r="H782" s="16"/>
      <c r="I782" s="16"/>
      <c r="J782" s="16"/>
      <c r="K782" s="16"/>
      <c r="L782" s="16"/>
      <c r="M782" s="16"/>
      <c r="N782" s="16"/>
    </row>
    <row r="783" spans="7:14" x14ac:dyDescent="0.2">
      <c r="G783" s="16"/>
      <c r="H783" s="16"/>
      <c r="I783" s="16"/>
      <c r="J783" s="16"/>
      <c r="K783" s="16"/>
      <c r="L783" s="16"/>
      <c r="M783" s="16"/>
      <c r="N783" s="16"/>
    </row>
    <row r="784" spans="7:14" x14ac:dyDescent="0.2">
      <c r="G784" s="16"/>
      <c r="H784" s="16"/>
      <c r="I784" s="16"/>
      <c r="J784" s="16"/>
      <c r="K784" s="16"/>
      <c r="L784" s="16"/>
      <c r="M784" s="16"/>
      <c r="N784" s="16"/>
    </row>
    <row r="785" spans="7:14" x14ac:dyDescent="0.2">
      <c r="G785" s="16"/>
      <c r="H785" s="16"/>
      <c r="I785" s="16"/>
      <c r="J785" s="16"/>
      <c r="K785" s="16"/>
      <c r="L785" s="16"/>
      <c r="M785" s="16"/>
      <c r="N785" s="16"/>
    </row>
    <row r="786" spans="7:14" x14ac:dyDescent="0.2">
      <c r="G786" s="16"/>
      <c r="H786" s="16"/>
      <c r="I786" s="16"/>
      <c r="J786" s="16"/>
      <c r="K786" s="16"/>
      <c r="L786" s="16"/>
      <c r="M786" s="16"/>
      <c r="N786" s="16"/>
    </row>
    <row r="787" spans="7:14" x14ac:dyDescent="0.2">
      <c r="G787" s="16"/>
      <c r="H787" s="16"/>
      <c r="I787" s="16"/>
      <c r="J787" s="16"/>
      <c r="K787" s="16"/>
      <c r="L787" s="16"/>
      <c r="M787" s="16"/>
      <c r="N787" s="16"/>
    </row>
    <row r="788" spans="7:14" x14ac:dyDescent="0.2">
      <c r="G788" s="16"/>
      <c r="H788" s="16"/>
      <c r="I788" s="16"/>
      <c r="J788" s="16"/>
      <c r="K788" s="16"/>
      <c r="L788" s="16"/>
      <c r="M788" s="16"/>
      <c r="N788" s="16"/>
    </row>
    <row r="789" spans="7:14" x14ac:dyDescent="0.2">
      <c r="G789" s="16"/>
      <c r="H789" s="16"/>
      <c r="I789" s="16"/>
      <c r="J789" s="16"/>
      <c r="K789" s="16"/>
      <c r="L789" s="16"/>
      <c r="M789" s="16"/>
      <c r="N789" s="16"/>
    </row>
    <row r="790" spans="7:14" x14ac:dyDescent="0.2">
      <c r="G790" s="16"/>
      <c r="H790" s="16"/>
      <c r="I790" s="16"/>
      <c r="J790" s="16"/>
      <c r="K790" s="16"/>
      <c r="L790" s="16"/>
      <c r="M790" s="16"/>
      <c r="N790" s="16"/>
    </row>
    <row r="791" spans="7:14" x14ac:dyDescent="0.2">
      <c r="G791" s="16"/>
      <c r="H791" s="16"/>
      <c r="I791" s="16"/>
      <c r="J791" s="16"/>
      <c r="K791" s="16"/>
      <c r="L791" s="16"/>
      <c r="M791" s="16"/>
      <c r="N791" s="16"/>
    </row>
    <row r="792" spans="7:14" x14ac:dyDescent="0.2">
      <c r="G792" s="16"/>
      <c r="H792" s="16"/>
      <c r="I792" s="16"/>
      <c r="J792" s="16"/>
      <c r="K792" s="16"/>
      <c r="L792" s="16"/>
      <c r="M792" s="16"/>
      <c r="N792" s="16"/>
    </row>
    <row r="793" spans="7:14" x14ac:dyDescent="0.2">
      <c r="G793" s="16"/>
      <c r="H793" s="16"/>
      <c r="I793" s="16"/>
      <c r="J793" s="16"/>
      <c r="K793" s="16"/>
      <c r="L793" s="16"/>
      <c r="M793" s="16"/>
      <c r="N793" s="16"/>
    </row>
    <row r="794" spans="7:14" x14ac:dyDescent="0.2">
      <c r="G794" s="16"/>
      <c r="H794" s="16"/>
      <c r="I794" s="16"/>
      <c r="J794" s="16"/>
      <c r="K794" s="16"/>
      <c r="L794" s="16"/>
      <c r="M794" s="16"/>
      <c r="N794" s="16"/>
    </row>
    <row r="795" spans="7:14" x14ac:dyDescent="0.2">
      <c r="G795" s="16"/>
      <c r="H795" s="16"/>
      <c r="I795" s="16"/>
      <c r="J795" s="16"/>
      <c r="K795" s="16"/>
      <c r="L795" s="16"/>
      <c r="M795" s="16"/>
      <c r="N795" s="16"/>
    </row>
    <row r="796" spans="7:14" x14ac:dyDescent="0.2">
      <c r="G796" s="16"/>
      <c r="H796" s="16"/>
      <c r="I796" s="16"/>
      <c r="J796" s="16"/>
      <c r="K796" s="16"/>
      <c r="L796" s="16"/>
      <c r="M796" s="16"/>
      <c r="N796" s="16"/>
    </row>
    <row r="797" spans="7:14" x14ac:dyDescent="0.2">
      <c r="G797" s="16"/>
      <c r="H797" s="16"/>
      <c r="I797" s="16"/>
      <c r="J797" s="16"/>
      <c r="K797" s="16"/>
      <c r="L797" s="16"/>
      <c r="M797" s="16"/>
      <c r="N797" s="16"/>
    </row>
    <row r="798" spans="7:14" x14ac:dyDescent="0.2">
      <c r="G798" s="16"/>
      <c r="H798" s="16"/>
      <c r="I798" s="16"/>
      <c r="J798" s="16"/>
      <c r="K798" s="16"/>
      <c r="L798" s="16"/>
      <c r="M798" s="16"/>
      <c r="N798" s="16"/>
    </row>
    <row r="799" spans="7:14" x14ac:dyDescent="0.2">
      <c r="G799" s="16"/>
      <c r="H799" s="16"/>
      <c r="I799" s="16"/>
      <c r="J799" s="16"/>
      <c r="K799" s="16"/>
      <c r="L799" s="16"/>
      <c r="M799" s="16"/>
      <c r="N799" s="16"/>
    </row>
    <row r="800" spans="7:14" x14ac:dyDescent="0.2">
      <c r="G800" s="16"/>
      <c r="H800" s="16"/>
      <c r="I800" s="16"/>
      <c r="J800" s="16"/>
      <c r="K800" s="16"/>
      <c r="L800" s="16"/>
      <c r="M800" s="16"/>
      <c r="N800" s="16"/>
    </row>
    <row r="801" spans="7:14" x14ac:dyDescent="0.2">
      <c r="G801" s="16"/>
      <c r="H801" s="16"/>
      <c r="I801" s="16"/>
      <c r="J801" s="16"/>
      <c r="K801" s="16"/>
      <c r="L801" s="16"/>
      <c r="M801" s="16"/>
      <c r="N801" s="16"/>
    </row>
    <row r="802" spans="7:14" x14ac:dyDescent="0.2">
      <c r="G802" s="16"/>
      <c r="H802" s="16"/>
      <c r="I802" s="16"/>
      <c r="J802" s="16"/>
      <c r="K802" s="16"/>
      <c r="L802" s="16"/>
      <c r="M802" s="16"/>
      <c r="N802" s="16"/>
    </row>
    <row r="803" spans="7:14" x14ac:dyDescent="0.2">
      <c r="G803" s="16"/>
      <c r="H803" s="16"/>
      <c r="I803" s="16"/>
      <c r="J803" s="16"/>
      <c r="K803" s="16"/>
      <c r="L803" s="16"/>
      <c r="M803" s="16"/>
      <c r="N803" s="16"/>
    </row>
    <row r="804" spans="7:14" x14ac:dyDescent="0.2">
      <c r="G804" s="16"/>
      <c r="H804" s="16"/>
      <c r="I804" s="16"/>
      <c r="J804" s="16"/>
      <c r="K804" s="16"/>
      <c r="L804" s="16"/>
      <c r="M804" s="16"/>
      <c r="N804" s="16"/>
    </row>
    <row r="805" spans="7:14" x14ac:dyDescent="0.2">
      <c r="G805" s="16"/>
      <c r="H805" s="16"/>
      <c r="I805" s="16"/>
      <c r="J805" s="16"/>
      <c r="K805" s="16"/>
      <c r="L805" s="16"/>
      <c r="M805" s="16"/>
      <c r="N805" s="16"/>
    </row>
    <row r="806" spans="7:14" x14ac:dyDescent="0.2">
      <c r="G806" s="16"/>
      <c r="H806" s="16"/>
      <c r="I806" s="16"/>
      <c r="J806" s="16"/>
      <c r="K806" s="16"/>
      <c r="L806" s="16"/>
      <c r="M806" s="16"/>
      <c r="N806" s="16"/>
    </row>
    <row r="807" spans="7:14" x14ac:dyDescent="0.2">
      <c r="G807" s="16"/>
      <c r="H807" s="16"/>
      <c r="I807" s="16"/>
      <c r="J807" s="16"/>
      <c r="K807" s="16"/>
      <c r="L807" s="16"/>
      <c r="M807" s="16"/>
      <c r="N807" s="16"/>
    </row>
    <row r="808" spans="7:14" x14ac:dyDescent="0.2">
      <c r="G808" s="16"/>
      <c r="H808" s="16"/>
      <c r="I808" s="16"/>
      <c r="J808" s="16"/>
      <c r="K808" s="16"/>
      <c r="L808" s="16"/>
      <c r="M808" s="16"/>
      <c r="N808" s="16"/>
    </row>
    <row r="809" spans="7:14" x14ac:dyDescent="0.2">
      <c r="G809" s="16"/>
      <c r="H809" s="16"/>
      <c r="I809" s="16"/>
      <c r="J809" s="16"/>
      <c r="K809" s="16"/>
      <c r="L809" s="16"/>
      <c r="M809" s="16"/>
      <c r="N809" s="16"/>
    </row>
    <row r="810" spans="7:14" x14ac:dyDescent="0.2">
      <c r="G810" s="16"/>
      <c r="H810" s="16"/>
      <c r="I810" s="16"/>
      <c r="J810" s="16"/>
      <c r="K810" s="16"/>
      <c r="L810" s="16"/>
      <c r="M810" s="16"/>
      <c r="N810" s="16"/>
    </row>
    <row r="811" spans="7:14" x14ac:dyDescent="0.2">
      <c r="G811" s="16"/>
      <c r="H811" s="16"/>
      <c r="I811" s="16"/>
      <c r="J811" s="16"/>
      <c r="K811" s="16"/>
      <c r="L811" s="16"/>
      <c r="M811" s="16"/>
      <c r="N811" s="16"/>
    </row>
    <row r="812" spans="7:14" x14ac:dyDescent="0.2">
      <c r="G812" s="16"/>
      <c r="H812" s="16"/>
      <c r="I812" s="16"/>
      <c r="J812" s="16"/>
      <c r="K812" s="16"/>
      <c r="L812" s="16"/>
      <c r="M812" s="16"/>
      <c r="N812" s="16"/>
    </row>
    <row r="813" spans="7:14" x14ac:dyDescent="0.2">
      <c r="G813" s="16"/>
      <c r="H813" s="16"/>
      <c r="I813" s="16"/>
      <c r="J813" s="16"/>
      <c r="K813" s="16"/>
      <c r="L813" s="16"/>
      <c r="M813" s="16"/>
      <c r="N813" s="16"/>
    </row>
    <row r="814" spans="7:14" x14ac:dyDescent="0.2">
      <c r="G814" s="16"/>
      <c r="H814" s="16"/>
      <c r="I814" s="16"/>
      <c r="J814" s="16"/>
      <c r="K814" s="16"/>
      <c r="L814" s="16"/>
      <c r="M814" s="16"/>
      <c r="N814" s="16"/>
    </row>
    <row r="815" spans="7:14" x14ac:dyDescent="0.2">
      <c r="G815" s="16"/>
      <c r="H815" s="16"/>
      <c r="I815" s="16"/>
      <c r="J815" s="16"/>
      <c r="K815" s="16"/>
      <c r="L815" s="16"/>
      <c r="M815" s="16"/>
      <c r="N815" s="16"/>
    </row>
    <row r="816" spans="7:14" x14ac:dyDescent="0.2">
      <c r="G816" s="16"/>
      <c r="H816" s="16"/>
      <c r="I816" s="16"/>
      <c r="J816" s="16"/>
      <c r="K816" s="16"/>
      <c r="L816" s="16"/>
      <c r="M816" s="16"/>
      <c r="N816" s="16"/>
    </row>
    <row r="817" spans="7:14" x14ac:dyDescent="0.2">
      <c r="G817" s="16"/>
      <c r="H817" s="16"/>
      <c r="I817" s="16"/>
      <c r="J817" s="16"/>
      <c r="K817" s="16"/>
      <c r="L817" s="16"/>
      <c r="M817" s="16"/>
      <c r="N817" s="16"/>
    </row>
    <row r="818" spans="7:14" x14ac:dyDescent="0.2">
      <c r="G818" s="16"/>
      <c r="H818" s="16"/>
      <c r="I818" s="16"/>
      <c r="J818" s="16"/>
      <c r="K818" s="16"/>
      <c r="L818" s="16"/>
      <c r="M818" s="16"/>
      <c r="N818" s="16"/>
    </row>
    <row r="819" spans="7:14" x14ac:dyDescent="0.2">
      <c r="G819" s="16"/>
      <c r="H819" s="16"/>
      <c r="I819" s="16"/>
      <c r="J819" s="16"/>
      <c r="K819" s="16"/>
      <c r="L819" s="16"/>
      <c r="M819" s="16"/>
      <c r="N819" s="16"/>
    </row>
    <row r="820" spans="7:14" x14ac:dyDescent="0.2">
      <c r="G820" s="16"/>
      <c r="H820" s="16"/>
      <c r="I820" s="16"/>
      <c r="J820" s="16"/>
      <c r="K820" s="16"/>
      <c r="L820" s="16"/>
      <c r="M820" s="16"/>
      <c r="N820" s="16"/>
    </row>
    <row r="821" spans="7:14" x14ac:dyDescent="0.2">
      <c r="G821" s="16"/>
      <c r="H821" s="16"/>
      <c r="I821" s="16"/>
      <c r="J821" s="16"/>
      <c r="K821" s="16"/>
      <c r="L821" s="16"/>
      <c r="M821" s="16"/>
      <c r="N821" s="16"/>
    </row>
    <row r="822" spans="7:14" x14ac:dyDescent="0.2">
      <c r="G822" s="16"/>
      <c r="H822" s="16"/>
      <c r="I822" s="16"/>
      <c r="J822" s="16"/>
      <c r="K822" s="16"/>
      <c r="L822" s="16"/>
      <c r="M822" s="16"/>
      <c r="N822" s="16"/>
    </row>
    <row r="823" spans="7:14" x14ac:dyDescent="0.2">
      <c r="G823" s="16"/>
      <c r="H823" s="16"/>
      <c r="I823" s="16"/>
      <c r="J823" s="16"/>
      <c r="K823" s="16"/>
      <c r="L823" s="16"/>
      <c r="M823" s="16"/>
      <c r="N823" s="16"/>
    </row>
    <row r="824" spans="7:14" x14ac:dyDescent="0.2">
      <c r="G824" s="16"/>
      <c r="H824" s="16"/>
      <c r="I824" s="16"/>
      <c r="J824" s="16"/>
      <c r="K824" s="16"/>
      <c r="L824" s="16"/>
      <c r="M824" s="16"/>
      <c r="N824" s="16"/>
    </row>
    <row r="825" spans="7:14" x14ac:dyDescent="0.2">
      <c r="G825" s="16"/>
      <c r="H825" s="16"/>
      <c r="I825" s="16"/>
      <c r="J825" s="16"/>
      <c r="K825" s="16"/>
      <c r="L825" s="16"/>
      <c r="M825" s="16"/>
      <c r="N825" s="16"/>
    </row>
    <row r="826" spans="7:14" x14ac:dyDescent="0.2">
      <c r="G826" s="16"/>
      <c r="H826" s="16"/>
      <c r="I826" s="16"/>
      <c r="J826" s="16"/>
      <c r="K826" s="16"/>
      <c r="L826" s="16"/>
      <c r="M826" s="16"/>
      <c r="N826" s="16"/>
    </row>
    <row r="827" spans="7:14" x14ac:dyDescent="0.2">
      <c r="G827" s="16"/>
      <c r="H827" s="16"/>
      <c r="I827" s="16"/>
      <c r="J827" s="16"/>
      <c r="K827" s="16"/>
      <c r="L827" s="16"/>
      <c r="M827" s="16"/>
      <c r="N827" s="16"/>
    </row>
    <row r="828" spans="7:14" x14ac:dyDescent="0.2">
      <c r="G828" s="16"/>
      <c r="H828" s="16"/>
      <c r="I828" s="16"/>
      <c r="J828" s="16"/>
      <c r="K828" s="16"/>
      <c r="L828" s="16"/>
      <c r="M828" s="16"/>
      <c r="N828" s="16"/>
    </row>
    <row r="829" spans="7:14" x14ac:dyDescent="0.2">
      <c r="G829" s="16"/>
      <c r="H829" s="16"/>
      <c r="I829" s="16"/>
      <c r="J829" s="16"/>
      <c r="K829" s="16"/>
      <c r="L829" s="16"/>
      <c r="M829" s="16"/>
      <c r="N829" s="16"/>
    </row>
    <row r="830" spans="7:14" x14ac:dyDescent="0.2">
      <c r="G830" s="16"/>
      <c r="H830" s="16"/>
      <c r="I830" s="16"/>
      <c r="J830" s="16"/>
      <c r="K830" s="16"/>
      <c r="L830" s="16"/>
      <c r="M830" s="16"/>
      <c r="N830" s="16"/>
    </row>
    <row r="831" spans="7:14" x14ac:dyDescent="0.2">
      <c r="G831" s="16"/>
      <c r="H831" s="16"/>
      <c r="I831" s="16"/>
      <c r="J831" s="16"/>
      <c r="K831" s="16"/>
      <c r="L831" s="16"/>
      <c r="M831" s="16"/>
      <c r="N831" s="16"/>
    </row>
    <row r="832" spans="7:14" x14ac:dyDescent="0.2">
      <c r="G832" s="16"/>
      <c r="H832" s="16"/>
      <c r="I832" s="16"/>
      <c r="J832" s="16"/>
      <c r="K832" s="16"/>
      <c r="L832" s="16"/>
      <c r="M832" s="16"/>
      <c r="N832" s="16"/>
    </row>
    <row r="833" spans="7:14" x14ac:dyDescent="0.2">
      <c r="G833" s="16"/>
      <c r="H833" s="16"/>
      <c r="I833" s="16"/>
      <c r="J833" s="16"/>
      <c r="K833" s="16"/>
      <c r="L833" s="16"/>
      <c r="M833" s="16"/>
      <c r="N833" s="16"/>
    </row>
    <row r="834" spans="7:14" x14ac:dyDescent="0.2">
      <c r="G834" s="16"/>
      <c r="H834" s="16"/>
      <c r="I834" s="16"/>
      <c r="J834" s="16"/>
      <c r="K834" s="16"/>
      <c r="L834" s="16"/>
      <c r="M834" s="16"/>
      <c r="N834" s="16"/>
    </row>
    <row r="835" spans="7:14" x14ac:dyDescent="0.2">
      <c r="G835" s="16"/>
      <c r="H835" s="16"/>
      <c r="I835" s="16"/>
      <c r="J835" s="16"/>
      <c r="K835" s="16"/>
      <c r="L835" s="16"/>
      <c r="M835" s="16"/>
      <c r="N835" s="16"/>
    </row>
    <row r="836" spans="7:14" x14ac:dyDescent="0.2">
      <c r="G836" s="16"/>
      <c r="H836" s="16"/>
      <c r="I836" s="16"/>
      <c r="J836" s="16"/>
      <c r="K836" s="16"/>
      <c r="L836" s="16"/>
      <c r="M836" s="16"/>
      <c r="N836" s="16"/>
    </row>
    <row r="837" spans="7:14" x14ac:dyDescent="0.2">
      <c r="G837" s="16"/>
      <c r="H837" s="16"/>
      <c r="I837" s="16"/>
      <c r="J837" s="16"/>
      <c r="K837" s="16"/>
      <c r="L837" s="16"/>
      <c r="M837" s="16"/>
      <c r="N837" s="16"/>
    </row>
    <row r="838" spans="7:14" x14ac:dyDescent="0.2">
      <c r="G838" s="16"/>
      <c r="H838" s="16"/>
      <c r="I838" s="16"/>
      <c r="J838" s="16"/>
      <c r="K838" s="16"/>
      <c r="L838" s="16"/>
      <c r="M838" s="16"/>
      <c r="N838" s="16"/>
    </row>
    <row r="839" spans="7:14" x14ac:dyDescent="0.2">
      <c r="G839" s="16"/>
      <c r="H839" s="16"/>
      <c r="I839" s="16"/>
      <c r="J839" s="16"/>
      <c r="K839" s="16"/>
      <c r="L839" s="16"/>
      <c r="M839" s="16"/>
      <c r="N839" s="16"/>
    </row>
    <row r="840" spans="7:14" x14ac:dyDescent="0.2">
      <c r="G840" s="16"/>
      <c r="H840" s="16"/>
      <c r="I840" s="16"/>
      <c r="J840" s="16"/>
      <c r="K840" s="16"/>
      <c r="L840" s="16"/>
      <c r="M840" s="16"/>
      <c r="N840" s="16"/>
    </row>
    <row r="841" spans="7:14" x14ac:dyDescent="0.2">
      <c r="G841" s="16"/>
      <c r="H841" s="16"/>
      <c r="I841" s="16"/>
      <c r="J841" s="16"/>
      <c r="K841" s="16"/>
      <c r="L841" s="16"/>
      <c r="M841" s="16"/>
      <c r="N841" s="16"/>
    </row>
    <row r="842" spans="7:14" x14ac:dyDescent="0.2">
      <c r="G842" s="16"/>
      <c r="H842" s="16"/>
      <c r="I842" s="16"/>
      <c r="J842" s="16"/>
      <c r="K842" s="16"/>
      <c r="L842" s="16"/>
      <c r="M842" s="16"/>
      <c r="N842" s="16"/>
    </row>
    <row r="843" spans="7:14" x14ac:dyDescent="0.2">
      <c r="G843" s="16"/>
      <c r="H843" s="16"/>
      <c r="I843" s="16"/>
      <c r="J843" s="16"/>
      <c r="K843" s="16"/>
      <c r="L843" s="16"/>
      <c r="M843" s="16"/>
      <c r="N843" s="16"/>
    </row>
    <row r="844" spans="7:14" x14ac:dyDescent="0.2">
      <c r="G844" s="16"/>
      <c r="H844" s="16"/>
      <c r="I844" s="16"/>
      <c r="J844" s="16"/>
      <c r="K844" s="16"/>
      <c r="L844" s="16"/>
      <c r="M844" s="16"/>
      <c r="N844" s="16"/>
    </row>
    <row r="845" spans="7:14" x14ac:dyDescent="0.2">
      <c r="G845" s="16"/>
      <c r="H845" s="16"/>
      <c r="I845" s="16"/>
      <c r="J845" s="16"/>
      <c r="K845" s="16"/>
      <c r="L845" s="16"/>
      <c r="M845" s="16"/>
      <c r="N845" s="16"/>
    </row>
    <row r="846" spans="7:14" x14ac:dyDescent="0.2">
      <c r="G846" s="16"/>
      <c r="H846" s="16"/>
      <c r="I846" s="16"/>
      <c r="J846" s="16"/>
      <c r="K846" s="16"/>
      <c r="L846" s="16"/>
      <c r="M846" s="16"/>
      <c r="N846" s="16"/>
    </row>
    <row r="847" spans="7:14" x14ac:dyDescent="0.2">
      <c r="G847" s="16"/>
      <c r="H847" s="16"/>
      <c r="I847" s="16"/>
      <c r="J847" s="16"/>
      <c r="K847" s="16"/>
      <c r="L847" s="16"/>
      <c r="M847" s="16"/>
      <c r="N847" s="16"/>
    </row>
    <row r="848" spans="7:14" x14ac:dyDescent="0.2">
      <c r="G848" s="16"/>
      <c r="H848" s="16"/>
      <c r="I848" s="16"/>
      <c r="J848" s="16"/>
      <c r="K848" s="16"/>
      <c r="L848" s="16"/>
      <c r="M848" s="16"/>
      <c r="N848" s="16"/>
    </row>
    <row r="849" spans="7:14" x14ac:dyDescent="0.2">
      <c r="G849" s="16"/>
      <c r="H849" s="16"/>
      <c r="I849" s="16"/>
      <c r="J849" s="16"/>
      <c r="K849" s="16"/>
      <c r="L849" s="16"/>
      <c r="M849" s="16"/>
      <c r="N849" s="16"/>
    </row>
    <row r="850" spans="7:14" x14ac:dyDescent="0.2">
      <c r="G850" s="16"/>
      <c r="H850" s="16"/>
      <c r="I850" s="16"/>
      <c r="J850" s="16"/>
      <c r="K850" s="16"/>
      <c r="L850" s="16"/>
      <c r="M850" s="16"/>
      <c r="N850" s="16"/>
    </row>
    <row r="851" spans="7:14" x14ac:dyDescent="0.2">
      <c r="G851" s="16"/>
      <c r="H851" s="16"/>
      <c r="I851" s="16"/>
      <c r="J851" s="16"/>
      <c r="K851" s="16"/>
      <c r="L851" s="16"/>
      <c r="M851" s="16"/>
      <c r="N851" s="16"/>
    </row>
    <row r="852" spans="7:14" x14ac:dyDescent="0.2">
      <c r="G852" s="16"/>
      <c r="H852" s="16"/>
      <c r="I852" s="16"/>
      <c r="J852" s="16"/>
      <c r="K852" s="16"/>
      <c r="L852" s="16"/>
      <c r="M852" s="16"/>
      <c r="N852" s="16"/>
    </row>
    <row r="853" spans="7:14" x14ac:dyDescent="0.2">
      <c r="G853" s="16"/>
      <c r="H853" s="16"/>
      <c r="I853" s="16"/>
      <c r="J853" s="16"/>
      <c r="K853" s="16"/>
      <c r="L853" s="16"/>
      <c r="M853" s="16"/>
      <c r="N853" s="16"/>
    </row>
    <row r="854" spans="7:14" x14ac:dyDescent="0.2">
      <c r="G854" s="16"/>
      <c r="H854" s="16"/>
      <c r="I854" s="16"/>
      <c r="J854" s="16"/>
      <c r="K854" s="16"/>
      <c r="L854" s="16"/>
      <c r="M854" s="16"/>
      <c r="N854" s="16"/>
    </row>
    <row r="855" spans="7:14" x14ac:dyDescent="0.2">
      <c r="G855" s="16"/>
      <c r="H855" s="16"/>
      <c r="I855" s="16"/>
      <c r="J855" s="16"/>
      <c r="K855" s="16"/>
      <c r="L855" s="16"/>
      <c r="M855" s="16"/>
      <c r="N855" s="16"/>
    </row>
    <row r="856" spans="7:14" x14ac:dyDescent="0.2">
      <c r="J856" s="16"/>
      <c r="K856" s="16"/>
      <c r="L856" s="16"/>
      <c r="M856" s="16"/>
      <c r="N856" s="16"/>
    </row>
    <row r="857" spans="7:14" x14ac:dyDescent="0.2">
      <c r="J857" s="16"/>
      <c r="K857" s="16"/>
      <c r="L857" s="16"/>
      <c r="M857" s="16"/>
      <c r="N857" s="16"/>
    </row>
    <row r="858" spans="7:14" x14ac:dyDescent="0.2">
      <c r="J858" s="16"/>
      <c r="K858" s="16"/>
      <c r="L858" s="16"/>
      <c r="M858" s="16"/>
      <c r="N858" s="16"/>
    </row>
    <row r="859" spans="7:14" x14ac:dyDescent="0.2">
      <c r="J859" s="16"/>
      <c r="K859" s="16"/>
      <c r="L859" s="16"/>
      <c r="M859" s="16"/>
      <c r="N859" s="16"/>
    </row>
    <row r="860" spans="7:14" x14ac:dyDescent="0.2">
      <c r="J860" s="16"/>
      <c r="K860" s="16"/>
      <c r="L860" s="16"/>
      <c r="M860" s="16"/>
      <c r="N860" s="16"/>
    </row>
    <row r="861" spans="7:14" x14ac:dyDescent="0.2">
      <c r="G861" s="16"/>
      <c r="H861" s="16"/>
      <c r="I861" s="16"/>
      <c r="J861" s="16"/>
      <c r="K861" s="16"/>
      <c r="L861" s="16"/>
      <c r="M861" s="16"/>
      <c r="N861" s="16"/>
    </row>
    <row r="862" spans="7:14" x14ac:dyDescent="0.2">
      <c r="G862" s="16"/>
      <c r="H862" s="16"/>
      <c r="I862" s="16"/>
      <c r="J862" s="16"/>
      <c r="K862" s="16"/>
      <c r="L862" s="16"/>
      <c r="M862" s="16"/>
      <c r="N862" s="16"/>
    </row>
    <row r="863" spans="7:14" x14ac:dyDescent="0.2">
      <c r="G863" s="16"/>
      <c r="H863" s="16"/>
      <c r="I863" s="16"/>
      <c r="J863" s="16"/>
      <c r="K863" s="16"/>
      <c r="L863" s="16"/>
      <c r="M863" s="16"/>
      <c r="N863" s="16"/>
    </row>
    <row r="864" spans="7:14" x14ac:dyDescent="0.2">
      <c r="G864" s="16"/>
      <c r="H864" s="16"/>
      <c r="I864" s="16"/>
      <c r="J864" s="16"/>
      <c r="K864" s="16"/>
      <c r="L864" s="16"/>
      <c r="M864" s="16"/>
      <c r="N864" s="16"/>
    </row>
    <row r="865" spans="7:14" x14ac:dyDescent="0.2">
      <c r="G865" s="16"/>
      <c r="H865" s="16"/>
      <c r="I865" s="16"/>
      <c r="J865" s="16"/>
      <c r="K865" s="16"/>
      <c r="L865" s="16"/>
      <c r="M865" s="16"/>
      <c r="N865" s="16"/>
    </row>
    <row r="866" spans="7:14" x14ac:dyDescent="0.2">
      <c r="G866" s="16"/>
      <c r="H866" s="16"/>
      <c r="I866" s="16"/>
      <c r="J866" s="16"/>
      <c r="K866" s="16"/>
      <c r="L866" s="16"/>
      <c r="M866" s="16"/>
      <c r="N866" s="16"/>
    </row>
    <row r="867" spans="7:14" x14ac:dyDescent="0.2">
      <c r="G867" s="16"/>
      <c r="H867" s="16"/>
      <c r="I867" s="16"/>
      <c r="J867" s="16"/>
      <c r="K867" s="16"/>
      <c r="L867" s="16"/>
      <c r="M867" s="16"/>
      <c r="N867" s="16"/>
    </row>
    <row r="868" spans="7:14" x14ac:dyDescent="0.2">
      <c r="G868" s="16"/>
      <c r="H868" s="16"/>
      <c r="I868" s="16"/>
      <c r="J868" s="16"/>
      <c r="K868" s="16"/>
      <c r="L868" s="16"/>
      <c r="M868" s="16"/>
      <c r="N868" s="16"/>
    </row>
    <row r="869" spans="7:14" x14ac:dyDescent="0.2">
      <c r="G869" s="16"/>
      <c r="H869" s="16"/>
      <c r="I869" s="16"/>
      <c r="J869" s="16"/>
      <c r="K869" s="16"/>
      <c r="L869" s="16"/>
      <c r="M869" s="16"/>
      <c r="N869" s="16"/>
    </row>
    <row r="870" spans="7:14" x14ac:dyDescent="0.2">
      <c r="G870" s="16"/>
      <c r="H870" s="16"/>
      <c r="I870" s="16"/>
      <c r="J870" s="16"/>
      <c r="K870" s="16"/>
      <c r="L870" s="16"/>
      <c r="M870" s="16"/>
      <c r="N870" s="16"/>
    </row>
    <row r="871" spans="7:14" x14ac:dyDescent="0.2">
      <c r="G871" s="16"/>
      <c r="H871" s="16"/>
      <c r="I871" s="16"/>
      <c r="J871" s="16"/>
      <c r="K871" s="16"/>
      <c r="L871" s="16"/>
      <c r="M871" s="16"/>
      <c r="N871" s="16"/>
    </row>
    <row r="872" spans="7:14" x14ac:dyDescent="0.2">
      <c r="G872" s="16"/>
      <c r="H872" s="16"/>
      <c r="I872" s="16"/>
      <c r="J872" s="16"/>
      <c r="K872" s="16"/>
      <c r="L872" s="16"/>
      <c r="M872" s="16"/>
      <c r="N872" s="16"/>
    </row>
    <row r="873" spans="7:14" x14ac:dyDescent="0.2">
      <c r="G873" s="16"/>
      <c r="H873" s="16"/>
      <c r="I873" s="16"/>
      <c r="J873" s="16"/>
      <c r="K873" s="16"/>
      <c r="L873" s="16"/>
      <c r="M873" s="16"/>
      <c r="N873" s="16"/>
    </row>
    <row r="874" spans="7:14" x14ac:dyDescent="0.2">
      <c r="G874" s="16"/>
      <c r="H874" s="16"/>
      <c r="I874" s="16"/>
      <c r="J874" s="16"/>
      <c r="K874" s="16"/>
      <c r="L874" s="16"/>
      <c r="M874" s="16"/>
      <c r="N874" s="16"/>
    </row>
    <row r="875" spans="7:14" x14ac:dyDescent="0.2">
      <c r="G875" s="16"/>
      <c r="H875" s="16"/>
      <c r="I875" s="16"/>
      <c r="J875" s="16"/>
      <c r="K875" s="16"/>
      <c r="L875" s="16"/>
      <c r="M875" s="16"/>
      <c r="N875" s="16"/>
    </row>
    <row r="876" spans="7:14" x14ac:dyDescent="0.2">
      <c r="G876" s="16"/>
      <c r="H876" s="16"/>
      <c r="I876" s="16"/>
      <c r="J876" s="16"/>
      <c r="K876" s="16"/>
      <c r="L876" s="16"/>
      <c r="M876" s="16"/>
      <c r="N876" s="16"/>
    </row>
    <row r="877" spans="7:14" x14ac:dyDescent="0.2">
      <c r="N877" s="16"/>
    </row>
    <row r="878" spans="7:14" x14ac:dyDescent="0.2">
      <c r="N878" s="16"/>
    </row>
    <row r="879" spans="7:14" x14ac:dyDescent="0.2">
      <c r="N879" s="16"/>
    </row>
    <row r="880" spans="7:14" x14ac:dyDescent="0.2">
      <c r="N880" s="16"/>
    </row>
    <row r="881" spans="6:14" x14ac:dyDescent="0.2">
      <c r="N881" s="16"/>
    </row>
    <row r="882" spans="6:14" x14ac:dyDescent="0.2">
      <c r="N882" s="16"/>
    </row>
    <row r="883" spans="6:14" x14ac:dyDescent="0.2">
      <c r="N883" s="16"/>
    </row>
    <row r="884" spans="6:14" x14ac:dyDescent="0.2">
      <c r="N884" s="16"/>
    </row>
    <row r="885" spans="6:14" x14ac:dyDescent="0.2">
      <c r="N885" s="16"/>
    </row>
    <row r="886" spans="6:14" x14ac:dyDescent="0.2">
      <c r="G886" s="16"/>
      <c r="H886" s="16"/>
      <c r="I886" s="16"/>
      <c r="J886" s="16"/>
      <c r="K886" s="16"/>
      <c r="L886" s="16"/>
      <c r="M886" s="16"/>
      <c r="N886" s="16"/>
    </row>
    <row r="887" spans="6:14" x14ac:dyDescent="0.2">
      <c r="G887" s="16"/>
      <c r="H887" s="16"/>
      <c r="I887" s="16"/>
      <c r="J887" s="16"/>
      <c r="K887" s="16"/>
      <c r="L887" s="16"/>
      <c r="M887" s="16"/>
      <c r="N887" s="16"/>
    </row>
    <row r="888" spans="6:14" x14ac:dyDescent="0.2">
      <c r="F888" s="16"/>
      <c r="G888" s="16"/>
      <c r="H888" s="16"/>
      <c r="I888" s="16"/>
      <c r="J888" s="16"/>
      <c r="K888" s="16"/>
      <c r="L888" s="16"/>
      <c r="M888" s="16"/>
      <c r="N888" s="16"/>
    </row>
    <row r="889" spans="6:14" x14ac:dyDescent="0.2">
      <c r="F889" s="16"/>
      <c r="G889" s="16"/>
      <c r="H889" s="16"/>
      <c r="I889" s="16"/>
      <c r="J889" s="16"/>
      <c r="K889" s="16"/>
      <c r="L889" s="16"/>
      <c r="M889" s="16"/>
      <c r="N889" s="16"/>
    </row>
    <row r="890" spans="6:14" x14ac:dyDescent="0.2">
      <c r="F890" s="16"/>
      <c r="G890" s="16"/>
      <c r="H890" s="16"/>
      <c r="I890" s="16"/>
      <c r="J890" s="16"/>
      <c r="K890" s="16"/>
      <c r="L890" s="16"/>
      <c r="M890" s="16"/>
      <c r="N890" s="16"/>
    </row>
    <row r="891" spans="6:14" x14ac:dyDescent="0.2">
      <c r="F891" s="16"/>
      <c r="G891" s="16"/>
      <c r="H891" s="16"/>
      <c r="I891" s="16"/>
      <c r="J891" s="16"/>
      <c r="K891" s="16"/>
      <c r="L891" s="16"/>
      <c r="M891" s="16"/>
      <c r="N891" s="16"/>
    </row>
    <row r="892" spans="6:14" x14ac:dyDescent="0.2">
      <c r="F892" s="16"/>
      <c r="G892" s="16"/>
      <c r="H892" s="16"/>
      <c r="I892" s="16"/>
      <c r="J892" s="16"/>
      <c r="K892" s="16"/>
      <c r="L892" s="16"/>
      <c r="M892" s="16"/>
      <c r="N892" s="16"/>
    </row>
  </sheetData>
  <sheetProtection sheet="1" objects="1" scenarios="1" selectLockedCells="1"/>
  <phoneticPr fontId="1" type="noConversion"/>
  <hyperlinks>
    <hyperlink ref="B535" r:id="rId1" xr:uid="{00000000-0004-0000-0900-000000000000}"/>
    <hyperlink ref="A601" r:id="rId2" xr:uid="{00000000-0004-0000-0900-000001000000}"/>
  </hyperlinks>
  <printOptions gridLines="1"/>
  <pageMargins left="0.75" right="0.75" top="1" bottom="1" header="0.5" footer="0.5"/>
  <pageSetup orientation="portrait" horizontalDpi="4294967295" verticalDpi="200" r:id="rId3"/>
  <headerFooter alignWithMargins="0"/>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99"/>
  <sheetViews>
    <sheetView workbookViewId="0">
      <selection activeCell="J1" sqref="J1"/>
    </sheetView>
  </sheetViews>
  <sheetFormatPr defaultColWidth="8.7109375" defaultRowHeight="15" x14ac:dyDescent="0.2"/>
  <cols>
    <col min="1" max="1" width="41.28515625" style="12" customWidth="1"/>
    <col min="2" max="2" width="15.140625" style="12" customWidth="1"/>
    <col min="3" max="4" width="8.7109375" style="12"/>
    <col min="5" max="5" width="13.5703125" style="12" customWidth="1"/>
    <col min="6" max="16384" width="8.7109375" style="12"/>
  </cols>
  <sheetData>
    <row r="1" spans="1:14" ht="18" x14ac:dyDescent="0.25">
      <c r="A1" s="7" t="s">
        <v>1479</v>
      </c>
      <c r="F1" s="16"/>
      <c r="G1" s="16"/>
      <c r="H1" s="16"/>
      <c r="I1" s="16"/>
      <c r="J1" s="16"/>
      <c r="K1" s="16"/>
      <c r="L1" s="16"/>
      <c r="M1" s="16"/>
      <c r="N1" s="16"/>
    </row>
    <row r="2" spans="1:14" x14ac:dyDescent="0.2">
      <c r="A2" s="17"/>
      <c r="F2" s="16"/>
      <c r="G2" s="16"/>
      <c r="H2" s="16"/>
      <c r="I2" s="16"/>
      <c r="J2" s="16"/>
      <c r="K2" s="16"/>
      <c r="L2" s="16"/>
      <c r="M2" s="16"/>
      <c r="N2" s="16"/>
    </row>
    <row r="3" spans="1:14" x14ac:dyDescent="0.2">
      <c r="J3" s="16"/>
      <c r="K3" s="16"/>
      <c r="L3" s="16"/>
      <c r="M3" s="16"/>
      <c r="N3" s="16"/>
    </row>
    <row r="4" spans="1:14" ht="15.75" x14ac:dyDescent="0.25">
      <c r="A4" s="1" t="s">
        <v>729</v>
      </c>
      <c r="J4" s="16"/>
      <c r="K4" s="16"/>
      <c r="L4" s="16"/>
      <c r="M4" s="16"/>
      <c r="N4" s="16"/>
    </row>
    <row r="5" spans="1:14" x14ac:dyDescent="0.2">
      <c r="A5" s="22" t="s">
        <v>730</v>
      </c>
      <c r="B5" s="27"/>
      <c r="C5" s="27"/>
      <c r="F5" s="16"/>
      <c r="G5" s="16"/>
      <c r="H5" s="16"/>
      <c r="I5" s="16"/>
      <c r="J5" s="16"/>
      <c r="K5" s="16"/>
      <c r="L5" s="16"/>
      <c r="M5" s="16"/>
      <c r="N5" s="16"/>
    </row>
    <row r="6" spans="1:14" x14ac:dyDescent="0.2">
      <c r="A6" s="22" t="s">
        <v>836</v>
      </c>
      <c r="B6" s="27"/>
      <c r="C6" s="27"/>
      <c r="F6" s="16"/>
      <c r="G6" s="16"/>
      <c r="H6" s="16"/>
      <c r="I6" s="16"/>
      <c r="J6" s="16"/>
      <c r="K6" s="16"/>
      <c r="L6" s="16"/>
      <c r="M6" s="16"/>
      <c r="N6" s="16"/>
    </row>
    <row r="7" spans="1:14" x14ac:dyDescent="0.2">
      <c r="B7" s="27"/>
      <c r="C7" s="27"/>
      <c r="F7" s="16"/>
      <c r="G7" s="16"/>
      <c r="H7" s="16"/>
      <c r="I7" s="16"/>
      <c r="J7" s="16"/>
      <c r="K7" s="16"/>
      <c r="L7" s="16"/>
      <c r="M7" s="16"/>
      <c r="N7" s="16"/>
    </row>
    <row r="8" spans="1:14" x14ac:dyDescent="0.2">
      <c r="A8" s="28"/>
      <c r="B8" s="27"/>
      <c r="C8" s="27"/>
      <c r="F8" s="16"/>
      <c r="G8" s="16"/>
      <c r="H8" s="16"/>
      <c r="I8" s="16"/>
      <c r="J8" s="16"/>
      <c r="K8" s="16"/>
      <c r="L8" s="16"/>
      <c r="M8" s="16"/>
      <c r="N8" s="16"/>
    </row>
    <row r="9" spans="1:14" x14ac:dyDescent="0.2">
      <c r="A9" s="28"/>
      <c r="B9" s="27"/>
      <c r="C9" s="27"/>
      <c r="F9" s="16"/>
      <c r="G9" s="16"/>
      <c r="H9" s="16"/>
      <c r="I9" s="16"/>
      <c r="J9" s="16"/>
      <c r="K9" s="16"/>
      <c r="L9" s="16"/>
      <c r="M9" s="16"/>
      <c r="N9" s="16"/>
    </row>
    <row r="10" spans="1:14" x14ac:dyDescent="0.2">
      <c r="A10" s="28"/>
      <c r="B10" s="27"/>
      <c r="C10" s="27"/>
      <c r="F10" s="16"/>
      <c r="G10" s="16"/>
      <c r="H10" s="16"/>
      <c r="I10" s="16"/>
      <c r="J10" s="16"/>
      <c r="K10" s="16"/>
      <c r="L10" s="16"/>
      <c r="M10" s="16"/>
      <c r="N10" s="16"/>
    </row>
    <row r="11" spans="1:14" x14ac:dyDescent="0.2">
      <c r="A11" s="28"/>
      <c r="B11" s="27"/>
      <c r="C11" s="27"/>
      <c r="F11" s="16"/>
      <c r="G11" s="16"/>
      <c r="H11" s="16"/>
      <c r="I11" s="16"/>
      <c r="J11" s="16"/>
      <c r="K11" s="16"/>
      <c r="L11" s="16"/>
      <c r="M11" s="16"/>
      <c r="N11" s="16"/>
    </row>
    <row r="12" spans="1:14" x14ac:dyDescent="0.2">
      <c r="A12" s="28"/>
      <c r="B12" s="27"/>
      <c r="C12" s="27"/>
      <c r="F12" s="16"/>
      <c r="G12" s="16"/>
      <c r="H12" s="16"/>
      <c r="I12" s="16"/>
      <c r="J12" s="16"/>
      <c r="K12" s="16"/>
      <c r="L12" s="16"/>
      <c r="M12" s="16"/>
      <c r="N12" s="16"/>
    </row>
    <row r="13" spans="1:14" x14ac:dyDescent="0.2">
      <c r="A13" s="28"/>
      <c r="B13" s="27"/>
      <c r="C13" s="27"/>
      <c r="F13" s="16"/>
      <c r="G13" s="16"/>
      <c r="H13" s="16"/>
      <c r="I13" s="16"/>
      <c r="J13" s="16"/>
      <c r="K13" s="16"/>
      <c r="L13" s="16"/>
      <c r="M13" s="16"/>
      <c r="N13" s="16"/>
    </row>
    <row r="14" spans="1:14" x14ac:dyDescent="0.2">
      <c r="A14" s="28"/>
      <c r="B14" s="27"/>
      <c r="C14" s="27"/>
      <c r="F14" s="16"/>
      <c r="G14" s="16"/>
      <c r="H14" s="16"/>
      <c r="I14" s="16"/>
      <c r="J14" s="16"/>
      <c r="K14" s="16"/>
      <c r="L14" s="16"/>
      <c r="M14" s="16"/>
      <c r="N14" s="16"/>
    </row>
    <row r="15" spans="1:14" x14ac:dyDescent="0.2">
      <c r="A15" s="28"/>
      <c r="B15" s="27"/>
      <c r="C15" s="27"/>
      <c r="F15" s="16"/>
      <c r="G15" s="16"/>
      <c r="H15" s="16"/>
      <c r="I15" s="16"/>
      <c r="J15" s="16"/>
      <c r="K15" s="16"/>
      <c r="L15" s="16"/>
      <c r="M15" s="16"/>
      <c r="N15" s="16"/>
    </row>
    <row r="16" spans="1:14" x14ac:dyDescent="0.2">
      <c r="A16" s="28"/>
      <c r="B16" s="27"/>
      <c r="C16" s="27"/>
      <c r="F16" s="16"/>
      <c r="G16" s="16"/>
      <c r="H16" s="16"/>
      <c r="I16" s="16"/>
      <c r="J16" s="16"/>
      <c r="K16" s="16"/>
      <c r="L16" s="16"/>
      <c r="M16" s="16"/>
      <c r="N16" s="16"/>
    </row>
    <row r="17" spans="1:14" x14ac:dyDescent="0.2">
      <c r="A17" s="28"/>
      <c r="B17" s="27"/>
      <c r="C17" s="27"/>
      <c r="F17" s="16"/>
      <c r="G17" s="16"/>
      <c r="H17" s="16"/>
      <c r="I17" s="16"/>
      <c r="J17" s="16"/>
      <c r="K17" s="16"/>
      <c r="L17" s="16"/>
      <c r="M17" s="16"/>
      <c r="N17" s="16"/>
    </row>
    <row r="18" spans="1:14" x14ac:dyDescent="0.2">
      <c r="A18" s="28"/>
      <c r="B18" s="27"/>
      <c r="C18" s="27"/>
      <c r="F18" s="16"/>
      <c r="G18" s="16"/>
      <c r="H18" s="16"/>
      <c r="I18" s="16"/>
      <c r="J18" s="16"/>
      <c r="K18" s="16"/>
      <c r="L18" s="16"/>
      <c r="M18" s="16"/>
      <c r="N18" s="16"/>
    </row>
    <row r="19" spans="1:14" x14ac:dyDescent="0.2">
      <c r="A19" s="28" t="s">
        <v>837</v>
      </c>
      <c r="B19" s="27"/>
      <c r="C19" s="27"/>
      <c r="F19" s="16"/>
      <c r="G19" s="16"/>
      <c r="H19" s="16"/>
      <c r="I19" s="16"/>
      <c r="J19" s="16"/>
      <c r="K19" s="16"/>
      <c r="L19" s="16"/>
      <c r="M19" s="16"/>
      <c r="N19" s="16"/>
    </row>
    <row r="20" spans="1:14" x14ac:dyDescent="0.2">
      <c r="A20" s="28" t="s">
        <v>838</v>
      </c>
      <c r="B20" s="27"/>
      <c r="C20" s="27"/>
      <c r="F20" s="16"/>
      <c r="G20" s="16"/>
      <c r="H20" s="16"/>
      <c r="I20" s="16"/>
      <c r="J20" s="16"/>
      <c r="K20" s="16"/>
      <c r="L20" s="16"/>
      <c r="M20" s="16"/>
      <c r="N20" s="16"/>
    </row>
    <row r="21" spans="1:14" x14ac:dyDescent="0.2">
      <c r="A21" s="124"/>
      <c r="B21" s="125"/>
      <c r="C21" s="125"/>
      <c r="D21" s="23"/>
      <c r="E21" s="23"/>
      <c r="F21" s="16"/>
      <c r="G21" s="16"/>
      <c r="H21" s="16"/>
      <c r="I21" s="16"/>
      <c r="J21" s="16"/>
      <c r="K21" s="16"/>
      <c r="L21" s="16"/>
      <c r="M21" s="16"/>
      <c r="N21" s="16"/>
    </row>
    <row r="22" spans="1:14" x14ac:dyDescent="0.2">
      <c r="A22" s="28"/>
      <c r="B22" s="27"/>
      <c r="C22" s="27"/>
      <c r="F22" s="16"/>
      <c r="G22" s="16"/>
      <c r="H22" s="16"/>
      <c r="I22" s="16"/>
      <c r="J22" s="16"/>
      <c r="K22" s="16"/>
      <c r="L22" s="16"/>
      <c r="M22" s="16"/>
      <c r="N22" s="16"/>
    </row>
    <row r="23" spans="1:14" ht="15.75" x14ac:dyDescent="0.25">
      <c r="A23" s="1" t="s">
        <v>839</v>
      </c>
      <c r="B23" s="27"/>
      <c r="C23" s="27"/>
      <c r="F23" s="16"/>
      <c r="G23" s="16"/>
      <c r="H23" s="16"/>
      <c r="I23" s="16"/>
      <c r="J23" s="16"/>
      <c r="K23" s="16"/>
      <c r="L23" s="16"/>
      <c r="M23" s="16"/>
      <c r="N23" s="16"/>
    </row>
    <row r="24" spans="1:14" x14ac:dyDescent="0.2">
      <c r="A24" s="28"/>
      <c r="B24" s="27"/>
      <c r="C24" s="27"/>
      <c r="F24" s="16"/>
      <c r="G24" s="16"/>
      <c r="H24" s="16"/>
      <c r="I24" s="16"/>
      <c r="J24" s="16"/>
      <c r="K24" s="16"/>
      <c r="L24" s="16"/>
      <c r="M24" s="16"/>
      <c r="N24" s="16"/>
    </row>
    <row r="25" spans="1:14" x14ac:dyDescent="0.2">
      <c r="A25" s="28"/>
      <c r="B25" s="27"/>
      <c r="C25" s="27"/>
      <c r="F25" s="16"/>
      <c r="G25" s="16"/>
      <c r="H25" s="16"/>
      <c r="I25" s="16"/>
      <c r="J25" s="16"/>
      <c r="K25" s="16"/>
      <c r="L25" s="16"/>
      <c r="M25" s="16"/>
      <c r="N25" s="16"/>
    </row>
    <row r="26" spans="1:14" x14ac:dyDescent="0.2">
      <c r="A26" s="28"/>
      <c r="B26" s="27"/>
      <c r="C26" s="27"/>
      <c r="F26" s="16"/>
      <c r="G26" s="16"/>
      <c r="H26" s="16"/>
      <c r="I26" s="16"/>
      <c r="J26" s="16"/>
      <c r="K26" s="16"/>
      <c r="L26" s="16"/>
      <c r="M26" s="16"/>
      <c r="N26" s="16"/>
    </row>
    <row r="27" spans="1:14" x14ac:dyDescent="0.2">
      <c r="A27" s="28"/>
      <c r="B27" s="27"/>
      <c r="C27" s="27"/>
      <c r="F27" s="16"/>
      <c r="G27" s="16"/>
      <c r="H27" s="16"/>
      <c r="I27" s="16"/>
      <c r="J27" s="16"/>
      <c r="K27" s="16"/>
      <c r="L27" s="16"/>
      <c r="M27" s="16"/>
      <c r="N27" s="16"/>
    </row>
    <row r="28" spans="1:14" x14ac:dyDescent="0.2">
      <c r="A28" s="28"/>
      <c r="B28" s="27"/>
      <c r="C28" s="27"/>
      <c r="F28" s="16"/>
      <c r="G28" s="16"/>
      <c r="H28" s="16"/>
      <c r="I28" s="16"/>
      <c r="J28" s="16"/>
      <c r="K28" s="16"/>
      <c r="L28" s="16"/>
      <c r="M28" s="16"/>
      <c r="N28" s="16"/>
    </row>
    <row r="29" spans="1:14" x14ac:dyDescent="0.2">
      <c r="A29" s="28"/>
      <c r="B29" s="27"/>
      <c r="C29" s="27"/>
      <c r="F29" s="16"/>
      <c r="G29" s="16"/>
      <c r="H29" s="16"/>
      <c r="I29" s="16"/>
      <c r="J29" s="16"/>
      <c r="K29" s="16"/>
      <c r="L29" s="16"/>
      <c r="M29" s="16"/>
      <c r="N29" s="16"/>
    </row>
    <row r="30" spans="1:14" x14ac:dyDescent="0.2">
      <c r="A30" s="28"/>
      <c r="B30" s="27"/>
      <c r="C30" s="27"/>
      <c r="F30" s="16"/>
      <c r="G30" s="16"/>
      <c r="H30" s="16"/>
      <c r="I30" s="16"/>
      <c r="J30" s="16"/>
      <c r="K30" s="16"/>
      <c r="L30" s="16"/>
      <c r="M30" s="16"/>
      <c r="N30" s="16"/>
    </row>
    <row r="31" spans="1:14" x14ac:dyDescent="0.2">
      <c r="A31" s="28"/>
      <c r="B31" s="27"/>
      <c r="C31" s="27"/>
      <c r="F31" s="16"/>
      <c r="G31" s="16"/>
      <c r="H31" s="16"/>
      <c r="I31" s="16"/>
      <c r="J31" s="16"/>
      <c r="K31" s="16"/>
      <c r="L31" s="16"/>
      <c r="M31" s="16"/>
      <c r="N31" s="16"/>
    </row>
    <row r="32" spans="1:14" x14ac:dyDescent="0.2">
      <c r="A32" s="28"/>
      <c r="B32" s="27"/>
      <c r="C32" s="27"/>
      <c r="F32" s="16"/>
      <c r="G32" s="16"/>
      <c r="H32" s="16"/>
      <c r="I32" s="16"/>
      <c r="J32" s="16"/>
      <c r="K32" s="16"/>
      <c r="L32" s="16"/>
      <c r="M32" s="16"/>
      <c r="N32" s="16"/>
    </row>
    <row r="33" spans="1:14" x14ac:dyDescent="0.2">
      <c r="A33" s="28"/>
      <c r="B33" s="27"/>
      <c r="C33" s="27"/>
      <c r="F33" s="16"/>
      <c r="G33" s="16"/>
      <c r="H33" s="16"/>
      <c r="I33" s="16"/>
      <c r="J33" s="16"/>
      <c r="K33" s="16"/>
      <c r="L33" s="16"/>
      <c r="M33" s="16"/>
      <c r="N33" s="16"/>
    </row>
    <row r="34" spans="1:14" x14ac:dyDescent="0.2">
      <c r="A34" s="22" t="s">
        <v>840</v>
      </c>
      <c r="B34" s="27"/>
      <c r="C34" s="27"/>
      <c r="F34" s="16"/>
      <c r="G34" s="16"/>
      <c r="H34" s="16"/>
      <c r="I34" s="16"/>
      <c r="J34" s="16"/>
      <c r="K34" s="16"/>
      <c r="L34" s="16"/>
      <c r="M34" s="16"/>
      <c r="N34" s="16"/>
    </row>
    <row r="35" spans="1:14" x14ac:dyDescent="0.2">
      <c r="A35" s="22" t="s">
        <v>841</v>
      </c>
      <c r="B35" s="27"/>
      <c r="C35" s="27"/>
      <c r="F35" s="16"/>
      <c r="G35" s="16"/>
      <c r="H35" s="16"/>
      <c r="I35" s="16"/>
      <c r="J35" s="16"/>
      <c r="K35" s="16"/>
      <c r="L35" s="16"/>
      <c r="M35" s="16"/>
      <c r="N35" s="16"/>
    </row>
    <row r="36" spans="1:14" x14ac:dyDescent="0.2">
      <c r="A36" s="22" t="s">
        <v>842</v>
      </c>
      <c r="B36" s="27"/>
      <c r="C36" s="27"/>
      <c r="F36" s="16"/>
      <c r="G36" s="16"/>
      <c r="H36" s="16"/>
      <c r="I36" s="16"/>
      <c r="J36" s="16"/>
      <c r="K36" s="16"/>
      <c r="L36" s="16"/>
      <c r="M36" s="16"/>
      <c r="N36" s="16"/>
    </row>
    <row r="37" spans="1:14" x14ac:dyDescent="0.2">
      <c r="A37" s="27"/>
      <c r="B37" s="27"/>
      <c r="F37" s="16"/>
      <c r="G37" s="16"/>
      <c r="H37" s="16"/>
      <c r="I37" s="16"/>
      <c r="J37" s="16"/>
      <c r="K37" s="16"/>
      <c r="L37" s="16"/>
      <c r="M37" s="16"/>
      <c r="N37" s="16"/>
    </row>
    <row r="38" spans="1:14" x14ac:dyDescent="0.2">
      <c r="A38" s="22" t="s">
        <v>973</v>
      </c>
      <c r="B38" s="27"/>
      <c r="C38" s="27"/>
      <c r="F38" s="16"/>
      <c r="G38" s="16"/>
      <c r="H38" s="16"/>
      <c r="I38" s="16"/>
      <c r="J38" s="16"/>
      <c r="K38" s="16"/>
      <c r="L38" s="16"/>
      <c r="M38" s="16"/>
      <c r="N38" s="16"/>
    </row>
    <row r="39" spans="1:14" x14ac:dyDescent="0.2">
      <c r="A39" s="28"/>
      <c r="B39" s="27"/>
      <c r="C39" s="27"/>
      <c r="F39" s="16"/>
      <c r="G39" s="16"/>
      <c r="H39" s="16"/>
      <c r="I39" s="16"/>
      <c r="J39" s="16"/>
      <c r="K39" s="16"/>
      <c r="L39" s="16"/>
      <c r="M39" s="16"/>
      <c r="N39" s="16"/>
    </row>
    <row r="40" spans="1:14" ht="15.75" x14ac:dyDescent="0.25">
      <c r="A40" s="2" t="s">
        <v>81</v>
      </c>
      <c r="B40" s="27"/>
      <c r="C40" s="27"/>
      <c r="F40" s="16"/>
      <c r="G40" s="16"/>
      <c r="H40" s="16"/>
      <c r="I40" s="16"/>
      <c r="J40" s="16"/>
      <c r="K40" s="16"/>
      <c r="L40" s="16"/>
      <c r="M40" s="16"/>
      <c r="N40" s="16"/>
    </row>
    <row r="41" spans="1:14" x14ac:dyDescent="0.2">
      <c r="A41" s="28"/>
      <c r="B41" s="27" t="s">
        <v>1071</v>
      </c>
      <c r="C41" s="27"/>
      <c r="F41" s="16"/>
      <c r="G41" s="16"/>
      <c r="H41" s="16"/>
      <c r="I41" s="16"/>
      <c r="J41" s="16"/>
      <c r="K41" s="16"/>
      <c r="L41" s="16"/>
      <c r="M41" s="16"/>
      <c r="N41" s="16"/>
    </row>
    <row r="42" spans="1:14" x14ac:dyDescent="0.2">
      <c r="A42" s="28" t="s">
        <v>974</v>
      </c>
      <c r="B42" s="27"/>
      <c r="C42" s="27"/>
      <c r="F42" s="16"/>
      <c r="G42" s="16"/>
      <c r="H42" s="16"/>
      <c r="I42" s="16"/>
      <c r="J42" s="16"/>
      <c r="K42" s="16"/>
      <c r="L42" s="16"/>
      <c r="M42" s="16"/>
      <c r="N42" s="16"/>
    </row>
    <row r="43" spans="1:14" x14ac:dyDescent="0.2">
      <c r="A43" s="28" t="s">
        <v>975</v>
      </c>
      <c r="B43" s="27"/>
      <c r="C43" s="27"/>
      <c r="F43" s="16"/>
      <c r="G43" s="16"/>
      <c r="H43" s="16"/>
      <c r="I43" s="16"/>
      <c r="J43" s="16"/>
      <c r="K43" s="16"/>
      <c r="L43" s="16"/>
      <c r="M43" s="16"/>
      <c r="N43" s="16"/>
    </row>
    <row r="44" spans="1:14" x14ac:dyDescent="0.2">
      <c r="A44" s="28" t="s">
        <v>976</v>
      </c>
      <c r="B44" s="27"/>
      <c r="C44" s="27"/>
      <c r="F44" s="16"/>
      <c r="G44" s="16"/>
      <c r="H44" s="16"/>
      <c r="I44" s="16"/>
      <c r="J44" s="16"/>
      <c r="K44" s="16"/>
      <c r="L44" s="16"/>
      <c r="M44" s="16"/>
      <c r="N44" s="16"/>
    </row>
    <row r="45" spans="1:14" x14ac:dyDescent="0.2">
      <c r="A45" s="28" t="s">
        <v>977</v>
      </c>
      <c r="B45" s="27"/>
      <c r="C45" s="27"/>
      <c r="F45" s="16"/>
      <c r="G45" s="16"/>
      <c r="H45" s="16"/>
      <c r="I45" s="16"/>
      <c r="J45" s="16"/>
      <c r="K45" s="16"/>
      <c r="L45" s="16"/>
      <c r="M45" s="16"/>
      <c r="N45" s="16"/>
    </row>
    <row r="46" spans="1:14" x14ac:dyDescent="0.2">
      <c r="A46" s="28" t="s">
        <v>978</v>
      </c>
      <c r="B46" s="27"/>
      <c r="C46" s="27"/>
      <c r="F46" s="16"/>
      <c r="G46" s="16"/>
      <c r="H46" s="16"/>
      <c r="I46" s="16"/>
      <c r="J46" s="16"/>
      <c r="K46" s="16"/>
      <c r="L46" s="16"/>
      <c r="M46" s="16"/>
      <c r="N46" s="16"/>
    </row>
    <row r="47" spans="1:14" ht="16.5" thickBot="1" x14ac:dyDescent="0.3">
      <c r="A47" s="28"/>
      <c r="B47" s="30" t="s">
        <v>109</v>
      </c>
      <c r="C47" s="27"/>
      <c r="F47" s="16"/>
      <c r="G47" s="16"/>
      <c r="H47" s="16"/>
      <c r="I47" s="16"/>
      <c r="J47" s="16"/>
      <c r="K47" s="16"/>
      <c r="L47" s="16"/>
      <c r="M47" s="16"/>
      <c r="N47" s="16"/>
    </row>
    <row r="48" spans="1:14" x14ac:dyDescent="0.2">
      <c r="A48" s="28" t="s">
        <v>479</v>
      </c>
      <c r="B48" s="31">
        <v>12</v>
      </c>
      <c r="C48" s="22" t="s">
        <v>979</v>
      </c>
      <c r="F48" s="16"/>
      <c r="G48" s="16"/>
      <c r="H48" s="16"/>
      <c r="I48" s="16"/>
      <c r="J48" s="16"/>
      <c r="K48" s="16"/>
      <c r="L48" s="16"/>
      <c r="M48" s="16"/>
      <c r="N48" s="16"/>
    </row>
    <row r="49" spans="1:14" x14ac:dyDescent="0.2">
      <c r="A49" s="28" t="s">
        <v>862</v>
      </c>
      <c r="B49" s="32">
        <v>1.7999999999999999E-2</v>
      </c>
      <c r="C49" s="22" t="s">
        <v>980</v>
      </c>
      <c r="F49" s="16"/>
      <c r="G49" s="16"/>
      <c r="H49" s="16"/>
      <c r="I49" s="16"/>
      <c r="J49" s="16"/>
      <c r="K49" s="16"/>
      <c r="L49" s="16"/>
      <c r="M49" s="16"/>
      <c r="N49" s="16"/>
    </row>
    <row r="50" spans="1:14" x14ac:dyDescent="0.2">
      <c r="A50" s="28" t="s">
        <v>803</v>
      </c>
      <c r="B50" s="32">
        <v>386.4</v>
      </c>
      <c r="C50" s="22" t="s">
        <v>981</v>
      </c>
      <c r="F50" s="16"/>
      <c r="G50" s="16"/>
      <c r="H50" s="16"/>
      <c r="I50" s="16"/>
      <c r="J50" s="16"/>
      <c r="K50" s="16"/>
      <c r="L50" s="16"/>
      <c r="M50" s="16"/>
      <c r="N50" s="16"/>
    </row>
    <row r="51" spans="1:14" ht="15.75" thickBot="1" x14ac:dyDescent="0.25">
      <c r="A51" s="28" t="s">
        <v>982</v>
      </c>
      <c r="B51" s="54">
        <v>20</v>
      </c>
      <c r="C51" s="22" t="s">
        <v>456</v>
      </c>
      <c r="F51" s="16"/>
      <c r="G51" s="16"/>
      <c r="H51" s="16"/>
      <c r="I51" s="16"/>
      <c r="J51" s="16"/>
      <c r="K51" s="16"/>
      <c r="L51" s="16"/>
      <c r="M51" s="16"/>
      <c r="N51" s="16"/>
    </row>
    <row r="52" spans="1:14" x14ac:dyDescent="0.2">
      <c r="A52" s="28"/>
      <c r="B52" s="27"/>
      <c r="C52" s="22"/>
      <c r="F52" s="16"/>
      <c r="G52" s="16"/>
      <c r="H52" s="16"/>
      <c r="I52" s="16"/>
      <c r="J52" s="16"/>
      <c r="K52" s="16"/>
      <c r="L52" s="16"/>
      <c r="M52" s="16"/>
      <c r="N52" s="16"/>
    </row>
    <row r="53" spans="1:14" ht="15.75" x14ac:dyDescent="0.25">
      <c r="A53" s="28"/>
      <c r="B53" s="30" t="s">
        <v>876</v>
      </c>
      <c r="C53" s="22"/>
      <c r="F53" s="16"/>
      <c r="G53" s="16"/>
      <c r="H53" s="16"/>
      <c r="I53" s="16"/>
      <c r="J53" s="16"/>
      <c r="K53" s="16"/>
      <c r="L53" s="16"/>
      <c r="M53" s="16"/>
      <c r="N53" s="16"/>
    </row>
    <row r="54" spans="1:14" ht="15.75" x14ac:dyDescent="0.25">
      <c r="A54" s="2" t="s">
        <v>983</v>
      </c>
      <c r="B54" s="5" t="s">
        <v>984</v>
      </c>
      <c r="C54" s="1"/>
      <c r="F54" s="16"/>
      <c r="G54" s="16"/>
      <c r="H54" s="16"/>
      <c r="I54" s="16"/>
      <c r="J54" s="16"/>
      <c r="K54" s="16"/>
      <c r="L54" s="16"/>
      <c r="M54" s="16"/>
      <c r="N54" s="16"/>
    </row>
    <row r="55" spans="1:14" ht="15.75" x14ac:dyDescent="0.25">
      <c r="A55" s="2" t="s">
        <v>987</v>
      </c>
      <c r="B55" s="37">
        <f>(2*B50*B48*B49)/3.142</f>
        <v>53.126925525143207</v>
      </c>
      <c r="C55" s="1" t="s">
        <v>981</v>
      </c>
      <c r="F55" s="16"/>
      <c r="G55" s="16"/>
      <c r="H55" s="16"/>
      <c r="I55" s="16"/>
      <c r="J55" s="16"/>
      <c r="K55" s="16"/>
      <c r="L55" s="16"/>
      <c r="M55" s="16"/>
      <c r="N55" s="16"/>
    </row>
    <row r="56" spans="1:14" ht="15.75" x14ac:dyDescent="0.25">
      <c r="A56" s="2" t="s">
        <v>988</v>
      </c>
      <c r="B56" s="5" t="s">
        <v>864</v>
      </c>
      <c r="C56" s="1"/>
      <c r="F56" s="16"/>
      <c r="G56" s="16"/>
      <c r="H56" s="16"/>
      <c r="I56" s="16"/>
      <c r="J56" s="16"/>
      <c r="K56" s="16"/>
      <c r="L56" s="16"/>
      <c r="M56" s="16"/>
      <c r="N56" s="16"/>
    </row>
    <row r="57" spans="1:14" ht="15.75" x14ac:dyDescent="0.25">
      <c r="A57" s="2" t="s">
        <v>863</v>
      </c>
      <c r="B57" s="202">
        <f>B55*(2*3.142*B51)/B50</f>
        <v>17.279999999999994</v>
      </c>
      <c r="C57" s="1" t="s">
        <v>989</v>
      </c>
      <c r="F57" s="16"/>
      <c r="G57" s="16"/>
      <c r="H57" s="16"/>
      <c r="I57" s="16"/>
      <c r="J57" s="16"/>
      <c r="K57" s="16"/>
      <c r="L57" s="16"/>
      <c r="M57" s="16"/>
      <c r="N57" s="16"/>
    </row>
    <row r="58" spans="1:14" ht="15.75" x14ac:dyDescent="0.25">
      <c r="A58" s="2" t="s">
        <v>990</v>
      </c>
      <c r="B58" s="5" t="s">
        <v>865</v>
      </c>
      <c r="C58" s="1"/>
      <c r="F58" s="16"/>
      <c r="G58" s="16"/>
      <c r="H58" s="16"/>
      <c r="I58" s="16"/>
      <c r="J58" s="16"/>
      <c r="K58" s="16"/>
      <c r="L58" s="16"/>
      <c r="M58" s="16"/>
      <c r="N58" s="16"/>
    </row>
    <row r="59" spans="1:14" ht="15.75" x14ac:dyDescent="0.25">
      <c r="A59" s="2" t="s">
        <v>991</v>
      </c>
      <c r="B59" s="3">
        <f>B55/(2*3.142*B51)</f>
        <v>0.42271583008548069</v>
      </c>
      <c r="C59" s="1" t="s">
        <v>1078</v>
      </c>
      <c r="F59" s="16"/>
      <c r="G59" s="16"/>
      <c r="H59" s="16"/>
      <c r="I59" s="16"/>
      <c r="J59" s="16"/>
      <c r="K59" s="16"/>
      <c r="L59" s="16"/>
      <c r="M59" s="16"/>
      <c r="N59" s="16"/>
    </row>
    <row r="60" spans="1:14" ht="15.75" x14ac:dyDescent="0.25">
      <c r="A60" s="2"/>
      <c r="B60" s="5"/>
      <c r="C60" s="1"/>
      <c r="F60" s="16"/>
      <c r="G60" s="16"/>
      <c r="H60" s="16"/>
      <c r="I60" s="16"/>
      <c r="J60" s="16"/>
      <c r="K60" s="16"/>
      <c r="L60" s="16"/>
      <c r="M60" s="16"/>
      <c r="N60" s="16"/>
    </row>
    <row r="61" spans="1:14" ht="15.75" x14ac:dyDescent="0.25">
      <c r="A61" s="2" t="s">
        <v>82</v>
      </c>
      <c r="B61" s="1" t="s">
        <v>992</v>
      </c>
      <c r="C61" s="5"/>
      <c r="F61" s="16"/>
      <c r="G61" s="16"/>
      <c r="H61" s="16"/>
      <c r="I61" s="16"/>
      <c r="J61" s="16"/>
      <c r="K61" s="16"/>
      <c r="L61" s="16"/>
      <c r="M61" s="16"/>
      <c r="N61" s="16"/>
    </row>
    <row r="62" spans="1:14" ht="15.75" x14ac:dyDescent="0.25">
      <c r="A62" s="2" t="s">
        <v>522</v>
      </c>
      <c r="B62" s="5" t="s">
        <v>993</v>
      </c>
      <c r="C62" s="4"/>
      <c r="F62" s="16"/>
      <c r="G62" s="16"/>
      <c r="H62" s="16"/>
      <c r="I62" s="16"/>
      <c r="J62" s="16"/>
      <c r="K62" s="16"/>
      <c r="L62" s="16"/>
      <c r="M62" s="16"/>
      <c r="N62" s="16"/>
    </row>
    <row r="63" spans="1:14" x14ac:dyDescent="0.2">
      <c r="A63" s="28"/>
      <c r="B63" s="27"/>
      <c r="F63" s="16"/>
      <c r="G63" s="16"/>
      <c r="H63" s="16"/>
      <c r="I63" s="16"/>
      <c r="J63" s="16"/>
      <c r="K63" s="16"/>
      <c r="L63" s="16"/>
      <c r="M63" s="16"/>
      <c r="N63" s="16"/>
    </row>
    <row r="64" spans="1:14" ht="15.75" x14ac:dyDescent="0.25">
      <c r="A64" s="1" t="s">
        <v>994</v>
      </c>
      <c r="B64" s="27"/>
      <c r="F64" s="16"/>
      <c r="G64" s="16"/>
      <c r="H64" s="16"/>
      <c r="I64" s="16"/>
      <c r="J64" s="16"/>
      <c r="K64" s="16"/>
      <c r="L64" s="16"/>
      <c r="M64" s="16"/>
      <c r="N64" s="16"/>
    </row>
    <row r="65" spans="1:14" ht="15.75" x14ac:dyDescent="0.25">
      <c r="A65" s="1" t="s">
        <v>995</v>
      </c>
      <c r="B65" s="5"/>
      <c r="F65" s="16"/>
      <c r="G65" s="16"/>
      <c r="H65" s="16"/>
      <c r="I65" s="16"/>
      <c r="J65" s="16"/>
      <c r="K65" s="16"/>
      <c r="L65" s="16"/>
      <c r="M65" s="16"/>
      <c r="N65" s="16"/>
    </row>
    <row r="66" spans="1:14" ht="15.75" x14ac:dyDescent="0.25">
      <c r="A66" s="1" t="s">
        <v>996</v>
      </c>
      <c r="B66" s="5"/>
      <c r="F66" s="16"/>
      <c r="G66" s="16"/>
      <c r="H66" s="16"/>
      <c r="I66" s="16"/>
      <c r="J66" s="16"/>
      <c r="K66" s="16"/>
      <c r="L66" s="16"/>
      <c r="M66" s="16"/>
      <c r="N66" s="16"/>
    </row>
    <row r="67" spans="1:14" ht="15.75" x14ac:dyDescent="0.25">
      <c r="A67" s="2" t="s">
        <v>997</v>
      </c>
      <c r="B67" s="1" t="s">
        <v>998</v>
      </c>
      <c r="F67" s="16"/>
      <c r="G67" s="16"/>
      <c r="H67" s="16"/>
      <c r="I67" s="16"/>
      <c r="J67" s="16"/>
      <c r="K67" s="16"/>
      <c r="L67" s="16"/>
      <c r="M67" s="16"/>
      <c r="N67" s="16"/>
    </row>
    <row r="68" spans="1:14" ht="15.75" x14ac:dyDescent="0.25">
      <c r="A68" s="2" t="s">
        <v>999</v>
      </c>
      <c r="B68" s="1" t="s">
        <v>1000</v>
      </c>
      <c r="F68" s="16"/>
      <c r="G68" s="16"/>
      <c r="H68" s="16"/>
      <c r="I68" s="16"/>
      <c r="J68" s="16"/>
      <c r="K68" s="16"/>
      <c r="L68" s="16"/>
      <c r="M68" s="16"/>
      <c r="N68" s="16"/>
    </row>
    <row r="69" spans="1:14" ht="15.75" x14ac:dyDescent="0.25">
      <c r="A69" s="2" t="s">
        <v>264</v>
      </c>
      <c r="B69" s="1" t="s">
        <v>1001</v>
      </c>
      <c r="F69" s="16"/>
      <c r="G69" s="16"/>
      <c r="H69" s="16"/>
      <c r="I69" s="16"/>
      <c r="J69" s="16"/>
      <c r="K69" s="16"/>
      <c r="L69" s="16"/>
      <c r="M69" s="16"/>
      <c r="N69" s="16"/>
    </row>
    <row r="70" spans="1:14" ht="15.75" x14ac:dyDescent="0.25">
      <c r="A70" s="2" t="s">
        <v>250</v>
      </c>
      <c r="B70" s="1" t="s">
        <v>1002</v>
      </c>
      <c r="F70" s="16"/>
      <c r="G70" s="16"/>
      <c r="H70" s="16"/>
      <c r="I70" s="16"/>
      <c r="J70" s="16"/>
      <c r="K70" s="16"/>
      <c r="L70" s="16"/>
      <c r="M70" s="16"/>
      <c r="N70" s="16"/>
    </row>
    <row r="71" spans="1:14" ht="15.75" x14ac:dyDescent="0.25">
      <c r="A71" s="2" t="s">
        <v>531</v>
      </c>
      <c r="B71" s="1" t="s">
        <v>1003</v>
      </c>
      <c r="F71" s="16"/>
      <c r="G71" s="16"/>
      <c r="H71" s="16"/>
      <c r="I71" s="16"/>
      <c r="J71" s="16"/>
      <c r="K71" s="16"/>
      <c r="L71" s="16"/>
      <c r="M71" s="16"/>
      <c r="N71" s="16"/>
    </row>
    <row r="72" spans="1:14" x14ac:dyDescent="0.2">
      <c r="F72" s="16"/>
      <c r="G72" s="16"/>
      <c r="H72" s="16"/>
      <c r="I72" s="16"/>
      <c r="J72" s="16"/>
      <c r="K72" s="16"/>
      <c r="L72" s="16"/>
      <c r="M72" s="16"/>
      <c r="N72" s="16"/>
    </row>
    <row r="73" spans="1:14" x14ac:dyDescent="0.2">
      <c r="A73" s="28"/>
      <c r="B73" s="27"/>
      <c r="C73" s="27"/>
      <c r="F73" s="16"/>
      <c r="G73" s="16"/>
      <c r="H73" s="16"/>
      <c r="I73" s="16"/>
      <c r="J73" s="16"/>
      <c r="K73" s="16"/>
      <c r="L73" s="16"/>
      <c r="M73" s="16"/>
      <c r="N73" s="16"/>
    </row>
    <row r="74" spans="1:14" ht="15.75" x14ac:dyDescent="0.25">
      <c r="A74" s="2" t="s">
        <v>1004</v>
      </c>
      <c r="B74" s="22"/>
      <c r="C74" s="27"/>
      <c r="F74" s="16"/>
      <c r="G74" s="16"/>
      <c r="H74" s="16"/>
      <c r="I74" s="16"/>
      <c r="J74" s="16"/>
      <c r="K74" s="16"/>
      <c r="L74" s="16"/>
      <c r="M74" s="16"/>
      <c r="N74" s="16"/>
    </row>
    <row r="75" spans="1:14" x14ac:dyDescent="0.2">
      <c r="A75" s="212" t="s">
        <v>1005</v>
      </c>
      <c r="B75" s="27"/>
      <c r="C75" s="27"/>
      <c r="F75" s="16"/>
      <c r="G75" s="16"/>
      <c r="H75" s="16"/>
      <c r="I75" s="16"/>
      <c r="J75" s="16"/>
      <c r="K75" s="16"/>
      <c r="L75" s="16"/>
      <c r="M75" s="16"/>
      <c r="N75" s="16"/>
    </row>
    <row r="76" spans="1:14" x14ac:dyDescent="0.2">
      <c r="A76" s="28"/>
      <c r="B76" s="27"/>
      <c r="C76" s="27"/>
      <c r="F76" s="16"/>
      <c r="G76" s="16"/>
      <c r="H76" s="16"/>
      <c r="I76" s="16"/>
      <c r="J76" s="16"/>
      <c r="K76" s="16"/>
      <c r="L76" s="16"/>
      <c r="M76" s="16"/>
      <c r="N76" s="16"/>
    </row>
    <row r="77" spans="1:14" ht="16.5" thickBot="1" x14ac:dyDescent="0.3">
      <c r="A77" s="2" t="s">
        <v>1071</v>
      </c>
      <c r="B77" s="30" t="s">
        <v>109</v>
      </c>
      <c r="C77" s="27"/>
      <c r="F77" s="16"/>
      <c r="G77" s="16"/>
      <c r="H77" s="16"/>
      <c r="I77" s="16"/>
      <c r="J77" s="16"/>
      <c r="K77" s="16"/>
      <c r="L77" s="16"/>
      <c r="M77" s="16"/>
      <c r="N77" s="16"/>
    </row>
    <row r="78" spans="1:14" x14ac:dyDescent="0.2">
      <c r="A78" s="28" t="s">
        <v>1006</v>
      </c>
      <c r="B78" s="127">
        <v>13.267982176957354</v>
      </c>
      <c r="C78" s="22" t="s">
        <v>496</v>
      </c>
      <c r="F78" s="16"/>
      <c r="G78" s="16"/>
      <c r="H78" s="16"/>
      <c r="I78" s="16"/>
      <c r="J78" s="16"/>
      <c r="K78" s="16"/>
      <c r="L78" s="16"/>
      <c r="M78" s="16"/>
      <c r="N78" s="16"/>
    </row>
    <row r="79" spans="1:14" x14ac:dyDescent="0.2">
      <c r="A79" s="28" t="s">
        <v>1007</v>
      </c>
      <c r="B79" s="32">
        <v>4</v>
      </c>
      <c r="C79" s="22"/>
      <c r="F79" s="16"/>
      <c r="G79" s="16"/>
      <c r="H79" s="16"/>
      <c r="I79" s="16"/>
      <c r="J79" s="16"/>
      <c r="K79" s="16"/>
      <c r="L79" s="16"/>
      <c r="M79" s="16"/>
      <c r="N79" s="16"/>
    </row>
    <row r="80" spans="1:14" ht="15.75" x14ac:dyDescent="0.25">
      <c r="A80" s="28" t="s">
        <v>1480</v>
      </c>
      <c r="B80" s="32">
        <v>50</v>
      </c>
      <c r="C80" s="22" t="s">
        <v>979</v>
      </c>
      <c r="F80" s="16"/>
      <c r="G80" s="16"/>
      <c r="H80" s="16"/>
      <c r="I80" s="16"/>
      <c r="J80" s="16"/>
      <c r="K80" s="16"/>
      <c r="L80" s="16"/>
      <c r="M80" s="16"/>
      <c r="N80" s="16"/>
    </row>
    <row r="81" spans="1:14" x14ac:dyDescent="0.2">
      <c r="A81" s="28" t="s">
        <v>1008</v>
      </c>
      <c r="B81" s="32">
        <v>3.0000000000000001E-3</v>
      </c>
      <c r="C81" s="22" t="s">
        <v>980</v>
      </c>
      <c r="F81" s="16"/>
      <c r="G81" s="16"/>
      <c r="H81" s="16"/>
      <c r="I81" s="16"/>
      <c r="J81" s="16"/>
      <c r="K81" s="16"/>
      <c r="L81" s="16"/>
      <c r="M81" s="16"/>
      <c r="N81" s="16"/>
    </row>
    <row r="82" spans="1:14" x14ac:dyDescent="0.2">
      <c r="A82" s="28" t="s">
        <v>1009</v>
      </c>
      <c r="B82" s="32">
        <v>1.4</v>
      </c>
      <c r="C82" s="22" t="s">
        <v>1078</v>
      </c>
      <c r="F82" s="16"/>
      <c r="G82" s="16"/>
      <c r="H82" s="16"/>
      <c r="I82" s="16"/>
      <c r="J82" s="16"/>
      <c r="K82" s="16"/>
      <c r="L82" s="16"/>
      <c r="M82" s="16"/>
      <c r="N82" s="16"/>
    </row>
    <row r="83" spans="1:14" ht="15.75" x14ac:dyDescent="0.25">
      <c r="A83" s="28" t="s">
        <v>1010</v>
      </c>
      <c r="B83" s="32">
        <v>0</v>
      </c>
      <c r="C83" s="22" t="s">
        <v>618</v>
      </c>
      <c r="D83" s="1" t="s">
        <v>83</v>
      </c>
      <c r="F83" s="16"/>
      <c r="G83" s="16"/>
      <c r="H83" s="16"/>
      <c r="I83" s="16"/>
      <c r="J83" s="16"/>
      <c r="K83" s="16"/>
      <c r="L83" s="16"/>
      <c r="M83" s="16"/>
      <c r="N83" s="16"/>
    </row>
    <row r="84" spans="1:14" x14ac:dyDescent="0.2">
      <c r="A84" s="28" t="s">
        <v>1011</v>
      </c>
      <c r="B84" s="32">
        <v>0</v>
      </c>
      <c r="C84" s="22" t="s">
        <v>618</v>
      </c>
      <c r="D84" s="59" t="s">
        <v>1012</v>
      </c>
      <c r="F84" s="16"/>
      <c r="G84" s="16"/>
      <c r="H84" s="16"/>
      <c r="I84" s="16"/>
      <c r="J84" s="16"/>
      <c r="K84" s="16"/>
      <c r="L84" s="16"/>
      <c r="M84" s="16"/>
      <c r="N84" s="16"/>
    </row>
    <row r="85" spans="1:14" x14ac:dyDescent="0.2">
      <c r="A85" s="28" t="s">
        <v>1013</v>
      </c>
      <c r="B85" s="32">
        <v>133</v>
      </c>
      <c r="C85" s="22" t="s">
        <v>618</v>
      </c>
      <c r="D85" s="59" t="s">
        <v>1012</v>
      </c>
      <c r="F85" s="16"/>
      <c r="G85" s="16"/>
      <c r="H85" s="16"/>
      <c r="I85" s="16"/>
      <c r="J85" s="16"/>
      <c r="K85" s="16"/>
      <c r="L85" s="16"/>
      <c r="M85" s="16"/>
      <c r="N85" s="16"/>
    </row>
    <row r="86" spans="1:14" x14ac:dyDescent="0.2">
      <c r="A86" s="28" t="s">
        <v>1014</v>
      </c>
      <c r="B86" s="32">
        <v>133</v>
      </c>
      <c r="C86" s="22" t="s">
        <v>618</v>
      </c>
      <c r="D86" s="59" t="s">
        <v>1012</v>
      </c>
      <c r="F86" s="16"/>
      <c r="G86" s="16"/>
      <c r="H86" s="16"/>
      <c r="I86" s="16"/>
      <c r="J86" s="16"/>
      <c r="K86" s="16"/>
      <c r="L86" s="16"/>
      <c r="M86" s="16"/>
      <c r="N86" s="16"/>
    </row>
    <row r="87" spans="1:14" ht="15.75" thickBot="1" x14ac:dyDescent="0.25">
      <c r="A87" s="28" t="s">
        <v>1015</v>
      </c>
      <c r="B87" s="54">
        <v>10</v>
      </c>
      <c r="C87" s="22" t="s">
        <v>979</v>
      </c>
      <c r="F87" s="16"/>
      <c r="G87" s="16"/>
      <c r="H87" s="16"/>
      <c r="I87" s="16"/>
      <c r="J87" s="16"/>
      <c r="K87" s="16"/>
      <c r="L87" s="16"/>
      <c r="M87" s="16"/>
      <c r="N87" s="16"/>
    </row>
    <row r="88" spans="1:14" ht="15.75" x14ac:dyDescent="0.25">
      <c r="A88" s="28"/>
      <c r="B88" s="27"/>
      <c r="C88" s="22"/>
      <c r="E88" s="5" t="s">
        <v>1071</v>
      </c>
      <c r="F88" s="16"/>
      <c r="G88" s="16"/>
      <c r="H88" s="16"/>
      <c r="I88" s="16"/>
      <c r="J88" s="16"/>
      <c r="K88" s="16"/>
      <c r="L88" s="16"/>
      <c r="M88" s="16"/>
      <c r="N88" s="16"/>
    </row>
    <row r="89" spans="1:14" ht="15.75" x14ac:dyDescent="0.25">
      <c r="A89" s="28"/>
      <c r="B89" s="30" t="s">
        <v>876</v>
      </c>
      <c r="C89" s="22"/>
      <c r="F89" s="16"/>
      <c r="G89" s="16"/>
      <c r="H89" s="16"/>
      <c r="I89" s="16"/>
      <c r="J89" s="16"/>
      <c r="K89" s="16"/>
      <c r="L89" s="16"/>
      <c r="M89" s="16"/>
      <c r="N89" s="16"/>
    </row>
    <row r="90" spans="1:14" ht="15.75" x14ac:dyDescent="0.25">
      <c r="A90" s="2" t="s">
        <v>1016</v>
      </c>
      <c r="B90" s="5" t="s">
        <v>907</v>
      </c>
      <c r="C90" s="1" t="s">
        <v>496</v>
      </c>
      <c r="F90" s="16"/>
      <c r="G90" s="16"/>
      <c r="H90" s="16"/>
      <c r="I90" s="16"/>
      <c r="J90" s="16"/>
      <c r="K90" s="16"/>
      <c r="L90" s="16"/>
      <c r="M90" s="16"/>
      <c r="N90" s="16"/>
    </row>
    <row r="91" spans="1:14" ht="15.75" x14ac:dyDescent="0.25">
      <c r="A91" s="2" t="s">
        <v>1017</v>
      </c>
      <c r="B91" s="3">
        <f>B78/B79</f>
        <v>3.3169955442393384</v>
      </c>
      <c r="C91" s="1" t="s">
        <v>496</v>
      </c>
      <c r="F91" s="16"/>
      <c r="G91" s="16"/>
      <c r="H91" s="16"/>
      <c r="I91" s="16"/>
      <c r="J91" s="16"/>
      <c r="K91" s="16"/>
      <c r="L91" s="16"/>
      <c r="M91" s="16"/>
      <c r="N91" s="16"/>
    </row>
    <row r="92" spans="1:14" ht="15.75" x14ac:dyDescent="0.25">
      <c r="A92" s="2" t="s">
        <v>1018</v>
      </c>
      <c r="B92" s="5" t="s">
        <v>1027</v>
      </c>
      <c r="C92" s="1"/>
      <c r="F92" s="16"/>
      <c r="G92" s="16"/>
      <c r="H92" s="16"/>
      <c r="I92" s="16"/>
      <c r="J92" s="16"/>
      <c r="K92" s="16"/>
      <c r="L92" s="16"/>
      <c r="M92" s="16"/>
      <c r="N92" s="16"/>
    </row>
    <row r="93" spans="1:14" ht="15.75" x14ac:dyDescent="0.25">
      <c r="A93" s="2" t="s">
        <v>1028</v>
      </c>
      <c r="B93" s="37">
        <f>100*B87/B80</f>
        <v>20</v>
      </c>
      <c r="C93" s="1" t="s">
        <v>1029</v>
      </c>
      <c r="F93" s="16"/>
      <c r="G93" s="16"/>
      <c r="H93" s="16"/>
      <c r="I93" s="16"/>
      <c r="J93" s="16"/>
      <c r="K93" s="16"/>
      <c r="L93" s="16"/>
      <c r="M93" s="16"/>
      <c r="N93" s="16"/>
    </row>
    <row r="94" spans="1:14" ht="15.75" x14ac:dyDescent="0.25">
      <c r="A94" s="2"/>
      <c r="B94" s="5"/>
      <c r="C94" s="5"/>
      <c r="F94" s="16"/>
      <c r="G94" s="16"/>
      <c r="H94" s="16"/>
      <c r="I94" s="16"/>
      <c r="J94" s="16"/>
      <c r="K94" s="16"/>
      <c r="L94" s="16"/>
      <c r="M94" s="16"/>
      <c r="N94" s="16"/>
    </row>
    <row r="95" spans="1:14" ht="15.75" x14ac:dyDescent="0.25">
      <c r="A95" s="2" t="s">
        <v>1030</v>
      </c>
      <c r="B95" s="5" t="s">
        <v>1031</v>
      </c>
      <c r="C95" s="5"/>
      <c r="F95" s="16"/>
      <c r="G95" s="16"/>
      <c r="H95" s="16"/>
      <c r="I95" s="16"/>
      <c r="J95" s="16"/>
      <c r="K95" s="16"/>
      <c r="L95" s="16"/>
      <c r="M95" s="16"/>
      <c r="N95" s="16"/>
    </row>
    <row r="96" spans="1:14" ht="15.75" x14ac:dyDescent="0.25">
      <c r="A96" s="2" t="s">
        <v>1032</v>
      </c>
      <c r="B96" s="51">
        <f>1-B93/100</f>
        <v>0.8</v>
      </c>
      <c r="C96" s="5"/>
      <c r="F96" s="16"/>
      <c r="G96" s="16"/>
      <c r="H96" s="16"/>
      <c r="I96" s="16"/>
      <c r="J96" s="16"/>
      <c r="K96" s="16"/>
      <c r="L96" s="16"/>
      <c r="M96" s="16"/>
      <c r="N96" s="16"/>
    </row>
    <row r="97" spans="1:14" x14ac:dyDescent="0.2">
      <c r="F97" s="16"/>
      <c r="G97" s="16"/>
      <c r="H97" s="16"/>
      <c r="I97" s="16"/>
      <c r="J97" s="16"/>
      <c r="K97" s="16"/>
      <c r="L97" s="16"/>
      <c r="M97" s="16"/>
      <c r="N97" s="16"/>
    </row>
    <row r="98" spans="1:14" x14ac:dyDescent="0.2">
      <c r="A98" s="28"/>
      <c r="B98" s="27"/>
      <c r="C98" s="27"/>
      <c r="F98" s="16"/>
      <c r="G98" s="16"/>
      <c r="H98" s="16"/>
      <c r="I98" s="16"/>
      <c r="J98" s="16"/>
      <c r="K98" s="16"/>
      <c r="L98" s="16"/>
      <c r="M98" s="16"/>
      <c r="N98" s="16"/>
    </row>
    <row r="99" spans="1:14" x14ac:dyDescent="0.2">
      <c r="A99" s="28"/>
      <c r="B99" s="27"/>
      <c r="C99" s="27"/>
      <c r="F99" s="16"/>
      <c r="G99" s="16"/>
      <c r="H99" s="16"/>
      <c r="I99" s="16"/>
      <c r="J99" s="16"/>
      <c r="K99" s="16"/>
      <c r="L99" s="16"/>
      <c r="M99" s="16"/>
      <c r="N99" s="16"/>
    </row>
    <row r="100" spans="1:14" x14ac:dyDescent="0.2">
      <c r="A100" s="28"/>
      <c r="B100" s="27"/>
      <c r="C100" s="27"/>
      <c r="F100" s="16"/>
      <c r="G100" s="16"/>
      <c r="H100" s="16"/>
      <c r="I100" s="16"/>
      <c r="J100" s="16"/>
      <c r="K100" s="16"/>
      <c r="L100" s="16"/>
      <c r="M100" s="16"/>
      <c r="N100" s="16"/>
    </row>
    <row r="101" spans="1:14" x14ac:dyDescent="0.2">
      <c r="A101" s="28"/>
      <c r="B101" s="27"/>
      <c r="C101" s="27"/>
      <c r="F101" s="16"/>
      <c r="G101" s="16"/>
      <c r="H101" s="16"/>
      <c r="I101" s="16"/>
      <c r="J101" s="16"/>
      <c r="K101" s="16"/>
      <c r="L101" s="16"/>
      <c r="M101" s="16"/>
      <c r="N101" s="16"/>
    </row>
    <row r="102" spans="1:14" x14ac:dyDescent="0.2">
      <c r="A102" s="22" t="s">
        <v>1033</v>
      </c>
      <c r="B102" s="27"/>
      <c r="C102" s="27"/>
      <c r="F102" s="16"/>
      <c r="G102" s="16"/>
      <c r="H102" s="16"/>
      <c r="I102" s="16"/>
      <c r="J102" s="16"/>
      <c r="K102" s="16"/>
      <c r="L102" s="16"/>
      <c r="M102" s="16"/>
      <c r="N102" s="16"/>
    </row>
    <row r="103" spans="1:14" x14ac:dyDescent="0.2">
      <c r="A103" s="22" t="s">
        <v>1034</v>
      </c>
      <c r="B103" s="27"/>
      <c r="C103" s="27"/>
      <c r="F103" s="16"/>
      <c r="G103" s="16"/>
      <c r="H103" s="16"/>
      <c r="I103" s="16"/>
      <c r="J103" s="16"/>
      <c r="K103" s="16"/>
      <c r="L103" s="16"/>
      <c r="M103" s="16"/>
      <c r="N103" s="16"/>
    </row>
    <row r="104" spans="1:14" x14ac:dyDescent="0.2">
      <c r="A104" s="212" t="s">
        <v>1035</v>
      </c>
      <c r="B104" s="27"/>
      <c r="C104" s="27"/>
      <c r="F104" s="16"/>
      <c r="G104" s="16"/>
      <c r="H104" s="16"/>
      <c r="I104" s="16"/>
      <c r="J104" s="16"/>
      <c r="K104" s="16"/>
      <c r="L104" s="16"/>
      <c r="M104" s="16"/>
      <c r="N104" s="16"/>
    </row>
    <row r="105" spans="1:14" x14ac:dyDescent="0.2">
      <c r="A105" s="22" t="s">
        <v>1036</v>
      </c>
      <c r="B105" s="27"/>
      <c r="C105" s="27"/>
      <c r="F105" s="16"/>
      <c r="G105" s="16"/>
      <c r="H105" s="16"/>
      <c r="I105" s="16"/>
      <c r="J105" s="16"/>
      <c r="K105" s="16"/>
      <c r="L105" s="16"/>
      <c r="M105" s="16"/>
      <c r="N105" s="16"/>
    </row>
    <row r="106" spans="1:14" x14ac:dyDescent="0.2">
      <c r="A106" s="22" t="s">
        <v>1037</v>
      </c>
      <c r="B106" s="27"/>
      <c r="C106" s="27"/>
      <c r="F106" s="16"/>
      <c r="G106" s="16"/>
      <c r="H106" s="16"/>
      <c r="I106" s="16"/>
      <c r="J106" s="16"/>
      <c r="K106" s="16"/>
      <c r="L106" s="16"/>
      <c r="M106" s="16"/>
      <c r="N106" s="16"/>
    </row>
    <row r="107" spans="1:14" x14ac:dyDescent="0.2">
      <c r="A107" s="22"/>
      <c r="B107" s="27"/>
      <c r="C107" s="27"/>
      <c r="F107" s="16"/>
      <c r="G107" s="16"/>
      <c r="H107" s="16"/>
      <c r="I107" s="16"/>
      <c r="J107" s="16"/>
      <c r="K107" s="16"/>
      <c r="L107" s="16"/>
      <c r="M107" s="16"/>
      <c r="N107" s="16"/>
    </row>
    <row r="108" spans="1:14" x14ac:dyDescent="0.2">
      <c r="A108" s="22" t="s">
        <v>1038</v>
      </c>
      <c r="B108" s="27"/>
      <c r="C108" s="27"/>
      <c r="F108" s="16"/>
      <c r="G108" s="16"/>
      <c r="H108" s="16"/>
      <c r="I108" s="16"/>
      <c r="J108" s="16"/>
      <c r="K108" s="16"/>
      <c r="L108" s="16"/>
      <c r="M108" s="16"/>
      <c r="N108" s="16"/>
    </row>
    <row r="109" spans="1:14" x14ac:dyDescent="0.2">
      <c r="A109" s="22" t="s">
        <v>1039</v>
      </c>
      <c r="B109" s="27"/>
      <c r="C109" s="27"/>
      <c r="F109" s="16"/>
      <c r="G109" s="16"/>
      <c r="H109" s="16"/>
      <c r="I109" s="16"/>
      <c r="J109" s="16"/>
      <c r="K109" s="16"/>
      <c r="L109" s="16"/>
      <c r="M109" s="16"/>
      <c r="N109" s="16"/>
    </row>
    <row r="110" spans="1:14" x14ac:dyDescent="0.2">
      <c r="A110" s="22" t="s">
        <v>1040</v>
      </c>
      <c r="B110" s="27"/>
      <c r="C110" s="27"/>
      <c r="F110" s="16"/>
      <c r="G110" s="16"/>
      <c r="H110" s="16"/>
      <c r="I110" s="16"/>
      <c r="J110" s="16"/>
      <c r="K110" s="16"/>
      <c r="L110" s="16"/>
      <c r="M110" s="16"/>
      <c r="N110" s="16"/>
    </row>
    <row r="111" spans="1:14" x14ac:dyDescent="0.2">
      <c r="A111" s="22"/>
      <c r="B111" s="27"/>
      <c r="C111" s="27"/>
      <c r="F111" s="16"/>
      <c r="G111" s="16"/>
      <c r="H111" s="16"/>
      <c r="I111" s="16"/>
      <c r="J111" s="16"/>
      <c r="K111" s="16"/>
      <c r="L111" s="16"/>
      <c r="M111" s="16"/>
      <c r="N111" s="16"/>
    </row>
    <row r="112" spans="1:14" x14ac:dyDescent="0.2">
      <c r="A112" s="22" t="s">
        <v>1041</v>
      </c>
      <c r="B112" s="27"/>
      <c r="C112" s="27"/>
      <c r="F112" s="16"/>
      <c r="G112" s="16"/>
      <c r="H112" s="16"/>
      <c r="I112" s="16"/>
      <c r="J112" s="16"/>
      <c r="K112" s="16"/>
      <c r="L112" s="16"/>
      <c r="M112" s="16"/>
      <c r="N112" s="16"/>
    </row>
    <row r="113" spans="1:14" x14ac:dyDescent="0.2">
      <c r="A113" s="22" t="s">
        <v>84</v>
      </c>
      <c r="B113" s="27"/>
      <c r="C113" s="27"/>
      <c r="F113" s="16"/>
      <c r="G113" s="16"/>
      <c r="H113" s="16"/>
      <c r="I113" s="16"/>
      <c r="J113" s="16"/>
      <c r="K113" s="16"/>
      <c r="L113" s="16"/>
      <c r="M113" s="16"/>
      <c r="N113" s="16"/>
    </row>
    <row r="114" spans="1:14" x14ac:dyDescent="0.2">
      <c r="A114" s="22" t="s">
        <v>1042</v>
      </c>
      <c r="B114" s="27"/>
      <c r="C114" s="27"/>
      <c r="F114" s="16"/>
      <c r="G114" s="16"/>
      <c r="H114" s="16"/>
      <c r="I114" s="16"/>
      <c r="J114" s="16"/>
      <c r="K114" s="16"/>
      <c r="L114" s="16"/>
      <c r="M114" s="16"/>
      <c r="N114" s="16"/>
    </row>
    <row r="115" spans="1:14" x14ac:dyDescent="0.2">
      <c r="A115" s="28"/>
      <c r="B115" s="27"/>
      <c r="C115" s="27"/>
      <c r="F115" s="16"/>
      <c r="G115" s="16"/>
      <c r="H115" s="16"/>
      <c r="I115" s="16"/>
      <c r="J115" s="16"/>
      <c r="K115" s="16"/>
      <c r="L115" s="16"/>
      <c r="M115" s="16"/>
      <c r="N115" s="16"/>
    </row>
    <row r="116" spans="1:14" ht="15.75" x14ac:dyDescent="0.25">
      <c r="A116" s="1" t="s">
        <v>1043</v>
      </c>
      <c r="B116" s="27"/>
      <c r="C116" s="27"/>
      <c r="F116" s="16"/>
      <c r="G116" s="16"/>
      <c r="H116" s="16"/>
      <c r="I116" s="16"/>
      <c r="J116" s="16"/>
      <c r="K116" s="16"/>
      <c r="L116" s="16"/>
      <c r="M116" s="16"/>
      <c r="N116" s="16"/>
    </row>
    <row r="117" spans="1:14" ht="15.75" x14ac:dyDescent="0.25">
      <c r="A117" s="28"/>
      <c r="B117" s="88" t="s">
        <v>1044</v>
      </c>
      <c r="C117" s="27"/>
      <c r="F117" s="16"/>
      <c r="G117" s="16"/>
      <c r="H117" s="16"/>
      <c r="I117" s="16"/>
      <c r="J117" s="16"/>
      <c r="K117" s="16"/>
      <c r="L117" s="16"/>
      <c r="M117" s="16"/>
      <c r="N117" s="16"/>
    </row>
    <row r="118" spans="1:14" ht="15.75" x14ac:dyDescent="0.25">
      <c r="A118" s="2" t="s">
        <v>1045</v>
      </c>
      <c r="B118" s="5">
        <v>386</v>
      </c>
      <c r="C118" s="1" t="s">
        <v>463</v>
      </c>
      <c r="F118" s="16"/>
      <c r="G118" s="16"/>
      <c r="H118" s="16"/>
      <c r="I118" s="16"/>
      <c r="J118" s="16"/>
      <c r="K118" s="16"/>
      <c r="L118" s="16"/>
      <c r="M118" s="16"/>
      <c r="N118" s="16"/>
    </row>
    <row r="119" spans="1:14" ht="15.75" x14ac:dyDescent="0.25">
      <c r="A119" s="2" t="s">
        <v>1046</v>
      </c>
      <c r="B119" s="5" t="s">
        <v>1047</v>
      </c>
      <c r="C119" s="1"/>
      <c r="F119" s="16"/>
      <c r="G119" s="16"/>
      <c r="H119" s="16"/>
      <c r="I119" s="16"/>
      <c r="J119" s="16"/>
      <c r="K119" s="16"/>
      <c r="L119" s="16"/>
      <c r="M119" s="16"/>
      <c r="N119" s="16"/>
    </row>
    <row r="120" spans="1:14" ht="15.75" x14ac:dyDescent="0.25">
      <c r="A120" s="2" t="s">
        <v>916</v>
      </c>
      <c r="B120" s="202">
        <f>3.13*((B85/B91)^0.5)</f>
        <v>19.819729090879299</v>
      </c>
      <c r="C120" s="1" t="s">
        <v>456</v>
      </c>
      <c r="F120" s="16"/>
      <c r="G120" s="16"/>
      <c r="H120" s="16"/>
      <c r="I120" s="16"/>
      <c r="J120" s="16"/>
      <c r="K120" s="16"/>
      <c r="L120" s="16"/>
      <c r="M120" s="16"/>
      <c r="N120" s="16"/>
    </row>
    <row r="121" spans="1:14" ht="15.75" x14ac:dyDescent="0.25">
      <c r="A121" s="2" t="s">
        <v>1048</v>
      </c>
      <c r="B121" s="5" t="s">
        <v>1049</v>
      </c>
      <c r="C121" s="1"/>
      <c r="F121" s="16"/>
      <c r="G121" s="16"/>
      <c r="H121" s="16"/>
      <c r="I121" s="16"/>
      <c r="J121" s="16"/>
      <c r="K121" s="16"/>
      <c r="L121" s="16"/>
      <c r="M121" s="16"/>
      <c r="N121" s="16"/>
    </row>
    <row r="122" spans="1:14" ht="15.75" x14ac:dyDescent="0.25">
      <c r="A122" s="2" t="s">
        <v>1050</v>
      </c>
      <c r="B122" s="202">
        <f>1/(2*B81)</f>
        <v>166.66666666666666</v>
      </c>
      <c r="C122" s="1" t="s">
        <v>456</v>
      </c>
      <c r="F122" s="16"/>
      <c r="G122" s="16"/>
      <c r="H122" s="16"/>
      <c r="I122" s="16"/>
      <c r="J122" s="16"/>
      <c r="K122" s="16"/>
      <c r="L122" s="16"/>
      <c r="M122" s="16"/>
      <c r="N122" s="16"/>
    </row>
    <row r="123" spans="1:14" ht="15.75" x14ac:dyDescent="0.25">
      <c r="A123" s="2"/>
      <c r="B123" s="5"/>
      <c r="C123" s="1"/>
      <c r="F123" s="16"/>
      <c r="G123" s="16"/>
      <c r="H123" s="16"/>
      <c r="I123" s="16"/>
      <c r="J123" s="16"/>
      <c r="K123" s="16"/>
      <c r="L123" s="16"/>
      <c r="M123" s="16"/>
      <c r="N123" s="16"/>
    </row>
    <row r="124" spans="1:14" ht="15.75" x14ac:dyDescent="0.25">
      <c r="A124" s="2" t="s">
        <v>1051</v>
      </c>
      <c r="B124" s="5"/>
      <c r="C124" s="1"/>
      <c r="F124" s="16"/>
      <c r="G124" s="16"/>
      <c r="H124" s="16"/>
      <c r="I124" s="16"/>
      <c r="J124" s="16"/>
      <c r="K124" s="16"/>
      <c r="L124" s="16"/>
      <c r="M124" s="16"/>
      <c r="N124" s="16"/>
    </row>
    <row r="125" spans="1:14" ht="15.75" x14ac:dyDescent="0.25">
      <c r="A125" s="2" t="s">
        <v>1052</v>
      </c>
      <c r="B125" s="5" t="s">
        <v>1053</v>
      </c>
      <c r="C125" s="1"/>
      <c r="D125" s="27" t="s">
        <v>1071</v>
      </c>
      <c r="F125" s="16"/>
      <c r="G125" s="16"/>
      <c r="H125" s="16"/>
      <c r="I125" s="16"/>
      <c r="J125" s="16"/>
      <c r="K125" s="16"/>
      <c r="L125" s="16"/>
      <c r="M125" s="16"/>
      <c r="N125" s="16"/>
    </row>
    <row r="126" spans="1:14" ht="15.75" x14ac:dyDescent="0.25">
      <c r="A126" s="2" t="s">
        <v>1054</v>
      </c>
      <c r="B126" s="202">
        <f>B91*(2*3.142*B122)/(B118)</f>
        <v>9</v>
      </c>
      <c r="C126" s="1" t="s">
        <v>979</v>
      </c>
      <c r="F126" s="16"/>
      <c r="G126" s="16"/>
      <c r="H126" s="16"/>
      <c r="I126" s="16"/>
      <c r="J126" s="16"/>
      <c r="K126" s="16"/>
      <c r="L126" s="16"/>
      <c r="M126" s="16"/>
      <c r="N126" s="16"/>
    </row>
    <row r="127" spans="1:14" ht="15.75" x14ac:dyDescent="0.25">
      <c r="A127" s="2"/>
      <c r="B127" s="5"/>
      <c r="C127" s="1"/>
      <c r="F127" s="16"/>
      <c r="G127" s="16"/>
      <c r="H127" s="16"/>
      <c r="I127" s="16"/>
      <c r="J127" s="16"/>
      <c r="K127" s="16"/>
      <c r="L127" s="16"/>
      <c r="M127" s="16"/>
      <c r="N127" s="16"/>
    </row>
    <row r="128" spans="1:14" ht="15.75" x14ac:dyDescent="0.25">
      <c r="A128" s="2" t="s">
        <v>1055</v>
      </c>
      <c r="B128" s="5" t="s">
        <v>1056</v>
      </c>
      <c r="C128" s="1"/>
      <c r="F128" s="16"/>
      <c r="G128" s="16"/>
      <c r="H128" s="16"/>
      <c r="I128" s="16"/>
      <c r="J128" s="16"/>
      <c r="K128" s="16"/>
      <c r="L128" s="16"/>
      <c r="M128" s="16"/>
      <c r="N128" s="16"/>
    </row>
    <row r="129" spans="1:14" ht="15.75" x14ac:dyDescent="0.25">
      <c r="A129" s="2" t="s">
        <v>1057</v>
      </c>
      <c r="B129" s="36">
        <f>(2*3.142*B120)^2*(B91/B118)</f>
        <v>133.29853123712743</v>
      </c>
      <c r="C129" s="1" t="s">
        <v>438</v>
      </c>
      <c r="F129" s="16"/>
      <c r="G129" s="16"/>
      <c r="H129" s="16"/>
      <c r="I129" s="16"/>
      <c r="J129" s="16"/>
      <c r="K129" s="16"/>
      <c r="L129" s="16"/>
      <c r="M129" s="16"/>
      <c r="N129" s="16"/>
    </row>
    <row r="130" spans="1:14" ht="15.75" x14ac:dyDescent="0.25">
      <c r="A130" s="2"/>
      <c r="B130" s="5"/>
      <c r="C130" s="1"/>
      <c r="F130" s="16"/>
      <c r="G130" s="16"/>
      <c r="H130" s="16"/>
      <c r="I130" s="16"/>
      <c r="J130" s="16"/>
      <c r="K130" s="16"/>
      <c r="L130" s="16"/>
      <c r="M130" s="16"/>
      <c r="N130" s="16"/>
    </row>
    <row r="131" spans="1:14" ht="15.75" x14ac:dyDescent="0.25">
      <c r="A131" s="2" t="s">
        <v>85</v>
      </c>
      <c r="B131" s="5" t="s">
        <v>1058</v>
      </c>
      <c r="C131" s="1"/>
      <c r="F131" s="16"/>
      <c r="G131" s="16"/>
      <c r="H131" s="16"/>
      <c r="I131" s="16"/>
      <c r="J131" s="16"/>
      <c r="K131" s="16"/>
      <c r="L131" s="16"/>
      <c r="M131" s="16"/>
      <c r="N131" s="16"/>
    </row>
    <row r="132" spans="1:14" ht="15.75" x14ac:dyDescent="0.25">
      <c r="A132" s="2" t="s">
        <v>1059</v>
      </c>
      <c r="B132" s="202">
        <f>3.13*((B129/B91)^0.5)</f>
        <v>19.841960262892048</v>
      </c>
      <c r="C132" s="1" t="s">
        <v>456</v>
      </c>
      <c r="F132" s="16"/>
      <c r="G132" s="16"/>
      <c r="H132" s="16"/>
      <c r="I132" s="16"/>
      <c r="J132" s="16"/>
      <c r="K132" s="16"/>
      <c r="L132" s="16"/>
      <c r="M132" s="16"/>
      <c r="N132" s="16"/>
    </row>
    <row r="133" spans="1:14" ht="15.75" x14ac:dyDescent="0.25">
      <c r="A133" s="2"/>
      <c r="B133" s="5"/>
      <c r="C133" s="1"/>
      <c r="F133" s="16"/>
      <c r="G133" s="16"/>
      <c r="H133" s="16"/>
      <c r="I133" s="16"/>
      <c r="J133" s="16"/>
      <c r="K133" s="16"/>
      <c r="L133" s="16"/>
      <c r="M133" s="16"/>
      <c r="N133" s="16"/>
    </row>
    <row r="134" spans="1:14" ht="15.75" x14ac:dyDescent="0.25">
      <c r="A134" s="2" t="s">
        <v>1060</v>
      </c>
      <c r="B134" s="5" t="s">
        <v>1061</v>
      </c>
      <c r="C134" s="1"/>
      <c r="F134" s="16"/>
      <c r="G134" s="16"/>
      <c r="H134" s="16"/>
      <c r="I134" s="16"/>
      <c r="J134" s="16"/>
      <c r="K134" s="16"/>
      <c r="L134" s="16"/>
      <c r="M134" s="16"/>
      <c r="N134" s="16"/>
    </row>
    <row r="135" spans="1:14" ht="15.75" x14ac:dyDescent="0.25">
      <c r="A135" s="2" t="s">
        <v>1062</v>
      </c>
      <c r="B135" s="37">
        <f>(B126*B118)/((2*3.142*B120)^2)</f>
        <v>0.22395565518308685</v>
      </c>
      <c r="C135" s="1" t="s">
        <v>1078</v>
      </c>
      <c r="F135" s="16"/>
      <c r="G135" s="16"/>
      <c r="H135" s="16"/>
      <c r="I135" s="16"/>
      <c r="J135" s="16"/>
      <c r="K135" s="16"/>
      <c r="L135" s="16"/>
      <c r="M135" s="16"/>
      <c r="N135" s="16"/>
    </row>
    <row r="136" spans="1:14" ht="15.75" x14ac:dyDescent="0.25">
      <c r="A136" s="2"/>
      <c r="B136" s="5"/>
      <c r="C136" s="1"/>
      <c r="F136" s="16"/>
      <c r="G136" s="16"/>
      <c r="H136" s="16"/>
      <c r="I136" s="16"/>
      <c r="J136" s="16"/>
      <c r="K136" s="16"/>
      <c r="L136" s="16"/>
      <c r="M136" s="16"/>
      <c r="N136" s="16"/>
    </row>
    <row r="137" spans="1:14" ht="15.75" x14ac:dyDescent="0.25">
      <c r="A137" s="2" t="s">
        <v>1063</v>
      </c>
      <c r="B137" s="5" t="s">
        <v>1064</v>
      </c>
      <c r="C137" s="1"/>
      <c r="F137" s="16"/>
      <c r="G137" s="16"/>
      <c r="H137" s="16"/>
      <c r="I137" s="16"/>
      <c r="J137" s="16"/>
      <c r="K137" s="16"/>
      <c r="L137" s="16"/>
      <c r="M137" s="16"/>
      <c r="N137" s="16"/>
    </row>
    <row r="138" spans="1:14" ht="15.75" x14ac:dyDescent="0.25">
      <c r="A138" s="2" t="s">
        <v>1065</v>
      </c>
      <c r="B138" s="202">
        <f>2*B118*B80*B81/3.142</f>
        <v>36.855506047103759</v>
      </c>
      <c r="C138" s="1" t="s">
        <v>1066</v>
      </c>
      <c r="F138" s="16"/>
      <c r="G138" s="16"/>
      <c r="H138" s="16"/>
      <c r="I138" s="16"/>
      <c r="J138" s="16"/>
      <c r="K138" s="16"/>
      <c r="L138" s="16"/>
      <c r="M138" s="16"/>
      <c r="N138" s="16"/>
    </row>
    <row r="139" spans="1:14" ht="15.75" x14ac:dyDescent="0.25">
      <c r="A139" s="28"/>
      <c r="B139" s="27"/>
      <c r="C139" s="22"/>
      <c r="E139" s="5" t="s">
        <v>1071</v>
      </c>
      <c r="F139" s="16"/>
      <c r="G139" s="16"/>
      <c r="H139" s="16"/>
      <c r="I139" s="16"/>
      <c r="J139" s="16"/>
      <c r="K139" s="16"/>
      <c r="L139" s="16"/>
      <c r="M139" s="16"/>
      <c r="N139" s="16"/>
    </row>
    <row r="140" spans="1:14" x14ac:dyDescent="0.2">
      <c r="A140" s="28"/>
      <c r="B140" s="27"/>
      <c r="C140" s="22"/>
      <c r="F140" s="16"/>
      <c r="G140" s="16"/>
      <c r="H140" s="16"/>
      <c r="I140" s="16"/>
      <c r="J140" s="16"/>
      <c r="K140" s="16"/>
      <c r="L140" s="16"/>
      <c r="M140" s="16"/>
      <c r="N140" s="16"/>
    </row>
    <row r="141" spans="1:14" x14ac:dyDescent="0.2">
      <c r="A141" s="28"/>
      <c r="B141" s="27"/>
      <c r="C141" s="27"/>
      <c r="F141" s="16"/>
      <c r="G141" s="16"/>
      <c r="H141" s="16"/>
      <c r="I141" s="16"/>
      <c r="J141" s="16"/>
      <c r="K141" s="16"/>
      <c r="L141" s="16"/>
      <c r="M141" s="16"/>
      <c r="N141" s="16"/>
    </row>
    <row r="142" spans="1:14" x14ac:dyDescent="0.2">
      <c r="A142" s="28"/>
      <c r="B142" s="27"/>
      <c r="C142" s="27"/>
      <c r="F142" s="16"/>
      <c r="G142" s="16"/>
      <c r="H142" s="16"/>
      <c r="I142" s="16"/>
      <c r="J142" s="16"/>
      <c r="K142" s="16"/>
      <c r="L142" s="16"/>
      <c r="M142" s="16"/>
      <c r="N142" s="16"/>
    </row>
    <row r="143" spans="1:14" x14ac:dyDescent="0.2">
      <c r="A143" s="28"/>
      <c r="B143" s="27"/>
      <c r="C143" s="27"/>
      <c r="F143" s="16"/>
      <c r="G143" s="16"/>
      <c r="H143" s="16"/>
      <c r="I143" s="16"/>
      <c r="J143" s="16"/>
      <c r="K143" s="16"/>
      <c r="L143" s="16"/>
      <c r="M143" s="16"/>
      <c r="N143" s="16"/>
    </row>
    <row r="144" spans="1:14" x14ac:dyDescent="0.2">
      <c r="A144" s="28"/>
      <c r="B144" s="27"/>
      <c r="C144" s="27"/>
      <c r="F144" s="16"/>
      <c r="G144" s="16"/>
      <c r="H144" s="16"/>
      <c r="I144" s="16"/>
      <c r="J144" s="16"/>
      <c r="K144" s="16"/>
      <c r="L144" s="16"/>
      <c r="M144" s="16"/>
      <c r="N144" s="16"/>
    </row>
    <row r="145" spans="1:14" x14ac:dyDescent="0.2">
      <c r="A145" s="28"/>
      <c r="B145" s="27"/>
      <c r="C145" s="27"/>
      <c r="F145" s="16"/>
      <c r="G145" s="16"/>
      <c r="H145" s="16"/>
      <c r="I145" s="16"/>
      <c r="J145" s="16"/>
      <c r="K145" s="16"/>
      <c r="L145" s="16"/>
      <c r="M145" s="16"/>
      <c r="N145" s="16"/>
    </row>
    <row r="146" spans="1:14" x14ac:dyDescent="0.2">
      <c r="A146" s="28"/>
      <c r="B146" s="27"/>
      <c r="C146" s="27"/>
      <c r="F146" s="16"/>
      <c r="G146" s="16"/>
      <c r="H146" s="16"/>
      <c r="I146" s="16"/>
      <c r="J146" s="16"/>
      <c r="K146" s="16"/>
      <c r="L146" s="16"/>
      <c r="M146" s="16"/>
      <c r="N146" s="16"/>
    </row>
    <row r="147" spans="1:14" ht="15.75" x14ac:dyDescent="0.25">
      <c r="A147" s="2"/>
      <c r="B147" s="27"/>
      <c r="C147" s="5"/>
      <c r="F147" s="16"/>
      <c r="G147" s="16"/>
      <c r="H147" s="16"/>
      <c r="I147" s="16"/>
      <c r="J147" s="16"/>
      <c r="K147" s="16"/>
      <c r="L147" s="16"/>
      <c r="M147" s="16"/>
      <c r="N147" s="16"/>
    </row>
    <row r="148" spans="1:14" x14ac:dyDescent="0.2">
      <c r="A148" s="28"/>
      <c r="B148" s="27"/>
      <c r="C148" s="27"/>
      <c r="F148" s="16"/>
      <c r="G148" s="16"/>
      <c r="H148" s="16"/>
      <c r="I148" s="16"/>
      <c r="J148" s="16"/>
      <c r="K148" s="16"/>
      <c r="L148" s="16"/>
      <c r="M148" s="16"/>
      <c r="N148" s="16"/>
    </row>
    <row r="149" spans="1:14" x14ac:dyDescent="0.2">
      <c r="A149" s="28"/>
      <c r="B149" s="27"/>
      <c r="C149" s="27"/>
      <c r="F149" s="16"/>
      <c r="G149" s="16"/>
      <c r="H149" s="16"/>
      <c r="I149" s="16"/>
      <c r="J149" s="16"/>
      <c r="K149" s="16"/>
      <c r="L149" s="16"/>
      <c r="M149" s="16"/>
      <c r="N149" s="16"/>
    </row>
    <row r="150" spans="1:14" x14ac:dyDescent="0.2">
      <c r="A150" s="28"/>
      <c r="B150" s="27"/>
      <c r="C150" s="27"/>
      <c r="F150" s="16"/>
      <c r="G150" s="16"/>
      <c r="H150" s="16"/>
      <c r="I150" s="16"/>
      <c r="J150" s="16"/>
      <c r="K150" s="16"/>
      <c r="L150" s="16"/>
      <c r="M150" s="16"/>
      <c r="N150" s="16"/>
    </row>
    <row r="151" spans="1:14" x14ac:dyDescent="0.2">
      <c r="A151" s="28"/>
      <c r="B151" s="27"/>
      <c r="C151" s="27"/>
      <c r="F151" s="16"/>
      <c r="G151" s="16"/>
      <c r="H151" s="16"/>
      <c r="I151" s="16"/>
      <c r="J151" s="16"/>
      <c r="K151" s="16"/>
      <c r="L151" s="16"/>
      <c r="M151" s="16"/>
      <c r="N151" s="16"/>
    </row>
    <row r="152" spans="1:14" x14ac:dyDescent="0.2">
      <c r="A152" s="28"/>
      <c r="B152" s="27"/>
      <c r="C152" s="27"/>
      <c r="F152" s="16"/>
      <c r="G152" s="16"/>
      <c r="H152" s="16"/>
      <c r="I152" s="16"/>
      <c r="J152" s="16"/>
      <c r="K152" s="16"/>
      <c r="L152" s="16"/>
      <c r="M152" s="16"/>
      <c r="N152" s="16"/>
    </row>
    <row r="153" spans="1:14" x14ac:dyDescent="0.2">
      <c r="A153" s="28"/>
      <c r="B153" s="27"/>
      <c r="C153" s="27"/>
      <c r="F153" s="16"/>
      <c r="G153" s="16"/>
      <c r="H153" s="16"/>
      <c r="I153" s="16"/>
      <c r="J153" s="16"/>
      <c r="K153" s="16"/>
      <c r="L153" s="16"/>
      <c r="M153" s="16"/>
      <c r="N153" s="16"/>
    </row>
    <row r="154" spans="1:14" x14ac:dyDescent="0.2">
      <c r="A154" s="28"/>
      <c r="B154" s="27"/>
      <c r="C154" s="27"/>
      <c r="F154" s="16"/>
      <c r="G154" s="16"/>
      <c r="H154" s="16"/>
      <c r="I154" s="16"/>
      <c r="J154" s="16"/>
      <c r="K154" s="16"/>
      <c r="L154" s="16"/>
      <c r="M154" s="16"/>
      <c r="N154" s="16"/>
    </row>
    <row r="155" spans="1:14" x14ac:dyDescent="0.2">
      <c r="A155" s="28"/>
      <c r="B155" s="27"/>
      <c r="C155" s="27"/>
      <c r="F155" s="16"/>
      <c r="G155" s="16"/>
      <c r="H155" s="16"/>
      <c r="I155" s="16"/>
      <c r="J155" s="16"/>
      <c r="K155" s="16"/>
      <c r="L155" s="16"/>
      <c r="M155" s="16"/>
      <c r="N155" s="16"/>
    </row>
    <row r="156" spans="1:14" x14ac:dyDescent="0.2">
      <c r="A156" s="28"/>
      <c r="B156" s="27"/>
      <c r="C156" s="27"/>
      <c r="F156" s="16"/>
      <c r="G156" s="16"/>
      <c r="H156" s="16"/>
      <c r="I156" s="16"/>
      <c r="J156" s="16"/>
      <c r="K156" s="16"/>
      <c r="L156" s="16"/>
      <c r="M156" s="16"/>
      <c r="N156" s="16"/>
    </row>
    <row r="157" spans="1:14" x14ac:dyDescent="0.2">
      <c r="A157" s="28"/>
      <c r="B157" s="27"/>
      <c r="C157" s="27"/>
      <c r="F157" s="16"/>
      <c r="G157" s="16"/>
      <c r="H157" s="16"/>
      <c r="I157" s="16"/>
      <c r="J157" s="16"/>
      <c r="K157" s="16"/>
      <c r="L157" s="16"/>
      <c r="M157" s="16"/>
      <c r="N157" s="16"/>
    </row>
    <row r="158" spans="1:14" x14ac:dyDescent="0.2">
      <c r="A158" s="28"/>
      <c r="B158" s="27"/>
      <c r="C158" s="27"/>
      <c r="F158" s="16"/>
      <c r="G158" s="16"/>
      <c r="H158" s="16"/>
      <c r="I158" s="16"/>
      <c r="J158" s="16"/>
      <c r="K158" s="16"/>
      <c r="L158" s="16"/>
      <c r="M158" s="16"/>
      <c r="N158" s="16"/>
    </row>
    <row r="159" spans="1:14" x14ac:dyDescent="0.2">
      <c r="A159" s="28"/>
      <c r="B159" s="27"/>
      <c r="C159" s="27"/>
      <c r="F159" s="16"/>
      <c r="G159" s="16"/>
      <c r="H159" s="16"/>
      <c r="I159" s="16"/>
      <c r="J159" s="16"/>
      <c r="K159" s="16"/>
      <c r="L159" s="16"/>
      <c r="M159" s="16"/>
      <c r="N159" s="16"/>
    </row>
    <row r="160" spans="1:14" x14ac:dyDescent="0.2">
      <c r="A160" s="28"/>
      <c r="B160" s="27"/>
      <c r="C160" s="27"/>
      <c r="F160" s="16"/>
      <c r="G160" s="16"/>
      <c r="H160" s="16"/>
      <c r="I160" s="16"/>
      <c r="J160" s="16"/>
      <c r="K160" s="16"/>
      <c r="L160" s="16"/>
      <c r="M160" s="16"/>
      <c r="N160" s="16"/>
    </row>
    <row r="161" spans="1:14" x14ac:dyDescent="0.2">
      <c r="A161" s="28"/>
      <c r="B161" s="27"/>
      <c r="C161" s="27"/>
      <c r="F161" s="16"/>
      <c r="G161" s="16"/>
      <c r="H161" s="16"/>
      <c r="I161" s="16"/>
      <c r="J161" s="16"/>
      <c r="K161" s="16"/>
      <c r="L161" s="16"/>
      <c r="M161" s="16"/>
      <c r="N161" s="16"/>
    </row>
    <row r="162" spans="1:14" x14ac:dyDescent="0.2">
      <c r="A162" s="28"/>
      <c r="B162" s="27"/>
      <c r="C162" s="27"/>
      <c r="F162" s="16"/>
      <c r="G162" s="16"/>
      <c r="H162" s="16"/>
      <c r="I162" s="16"/>
      <c r="J162" s="16"/>
      <c r="K162" s="16"/>
      <c r="L162" s="16"/>
      <c r="M162" s="16"/>
      <c r="N162" s="16"/>
    </row>
    <row r="163" spans="1:14" x14ac:dyDescent="0.2">
      <c r="A163" s="28"/>
      <c r="B163" s="27"/>
      <c r="C163" s="27"/>
      <c r="F163" s="16"/>
      <c r="G163" s="16"/>
      <c r="H163" s="16"/>
      <c r="I163" s="16"/>
      <c r="J163" s="16"/>
      <c r="K163" s="16"/>
      <c r="L163" s="16"/>
      <c r="M163" s="16"/>
      <c r="N163" s="16"/>
    </row>
    <row r="164" spans="1:14" x14ac:dyDescent="0.2">
      <c r="A164" s="28"/>
      <c r="B164" s="27"/>
      <c r="C164" s="27"/>
      <c r="F164" s="16"/>
      <c r="G164" s="16"/>
      <c r="H164" s="16"/>
      <c r="I164" s="16"/>
      <c r="J164" s="16"/>
      <c r="K164" s="16"/>
      <c r="L164" s="16"/>
      <c r="M164" s="16"/>
      <c r="N164" s="16"/>
    </row>
    <row r="165" spans="1:14" x14ac:dyDescent="0.2">
      <c r="A165" s="28"/>
      <c r="B165" s="27"/>
      <c r="C165" s="27"/>
      <c r="F165" s="16"/>
      <c r="G165" s="16"/>
      <c r="H165" s="16"/>
      <c r="I165" s="16"/>
      <c r="J165" s="16"/>
      <c r="K165" s="16"/>
      <c r="L165" s="16"/>
      <c r="M165" s="16"/>
      <c r="N165" s="16"/>
    </row>
    <row r="166" spans="1:14" x14ac:dyDescent="0.2">
      <c r="A166" s="28"/>
      <c r="B166" s="27"/>
      <c r="C166" s="27"/>
      <c r="F166" s="16"/>
      <c r="G166" s="16"/>
      <c r="H166" s="16"/>
      <c r="I166" s="16"/>
      <c r="J166" s="16"/>
      <c r="K166" s="16"/>
      <c r="L166" s="16"/>
      <c r="M166" s="16"/>
      <c r="N166" s="16"/>
    </row>
    <row r="167" spans="1:14" x14ac:dyDescent="0.2">
      <c r="A167" s="28"/>
      <c r="B167" s="27"/>
      <c r="C167" s="27"/>
      <c r="F167" s="16"/>
      <c r="G167" s="16"/>
      <c r="H167" s="16"/>
      <c r="I167" s="16"/>
      <c r="J167" s="16"/>
      <c r="K167" s="16"/>
      <c r="L167" s="16"/>
      <c r="M167" s="16"/>
      <c r="N167" s="16"/>
    </row>
    <row r="168" spans="1:14" x14ac:dyDescent="0.2">
      <c r="A168" s="28"/>
      <c r="B168" s="27"/>
      <c r="C168" s="27"/>
      <c r="F168" s="16"/>
      <c r="G168" s="16"/>
      <c r="H168" s="16"/>
      <c r="I168" s="16"/>
      <c r="J168" s="16"/>
      <c r="K168" s="16"/>
      <c r="L168" s="16"/>
      <c r="M168" s="16"/>
      <c r="N168" s="16"/>
    </row>
    <row r="169" spans="1:14" x14ac:dyDescent="0.2">
      <c r="A169" s="28"/>
      <c r="B169" s="27"/>
      <c r="C169" s="27"/>
      <c r="F169" s="16"/>
      <c r="G169" s="16"/>
      <c r="H169" s="16"/>
      <c r="I169" s="16"/>
      <c r="J169" s="16"/>
      <c r="K169" s="16"/>
      <c r="L169" s="16"/>
      <c r="M169" s="16"/>
      <c r="N169" s="16"/>
    </row>
    <row r="170" spans="1:14" x14ac:dyDescent="0.2">
      <c r="A170" s="28"/>
      <c r="B170" s="27"/>
      <c r="C170" s="27"/>
      <c r="F170" s="16"/>
      <c r="G170" s="16"/>
      <c r="H170" s="16"/>
      <c r="I170" s="16"/>
      <c r="J170" s="16"/>
      <c r="K170" s="16"/>
      <c r="L170" s="16"/>
      <c r="M170" s="16"/>
      <c r="N170" s="16"/>
    </row>
    <row r="171" spans="1:14" x14ac:dyDescent="0.2">
      <c r="A171" s="28"/>
      <c r="B171" s="27"/>
      <c r="C171" s="27"/>
      <c r="F171" s="16"/>
      <c r="G171" s="16"/>
      <c r="H171" s="16"/>
      <c r="I171" s="16"/>
      <c r="J171" s="16"/>
      <c r="K171" s="16"/>
      <c r="L171" s="16"/>
      <c r="M171" s="16"/>
      <c r="N171" s="16"/>
    </row>
    <row r="172" spans="1:14" x14ac:dyDescent="0.2">
      <c r="A172" s="28"/>
      <c r="B172" s="27"/>
      <c r="C172" s="27"/>
      <c r="F172" s="16"/>
      <c r="G172" s="16"/>
      <c r="H172" s="16"/>
      <c r="I172" s="16"/>
      <c r="J172" s="16"/>
      <c r="K172" s="16"/>
      <c r="L172" s="16"/>
      <c r="M172" s="16"/>
      <c r="N172" s="16"/>
    </row>
    <row r="173" spans="1:14" x14ac:dyDescent="0.2">
      <c r="A173" s="28"/>
      <c r="B173" s="27"/>
      <c r="C173" s="27"/>
      <c r="F173" s="16"/>
      <c r="G173" s="16"/>
      <c r="H173" s="16"/>
      <c r="I173" s="16"/>
      <c r="J173" s="16"/>
      <c r="K173" s="16"/>
      <c r="L173" s="16"/>
      <c r="M173" s="16"/>
      <c r="N173" s="16"/>
    </row>
    <row r="174" spans="1:14" x14ac:dyDescent="0.2">
      <c r="A174" s="28"/>
      <c r="B174" s="27"/>
      <c r="C174" s="27"/>
      <c r="F174" s="16"/>
      <c r="G174" s="16"/>
      <c r="H174" s="16"/>
      <c r="I174" s="16"/>
      <c r="J174" s="16"/>
      <c r="K174" s="16"/>
      <c r="L174" s="16"/>
      <c r="M174" s="16"/>
      <c r="N174" s="16"/>
    </row>
    <row r="175" spans="1:14" x14ac:dyDescent="0.2">
      <c r="A175" s="28"/>
      <c r="B175" s="27"/>
      <c r="C175" s="27"/>
      <c r="F175" s="16"/>
      <c r="G175" s="16"/>
      <c r="H175" s="16"/>
      <c r="I175" s="16"/>
      <c r="J175" s="16"/>
      <c r="K175" s="16"/>
      <c r="L175" s="16"/>
      <c r="M175" s="16"/>
      <c r="N175" s="16"/>
    </row>
    <row r="176" spans="1:14" x14ac:dyDescent="0.2">
      <c r="A176" s="28"/>
      <c r="B176" s="27"/>
      <c r="C176" s="27"/>
      <c r="F176" s="16"/>
      <c r="G176" s="16"/>
      <c r="H176" s="16"/>
      <c r="I176" s="16"/>
      <c r="J176" s="16"/>
      <c r="K176" s="16"/>
      <c r="L176" s="16"/>
      <c r="M176" s="16"/>
      <c r="N176" s="16"/>
    </row>
    <row r="177" spans="1:14" x14ac:dyDescent="0.2">
      <c r="A177" s="28"/>
      <c r="B177" s="27"/>
      <c r="C177" s="27"/>
      <c r="F177" s="16"/>
      <c r="G177" s="16"/>
      <c r="H177" s="16"/>
      <c r="I177" s="16"/>
      <c r="J177" s="16"/>
      <c r="K177" s="16"/>
      <c r="L177" s="16"/>
      <c r="M177" s="16"/>
      <c r="N177" s="16"/>
    </row>
    <row r="178" spans="1:14" x14ac:dyDescent="0.2">
      <c r="A178" s="28"/>
      <c r="B178" s="27"/>
      <c r="C178" s="27"/>
      <c r="F178" s="16"/>
      <c r="G178" s="16"/>
      <c r="H178" s="16"/>
      <c r="I178" s="16"/>
      <c r="J178" s="16"/>
      <c r="K178" s="16"/>
      <c r="L178" s="16"/>
      <c r="M178" s="16"/>
      <c r="N178" s="16"/>
    </row>
    <row r="179" spans="1:14" x14ac:dyDescent="0.2">
      <c r="A179" s="28"/>
      <c r="B179" s="27"/>
      <c r="C179" s="27"/>
      <c r="F179" s="16"/>
      <c r="G179" s="16"/>
      <c r="H179" s="16"/>
      <c r="I179" s="16"/>
      <c r="J179" s="16"/>
      <c r="K179" s="16"/>
      <c r="L179" s="16"/>
      <c r="M179" s="16"/>
      <c r="N179" s="16"/>
    </row>
    <row r="180" spans="1:14" x14ac:dyDescent="0.2">
      <c r="A180" s="28"/>
      <c r="B180" s="27"/>
      <c r="C180" s="27"/>
      <c r="F180" s="16"/>
      <c r="G180" s="16"/>
      <c r="H180" s="16"/>
      <c r="I180" s="16"/>
      <c r="J180" s="16"/>
      <c r="K180" s="16"/>
      <c r="L180" s="16"/>
      <c r="M180" s="16"/>
      <c r="N180" s="16"/>
    </row>
    <row r="181" spans="1:14" x14ac:dyDescent="0.2">
      <c r="A181" s="28"/>
      <c r="B181" s="27"/>
      <c r="C181" s="27"/>
      <c r="F181" s="16"/>
      <c r="G181" s="16"/>
      <c r="H181" s="16"/>
      <c r="I181" s="16"/>
      <c r="J181" s="16"/>
      <c r="K181" s="16"/>
      <c r="L181" s="16"/>
      <c r="M181" s="16"/>
      <c r="N181" s="16"/>
    </row>
    <row r="182" spans="1:14" x14ac:dyDescent="0.2">
      <c r="A182" s="28"/>
      <c r="B182" s="27"/>
      <c r="C182" s="27"/>
      <c r="F182" s="16"/>
      <c r="G182" s="16"/>
      <c r="H182" s="16"/>
      <c r="I182" s="16"/>
      <c r="J182" s="16"/>
      <c r="K182" s="16"/>
      <c r="L182" s="16"/>
      <c r="M182" s="16"/>
      <c r="N182" s="16"/>
    </row>
    <row r="183" spans="1:14" x14ac:dyDescent="0.2">
      <c r="A183" s="28"/>
      <c r="B183" s="27"/>
      <c r="C183" s="27"/>
      <c r="F183" s="16"/>
      <c r="G183" s="16"/>
      <c r="H183" s="16"/>
      <c r="I183" s="16"/>
      <c r="J183" s="16"/>
      <c r="K183" s="16"/>
      <c r="L183" s="16"/>
      <c r="M183" s="16"/>
      <c r="N183" s="16"/>
    </row>
    <row r="184" spans="1:14" x14ac:dyDescent="0.2">
      <c r="A184" s="22" t="s">
        <v>731</v>
      </c>
      <c r="B184" s="27"/>
      <c r="C184" s="27"/>
      <c r="F184" s="16"/>
      <c r="G184" s="16"/>
      <c r="H184" s="16"/>
      <c r="I184" s="16"/>
      <c r="J184" s="16"/>
      <c r="K184" s="16"/>
      <c r="L184" s="16"/>
      <c r="M184" s="16"/>
      <c r="N184" s="16"/>
    </row>
    <row r="185" spans="1:14" x14ac:dyDescent="0.2">
      <c r="A185" s="28"/>
      <c r="B185" s="27"/>
      <c r="C185" s="27"/>
      <c r="F185" s="16"/>
      <c r="G185" s="16"/>
      <c r="H185" s="16"/>
      <c r="I185" s="16"/>
      <c r="J185" s="16"/>
      <c r="K185" s="16"/>
      <c r="L185" s="16"/>
      <c r="M185" s="16"/>
      <c r="N185" s="16"/>
    </row>
    <row r="186" spans="1:14" x14ac:dyDescent="0.2">
      <c r="A186" s="28"/>
      <c r="B186" s="27"/>
      <c r="C186" s="27"/>
      <c r="F186" s="16"/>
      <c r="G186" s="16"/>
      <c r="H186" s="16"/>
      <c r="I186" s="16"/>
      <c r="J186" s="16"/>
      <c r="K186" s="16"/>
      <c r="L186" s="16"/>
      <c r="M186" s="16"/>
      <c r="N186" s="16"/>
    </row>
    <row r="187" spans="1:14" x14ac:dyDescent="0.2">
      <c r="B187" s="27"/>
      <c r="C187" s="27"/>
      <c r="F187" s="16"/>
      <c r="G187" s="16"/>
      <c r="H187" s="16"/>
      <c r="I187" s="16"/>
      <c r="J187" s="16"/>
      <c r="K187" s="16"/>
      <c r="L187" s="16"/>
      <c r="M187" s="16"/>
      <c r="N187" s="16"/>
    </row>
    <row r="188" spans="1:14" x14ac:dyDescent="0.2">
      <c r="B188" s="27"/>
      <c r="C188" s="27"/>
      <c r="F188" s="16"/>
      <c r="G188" s="16"/>
      <c r="H188" s="16"/>
      <c r="I188" s="16"/>
      <c r="J188" s="16"/>
      <c r="K188" s="16"/>
      <c r="L188" s="16"/>
      <c r="M188" s="16"/>
      <c r="N188" s="16"/>
    </row>
    <row r="189" spans="1:14" x14ac:dyDescent="0.2">
      <c r="B189" s="27" t="s">
        <v>1418</v>
      </c>
      <c r="C189" s="27"/>
      <c r="F189" s="16"/>
      <c r="G189" s="16"/>
      <c r="H189" s="16"/>
      <c r="I189" s="16"/>
      <c r="J189" s="16"/>
      <c r="K189" s="16"/>
      <c r="L189" s="16"/>
      <c r="M189" s="16"/>
      <c r="N189" s="16"/>
    </row>
    <row r="190" spans="1:14" x14ac:dyDescent="0.2">
      <c r="F190" s="16"/>
      <c r="G190" s="16"/>
      <c r="H190" s="16"/>
      <c r="I190" s="16"/>
      <c r="J190" s="16"/>
      <c r="K190" s="16"/>
      <c r="L190" s="16"/>
      <c r="M190" s="16"/>
      <c r="N190" s="16"/>
    </row>
    <row r="191" spans="1:14" ht="15.75" x14ac:dyDescent="0.25">
      <c r="A191" s="1"/>
      <c r="F191" s="16"/>
      <c r="G191" s="16"/>
      <c r="H191" s="16"/>
      <c r="I191" s="16"/>
      <c r="J191" s="16"/>
      <c r="K191" s="16"/>
      <c r="L191" s="16"/>
      <c r="M191" s="16"/>
      <c r="N191" s="16"/>
    </row>
    <row r="192" spans="1:14" x14ac:dyDescent="0.2">
      <c r="F192" s="16"/>
      <c r="G192" s="16"/>
      <c r="H192" s="16"/>
      <c r="I192" s="16"/>
      <c r="J192" s="16"/>
      <c r="K192" s="16"/>
      <c r="L192" s="16"/>
      <c r="M192" s="16"/>
      <c r="N192" s="16"/>
    </row>
    <row r="193" spans="6:14" x14ac:dyDescent="0.2">
      <c r="F193" s="16"/>
      <c r="G193" s="16"/>
      <c r="H193" s="16"/>
      <c r="I193" s="16"/>
      <c r="J193" s="16"/>
      <c r="K193" s="16"/>
      <c r="L193" s="16"/>
      <c r="M193" s="16"/>
      <c r="N193" s="16"/>
    </row>
    <row r="194" spans="6:14" x14ac:dyDescent="0.2">
      <c r="F194" s="16"/>
      <c r="G194" s="16"/>
      <c r="H194" s="16"/>
      <c r="I194" s="16"/>
      <c r="J194" s="16"/>
      <c r="K194" s="16"/>
      <c r="L194" s="16"/>
      <c r="M194" s="16"/>
      <c r="N194" s="16"/>
    </row>
    <row r="195" spans="6:14" x14ac:dyDescent="0.2">
      <c r="F195" s="16"/>
      <c r="G195" s="16"/>
      <c r="H195" s="16"/>
      <c r="I195" s="16"/>
      <c r="J195" s="16"/>
      <c r="K195" s="16"/>
      <c r="L195" s="16"/>
      <c r="M195" s="16"/>
      <c r="N195" s="16"/>
    </row>
    <row r="196" spans="6:14" x14ac:dyDescent="0.2">
      <c r="F196" s="16"/>
      <c r="G196" s="16"/>
      <c r="H196" s="16"/>
      <c r="I196" s="16"/>
      <c r="J196" s="16"/>
      <c r="K196" s="16"/>
      <c r="L196" s="16"/>
      <c r="M196" s="16"/>
      <c r="N196" s="16"/>
    </row>
    <row r="197" spans="6:14" x14ac:dyDescent="0.2">
      <c r="F197" s="16"/>
      <c r="G197" s="16"/>
      <c r="H197" s="16"/>
      <c r="I197" s="16"/>
      <c r="J197" s="16"/>
      <c r="K197" s="16"/>
      <c r="L197" s="16"/>
      <c r="M197" s="16"/>
      <c r="N197" s="16"/>
    </row>
    <row r="198" spans="6:14" x14ac:dyDescent="0.2">
      <c r="F198" s="16"/>
      <c r="G198" s="16"/>
      <c r="H198" s="16"/>
      <c r="I198" s="16"/>
      <c r="J198" s="16"/>
      <c r="K198" s="16"/>
      <c r="L198" s="16"/>
      <c r="M198" s="16"/>
      <c r="N198" s="16"/>
    </row>
    <row r="199" spans="6:14" x14ac:dyDescent="0.2">
      <c r="F199" s="16"/>
      <c r="G199" s="16"/>
      <c r="H199" s="16"/>
      <c r="I199" s="16"/>
      <c r="J199" s="16"/>
      <c r="K199" s="16"/>
      <c r="L199" s="16"/>
      <c r="M199" s="16"/>
      <c r="N199" s="16"/>
    </row>
  </sheetData>
  <sheetProtection sheet="1" objects="1" scenarios="1" selectLockedCells="1"/>
  <phoneticPr fontId="1" type="noConversion"/>
  <hyperlinks>
    <hyperlink ref="A75" r:id="rId1" xr:uid="{00000000-0004-0000-0A00-000000000000}"/>
    <hyperlink ref="A104" r:id="rId2" xr:uid="{00000000-0004-0000-0A00-000001000000}"/>
  </hyperlinks>
  <pageMargins left="0.75" right="0.75" top="1" bottom="1" header="0.5" footer="0.5"/>
  <pageSetup orientation="portrait" r:id="rId3"/>
  <headerFooter alignWithMargins="0"/>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A919"/>
  <sheetViews>
    <sheetView workbookViewId="0">
      <selection activeCell="C2" sqref="C2"/>
    </sheetView>
  </sheetViews>
  <sheetFormatPr defaultColWidth="8.7109375" defaultRowHeight="15" x14ac:dyDescent="0.2"/>
  <cols>
    <col min="1" max="1" width="3.5703125" style="12" customWidth="1"/>
    <col min="2" max="2" width="24.28515625" style="12" customWidth="1"/>
    <col min="3" max="3" width="18.28515625" style="12" customWidth="1"/>
    <col min="4" max="4" width="11" style="12" customWidth="1"/>
    <col min="5" max="5" width="10.28515625" style="12" customWidth="1"/>
    <col min="6" max="6" width="7" style="12" customWidth="1"/>
    <col min="7" max="7" width="8.5703125" style="12" customWidth="1"/>
    <col min="8" max="10" width="8.7109375" style="12"/>
    <col min="11" max="11" width="21.5703125" style="12" customWidth="1"/>
    <col min="12" max="16384" width="8.7109375" style="12"/>
  </cols>
  <sheetData>
    <row r="1" spans="2:27" ht="15.75" x14ac:dyDescent="0.25">
      <c r="B1" s="1" t="s">
        <v>1414</v>
      </c>
      <c r="D1" s="1"/>
      <c r="E1" s="15"/>
      <c r="F1" s="5" t="s">
        <v>1071</v>
      </c>
      <c r="G1" s="16"/>
      <c r="H1" s="16"/>
      <c r="I1" s="16"/>
      <c r="J1" s="16"/>
      <c r="K1" s="16"/>
      <c r="L1" s="16"/>
      <c r="M1" s="16"/>
      <c r="N1" s="16"/>
      <c r="O1" s="16"/>
      <c r="P1" s="16"/>
      <c r="Q1" s="16"/>
      <c r="R1" s="16"/>
      <c r="S1" s="16"/>
      <c r="T1" s="16"/>
      <c r="U1" s="16"/>
      <c r="V1" s="16"/>
      <c r="W1" s="16"/>
      <c r="X1" s="16"/>
      <c r="Y1" s="16"/>
      <c r="Z1" s="16"/>
      <c r="AA1" s="16"/>
    </row>
    <row r="2" spans="2:27" x14ac:dyDescent="0.2">
      <c r="B2" s="17"/>
      <c r="G2" s="16"/>
      <c r="H2" s="16"/>
      <c r="I2" s="16"/>
      <c r="J2" s="16"/>
      <c r="K2" s="16"/>
      <c r="L2" s="16"/>
      <c r="M2" s="16"/>
      <c r="N2" s="16"/>
      <c r="O2" s="16"/>
      <c r="P2" s="16"/>
      <c r="Q2" s="16"/>
      <c r="R2" s="16"/>
      <c r="S2" s="16"/>
      <c r="T2" s="16"/>
      <c r="U2" s="16"/>
      <c r="V2" s="16"/>
      <c r="W2" s="16"/>
      <c r="X2" s="16"/>
      <c r="Y2" s="16"/>
      <c r="Z2" s="16"/>
      <c r="AA2" s="16"/>
    </row>
    <row r="3" spans="2:27" x14ac:dyDescent="0.2">
      <c r="I3" s="16"/>
      <c r="J3" s="16"/>
      <c r="K3" s="16"/>
      <c r="L3" s="16"/>
      <c r="M3" s="16"/>
      <c r="N3" s="16"/>
      <c r="O3" s="16"/>
      <c r="P3" s="16"/>
      <c r="Q3" s="16"/>
      <c r="R3" s="16"/>
      <c r="S3" s="16"/>
      <c r="T3" s="16"/>
      <c r="U3" s="16"/>
      <c r="V3" s="16"/>
      <c r="W3" s="16"/>
      <c r="X3" s="16"/>
      <c r="Y3" s="16"/>
      <c r="Z3" s="16"/>
      <c r="AA3" s="16"/>
    </row>
    <row r="4" spans="2:27" ht="15.75" x14ac:dyDescent="0.25">
      <c r="B4" s="1" t="s">
        <v>1481</v>
      </c>
      <c r="C4" s="21"/>
      <c r="D4" s="226"/>
      <c r="E4" s="21"/>
      <c r="F4" s="21"/>
      <c r="G4" s="21"/>
      <c r="H4" s="21"/>
      <c r="I4" s="227"/>
      <c r="J4" s="227"/>
      <c r="K4" s="227"/>
      <c r="L4" s="227"/>
      <c r="M4" s="227"/>
      <c r="N4" s="227"/>
      <c r="O4" s="227"/>
      <c r="P4" s="227"/>
      <c r="Q4" s="227"/>
      <c r="R4" s="16"/>
      <c r="S4" s="16"/>
      <c r="T4" s="16"/>
      <c r="U4" s="16"/>
      <c r="V4" s="16"/>
      <c r="W4" s="16"/>
      <c r="X4" s="16"/>
      <c r="Y4" s="16"/>
      <c r="Z4" s="16"/>
      <c r="AA4" s="16"/>
    </row>
    <row r="5" spans="2:27" ht="15.75" x14ac:dyDescent="0.25">
      <c r="B5" s="2" t="s">
        <v>1482</v>
      </c>
      <c r="C5" s="21" t="s">
        <v>1483</v>
      </c>
      <c r="D5" s="226"/>
      <c r="E5" s="21"/>
      <c r="F5" s="21"/>
      <c r="G5" s="21"/>
      <c r="H5" s="21"/>
      <c r="I5" s="227"/>
      <c r="J5" s="227"/>
      <c r="K5" s="227"/>
      <c r="L5" s="227"/>
      <c r="M5" s="227"/>
      <c r="N5" s="227"/>
      <c r="O5" s="227"/>
      <c r="P5" s="227"/>
      <c r="Q5" s="227"/>
      <c r="R5" s="16"/>
      <c r="S5" s="16"/>
      <c r="T5" s="16"/>
      <c r="U5" s="16"/>
      <c r="V5" s="16"/>
      <c r="W5" s="16"/>
      <c r="X5" s="16"/>
      <c r="Y5" s="16"/>
      <c r="Z5" s="16"/>
      <c r="AA5" s="16"/>
    </row>
    <row r="6" spans="2:27" ht="15.75" x14ac:dyDescent="0.25">
      <c r="B6" s="2" t="s">
        <v>1484</v>
      </c>
      <c r="C6" s="21" t="s">
        <v>1485</v>
      </c>
      <c r="D6" s="21"/>
      <c r="E6" s="21"/>
      <c r="F6" s="21"/>
      <c r="G6" s="21"/>
      <c r="H6" s="21"/>
      <c r="I6" s="227"/>
      <c r="J6" s="227"/>
      <c r="K6" s="227"/>
      <c r="L6" s="227"/>
      <c r="M6" s="227"/>
      <c r="N6" s="227"/>
      <c r="O6" s="227"/>
      <c r="P6" s="227"/>
      <c r="Q6" s="227"/>
      <c r="R6" s="16"/>
      <c r="S6" s="16"/>
      <c r="T6" s="16"/>
      <c r="U6" s="16"/>
      <c r="V6" s="16"/>
      <c r="W6" s="16"/>
      <c r="X6" s="16"/>
      <c r="Y6" s="16"/>
      <c r="Z6" s="16"/>
      <c r="AA6" s="16"/>
    </row>
    <row r="7" spans="2:27" ht="15.75" x14ac:dyDescent="0.25">
      <c r="B7" s="2" t="s">
        <v>1486</v>
      </c>
      <c r="C7" s="21" t="s">
        <v>1487</v>
      </c>
      <c r="D7" s="21"/>
      <c r="E7" s="21"/>
      <c r="F7" s="21"/>
      <c r="G7" s="21"/>
      <c r="H7" s="21"/>
      <c r="I7" s="227"/>
      <c r="J7" s="227"/>
      <c r="K7" s="227"/>
      <c r="L7" s="227"/>
      <c r="M7" s="227"/>
      <c r="N7" s="227"/>
      <c r="O7" s="227"/>
      <c r="P7" s="227"/>
      <c r="Q7" s="227"/>
      <c r="R7" s="16"/>
      <c r="S7" s="16"/>
      <c r="T7" s="16"/>
      <c r="U7" s="16"/>
      <c r="V7" s="16"/>
      <c r="W7" s="16"/>
      <c r="X7" s="16"/>
      <c r="Y7" s="16"/>
      <c r="Z7" s="16"/>
      <c r="AA7" s="16"/>
    </row>
    <row r="8" spans="2:27" ht="15.75" x14ac:dyDescent="0.25">
      <c r="B8" s="2" t="s">
        <v>1488</v>
      </c>
      <c r="C8" s="21" t="s">
        <v>1489</v>
      </c>
      <c r="D8" s="21"/>
      <c r="E8" s="21"/>
      <c r="F8" s="21"/>
      <c r="G8" s="21"/>
      <c r="H8" s="21"/>
      <c r="I8" s="227"/>
      <c r="J8" s="227"/>
      <c r="K8" s="227"/>
      <c r="L8" s="227"/>
      <c r="M8" s="227"/>
      <c r="N8" s="227"/>
      <c r="O8" s="227"/>
      <c r="P8" s="227"/>
      <c r="Q8" s="227"/>
      <c r="R8" s="16"/>
      <c r="S8" s="16"/>
      <c r="T8" s="16"/>
      <c r="U8" s="16"/>
      <c r="V8" s="16"/>
      <c r="W8" s="16"/>
      <c r="X8" s="16"/>
      <c r="Y8" s="16"/>
      <c r="Z8" s="16"/>
      <c r="AA8" s="16"/>
    </row>
    <row r="9" spans="2:27" ht="15.75" x14ac:dyDescent="0.25">
      <c r="B9" s="1" t="s">
        <v>1490</v>
      </c>
      <c r="C9" s="21"/>
      <c r="D9" s="21"/>
      <c r="E9" s="21" t="s">
        <v>1491</v>
      </c>
      <c r="F9" s="228"/>
      <c r="G9" s="227"/>
      <c r="H9" s="227"/>
      <c r="I9" s="227"/>
      <c r="J9" s="227"/>
      <c r="K9" s="227"/>
      <c r="L9" s="227"/>
      <c r="M9" s="227"/>
      <c r="N9" s="227"/>
      <c r="O9" s="227"/>
      <c r="P9" s="227"/>
      <c r="Q9" s="227"/>
      <c r="R9" s="16"/>
      <c r="S9" s="16"/>
      <c r="T9" s="16"/>
      <c r="U9" s="16"/>
      <c r="V9" s="16"/>
      <c r="W9" s="16"/>
      <c r="X9" s="16"/>
      <c r="Y9" s="16"/>
      <c r="Z9" s="16"/>
      <c r="AA9" s="16"/>
    </row>
    <row r="10" spans="2:27" ht="15.75" x14ac:dyDescent="0.25">
      <c r="B10" s="2" t="s">
        <v>1492</v>
      </c>
      <c r="C10" s="21" t="s">
        <v>1483</v>
      </c>
      <c r="D10" s="21"/>
      <c r="E10" s="229" t="s">
        <v>1493</v>
      </c>
      <c r="F10" s="227"/>
      <c r="G10" s="227"/>
      <c r="H10" s="227"/>
      <c r="I10" s="229" t="s">
        <v>1494</v>
      </c>
      <c r="J10" s="227"/>
      <c r="K10" s="227"/>
      <c r="L10" s="227"/>
      <c r="M10" s="227"/>
      <c r="N10" s="227"/>
      <c r="O10" s="227"/>
      <c r="P10" s="227"/>
      <c r="Q10" s="227"/>
      <c r="R10" s="16"/>
      <c r="S10" s="16"/>
      <c r="T10" s="16"/>
      <c r="U10" s="16"/>
      <c r="V10" s="16"/>
      <c r="W10" s="16"/>
      <c r="X10" s="16"/>
      <c r="Y10" s="16"/>
      <c r="Z10" s="16"/>
      <c r="AA10" s="16"/>
    </row>
    <row r="11" spans="2:27" ht="15.75" x14ac:dyDescent="0.25">
      <c r="B11" s="2" t="s">
        <v>1495</v>
      </c>
      <c r="C11" s="21" t="s">
        <v>1485</v>
      </c>
      <c r="D11" s="21"/>
      <c r="E11" s="18"/>
      <c r="F11" s="230"/>
      <c r="G11" s="227"/>
      <c r="H11" s="227"/>
      <c r="I11" s="227"/>
      <c r="J11" s="227"/>
      <c r="K11" s="227"/>
      <c r="L11" s="227"/>
      <c r="M11" s="227"/>
      <c r="N11" s="227"/>
      <c r="O11" s="227"/>
      <c r="P11" s="227"/>
      <c r="Q11" s="227"/>
      <c r="R11" s="16"/>
      <c r="S11" s="16"/>
      <c r="T11" s="16"/>
      <c r="U11" s="16"/>
      <c r="V11" s="16"/>
      <c r="W11" s="16"/>
      <c r="X11" s="16"/>
      <c r="Y11" s="16"/>
      <c r="Z11" s="16"/>
      <c r="AA11" s="16"/>
    </row>
    <row r="12" spans="2:27" ht="15.75" x14ac:dyDescent="0.25">
      <c r="B12" s="2" t="s">
        <v>1496</v>
      </c>
      <c r="C12" s="21" t="s">
        <v>1497</v>
      </c>
      <c r="D12" s="21"/>
      <c r="E12" s="231"/>
      <c r="F12" s="232"/>
      <c r="G12" s="227"/>
      <c r="H12" s="227"/>
      <c r="I12" s="227"/>
      <c r="J12" s="227"/>
      <c r="K12" s="227"/>
      <c r="L12" s="227"/>
      <c r="M12" s="227"/>
      <c r="N12" s="227"/>
      <c r="O12" s="227"/>
      <c r="P12" s="227"/>
      <c r="Q12" s="227"/>
      <c r="R12" s="18"/>
      <c r="S12" s="16"/>
      <c r="T12" s="16"/>
      <c r="U12" s="16"/>
      <c r="V12" s="16"/>
      <c r="W12" s="16"/>
      <c r="X12" s="16"/>
      <c r="Y12" s="16"/>
      <c r="Z12" s="16"/>
      <c r="AA12" s="16"/>
    </row>
    <row r="13" spans="2:27" ht="15.75" x14ac:dyDescent="0.25">
      <c r="B13" s="20" t="s">
        <v>1498</v>
      </c>
      <c r="C13" s="21"/>
      <c r="D13" s="21"/>
      <c r="E13" s="18"/>
      <c r="F13" s="230"/>
      <c r="G13" s="227"/>
      <c r="H13" s="227"/>
      <c r="I13" s="227"/>
      <c r="J13" s="227"/>
      <c r="K13" s="227"/>
      <c r="L13" s="227"/>
      <c r="M13" s="227"/>
      <c r="N13" s="227"/>
      <c r="O13" s="227"/>
      <c r="P13" s="227"/>
      <c r="Q13" s="227"/>
      <c r="R13" s="18"/>
      <c r="S13" s="16"/>
      <c r="T13" s="16"/>
      <c r="U13" s="16"/>
      <c r="V13" s="16"/>
      <c r="W13" s="16"/>
      <c r="X13" s="16"/>
      <c r="Y13" s="16"/>
      <c r="Z13" s="16"/>
      <c r="AA13" s="16"/>
    </row>
    <row r="14" spans="2:27" ht="15.75" x14ac:dyDescent="0.25">
      <c r="B14" s="21"/>
      <c r="C14" s="21"/>
      <c r="D14" s="21"/>
      <c r="E14" s="231"/>
      <c r="F14" s="233"/>
      <c r="G14" s="227"/>
      <c r="H14" s="227"/>
      <c r="I14" s="227"/>
      <c r="J14" s="227"/>
      <c r="K14" s="227"/>
      <c r="L14" s="227"/>
      <c r="M14" s="227"/>
      <c r="N14" s="227"/>
      <c r="O14" s="227"/>
      <c r="P14" s="227"/>
      <c r="Q14" s="227"/>
      <c r="R14" s="18"/>
      <c r="S14" s="13"/>
      <c r="T14" s="16"/>
      <c r="U14" s="16"/>
      <c r="V14" s="16"/>
      <c r="W14" s="16"/>
      <c r="X14" s="16"/>
      <c r="Y14" s="16"/>
      <c r="Z14" s="16"/>
      <c r="AA14" s="16"/>
    </row>
    <row r="15" spans="2:27" ht="15.75" x14ac:dyDescent="0.25">
      <c r="B15" s="21"/>
      <c r="C15" s="227"/>
      <c r="D15" s="21"/>
      <c r="E15" s="21"/>
      <c r="F15" s="21"/>
      <c r="G15" s="21"/>
      <c r="H15" s="21"/>
      <c r="I15" s="21"/>
      <c r="J15" s="227"/>
      <c r="K15" s="227"/>
      <c r="L15" s="227"/>
      <c r="M15" s="227"/>
      <c r="N15" s="227"/>
      <c r="O15" s="227"/>
      <c r="P15" s="227"/>
      <c r="Q15" s="227"/>
      <c r="R15" s="18"/>
      <c r="S15" s="247"/>
      <c r="T15" s="16"/>
      <c r="U15" s="16"/>
      <c r="V15" s="16"/>
      <c r="W15" s="16"/>
      <c r="X15" s="16"/>
      <c r="Y15" s="16"/>
      <c r="Z15" s="16"/>
      <c r="AA15" s="16"/>
    </row>
    <row r="16" spans="2:27" ht="15.75" x14ac:dyDescent="0.25">
      <c r="B16" s="21" t="s">
        <v>1499</v>
      </c>
      <c r="C16" s="227"/>
      <c r="D16" s="21"/>
      <c r="E16" s="227"/>
      <c r="F16" s="227"/>
      <c r="G16" s="227"/>
      <c r="H16" s="227"/>
      <c r="I16" s="227"/>
      <c r="J16" s="227"/>
      <c r="K16" s="227"/>
      <c r="L16" s="227"/>
      <c r="M16" s="227"/>
      <c r="N16" s="227"/>
      <c r="O16" s="227"/>
      <c r="P16" s="227"/>
      <c r="Q16" s="227"/>
      <c r="R16" s="18"/>
      <c r="S16" s="247"/>
      <c r="T16" s="16"/>
      <c r="U16" s="16"/>
      <c r="V16" s="16"/>
      <c r="W16" s="16"/>
      <c r="X16" s="16"/>
      <c r="Y16" s="16"/>
      <c r="Z16" s="16"/>
      <c r="AA16" s="16"/>
    </row>
    <row r="17" spans="2:27" ht="15.75" x14ac:dyDescent="0.25">
      <c r="B17" s="227"/>
      <c r="C17" s="227" t="s">
        <v>1500</v>
      </c>
      <c r="D17" s="21"/>
      <c r="E17" s="227"/>
      <c r="F17" s="227"/>
      <c r="G17" s="227"/>
      <c r="H17" s="227"/>
      <c r="I17" s="227"/>
      <c r="J17" s="227"/>
      <c r="K17" s="227"/>
      <c r="L17" s="227"/>
      <c r="M17" s="227"/>
      <c r="N17" s="227"/>
      <c r="O17" s="227"/>
      <c r="P17" s="227"/>
      <c r="Q17" s="227"/>
      <c r="R17" s="18"/>
      <c r="S17" s="13"/>
      <c r="T17" s="16"/>
      <c r="U17" s="16"/>
      <c r="V17" s="16"/>
      <c r="W17" s="16"/>
      <c r="X17" s="16"/>
      <c r="Y17" s="16"/>
      <c r="Z17" s="16"/>
      <c r="AA17" s="16"/>
    </row>
    <row r="18" spans="2:27" ht="15.75" x14ac:dyDescent="0.25">
      <c r="B18" s="227"/>
      <c r="C18" s="227" t="s">
        <v>1501</v>
      </c>
      <c r="D18" s="21"/>
      <c r="E18" s="227"/>
      <c r="F18" s="227"/>
      <c r="G18" s="227"/>
      <c r="H18" s="227"/>
      <c r="I18" s="227"/>
      <c r="J18" s="227"/>
      <c r="K18" s="227"/>
      <c r="L18" s="227"/>
      <c r="M18" s="227"/>
      <c r="N18" s="227"/>
      <c r="O18" s="227"/>
      <c r="P18" s="227"/>
      <c r="Q18" s="227"/>
      <c r="R18" s="16"/>
      <c r="S18" s="57"/>
      <c r="T18" s="16"/>
      <c r="U18" s="16"/>
      <c r="V18" s="16"/>
      <c r="W18" s="16"/>
      <c r="X18" s="16"/>
      <c r="Y18" s="16"/>
      <c r="Z18" s="16"/>
      <c r="AA18" s="16"/>
    </row>
    <row r="19" spans="2:27" ht="15.75" x14ac:dyDescent="0.25">
      <c r="B19" s="4"/>
      <c r="C19" s="227"/>
      <c r="D19" s="21"/>
      <c r="E19" s="227"/>
      <c r="F19" s="227"/>
      <c r="G19" s="227"/>
      <c r="H19" s="227"/>
      <c r="I19" s="227"/>
      <c r="J19" s="227"/>
      <c r="K19" s="227"/>
      <c r="L19" s="227"/>
      <c r="M19" s="227"/>
      <c r="N19" s="227"/>
      <c r="O19" s="227"/>
      <c r="P19" s="227"/>
      <c r="Q19" s="227"/>
      <c r="R19" s="16"/>
      <c r="S19" s="248"/>
      <c r="T19" s="16"/>
      <c r="U19" s="16"/>
      <c r="V19" s="16"/>
      <c r="W19" s="16"/>
      <c r="X19" s="16"/>
      <c r="Y19" s="16"/>
      <c r="Z19" s="16"/>
      <c r="AA19" s="16"/>
    </row>
    <row r="20" spans="2:27" ht="15.75" x14ac:dyDescent="0.25">
      <c r="B20" s="1"/>
      <c r="C20" s="227"/>
      <c r="D20" s="21"/>
      <c r="E20" s="227"/>
      <c r="F20" s="227"/>
      <c r="G20" s="227"/>
      <c r="H20" s="227"/>
      <c r="I20" s="227"/>
      <c r="J20" s="227"/>
      <c r="K20" s="227"/>
      <c r="L20" s="227"/>
      <c r="M20" s="227"/>
      <c r="N20" s="227"/>
      <c r="O20" s="227"/>
      <c r="P20" s="227"/>
      <c r="Q20" s="227"/>
      <c r="R20" s="16"/>
      <c r="S20" s="16"/>
      <c r="T20" s="16"/>
      <c r="U20" s="16"/>
      <c r="V20" s="16"/>
      <c r="W20" s="16"/>
      <c r="X20" s="16"/>
      <c r="Y20" s="16"/>
      <c r="Z20" s="16"/>
      <c r="AA20" s="16"/>
    </row>
    <row r="21" spans="2:27" ht="15.75" x14ac:dyDescent="0.25">
      <c r="B21" s="1"/>
      <c r="C21" s="227"/>
      <c r="D21" s="21"/>
      <c r="E21" s="227"/>
      <c r="F21" s="227"/>
      <c r="G21" s="227"/>
      <c r="H21" s="227"/>
      <c r="I21" s="227"/>
      <c r="J21" s="227"/>
      <c r="K21" s="227"/>
      <c r="L21" s="227"/>
      <c r="M21" s="227"/>
      <c r="N21" s="227"/>
      <c r="O21" s="227"/>
      <c r="P21" s="227"/>
      <c r="Q21" s="227"/>
      <c r="R21" s="16"/>
      <c r="S21" s="16"/>
      <c r="T21" s="16"/>
      <c r="U21" s="16"/>
      <c r="V21" s="16"/>
      <c r="W21" s="16"/>
      <c r="X21" s="16"/>
      <c r="Y21" s="16"/>
      <c r="Z21" s="16"/>
      <c r="AA21" s="16"/>
    </row>
    <row r="22" spans="2:27" x14ac:dyDescent="0.2">
      <c r="B22" s="21"/>
      <c r="C22" s="227"/>
      <c r="D22" s="21"/>
      <c r="E22" s="227"/>
      <c r="F22" s="227"/>
      <c r="G22" s="227"/>
      <c r="H22" s="227"/>
      <c r="I22" s="227"/>
      <c r="J22" s="227"/>
      <c r="K22" s="227"/>
      <c r="L22" s="227"/>
      <c r="M22" s="227"/>
      <c r="N22" s="227"/>
      <c r="O22" s="227"/>
      <c r="P22" s="227"/>
      <c r="Q22" s="227"/>
      <c r="R22" s="16"/>
      <c r="S22" s="16"/>
      <c r="T22" s="16"/>
      <c r="U22" s="16"/>
      <c r="V22" s="16"/>
      <c r="W22" s="16"/>
      <c r="X22" s="16"/>
      <c r="Y22" s="16"/>
      <c r="Z22" s="16"/>
      <c r="AA22" s="16"/>
    </row>
    <row r="23" spans="2:27" x14ac:dyDescent="0.2">
      <c r="B23" s="227"/>
      <c r="C23" s="227"/>
      <c r="D23" s="21"/>
      <c r="E23" s="227"/>
      <c r="F23" s="227"/>
      <c r="G23" s="227"/>
      <c r="H23" s="227"/>
      <c r="I23" s="227"/>
      <c r="J23" s="227"/>
      <c r="K23" s="227"/>
      <c r="L23" s="227"/>
      <c r="M23" s="227"/>
      <c r="N23" s="227"/>
      <c r="O23" s="227"/>
      <c r="P23" s="227"/>
      <c r="Q23" s="227"/>
      <c r="R23" s="16"/>
      <c r="S23" s="16"/>
      <c r="T23" s="16"/>
      <c r="U23" s="16"/>
      <c r="V23" s="16"/>
      <c r="W23" s="16"/>
      <c r="X23" s="16"/>
      <c r="Y23" s="16"/>
      <c r="Z23" s="16"/>
      <c r="AA23" s="16"/>
    </row>
    <row r="24" spans="2:27" x14ac:dyDescent="0.2">
      <c r="B24" s="21"/>
      <c r="C24" s="21"/>
      <c r="D24" s="21"/>
      <c r="E24" s="227"/>
      <c r="F24" s="227"/>
      <c r="G24" s="227"/>
      <c r="H24" s="227"/>
      <c r="I24" s="227"/>
      <c r="J24" s="227"/>
      <c r="K24" s="227"/>
      <c r="L24" s="227"/>
      <c r="M24" s="227"/>
      <c r="N24" s="227"/>
      <c r="O24" s="227"/>
      <c r="P24" s="227"/>
      <c r="Q24" s="227"/>
      <c r="R24" s="16"/>
      <c r="S24" s="16"/>
      <c r="T24" s="16"/>
      <c r="U24" s="16"/>
      <c r="V24" s="16"/>
      <c r="W24" s="16"/>
      <c r="X24" s="16"/>
      <c r="Y24" s="16"/>
      <c r="Z24" s="16"/>
      <c r="AA24" s="16"/>
    </row>
    <row r="25" spans="2:27" x14ac:dyDescent="0.2">
      <c r="B25" s="21"/>
      <c r="C25" s="21"/>
      <c r="D25" s="21"/>
      <c r="E25" s="227"/>
      <c r="F25" s="227"/>
      <c r="G25" s="227"/>
      <c r="H25" s="227"/>
      <c r="I25" s="227"/>
      <c r="J25" s="227"/>
      <c r="K25" s="227"/>
      <c r="L25" s="227"/>
      <c r="M25" s="227"/>
      <c r="N25" s="227"/>
      <c r="O25" s="227"/>
      <c r="P25" s="227"/>
      <c r="Q25" s="227"/>
      <c r="R25" s="16"/>
      <c r="S25" s="16"/>
      <c r="T25" s="16"/>
      <c r="U25" s="16"/>
      <c r="V25" s="16"/>
      <c r="W25" s="16"/>
      <c r="X25" s="16"/>
      <c r="Y25" s="16"/>
      <c r="Z25" s="16"/>
      <c r="AA25" s="16"/>
    </row>
    <row r="26" spans="2:27" x14ac:dyDescent="0.2">
      <c r="B26" s="21"/>
      <c r="C26" s="21"/>
      <c r="D26" s="21"/>
      <c r="E26" s="227"/>
      <c r="F26" s="227"/>
      <c r="G26" s="227"/>
      <c r="H26" s="227"/>
      <c r="I26" s="227"/>
      <c r="J26" s="227"/>
      <c r="K26" s="227"/>
      <c r="L26" s="227"/>
      <c r="M26" s="227"/>
      <c r="N26" s="227"/>
      <c r="O26" s="227"/>
      <c r="P26" s="227"/>
      <c r="Q26" s="227"/>
      <c r="R26" s="16"/>
      <c r="S26" s="16"/>
      <c r="T26" s="16"/>
      <c r="U26" s="16"/>
      <c r="V26" s="16"/>
      <c r="W26" s="16"/>
      <c r="X26" s="16"/>
      <c r="Y26" s="16"/>
      <c r="Z26" s="16"/>
      <c r="AA26" s="16"/>
    </row>
    <row r="27" spans="2:27" x14ac:dyDescent="0.2">
      <c r="B27" s="21"/>
      <c r="C27" s="21"/>
      <c r="D27" s="21"/>
      <c r="E27" s="227"/>
      <c r="F27" s="227"/>
      <c r="G27" s="227"/>
      <c r="H27" s="227"/>
      <c r="I27" s="227"/>
      <c r="J27" s="227"/>
      <c r="K27" s="227"/>
      <c r="L27" s="227"/>
      <c r="M27" s="227"/>
      <c r="N27" s="227"/>
      <c r="O27" s="227"/>
      <c r="P27" s="227"/>
      <c r="Q27" s="227"/>
      <c r="R27" s="16"/>
      <c r="S27" s="16"/>
      <c r="T27" s="16"/>
      <c r="U27" s="16"/>
      <c r="V27" s="16"/>
      <c r="W27" s="16"/>
      <c r="X27" s="16"/>
      <c r="Y27" s="16"/>
      <c r="Z27" s="16"/>
      <c r="AA27" s="16"/>
    </row>
    <row r="28" spans="2:27" x14ac:dyDescent="0.2">
      <c r="B28" s="21"/>
      <c r="C28" s="21"/>
      <c r="D28" s="21"/>
      <c r="E28" s="227"/>
      <c r="F28" s="227"/>
      <c r="G28" s="227"/>
      <c r="H28" s="227"/>
      <c r="I28" s="227"/>
      <c r="J28" s="227"/>
      <c r="K28" s="227"/>
      <c r="L28" s="227"/>
      <c r="M28" s="227"/>
      <c r="N28" s="227"/>
      <c r="O28" s="227"/>
      <c r="P28" s="227"/>
      <c r="Q28" s="227"/>
      <c r="R28" s="16"/>
      <c r="S28" s="16"/>
      <c r="T28" s="16"/>
      <c r="U28" s="16"/>
      <c r="V28" s="16"/>
      <c r="W28" s="16"/>
      <c r="X28" s="16"/>
      <c r="Y28" s="16"/>
      <c r="Z28" s="16"/>
      <c r="AA28" s="16"/>
    </row>
    <row r="29" spans="2:27" ht="15.75" x14ac:dyDescent="0.25">
      <c r="B29" s="21"/>
      <c r="C29" s="21"/>
      <c r="D29" s="21"/>
      <c r="E29" s="227"/>
      <c r="F29" s="227"/>
      <c r="G29" s="227"/>
      <c r="H29" s="227"/>
      <c r="I29" s="234" t="s">
        <v>1502</v>
      </c>
      <c r="J29" s="234" t="s">
        <v>1503</v>
      </c>
      <c r="K29" s="227"/>
      <c r="L29" s="227"/>
      <c r="M29" s="227"/>
      <c r="N29" s="227"/>
      <c r="O29" s="227"/>
      <c r="P29" s="227"/>
      <c r="Q29" s="227"/>
      <c r="R29" s="16"/>
      <c r="S29" s="16"/>
      <c r="T29" s="16"/>
      <c r="U29" s="16"/>
      <c r="V29" s="16"/>
      <c r="W29" s="16"/>
      <c r="X29" s="16"/>
      <c r="Y29" s="16"/>
      <c r="Z29" s="16"/>
      <c r="AA29" s="16"/>
    </row>
    <row r="30" spans="2:27" ht="15.75" x14ac:dyDescent="0.25">
      <c r="B30" s="21"/>
      <c r="C30" s="21"/>
      <c r="D30" s="21"/>
      <c r="E30" s="227"/>
      <c r="F30" s="227"/>
      <c r="G30" s="227"/>
      <c r="H30" s="227"/>
      <c r="I30" s="227">
        <v>1</v>
      </c>
      <c r="J30" s="235">
        <v>10</v>
      </c>
      <c r="K30" s="227"/>
      <c r="L30" s="227"/>
      <c r="M30" s="227"/>
      <c r="N30" s="227"/>
      <c r="O30" s="227"/>
      <c r="P30" s="227"/>
      <c r="Q30" s="227"/>
      <c r="R30" s="16"/>
      <c r="S30" s="16"/>
      <c r="T30" s="16"/>
      <c r="U30" s="16"/>
      <c r="V30" s="16"/>
      <c r="W30" s="16"/>
      <c r="X30" s="16"/>
      <c r="Y30" s="16"/>
      <c r="Z30" s="16"/>
      <c r="AA30" s="16"/>
    </row>
    <row r="31" spans="2:27" ht="15.75" x14ac:dyDescent="0.25">
      <c r="B31" s="21"/>
      <c r="C31" s="21"/>
      <c r="D31" s="21"/>
      <c r="E31" s="227"/>
      <c r="F31" s="229" t="s">
        <v>1528</v>
      </c>
      <c r="G31" s="227"/>
      <c r="H31" s="227"/>
      <c r="I31" s="227">
        <v>2</v>
      </c>
      <c r="J31" s="235">
        <v>6</v>
      </c>
      <c r="K31" s="227"/>
      <c r="L31" s="227"/>
      <c r="M31" s="227"/>
      <c r="N31" s="227"/>
      <c r="O31" s="227"/>
      <c r="P31" s="227"/>
      <c r="Q31" s="227"/>
    </row>
    <row r="32" spans="2:27" ht="15.75" x14ac:dyDescent="0.25">
      <c r="B32" s="4" t="s">
        <v>1504</v>
      </c>
      <c r="E32" s="16"/>
      <c r="F32" s="236" t="s">
        <v>1505</v>
      </c>
      <c r="G32" s="237">
        <v>10</v>
      </c>
      <c r="H32" s="227" t="s">
        <v>713</v>
      </c>
      <c r="I32" s="227">
        <v>3</v>
      </c>
      <c r="J32" s="229" t="s">
        <v>1506</v>
      </c>
      <c r="K32" s="227"/>
      <c r="L32" s="227"/>
      <c r="M32" s="227"/>
      <c r="N32" s="227"/>
      <c r="O32" s="227"/>
      <c r="P32" s="227"/>
      <c r="Q32" s="227"/>
    </row>
    <row r="33" spans="2:17" ht="16.5" thickBot="1" x14ac:dyDescent="0.3">
      <c r="B33" s="238"/>
      <c r="C33" s="30" t="s">
        <v>107</v>
      </c>
      <c r="D33" s="21"/>
      <c r="E33" s="16"/>
      <c r="F33" s="236" t="s">
        <v>91</v>
      </c>
      <c r="G33" s="237">
        <v>6</v>
      </c>
      <c r="H33" s="227" t="s">
        <v>1507</v>
      </c>
      <c r="I33" s="227">
        <v>4</v>
      </c>
      <c r="J33" s="229" t="s">
        <v>1501</v>
      </c>
      <c r="K33" s="227"/>
      <c r="L33" s="227"/>
      <c r="M33" s="227"/>
      <c r="N33" s="227"/>
      <c r="O33" s="227"/>
      <c r="P33" s="227"/>
      <c r="Q33" s="227"/>
    </row>
    <row r="34" spans="2:17" ht="16.5" thickBot="1" x14ac:dyDescent="0.3">
      <c r="B34" s="2" t="s">
        <v>1508</v>
      </c>
      <c r="C34" s="239">
        <v>10</v>
      </c>
      <c r="D34" s="4" t="s">
        <v>713</v>
      </c>
      <c r="E34" s="16"/>
      <c r="F34" s="249" t="s">
        <v>1509</v>
      </c>
      <c r="G34" s="240" t="s">
        <v>1510</v>
      </c>
      <c r="H34" s="21"/>
      <c r="I34" s="227">
        <v>5</v>
      </c>
      <c r="J34" s="229" t="s">
        <v>1511</v>
      </c>
      <c r="K34" s="227"/>
      <c r="L34" s="227"/>
      <c r="M34" s="227"/>
      <c r="N34" s="227"/>
      <c r="O34" s="227"/>
      <c r="P34" s="227"/>
      <c r="Q34" s="227"/>
    </row>
    <row r="35" spans="2:17" ht="16.5" thickBot="1" x14ac:dyDescent="0.3">
      <c r="B35" s="2" t="s">
        <v>1512</v>
      </c>
      <c r="C35" s="241">
        <v>6</v>
      </c>
      <c r="D35" s="4" t="s">
        <v>713</v>
      </c>
      <c r="E35" s="227"/>
      <c r="F35" s="249" t="s">
        <v>748</v>
      </c>
      <c r="G35" s="242">
        <f>C35/C34</f>
        <v>0.6</v>
      </c>
      <c r="H35" s="21" t="s">
        <v>1513</v>
      </c>
      <c r="I35" s="227">
        <v>6</v>
      </c>
      <c r="J35" s="229" t="s">
        <v>1514</v>
      </c>
      <c r="K35" s="227"/>
      <c r="L35" s="227"/>
      <c r="M35" s="227"/>
      <c r="N35" s="227"/>
      <c r="O35" s="227"/>
      <c r="P35" s="227"/>
      <c r="Q35" s="227"/>
    </row>
    <row r="36" spans="2:17" ht="15.75" x14ac:dyDescent="0.25">
      <c r="B36" s="226"/>
      <c r="C36" s="30" t="s">
        <v>876</v>
      </c>
      <c r="D36" s="21"/>
      <c r="E36" s="227"/>
      <c r="F36" s="249" t="s">
        <v>1515</v>
      </c>
      <c r="G36" s="240" t="s">
        <v>1516</v>
      </c>
      <c r="H36" s="21"/>
      <c r="I36" s="227">
        <v>7</v>
      </c>
      <c r="J36" s="235">
        <v>2</v>
      </c>
      <c r="K36" s="227"/>
      <c r="L36" s="227"/>
      <c r="M36" s="227"/>
      <c r="N36" s="227"/>
      <c r="O36" s="227"/>
      <c r="P36" s="227"/>
      <c r="Q36" s="227"/>
    </row>
    <row r="37" spans="2:17" ht="16.5" thickBot="1" x14ac:dyDescent="0.3">
      <c r="B37" s="2" t="s">
        <v>1517</v>
      </c>
      <c r="C37" s="1" t="s">
        <v>1518</v>
      </c>
      <c r="D37" s="4"/>
      <c r="E37" s="227"/>
      <c r="F37" s="226" t="s">
        <v>748</v>
      </c>
      <c r="G37" s="250">
        <f>ATAN(C35/C34)</f>
        <v>0.54041950027058416</v>
      </c>
      <c r="H37" s="21" t="s">
        <v>1080</v>
      </c>
      <c r="I37" s="227">
        <v>8</v>
      </c>
      <c r="J37" s="229" t="s">
        <v>1489</v>
      </c>
      <c r="K37" s="227"/>
      <c r="L37" s="227"/>
      <c r="M37" s="227"/>
      <c r="N37" s="227"/>
      <c r="O37" s="227"/>
      <c r="P37" s="227"/>
      <c r="Q37" s="227"/>
    </row>
    <row r="38" spans="2:17" ht="16.5" thickBot="1" x14ac:dyDescent="0.3">
      <c r="B38" s="26" t="s">
        <v>748</v>
      </c>
      <c r="C38" s="243">
        <f>( C34^2 + C35^2 )^(1/2)</f>
        <v>11.661903789690601</v>
      </c>
      <c r="D38" s="4" t="s">
        <v>713</v>
      </c>
      <c r="E38" s="227"/>
      <c r="F38" s="249" t="s">
        <v>1519</v>
      </c>
      <c r="G38" s="20" t="s">
        <v>1529</v>
      </c>
      <c r="H38" s="238" t="s">
        <v>1083</v>
      </c>
      <c r="I38" s="227">
        <v>9</v>
      </c>
      <c r="J38" s="237">
        <v>10</v>
      </c>
      <c r="K38" s="227"/>
      <c r="L38" s="227"/>
      <c r="M38" s="227"/>
      <c r="N38" s="227"/>
      <c r="O38" s="227"/>
      <c r="P38" s="227"/>
      <c r="Q38" s="227"/>
    </row>
    <row r="39" spans="2:17" ht="16.5" thickBot="1" x14ac:dyDescent="0.3">
      <c r="B39" s="2" t="s">
        <v>1520</v>
      </c>
      <c r="C39" s="4" t="s">
        <v>1521</v>
      </c>
      <c r="D39" s="4"/>
      <c r="E39" s="227"/>
      <c r="F39" s="249" t="s">
        <v>1515</v>
      </c>
      <c r="G39" s="251" t="s">
        <v>1522</v>
      </c>
      <c r="H39" s="21"/>
      <c r="I39" s="227">
        <v>10</v>
      </c>
      <c r="J39" s="237">
        <v>6</v>
      </c>
      <c r="K39" s="227"/>
      <c r="L39" s="227"/>
      <c r="M39" s="227"/>
      <c r="N39" s="227"/>
      <c r="O39" s="227"/>
      <c r="P39" s="227"/>
      <c r="Q39" s="227"/>
    </row>
    <row r="40" spans="2:17" ht="16.5" thickBot="1" x14ac:dyDescent="0.3">
      <c r="B40" s="2" t="s">
        <v>748</v>
      </c>
      <c r="C40" s="244">
        <f>57.3 * ATAN(C35 / C34)</f>
        <v>30.966037365504469</v>
      </c>
      <c r="D40" s="4" t="s">
        <v>385</v>
      </c>
      <c r="E40" s="227"/>
      <c r="F40" s="226" t="s">
        <v>748</v>
      </c>
      <c r="G40" s="251">
        <f>57.3*G37</f>
        <v>30.966037365504469</v>
      </c>
      <c r="H40" s="21" t="s">
        <v>1083</v>
      </c>
      <c r="I40" s="227"/>
      <c r="J40" s="227"/>
      <c r="K40" s="227"/>
      <c r="L40" s="227"/>
      <c r="M40" s="227"/>
      <c r="N40" s="227"/>
      <c r="O40" s="227"/>
      <c r="P40" s="227"/>
      <c r="Q40" s="227"/>
    </row>
    <row r="41" spans="2:17" x14ac:dyDescent="0.2">
      <c r="B41" s="21"/>
      <c r="C41" s="21"/>
      <c r="D41" s="21"/>
      <c r="E41" s="227"/>
      <c r="F41" s="227"/>
      <c r="G41" s="227"/>
      <c r="H41" s="227"/>
      <c r="I41" s="227"/>
      <c r="J41" s="227"/>
      <c r="K41" s="227"/>
      <c r="L41" s="227"/>
      <c r="M41" s="227"/>
      <c r="N41" s="227"/>
      <c r="O41" s="227"/>
      <c r="P41" s="227"/>
      <c r="Q41" s="227"/>
    </row>
    <row r="42" spans="2:17" ht="15.75" x14ac:dyDescent="0.25">
      <c r="B42" s="4" t="s">
        <v>1523</v>
      </c>
      <c r="C42" s="21"/>
      <c r="D42" s="226"/>
      <c r="E42" s="227"/>
      <c r="F42" s="227"/>
      <c r="G42" s="227"/>
      <c r="H42" s="227"/>
      <c r="I42" s="227"/>
      <c r="J42" s="227"/>
      <c r="K42" s="227"/>
      <c r="L42" s="227"/>
      <c r="M42" s="227"/>
      <c r="N42" s="227"/>
      <c r="O42" s="227"/>
      <c r="P42" s="227"/>
      <c r="Q42" s="227"/>
    </row>
    <row r="43" spans="2:17" ht="15.75" x14ac:dyDescent="0.25">
      <c r="B43" s="240" t="s">
        <v>1524</v>
      </c>
      <c r="C43" s="21"/>
      <c r="D43" s="226"/>
      <c r="E43" s="230"/>
      <c r="F43" s="227"/>
      <c r="G43" s="227"/>
      <c r="H43" s="227"/>
      <c r="I43" s="227"/>
      <c r="J43" s="227"/>
      <c r="K43" s="227"/>
      <c r="L43" s="227"/>
      <c r="M43" s="227"/>
      <c r="N43" s="227"/>
      <c r="O43" s="227"/>
      <c r="P43" s="227"/>
      <c r="Q43" s="227"/>
    </row>
    <row r="44" spans="2:17" ht="15.75" x14ac:dyDescent="0.25">
      <c r="B44" s="240" t="s">
        <v>1525</v>
      </c>
      <c r="C44" s="21"/>
      <c r="D44" s="226"/>
      <c r="E44" s="227"/>
      <c r="F44" s="227"/>
      <c r="G44" s="227"/>
      <c r="H44" s="227"/>
      <c r="I44" s="227"/>
      <c r="J44" s="227"/>
      <c r="K44" s="227"/>
      <c r="L44" s="227"/>
      <c r="M44" s="227"/>
      <c r="N44" s="227"/>
      <c r="O44" s="227"/>
      <c r="P44" s="227"/>
      <c r="Q44" s="227"/>
    </row>
    <row r="45" spans="2:17" ht="15.75" x14ac:dyDescent="0.25">
      <c r="B45" s="240" t="s">
        <v>1526</v>
      </c>
      <c r="C45" s="21"/>
      <c r="D45" s="226"/>
      <c r="E45" s="227"/>
      <c r="F45" s="227"/>
      <c r="G45" s="227"/>
      <c r="H45" s="227"/>
      <c r="I45" s="227"/>
      <c r="J45" s="227"/>
      <c r="K45" s="227"/>
      <c r="L45" s="227"/>
      <c r="M45" s="227"/>
      <c r="N45" s="227"/>
      <c r="O45" s="227"/>
      <c r="P45" s="227"/>
      <c r="Q45" s="227"/>
    </row>
    <row r="46" spans="2:17" ht="15.75" x14ac:dyDescent="0.25">
      <c r="B46" s="240" t="s">
        <v>1527</v>
      </c>
      <c r="C46" s="21"/>
      <c r="D46" s="245"/>
      <c r="E46" s="227"/>
      <c r="F46" s="227"/>
      <c r="G46" s="236"/>
      <c r="H46" s="235"/>
      <c r="I46" s="227"/>
      <c r="J46" s="227"/>
      <c r="K46" s="227"/>
      <c r="L46" s="227"/>
      <c r="M46" s="227"/>
      <c r="N46" s="227"/>
      <c r="O46" s="227"/>
      <c r="P46" s="227"/>
      <c r="Q46" s="227"/>
    </row>
    <row r="47" spans="2:17" ht="15.75" x14ac:dyDescent="0.25">
      <c r="B47" s="21"/>
      <c r="C47" s="21"/>
      <c r="D47" s="21"/>
      <c r="E47" s="227"/>
      <c r="F47" s="227"/>
      <c r="G47" s="236"/>
      <c r="H47" s="235"/>
      <c r="I47" s="227"/>
      <c r="J47" s="227"/>
      <c r="K47" s="227"/>
      <c r="L47" s="227"/>
      <c r="M47" s="227"/>
      <c r="N47" s="227"/>
      <c r="O47" s="227"/>
      <c r="P47" s="227"/>
      <c r="Q47" s="227"/>
    </row>
    <row r="48" spans="2:17" ht="15.75" x14ac:dyDescent="0.25">
      <c r="B48" s="21"/>
      <c r="C48" s="21"/>
      <c r="D48" s="226"/>
      <c r="E48" s="246"/>
      <c r="F48" s="221"/>
      <c r="G48" s="229"/>
      <c r="H48" s="235"/>
      <c r="I48" s="227"/>
      <c r="J48" s="227"/>
      <c r="K48" s="227"/>
      <c r="L48" s="227"/>
      <c r="M48" s="227"/>
      <c r="N48" s="227"/>
      <c r="O48" s="227"/>
      <c r="P48" s="227"/>
      <c r="Q48" s="227"/>
    </row>
    <row r="49" spans="2:17" x14ac:dyDescent="0.2">
      <c r="B49" s="21"/>
      <c r="C49" s="21"/>
      <c r="D49" s="21"/>
      <c r="E49" s="227"/>
      <c r="F49" s="227"/>
      <c r="G49" s="227"/>
      <c r="H49" s="227"/>
      <c r="I49" s="227"/>
      <c r="J49" s="227"/>
      <c r="K49" s="227"/>
      <c r="L49" s="227"/>
      <c r="M49" s="227"/>
      <c r="N49" s="227"/>
      <c r="O49" s="227"/>
      <c r="P49" s="227"/>
      <c r="Q49" s="227"/>
    </row>
    <row r="50" spans="2:17" x14ac:dyDescent="0.2">
      <c r="B50" s="21"/>
      <c r="C50" s="21"/>
      <c r="D50" s="21"/>
      <c r="E50" s="227"/>
      <c r="F50" s="227"/>
      <c r="G50" s="227"/>
      <c r="H50" s="227"/>
      <c r="I50" s="227"/>
      <c r="J50" s="227"/>
      <c r="K50" s="227"/>
      <c r="L50" s="227"/>
      <c r="M50" s="227"/>
      <c r="N50" s="227"/>
      <c r="O50" s="227"/>
      <c r="P50" s="227"/>
      <c r="Q50" s="227"/>
    </row>
    <row r="51" spans="2:17" x14ac:dyDescent="0.2">
      <c r="B51" s="21"/>
      <c r="C51" s="21"/>
      <c r="D51" s="21"/>
      <c r="E51" s="227"/>
      <c r="F51" s="227"/>
      <c r="G51" s="227"/>
      <c r="H51" s="227"/>
      <c r="I51" s="227"/>
      <c r="J51" s="227"/>
      <c r="K51" s="227"/>
      <c r="L51" s="227"/>
      <c r="M51" s="227"/>
      <c r="N51" s="227"/>
      <c r="O51" s="227"/>
      <c r="P51" s="227"/>
      <c r="Q51" s="227"/>
    </row>
    <row r="52" spans="2:17" x14ac:dyDescent="0.2">
      <c r="B52" s="21"/>
      <c r="C52" s="21"/>
      <c r="D52" s="21"/>
      <c r="E52" s="227"/>
      <c r="F52" s="227"/>
      <c r="G52" s="227"/>
      <c r="H52" s="227"/>
      <c r="I52" s="227"/>
      <c r="J52" s="227"/>
      <c r="K52" s="227"/>
      <c r="L52" s="227"/>
      <c r="M52" s="227"/>
      <c r="N52" s="227"/>
      <c r="O52" s="227"/>
      <c r="P52" s="227"/>
      <c r="Q52" s="227"/>
    </row>
    <row r="53" spans="2:17" x14ac:dyDescent="0.2">
      <c r="B53" s="21"/>
      <c r="C53" s="21"/>
      <c r="D53" s="21"/>
      <c r="E53" s="227"/>
      <c r="F53" s="227"/>
      <c r="G53" s="227"/>
      <c r="H53" s="227"/>
      <c r="I53" s="227"/>
      <c r="J53" s="227"/>
      <c r="K53" s="227"/>
      <c r="L53" s="227"/>
      <c r="M53" s="227"/>
      <c r="N53" s="227"/>
      <c r="O53" s="227"/>
      <c r="P53" s="227"/>
      <c r="Q53" s="227"/>
    </row>
    <row r="54" spans="2:17" x14ac:dyDescent="0.2">
      <c r="B54" s="21"/>
      <c r="C54" s="21"/>
      <c r="D54" s="21"/>
      <c r="E54" s="227"/>
      <c r="F54" s="227"/>
      <c r="G54" s="227"/>
      <c r="H54" s="227"/>
      <c r="I54" s="227"/>
      <c r="J54" s="227"/>
      <c r="K54" s="227"/>
      <c r="L54" s="227"/>
      <c r="M54" s="227"/>
      <c r="N54" s="227"/>
      <c r="O54" s="227"/>
      <c r="P54" s="227"/>
      <c r="Q54" s="227"/>
    </row>
    <row r="55" spans="2:17" x14ac:dyDescent="0.2">
      <c r="B55" s="21"/>
      <c r="C55" s="21"/>
      <c r="D55" s="226"/>
      <c r="E55" s="227"/>
      <c r="F55" s="227"/>
      <c r="G55" s="227"/>
      <c r="H55" s="227"/>
      <c r="I55" s="227"/>
      <c r="J55" s="227"/>
      <c r="K55" s="227"/>
      <c r="L55" s="227"/>
      <c r="M55" s="227"/>
      <c r="N55" s="227"/>
      <c r="O55" s="227"/>
      <c r="P55" s="227"/>
      <c r="Q55" s="227"/>
    </row>
    <row r="56" spans="2:17" ht="15.75" x14ac:dyDescent="0.25">
      <c r="B56" s="20" t="s">
        <v>1530</v>
      </c>
      <c r="C56" s="21"/>
      <c r="D56" s="226"/>
      <c r="E56" s="227"/>
      <c r="F56" s="227"/>
      <c r="G56" s="227"/>
      <c r="H56" s="227"/>
      <c r="I56" s="227"/>
      <c r="J56" s="227"/>
      <c r="K56" s="227"/>
      <c r="L56" s="227"/>
      <c r="M56" s="227"/>
      <c r="N56" s="227"/>
      <c r="O56" s="227"/>
      <c r="P56" s="227"/>
      <c r="Q56" s="227"/>
    </row>
    <row r="80" spans="2:4" ht="15.75" x14ac:dyDescent="0.25">
      <c r="B80" s="4"/>
      <c r="C80" s="5"/>
      <c r="D80" s="5"/>
    </row>
    <row r="81" spans="2:15" ht="15.75" x14ac:dyDescent="0.25">
      <c r="B81" s="4"/>
      <c r="C81" s="2"/>
      <c r="D81" s="5"/>
    </row>
    <row r="82" spans="2:15" ht="15.75" x14ac:dyDescent="0.25">
      <c r="B82" s="4"/>
      <c r="C82" s="2"/>
      <c r="D82" s="219"/>
    </row>
    <row r="83" spans="2:15" ht="15.75" x14ac:dyDescent="0.25">
      <c r="B83" s="4"/>
      <c r="C83" s="2"/>
      <c r="D83" s="219"/>
    </row>
    <row r="84" spans="2:15" ht="15.75" x14ac:dyDescent="0.25">
      <c r="B84" s="4"/>
      <c r="C84" s="2"/>
      <c r="D84" s="5"/>
    </row>
    <row r="85" spans="2:15" ht="15.75" x14ac:dyDescent="0.25">
      <c r="B85" s="4"/>
      <c r="C85" s="2"/>
      <c r="D85" s="1"/>
    </row>
    <row r="86" spans="2:15" ht="15.75" x14ac:dyDescent="0.25">
      <c r="B86" s="4"/>
      <c r="C86" s="2"/>
      <c r="D86" s="220"/>
    </row>
    <row r="90" spans="2:15" x14ac:dyDescent="0.2">
      <c r="O90" s="16"/>
    </row>
    <row r="91" spans="2:15" x14ac:dyDescent="0.2">
      <c r="O91" s="16"/>
    </row>
    <row r="92" spans="2:15" x14ac:dyDescent="0.2">
      <c r="O92" s="16"/>
    </row>
    <row r="93" spans="2:15" x14ac:dyDescent="0.2">
      <c r="O93" s="16"/>
    </row>
    <row r="94" spans="2:15" x14ac:dyDescent="0.2">
      <c r="O94" s="16"/>
    </row>
    <row r="95" spans="2:15" x14ac:dyDescent="0.2">
      <c r="O95" s="16"/>
    </row>
    <row r="96" spans="2:15" x14ac:dyDescent="0.2">
      <c r="O96" s="16"/>
    </row>
    <row r="97" spans="2:15" x14ac:dyDescent="0.2">
      <c r="O97" s="16"/>
    </row>
    <row r="98" spans="2:15" x14ac:dyDescent="0.2">
      <c r="O98" s="16"/>
    </row>
    <row r="99" spans="2:15" x14ac:dyDescent="0.2">
      <c r="O99" s="16"/>
    </row>
    <row r="100" spans="2:15" x14ac:dyDescent="0.2">
      <c r="O100" s="16"/>
    </row>
    <row r="101" spans="2:15" x14ac:dyDescent="0.2">
      <c r="O101" s="16"/>
    </row>
    <row r="102" spans="2:15" x14ac:dyDescent="0.2">
      <c r="O102" s="16"/>
    </row>
    <row r="103" spans="2:15" x14ac:dyDescent="0.2">
      <c r="O103" s="16"/>
    </row>
    <row r="104" spans="2:15" x14ac:dyDescent="0.2">
      <c r="O104" s="16"/>
    </row>
    <row r="105" spans="2:15" x14ac:dyDescent="0.2">
      <c r="O105" s="16"/>
    </row>
    <row r="106" spans="2:15" x14ac:dyDescent="0.2">
      <c r="O106" s="16"/>
    </row>
    <row r="107" spans="2:15" x14ac:dyDescent="0.2">
      <c r="O107" s="16"/>
    </row>
    <row r="108" spans="2:15" x14ac:dyDescent="0.2">
      <c r="O108" s="16"/>
    </row>
    <row r="109" spans="2:15" x14ac:dyDescent="0.2">
      <c r="O109" s="16"/>
    </row>
    <row r="110" spans="2:15" x14ac:dyDescent="0.2">
      <c r="B110" s="16"/>
      <c r="C110" s="16"/>
      <c r="D110" s="16"/>
      <c r="E110" s="16"/>
      <c r="F110" s="16"/>
      <c r="G110" s="16"/>
      <c r="H110" s="16"/>
      <c r="O110" s="16"/>
    </row>
    <row r="111" spans="2:15" x14ac:dyDescent="0.2">
      <c r="B111" s="16"/>
      <c r="C111" s="16"/>
      <c r="D111" s="16"/>
      <c r="E111" s="16"/>
      <c r="F111" s="16"/>
      <c r="G111" s="16"/>
      <c r="H111" s="16"/>
      <c r="O111" s="16"/>
    </row>
    <row r="112" spans="2:15" x14ac:dyDescent="0.2">
      <c r="B112" s="16"/>
      <c r="C112" s="16"/>
      <c r="D112" s="16"/>
      <c r="E112" s="16"/>
      <c r="F112" s="16"/>
      <c r="G112" s="16"/>
      <c r="H112" s="16"/>
      <c r="O112" s="16"/>
    </row>
    <row r="113" spans="2:15" x14ac:dyDescent="0.2">
      <c r="B113" s="16"/>
      <c r="C113" s="16"/>
      <c r="D113" s="16"/>
      <c r="E113" s="16"/>
      <c r="F113" s="16"/>
      <c r="G113" s="16"/>
      <c r="H113" s="16"/>
      <c r="O113" s="16"/>
    </row>
    <row r="114" spans="2:15" x14ac:dyDescent="0.2">
      <c r="B114" s="16"/>
      <c r="C114" s="16"/>
      <c r="D114" s="16"/>
      <c r="E114" s="16"/>
      <c r="F114" s="16"/>
      <c r="G114" s="16"/>
      <c r="H114" s="16"/>
      <c r="O114" s="16"/>
    </row>
    <row r="115" spans="2:15" x14ac:dyDescent="0.2">
      <c r="B115" s="16"/>
      <c r="C115" s="16"/>
      <c r="D115" s="16"/>
      <c r="E115" s="16"/>
      <c r="F115" s="16"/>
      <c r="G115" s="16"/>
      <c r="H115" s="16"/>
      <c r="O115" s="16"/>
    </row>
    <row r="116" spans="2:15" x14ac:dyDescent="0.2">
      <c r="B116" s="16"/>
      <c r="C116" s="16"/>
      <c r="D116" s="16"/>
      <c r="E116" s="16"/>
      <c r="F116" s="16"/>
      <c r="G116" s="16"/>
      <c r="H116" s="16"/>
      <c r="O116" s="16"/>
    </row>
    <row r="117" spans="2:15" x14ac:dyDescent="0.2">
      <c r="B117" s="16"/>
      <c r="C117" s="16"/>
      <c r="D117" s="16"/>
      <c r="E117" s="16"/>
      <c r="F117" s="16"/>
      <c r="G117" s="16"/>
      <c r="H117" s="16"/>
      <c r="O117" s="16"/>
    </row>
    <row r="118" spans="2:15" x14ac:dyDescent="0.2">
      <c r="B118" s="16"/>
      <c r="C118" s="16"/>
      <c r="D118" s="16"/>
      <c r="E118" s="16"/>
      <c r="F118" s="16"/>
      <c r="G118" s="16"/>
      <c r="H118" s="16"/>
      <c r="O118" s="16"/>
    </row>
    <row r="119" spans="2:15" x14ac:dyDescent="0.2">
      <c r="B119" s="16"/>
      <c r="C119" s="16"/>
      <c r="D119" s="16"/>
      <c r="E119" s="16"/>
      <c r="F119" s="16"/>
      <c r="G119" s="16"/>
      <c r="H119" s="16"/>
      <c r="O119" s="16"/>
    </row>
    <row r="120" spans="2:15" x14ac:dyDescent="0.2">
      <c r="B120" s="16"/>
      <c r="C120" s="16"/>
      <c r="D120" s="16"/>
      <c r="E120" s="16"/>
      <c r="F120" s="16"/>
      <c r="G120" s="16"/>
      <c r="H120" s="16"/>
      <c r="O120" s="16"/>
    </row>
    <row r="121" spans="2:15" x14ac:dyDescent="0.2">
      <c r="B121" s="16"/>
      <c r="C121" s="16"/>
      <c r="D121" s="16"/>
      <c r="E121" s="16"/>
      <c r="F121" s="16"/>
      <c r="G121" s="16"/>
      <c r="H121" s="16"/>
      <c r="O121" s="16"/>
    </row>
    <row r="122" spans="2:15" x14ac:dyDescent="0.2">
      <c r="B122" s="16"/>
      <c r="C122" s="16"/>
      <c r="D122" s="16"/>
      <c r="E122" s="16"/>
      <c r="F122" s="16"/>
      <c r="G122" s="16"/>
      <c r="H122" s="16"/>
      <c r="O122" s="16"/>
    </row>
    <row r="123" spans="2:15" x14ac:dyDescent="0.2">
      <c r="B123" s="16"/>
      <c r="C123" s="16"/>
      <c r="D123" s="16"/>
      <c r="E123" s="16"/>
      <c r="F123" s="16"/>
      <c r="G123" s="16"/>
      <c r="H123" s="16"/>
      <c r="O123" s="16"/>
    </row>
    <row r="124" spans="2:15" x14ac:dyDescent="0.2">
      <c r="B124" s="16"/>
      <c r="C124" s="16"/>
      <c r="D124" s="16"/>
      <c r="E124" s="16"/>
      <c r="F124" s="16"/>
      <c r="G124" s="16"/>
      <c r="H124" s="16"/>
      <c r="O124" s="16"/>
    </row>
    <row r="125" spans="2:15" x14ac:dyDescent="0.2">
      <c r="B125" s="16"/>
      <c r="C125" s="16"/>
      <c r="D125" s="16"/>
      <c r="E125" s="16"/>
      <c r="F125" s="16"/>
      <c r="G125" s="16"/>
      <c r="H125" s="16"/>
      <c r="O125" s="16"/>
    </row>
    <row r="126" spans="2:15" x14ac:dyDescent="0.2">
      <c r="B126" s="16"/>
      <c r="C126" s="16"/>
      <c r="D126" s="16"/>
      <c r="E126" s="16"/>
      <c r="F126" s="16"/>
      <c r="G126" s="16"/>
      <c r="H126" s="16"/>
      <c r="O126" s="16"/>
    </row>
    <row r="127" spans="2:15" x14ac:dyDescent="0.2">
      <c r="B127" s="16"/>
      <c r="C127" s="16"/>
      <c r="D127" s="16"/>
      <c r="E127" s="16"/>
      <c r="F127" s="16"/>
      <c r="G127" s="16"/>
      <c r="H127" s="16"/>
      <c r="O127" s="16"/>
    </row>
    <row r="128" spans="2:15" x14ac:dyDescent="0.2">
      <c r="B128" s="16"/>
      <c r="C128" s="16"/>
      <c r="D128" s="16"/>
      <c r="E128" s="16"/>
      <c r="F128" s="16"/>
      <c r="G128" s="16"/>
      <c r="H128" s="16"/>
      <c r="O128" s="16"/>
    </row>
    <row r="129" spans="2:15" x14ac:dyDescent="0.2">
      <c r="B129" s="16" t="s">
        <v>1071</v>
      </c>
      <c r="C129" s="16"/>
      <c r="D129" s="16"/>
      <c r="E129" s="16"/>
      <c r="F129" s="16"/>
      <c r="G129" s="16"/>
      <c r="H129" s="16"/>
      <c r="O129" s="16"/>
    </row>
    <row r="130" spans="2:15" x14ac:dyDescent="0.2">
      <c r="B130" s="16"/>
      <c r="C130" s="16"/>
      <c r="D130" s="16"/>
      <c r="E130" s="16"/>
      <c r="F130" s="16"/>
      <c r="G130" s="16"/>
      <c r="H130" s="16"/>
      <c r="O130" s="16"/>
    </row>
    <row r="131" spans="2:15" x14ac:dyDescent="0.2">
      <c r="B131" s="16"/>
      <c r="C131" s="16"/>
      <c r="D131" s="16"/>
      <c r="E131" s="16"/>
      <c r="F131" s="16"/>
      <c r="G131" s="16"/>
      <c r="H131" s="16"/>
      <c r="O131" s="16"/>
    </row>
    <row r="132" spans="2:15" x14ac:dyDescent="0.2">
      <c r="B132" s="16"/>
      <c r="C132" s="16"/>
      <c r="D132" s="16"/>
      <c r="E132" s="16"/>
      <c r="F132" s="16"/>
      <c r="G132" s="16"/>
      <c r="H132" s="16"/>
      <c r="O132" s="16"/>
    </row>
    <row r="133" spans="2:15" x14ac:dyDescent="0.2">
      <c r="B133" s="16"/>
      <c r="C133" s="16"/>
      <c r="D133" s="16"/>
      <c r="E133" s="16"/>
      <c r="F133" s="16"/>
      <c r="G133" s="16"/>
      <c r="H133" s="16"/>
      <c r="O133" s="16"/>
    </row>
    <row r="134" spans="2:15" x14ac:dyDescent="0.2">
      <c r="B134" s="16"/>
      <c r="C134" s="16"/>
      <c r="D134" s="16"/>
      <c r="E134" s="16"/>
      <c r="F134" s="16"/>
      <c r="G134" s="16"/>
      <c r="H134" s="16"/>
      <c r="O134" s="16"/>
    </row>
    <row r="135" spans="2:15" x14ac:dyDescent="0.2">
      <c r="B135" s="16"/>
      <c r="C135" s="16"/>
      <c r="D135" s="16"/>
      <c r="E135" s="16"/>
      <c r="F135" s="16"/>
      <c r="G135" s="16"/>
      <c r="H135" s="16"/>
      <c r="O135" s="16"/>
    </row>
    <row r="136" spans="2:15" x14ac:dyDescent="0.2">
      <c r="B136" s="16"/>
      <c r="C136" s="16"/>
      <c r="D136" s="16"/>
      <c r="E136" s="16"/>
      <c r="F136" s="16"/>
      <c r="G136" s="16"/>
      <c r="H136" s="16"/>
      <c r="O136" s="16"/>
    </row>
    <row r="137" spans="2:15" x14ac:dyDescent="0.2">
      <c r="B137" s="16"/>
      <c r="C137" s="16"/>
      <c r="D137" s="16"/>
      <c r="E137" s="16"/>
      <c r="F137" s="16"/>
      <c r="G137" s="16"/>
      <c r="H137" s="16"/>
      <c r="O137" s="16"/>
    </row>
    <row r="138" spans="2:15" x14ac:dyDescent="0.2">
      <c r="B138" s="16"/>
      <c r="C138" s="16"/>
      <c r="D138" s="16"/>
      <c r="E138" s="16"/>
      <c r="F138" s="16"/>
      <c r="G138" s="16"/>
      <c r="H138" s="16"/>
      <c r="O138" s="16"/>
    </row>
    <row r="139" spans="2:15" x14ac:dyDescent="0.2">
      <c r="B139" s="16"/>
      <c r="C139" s="16"/>
      <c r="D139" s="16"/>
      <c r="E139" s="16"/>
      <c r="F139" s="16"/>
      <c r="G139" s="16"/>
      <c r="H139" s="16"/>
      <c r="O139" s="16"/>
    </row>
    <row r="140" spans="2:15" x14ac:dyDescent="0.2">
      <c r="B140" s="16"/>
      <c r="C140" s="16"/>
      <c r="D140" s="16"/>
      <c r="E140" s="16"/>
      <c r="F140" s="16"/>
      <c r="G140" s="16"/>
      <c r="H140" s="16"/>
      <c r="O140" s="16"/>
    </row>
    <row r="141" spans="2:15" x14ac:dyDescent="0.2">
      <c r="B141" s="16"/>
      <c r="C141" s="16"/>
      <c r="D141" s="16"/>
      <c r="E141" s="16"/>
      <c r="F141" s="16"/>
      <c r="G141" s="16"/>
      <c r="H141" s="16"/>
      <c r="O141" s="16"/>
    </row>
    <row r="142" spans="2:15" x14ac:dyDescent="0.2">
      <c r="B142" s="16"/>
      <c r="C142" s="16"/>
      <c r="D142" s="16"/>
      <c r="E142" s="16"/>
      <c r="F142" s="16"/>
      <c r="G142" s="16"/>
      <c r="H142" s="16"/>
      <c r="O142" s="16"/>
    </row>
    <row r="143" spans="2:15" x14ac:dyDescent="0.2">
      <c r="B143" s="16"/>
      <c r="C143" s="16"/>
      <c r="D143" s="16"/>
      <c r="E143" s="16"/>
      <c r="F143" s="16"/>
      <c r="G143" s="16"/>
      <c r="H143" s="16"/>
      <c r="O143" s="16"/>
    </row>
    <row r="144" spans="2:15" x14ac:dyDescent="0.2">
      <c r="B144" s="16"/>
      <c r="C144" s="16"/>
      <c r="D144" s="16"/>
      <c r="E144" s="16"/>
      <c r="F144" s="16"/>
      <c r="G144" s="16"/>
      <c r="H144" s="16"/>
      <c r="O144" s="16"/>
    </row>
    <row r="145" spans="2:15" x14ac:dyDescent="0.2">
      <c r="B145" s="16"/>
      <c r="C145" s="16"/>
      <c r="D145" s="16"/>
      <c r="E145" s="16"/>
      <c r="F145" s="16"/>
      <c r="G145" s="16"/>
      <c r="H145" s="16"/>
      <c r="O145" s="16"/>
    </row>
    <row r="146" spans="2:15" x14ac:dyDescent="0.2">
      <c r="B146" s="16"/>
      <c r="C146" s="16"/>
      <c r="D146" s="16"/>
      <c r="E146" s="16"/>
      <c r="F146" s="16"/>
      <c r="G146" s="16"/>
      <c r="H146" s="16"/>
      <c r="O146" s="16"/>
    </row>
    <row r="147" spans="2:15" x14ac:dyDescent="0.2">
      <c r="B147" s="16"/>
      <c r="C147" s="16"/>
      <c r="D147" s="16"/>
      <c r="E147" s="16"/>
      <c r="F147" s="16"/>
      <c r="G147" s="16"/>
      <c r="H147" s="16"/>
      <c r="O147" s="16"/>
    </row>
    <row r="148" spans="2:15" x14ac:dyDescent="0.2">
      <c r="B148" s="16"/>
      <c r="C148" s="16"/>
      <c r="D148" s="16"/>
      <c r="E148" s="16"/>
      <c r="F148" s="16"/>
      <c r="G148" s="16"/>
      <c r="H148" s="16"/>
      <c r="O148" s="16"/>
    </row>
    <row r="149" spans="2:15" x14ac:dyDescent="0.2">
      <c r="B149" s="16"/>
      <c r="C149" s="16"/>
      <c r="D149" s="16"/>
      <c r="E149" s="16"/>
      <c r="F149" s="16"/>
      <c r="G149" s="16"/>
      <c r="H149" s="16"/>
      <c r="O149" s="16"/>
    </row>
    <row r="150" spans="2:15" x14ac:dyDescent="0.2">
      <c r="B150" s="16"/>
      <c r="C150" s="16"/>
      <c r="D150" s="16"/>
      <c r="E150" s="16"/>
      <c r="F150" s="16"/>
      <c r="G150" s="16"/>
      <c r="H150" s="16"/>
      <c r="O150" s="16"/>
    </row>
    <row r="151" spans="2:15" x14ac:dyDescent="0.2">
      <c r="B151" s="16"/>
      <c r="C151" s="16"/>
      <c r="D151" s="16"/>
      <c r="E151" s="16"/>
      <c r="F151" s="16"/>
      <c r="G151" s="16"/>
      <c r="H151" s="16"/>
      <c r="O151" s="16"/>
    </row>
    <row r="152" spans="2:15" x14ac:dyDescent="0.2">
      <c r="B152" s="16"/>
      <c r="C152" s="16"/>
      <c r="D152" s="16"/>
      <c r="E152" s="16"/>
      <c r="F152" s="16"/>
      <c r="G152" s="16"/>
      <c r="H152" s="16"/>
      <c r="O152" s="16"/>
    </row>
    <row r="153" spans="2:15" x14ac:dyDescent="0.2">
      <c r="B153" s="16"/>
      <c r="C153" s="16"/>
      <c r="D153" s="16"/>
      <c r="E153" s="16"/>
      <c r="F153" s="16"/>
      <c r="G153" s="16"/>
      <c r="H153" s="16"/>
      <c r="O153" s="16"/>
    </row>
    <row r="154" spans="2:15" x14ac:dyDescent="0.2">
      <c r="B154" s="16"/>
      <c r="C154" s="16"/>
      <c r="D154" s="16"/>
      <c r="E154" s="16"/>
      <c r="F154" s="16"/>
      <c r="G154" s="16"/>
      <c r="H154" s="16"/>
      <c r="O154" s="16"/>
    </row>
    <row r="155" spans="2:15" x14ac:dyDescent="0.2">
      <c r="B155" s="16"/>
      <c r="C155" s="16"/>
      <c r="D155" s="16"/>
      <c r="E155" s="16"/>
      <c r="F155" s="16"/>
      <c r="G155" s="16"/>
      <c r="H155" s="16"/>
      <c r="O155" s="16"/>
    </row>
    <row r="156" spans="2:15" x14ac:dyDescent="0.2">
      <c r="B156" s="16"/>
      <c r="C156" s="16"/>
      <c r="D156" s="16"/>
      <c r="E156" s="16"/>
      <c r="F156" s="16"/>
      <c r="G156" s="16"/>
      <c r="H156" s="16"/>
      <c r="O156" s="16"/>
    </row>
    <row r="157" spans="2:15" x14ac:dyDescent="0.2">
      <c r="B157" s="16"/>
      <c r="C157" s="16"/>
      <c r="D157" s="16"/>
      <c r="E157" s="16"/>
      <c r="F157" s="16"/>
      <c r="G157" s="16"/>
      <c r="H157" s="16"/>
      <c r="O157" s="16"/>
    </row>
    <row r="158" spans="2:15" x14ac:dyDescent="0.2">
      <c r="B158" s="16"/>
      <c r="C158" s="16"/>
      <c r="D158" s="16"/>
      <c r="E158" s="16"/>
      <c r="F158" s="16"/>
      <c r="G158" s="16"/>
      <c r="H158" s="16"/>
      <c r="O158" s="16"/>
    </row>
    <row r="159" spans="2:15" x14ac:dyDescent="0.2">
      <c r="B159" s="16"/>
      <c r="C159" s="16"/>
      <c r="D159" s="16"/>
      <c r="E159" s="16"/>
      <c r="F159" s="16"/>
      <c r="G159" s="16"/>
      <c r="H159" s="16"/>
      <c r="O159" s="16"/>
    </row>
    <row r="160" spans="2:15" x14ac:dyDescent="0.2">
      <c r="B160" s="16"/>
      <c r="C160" s="16"/>
      <c r="D160" s="16"/>
      <c r="E160" s="16"/>
      <c r="F160" s="16"/>
      <c r="G160" s="16"/>
      <c r="H160" s="16"/>
      <c r="O160" s="16"/>
    </row>
    <row r="161" spans="2:15" x14ac:dyDescent="0.2">
      <c r="B161" s="16"/>
      <c r="C161" s="16"/>
      <c r="D161" s="16"/>
      <c r="E161" s="16"/>
      <c r="F161" s="16"/>
      <c r="G161" s="16"/>
      <c r="H161" s="16"/>
      <c r="O161" s="16"/>
    </row>
    <row r="162" spans="2:15" x14ac:dyDescent="0.2">
      <c r="B162" s="16"/>
      <c r="C162" s="16"/>
      <c r="D162" s="16"/>
      <c r="E162" s="16"/>
      <c r="F162" s="16"/>
      <c r="G162" s="16"/>
      <c r="H162" s="16"/>
      <c r="O162" s="16"/>
    </row>
    <row r="163" spans="2:15" x14ac:dyDescent="0.2">
      <c r="B163" s="16"/>
      <c r="C163" s="16"/>
      <c r="D163" s="16"/>
      <c r="E163" s="16"/>
      <c r="F163" s="16"/>
      <c r="G163" s="16"/>
      <c r="H163" s="16"/>
      <c r="O163" s="16"/>
    </row>
    <row r="164" spans="2:15" x14ac:dyDescent="0.2">
      <c r="B164" s="16"/>
      <c r="C164" s="16"/>
      <c r="D164" s="16"/>
      <c r="E164" s="16"/>
      <c r="F164" s="16"/>
      <c r="G164" s="16"/>
      <c r="H164" s="16"/>
      <c r="O164" s="16"/>
    </row>
    <row r="165" spans="2:15" x14ac:dyDescent="0.2">
      <c r="B165" s="16"/>
      <c r="C165" s="16"/>
      <c r="D165" s="16"/>
      <c r="E165" s="16"/>
      <c r="F165" s="16"/>
      <c r="G165" s="16"/>
      <c r="H165" s="16"/>
      <c r="O165" s="16"/>
    </row>
    <row r="166" spans="2:15" x14ac:dyDescent="0.2">
      <c r="B166" s="16"/>
      <c r="C166" s="16"/>
      <c r="D166" s="16"/>
      <c r="E166" s="16"/>
      <c r="F166" s="16"/>
      <c r="G166" s="16"/>
      <c r="H166" s="16"/>
      <c r="O166" s="16"/>
    </row>
    <row r="167" spans="2:15" x14ac:dyDescent="0.2">
      <c r="B167" s="16"/>
      <c r="C167" s="16"/>
      <c r="D167" s="16"/>
      <c r="E167" s="16"/>
      <c r="F167" s="16"/>
      <c r="G167" s="16"/>
      <c r="H167" s="16"/>
      <c r="O167" s="16"/>
    </row>
    <row r="168" spans="2:15" x14ac:dyDescent="0.2">
      <c r="B168" s="16"/>
      <c r="C168" s="16"/>
      <c r="D168" s="16"/>
      <c r="E168" s="16"/>
      <c r="F168" s="16"/>
      <c r="G168" s="16"/>
      <c r="H168" s="16"/>
      <c r="O168" s="16"/>
    </row>
    <row r="169" spans="2:15" x14ac:dyDescent="0.2">
      <c r="B169" s="16"/>
      <c r="C169" s="16"/>
      <c r="D169" s="16"/>
      <c r="E169" s="16"/>
      <c r="F169" s="16"/>
      <c r="G169" s="16"/>
      <c r="H169" s="16"/>
      <c r="O169" s="16"/>
    </row>
    <row r="170" spans="2:15" x14ac:dyDescent="0.2">
      <c r="B170" s="16"/>
      <c r="C170" s="16"/>
      <c r="D170" s="16"/>
      <c r="E170" s="16"/>
      <c r="F170" s="16"/>
      <c r="G170" s="16"/>
      <c r="H170" s="16"/>
      <c r="O170" s="16"/>
    </row>
    <row r="171" spans="2:15" x14ac:dyDescent="0.2">
      <c r="B171" s="16"/>
      <c r="C171" s="16"/>
      <c r="D171" s="16"/>
      <c r="E171" s="16"/>
      <c r="F171" s="16"/>
      <c r="G171" s="16"/>
      <c r="H171" s="16"/>
      <c r="O171" s="16"/>
    </row>
    <row r="172" spans="2:15" x14ac:dyDescent="0.2">
      <c r="B172" s="16"/>
      <c r="C172" s="16"/>
      <c r="D172" s="16"/>
      <c r="E172" s="16"/>
      <c r="F172" s="16"/>
      <c r="G172" s="16"/>
      <c r="H172" s="16"/>
      <c r="L172" s="16"/>
      <c r="M172" s="16"/>
      <c r="N172" s="16"/>
      <c r="O172" s="16"/>
    </row>
    <row r="173" spans="2:15" x14ac:dyDescent="0.2">
      <c r="G173" s="16"/>
      <c r="O173" s="16"/>
    </row>
    <row r="174" spans="2:15" x14ac:dyDescent="0.2">
      <c r="G174" s="16"/>
      <c r="H174" s="16"/>
      <c r="I174" s="16"/>
      <c r="J174" s="16"/>
      <c r="K174" s="16"/>
      <c r="O174" s="16"/>
    </row>
    <row r="175" spans="2:15" x14ac:dyDescent="0.2">
      <c r="G175" s="16"/>
      <c r="O175" s="16"/>
    </row>
    <row r="176" spans="2:15" x14ac:dyDescent="0.2">
      <c r="G176" s="16"/>
      <c r="O176" s="16"/>
    </row>
    <row r="177" spans="2:15" x14ac:dyDescent="0.2">
      <c r="G177" s="16"/>
      <c r="L177" s="16"/>
      <c r="M177" s="16"/>
      <c r="N177" s="16"/>
      <c r="O177" s="16"/>
    </row>
    <row r="178" spans="2:15" x14ac:dyDescent="0.2">
      <c r="B178" s="22"/>
      <c r="C178" s="27"/>
      <c r="D178" s="27"/>
      <c r="G178" s="16"/>
      <c r="L178" s="16"/>
      <c r="M178" s="16"/>
      <c r="N178" s="16"/>
      <c r="O178" s="16"/>
    </row>
    <row r="179" spans="2:15" x14ac:dyDescent="0.2">
      <c r="B179" s="22"/>
      <c r="C179" s="27"/>
      <c r="D179" s="27"/>
      <c r="G179" s="16"/>
      <c r="H179" s="16"/>
      <c r="I179" s="16"/>
      <c r="J179" s="16"/>
      <c r="K179" s="16"/>
      <c r="L179" s="16"/>
      <c r="M179" s="16"/>
      <c r="N179" s="16"/>
      <c r="O179" s="16"/>
    </row>
    <row r="180" spans="2:15" x14ac:dyDescent="0.2">
      <c r="B180" s="22"/>
      <c r="C180" s="27"/>
      <c r="D180" s="27"/>
      <c r="G180" s="16"/>
      <c r="H180" s="16"/>
      <c r="I180" s="16"/>
      <c r="J180" s="16"/>
      <c r="K180" s="16"/>
      <c r="L180" s="16"/>
      <c r="M180" s="16"/>
      <c r="N180" s="16"/>
      <c r="O180" s="16"/>
    </row>
    <row r="181" spans="2:15" x14ac:dyDescent="0.2">
      <c r="B181" s="22"/>
      <c r="C181" s="27"/>
      <c r="D181" s="27"/>
      <c r="G181" s="16"/>
      <c r="H181" s="16"/>
      <c r="I181" s="16"/>
      <c r="J181" s="16"/>
      <c r="K181" s="16"/>
      <c r="L181" s="16"/>
      <c r="M181" s="16"/>
      <c r="N181" s="16"/>
      <c r="O181" s="16"/>
    </row>
    <row r="182" spans="2:15" x14ac:dyDescent="0.2">
      <c r="B182" s="28"/>
      <c r="C182" s="27"/>
      <c r="D182" s="27"/>
      <c r="G182" s="16"/>
      <c r="H182" s="16"/>
      <c r="I182" s="16"/>
      <c r="J182" s="16"/>
      <c r="K182" s="16"/>
      <c r="L182" s="16"/>
      <c r="M182" s="16"/>
      <c r="N182" s="16"/>
      <c r="O182" s="16"/>
    </row>
    <row r="183" spans="2:15" x14ac:dyDescent="0.2">
      <c r="B183" s="22"/>
      <c r="C183" s="27"/>
      <c r="D183" s="27"/>
      <c r="G183" s="16"/>
      <c r="H183" s="16"/>
      <c r="I183" s="16"/>
      <c r="J183" s="16"/>
      <c r="K183" s="16"/>
      <c r="L183" s="16"/>
      <c r="M183" s="16"/>
      <c r="N183" s="16"/>
      <c r="O183" s="16"/>
    </row>
    <row r="184" spans="2:15" x14ac:dyDescent="0.2">
      <c r="B184" s="28"/>
      <c r="C184" s="27"/>
      <c r="D184" s="27"/>
      <c r="G184" s="16"/>
      <c r="H184" s="16"/>
      <c r="I184" s="16"/>
      <c r="J184" s="16"/>
      <c r="K184" s="16"/>
      <c r="L184" s="16"/>
      <c r="M184" s="16"/>
      <c r="N184" s="16"/>
      <c r="O184" s="16"/>
    </row>
    <row r="185" spans="2:15" x14ac:dyDescent="0.2">
      <c r="B185" s="28"/>
      <c r="C185" s="27"/>
      <c r="D185" s="27"/>
      <c r="G185" s="16"/>
      <c r="H185" s="16"/>
      <c r="I185" s="16"/>
      <c r="J185" s="16"/>
      <c r="K185" s="16"/>
      <c r="L185" s="16"/>
      <c r="M185" s="16"/>
      <c r="N185" s="16"/>
      <c r="O185" s="16"/>
    </row>
    <row r="186" spans="2:15" x14ac:dyDescent="0.2">
      <c r="B186" s="28"/>
      <c r="C186" s="27"/>
      <c r="D186" s="27"/>
      <c r="G186" s="16"/>
      <c r="H186" s="16"/>
      <c r="I186" s="16"/>
      <c r="J186" s="16"/>
      <c r="K186" s="16"/>
      <c r="L186" s="16"/>
      <c r="M186" s="16"/>
      <c r="N186" s="16"/>
      <c r="O186" s="16"/>
    </row>
    <row r="187" spans="2:15" x14ac:dyDescent="0.2">
      <c r="B187" s="28"/>
      <c r="C187" s="27"/>
      <c r="D187" s="27"/>
      <c r="G187" s="16"/>
      <c r="H187" s="16"/>
      <c r="I187" s="16"/>
      <c r="J187" s="16"/>
      <c r="K187" s="16"/>
      <c r="L187" s="16"/>
      <c r="M187" s="16"/>
      <c r="N187" s="16"/>
      <c r="O187" s="16"/>
    </row>
    <row r="188" spans="2:15" ht="15.75" x14ac:dyDescent="0.25">
      <c r="B188" s="1"/>
      <c r="G188" s="16"/>
      <c r="H188" s="16"/>
      <c r="I188" s="16"/>
      <c r="J188" s="16"/>
      <c r="K188" s="16"/>
      <c r="L188" s="16"/>
      <c r="M188" s="16"/>
      <c r="N188" s="16"/>
      <c r="O188" s="16"/>
    </row>
    <row r="189" spans="2:15" ht="15.75" x14ac:dyDescent="0.25">
      <c r="B189" s="2"/>
      <c r="C189" s="30"/>
      <c r="D189" s="27"/>
      <c r="G189" s="16"/>
      <c r="H189" s="16"/>
      <c r="I189" s="16"/>
      <c r="J189" s="16"/>
      <c r="K189" s="16"/>
      <c r="L189" s="16"/>
      <c r="M189" s="16"/>
      <c r="N189" s="16"/>
      <c r="O189" s="16"/>
    </row>
    <row r="190" spans="2:15" x14ac:dyDescent="0.2">
      <c r="B190" s="28"/>
      <c r="C190" s="217"/>
      <c r="D190" s="27"/>
      <c r="F190" s="128"/>
      <c r="G190" s="16"/>
      <c r="H190" s="16"/>
      <c r="I190" s="16"/>
      <c r="J190" s="16"/>
      <c r="K190" s="16"/>
      <c r="L190" s="16"/>
      <c r="M190" s="16"/>
      <c r="N190" s="16"/>
      <c r="O190" s="16"/>
    </row>
    <row r="191" spans="2:15" x14ac:dyDescent="0.2">
      <c r="B191" s="28"/>
      <c r="C191" s="27"/>
      <c r="D191" s="27"/>
      <c r="F191" s="58"/>
      <c r="G191" s="16"/>
      <c r="H191" s="16"/>
      <c r="I191" s="16"/>
      <c r="J191" s="16"/>
      <c r="K191" s="16"/>
      <c r="L191" s="16"/>
      <c r="M191" s="16"/>
      <c r="N191" s="16"/>
      <c r="O191" s="16"/>
    </row>
    <row r="192" spans="2:15" x14ac:dyDescent="0.2">
      <c r="B192" s="28"/>
      <c r="C192" s="27"/>
      <c r="D192" s="27"/>
      <c r="F192" s="58"/>
      <c r="G192" s="16"/>
      <c r="H192" s="16"/>
      <c r="I192" s="16"/>
      <c r="J192" s="16"/>
      <c r="K192" s="16"/>
      <c r="L192" s="16"/>
      <c r="M192" s="16"/>
      <c r="N192" s="16"/>
      <c r="O192" s="16"/>
    </row>
    <row r="193" spans="2:15" x14ac:dyDescent="0.2">
      <c r="B193" s="28"/>
      <c r="C193" s="123"/>
      <c r="D193" s="27"/>
      <c r="F193" s="64"/>
      <c r="G193" s="16"/>
      <c r="H193" s="16"/>
      <c r="I193" s="16"/>
      <c r="J193" s="16"/>
      <c r="K193" s="16"/>
      <c r="L193" s="16"/>
      <c r="M193" s="16"/>
      <c r="N193" s="16"/>
      <c r="O193" s="16"/>
    </row>
    <row r="194" spans="2:15" x14ac:dyDescent="0.2">
      <c r="B194" s="28"/>
      <c r="C194" s="27"/>
      <c r="D194" s="27"/>
      <c r="F194" s="58"/>
      <c r="G194" s="16"/>
      <c r="H194" s="16"/>
      <c r="I194" s="16"/>
      <c r="J194" s="16"/>
      <c r="K194" s="16"/>
      <c r="L194" s="16"/>
      <c r="M194" s="16"/>
      <c r="N194" s="16"/>
      <c r="O194" s="16"/>
    </row>
    <row r="195" spans="2:15" x14ac:dyDescent="0.2">
      <c r="B195" s="28"/>
      <c r="C195" s="27"/>
      <c r="D195" s="27"/>
      <c r="F195" s="58"/>
      <c r="G195" s="16"/>
      <c r="H195" s="16"/>
      <c r="I195" s="16"/>
      <c r="J195" s="16"/>
      <c r="K195" s="16"/>
      <c r="L195" s="16"/>
      <c r="M195" s="16"/>
      <c r="N195" s="16"/>
      <c r="O195" s="16"/>
    </row>
    <row r="196" spans="2:15" x14ac:dyDescent="0.2">
      <c r="B196" s="28"/>
      <c r="C196" s="27"/>
      <c r="D196" s="27"/>
      <c r="G196" s="16"/>
      <c r="H196" s="16"/>
      <c r="I196" s="16"/>
      <c r="J196" s="16"/>
      <c r="K196" s="16"/>
      <c r="L196" s="16"/>
      <c r="M196" s="16"/>
      <c r="N196" s="16"/>
      <c r="O196" s="16"/>
    </row>
    <row r="197" spans="2:15" ht="15.75" x14ac:dyDescent="0.25">
      <c r="B197" s="28"/>
      <c r="C197" s="30"/>
      <c r="D197" s="27"/>
      <c r="G197" s="16"/>
      <c r="H197" s="16"/>
      <c r="I197" s="16"/>
      <c r="J197" s="16"/>
      <c r="K197" s="16"/>
      <c r="L197" s="16"/>
      <c r="M197" s="16"/>
      <c r="N197" s="16"/>
      <c r="O197" s="16"/>
    </row>
    <row r="198" spans="2:15" ht="15.75" x14ac:dyDescent="0.25">
      <c r="B198" s="2"/>
      <c r="C198" s="1"/>
      <c r="D198" s="27"/>
      <c r="G198" s="16"/>
      <c r="H198" s="16"/>
      <c r="I198" s="16"/>
      <c r="J198" s="16"/>
      <c r="K198" s="16"/>
      <c r="L198" s="16"/>
      <c r="M198" s="16"/>
      <c r="N198" s="16"/>
      <c r="O198" s="16"/>
    </row>
    <row r="199" spans="2:15" ht="15.75" x14ac:dyDescent="0.25">
      <c r="B199" s="26"/>
      <c r="C199" s="37"/>
      <c r="D199" s="5"/>
      <c r="G199" s="16"/>
      <c r="H199" s="16"/>
      <c r="I199" s="16"/>
      <c r="J199" s="16"/>
      <c r="K199" s="16"/>
      <c r="L199" s="16"/>
      <c r="M199" s="16"/>
      <c r="N199" s="16"/>
      <c r="O199" s="16"/>
    </row>
    <row r="200" spans="2:15" ht="15.75" x14ac:dyDescent="0.25">
      <c r="B200" s="2"/>
      <c r="C200" s="5"/>
      <c r="D200" s="22"/>
      <c r="G200" s="16"/>
      <c r="H200" s="16"/>
      <c r="I200" s="16"/>
      <c r="J200" s="16"/>
      <c r="K200" s="16"/>
      <c r="L200" s="16"/>
      <c r="M200" s="16"/>
      <c r="N200" s="16"/>
      <c r="O200" s="16"/>
    </row>
    <row r="201" spans="2:15" ht="15.75" x14ac:dyDescent="0.25">
      <c r="B201" s="26"/>
      <c r="C201" s="3"/>
      <c r="D201" s="5"/>
      <c r="G201" s="16"/>
      <c r="H201" s="16"/>
      <c r="I201" s="16"/>
      <c r="J201" s="16"/>
      <c r="K201" s="16"/>
      <c r="L201" s="16"/>
      <c r="M201" s="16"/>
      <c r="N201" s="16"/>
      <c r="O201" s="16"/>
    </row>
    <row r="202" spans="2:15" ht="15.75" x14ac:dyDescent="0.25">
      <c r="B202" s="2"/>
      <c r="C202" s="5"/>
      <c r="D202" s="27"/>
      <c r="G202" s="16"/>
      <c r="H202" s="16"/>
      <c r="I202" s="16"/>
      <c r="J202" s="16"/>
      <c r="K202" s="16"/>
      <c r="L202" s="16"/>
      <c r="M202" s="16"/>
      <c r="N202" s="16"/>
      <c r="O202" s="16"/>
    </row>
    <row r="203" spans="2:15" ht="15.75" x14ac:dyDescent="0.25">
      <c r="B203" s="26"/>
      <c r="C203" s="36"/>
      <c r="D203" s="5"/>
      <c r="G203" s="16"/>
      <c r="H203" s="16"/>
      <c r="I203" s="16"/>
      <c r="J203" s="16"/>
      <c r="K203" s="16"/>
      <c r="L203" s="16"/>
      <c r="M203" s="16"/>
      <c r="N203" s="16"/>
      <c r="O203" s="16"/>
    </row>
    <row r="204" spans="2:15" ht="15.75" x14ac:dyDescent="0.25">
      <c r="B204" s="2"/>
      <c r="C204" s="5"/>
      <c r="D204" s="27"/>
      <c r="G204" s="16"/>
      <c r="H204" s="16"/>
      <c r="I204" s="16"/>
      <c r="J204" s="16"/>
      <c r="K204" s="16"/>
      <c r="L204" s="16"/>
      <c r="M204" s="16"/>
      <c r="N204" s="16"/>
      <c r="O204" s="16"/>
    </row>
    <row r="205" spans="2:15" ht="15.75" x14ac:dyDescent="0.25">
      <c r="B205" s="26"/>
      <c r="C205" s="214"/>
      <c r="D205" s="5"/>
      <c r="G205" s="16"/>
      <c r="H205" s="16"/>
      <c r="I205" s="16"/>
      <c r="J205" s="16"/>
      <c r="K205" s="16"/>
      <c r="L205" s="16"/>
      <c r="M205" s="16"/>
      <c r="N205" s="16"/>
      <c r="O205" s="16"/>
    </row>
    <row r="206" spans="2:15" ht="15.75" x14ac:dyDescent="0.25">
      <c r="B206" s="2"/>
      <c r="C206" s="5"/>
      <c r="D206" s="27"/>
      <c r="G206" s="16"/>
      <c r="H206" s="16"/>
      <c r="I206" s="16"/>
      <c r="J206" s="16"/>
      <c r="K206" s="16"/>
      <c r="L206" s="16"/>
      <c r="M206" s="16"/>
      <c r="N206" s="16"/>
      <c r="O206" s="16"/>
    </row>
    <row r="207" spans="2:15" ht="15.75" x14ac:dyDescent="0.25">
      <c r="B207" s="26"/>
      <c r="C207" s="215"/>
      <c r="D207" s="5"/>
      <c r="G207" s="16"/>
      <c r="H207" s="16"/>
      <c r="I207" s="16"/>
      <c r="J207" s="16"/>
      <c r="K207" s="16"/>
      <c r="L207" s="16"/>
      <c r="M207" s="16"/>
      <c r="N207" s="16"/>
      <c r="O207" s="16"/>
    </row>
    <row r="208" spans="2:15" ht="15.75" x14ac:dyDescent="0.25">
      <c r="B208" s="26"/>
      <c r="C208" s="216"/>
      <c r="D208" s="5"/>
      <c r="F208" s="5"/>
      <c r="G208" s="16"/>
      <c r="H208" s="16"/>
      <c r="I208" s="16"/>
      <c r="J208" s="16"/>
      <c r="K208" s="16"/>
      <c r="L208" s="16"/>
      <c r="M208" s="16"/>
      <c r="N208" s="16"/>
      <c r="O208" s="16"/>
    </row>
    <row r="209" spans="2:15" x14ac:dyDescent="0.2">
      <c r="B209" s="124"/>
      <c r="C209" s="125"/>
      <c r="D209" s="125"/>
      <c r="E209" s="23"/>
      <c r="G209" s="16"/>
      <c r="H209" s="16"/>
      <c r="I209" s="16"/>
      <c r="J209" s="16"/>
      <c r="K209" s="16"/>
      <c r="L209" s="16"/>
      <c r="M209" s="16"/>
      <c r="N209" s="16"/>
      <c r="O209" s="16"/>
    </row>
    <row r="210" spans="2:15" x14ac:dyDescent="0.2">
      <c r="B210" s="28"/>
      <c r="C210" s="27"/>
      <c r="D210" s="27"/>
      <c r="G210" s="16"/>
      <c r="H210" s="16"/>
      <c r="I210" s="16"/>
      <c r="J210" s="16"/>
      <c r="K210" s="16"/>
      <c r="L210" s="16"/>
      <c r="M210" s="16"/>
      <c r="N210" s="16"/>
      <c r="O210" s="16"/>
    </row>
    <row r="211" spans="2:15" ht="15.75" x14ac:dyDescent="0.25">
      <c r="B211" s="1"/>
      <c r="C211" s="27"/>
      <c r="D211" s="27"/>
      <c r="F211" s="5"/>
      <c r="G211" s="16"/>
      <c r="H211" s="16"/>
      <c r="I211" s="16"/>
      <c r="J211" s="16"/>
      <c r="K211" s="16"/>
      <c r="L211" s="16"/>
      <c r="M211" s="16"/>
      <c r="N211" s="16"/>
      <c r="O211" s="16"/>
    </row>
    <row r="212" spans="2:15" x14ac:dyDescent="0.2">
      <c r="B212" s="22"/>
      <c r="C212" s="27"/>
      <c r="D212" s="27"/>
      <c r="G212" s="16"/>
      <c r="H212" s="16"/>
      <c r="I212" s="16"/>
      <c r="J212" s="16"/>
      <c r="K212" s="16"/>
      <c r="L212" s="16"/>
      <c r="M212" s="16"/>
      <c r="N212" s="16"/>
      <c r="O212" s="16"/>
    </row>
    <row r="213" spans="2:15" x14ac:dyDescent="0.2">
      <c r="B213" s="22"/>
      <c r="C213" s="27"/>
      <c r="D213" s="27"/>
      <c r="G213" s="16"/>
      <c r="H213" s="16"/>
      <c r="I213" s="16"/>
      <c r="J213" s="16"/>
      <c r="K213" s="16"/>
      <c r="L213" s="16"/>
      <c r="M213" s="16"/>
      <c r="N213" s="16"/>
      <c r="O213" s="16"/>
    </row>
    <row r="214" spans="2:15" ht="15.75" x14ac:dyDescent="0.25">
      <c r="B214" s="1"/>
      <c r="C214" s="27"/>
      <c r="D214" s="27"/>
      <c r="G214" s="16"/>
      <c r="H214" s="16"/>
      <c r="I214" s="16"/>
      <c r="J214" s="16"/>
      <c r="K214" s="16"/>
      <c r="L214" s="16"/>
      <c r="M214" s="16"/>
      <c r="N214" s="16"/>
      <c r="O214" s="16"/>
    </row>
    <row r="215" spans="2:15" ht="15.75" x14ac:dyDescent="0.25">
      <c r="B215" s="2"/>
      <c r="C215" s="22"/>
      <c r="D215" s="27"/>
      <c r="G215" s="16"/>
      <c r="H215" s="16"/>
      <c r="I215" s="16"/>
      <c r="J215" s="16"/>
      <c r="K215" s="16"/>
      <c r="L215" s="16"/>
      <c r="M215" s="16"/>
      <c r="N215" s="16"/>
      <c r="O215" s="16"/>
    </row>
    <row r="216" spans="2:15" ht="15.75" x14ac:dyDescent="0.25">
      <c r="B216" s="2"/>
      <c r="C216" s="27"/>
      <c r="D216" s="27"/>
      <c r="G216" s="16"/>
      <c r="H216" s="16"/>
      <c r="I216" s="16"/>
      <c r="J216" s="16"/>
      <c r="K216" s="16"/>
      <c r="L216" s="16"/>
      <c r="M216" s="16"/>
      <c r="N216" s="16"/>
      <c r="O216" s="16"/>
    </row>
    <row r="217" spans="2:15" ht="15.75" x14ac:dyDescent="0.25">
      <c r="B217" s="2"/>
      <c r="C217" s="22"/>
      <c r="D217" s="27"/>
      <c r="G217" s="16"/>
      <c r="H217" s="16"/>
      <c r="I217" s="16"/>
      <c r="J217" s="16"/>
      <c r="K217" s="16"/>
      <c r="L217" s="16"/>
      <c r="M217" s="16"/>
      <c r="N217" s="16"/>
      <c r="O217" s="16"/>
    </row>
    <row r="218" spans="2:15" ht="15.75" x14ac:dyDescent="0.25">
      <c r="B218" s="2"/>
      <c r="C218" s="27"/>
      <c r="D218" s="27"/>
      <c r="G218" s="16"/>
      <c r="H218" s="16"/>
      <c r="I218" s="16"/>
      <c r="J218" s="16"/>
      <c r="K218" s="16"/>
      <c r="L218" s="16"/>
      <c r="M218" s="16"/>
      <c r="N218" s="16"/>
      <c r="O218" s="16"/>
    </row>
    <row r="219" spans="2:15" ht="15.75" x14ac:dyDescent="0.25">
      <c r="B219" s="2"/>
      <c r="C219" s="22"/>
      <c r="D219" s="27"/>
      <c r="G219" s="16"/>
      <c r="H219" s="16"/>
      <c r="I219" s="16"/>
      <c r="J219" s="16"/>
      <c r="K219" s="16"/>
      <c r="L219" s="16"/>
      <c r="M219" s="16"/>
      <c r="N219" s="16"/>
      <c r="O219" s="16"/>
    </row>
    <row r="220" spans="2:15" ht="15.75" x14ac:dyDescent="0.25">
      <c r="B220" s="2"/>
      <c r="C220" s="27"/>
      <c r="D220" s="27"/>
      <c r="G220" s="16"/>
      <c r="H220" s="16"/>
      <c r="I220" s="16"/>
      <c r="J220" s="16"/>
      <c r="K220" s="16"/>
      <c r="L220" s="16"/>
      <c r="M220" s="16"/>
      <c r="N220" s="16"/>
      <c r="O220" s="16"/>
    </row>
    <row r="221" spans="2:15" ht="15.75" x14ac:dyDescent="0.25">
      <c r="B221" s="2"/>
      <c r="C221" s="22"/>
      <c r="D221" s="27"/>
      <c r="G221" s="16"/>
      <c r="H221" s="16"/>
      <c r="I221" s="16"/>
      <c r="J221" s="16"/>
      <c r="K221" s="16"/>
      <c r="L221" s="16"/>
      <c r="M221" s="16"/>
      <c r="N221" s="16"/>
      <c r="O221" s="16"/>
    </row>
    <row r="222" spans="2:15" ht="15.75" x14ac:dyDescent="0.25">
      <c r="B222" s="2"/>
      <c r="C222" s="22"/>
      <c r="D222" s="27"/>
      <c r="G222" s="16"/>
      <c r="H222" s="16"/>
      <c r="I222" s="16"/>
      <c r="J222" s="16"/>
      <c r="K222" s="16"/>
      <c r="L222" s="16"/>
      <c r="M222" s="16"/>
      <c r="N222" s="16"/>
      <c r="O222" s="16"/>
    </row>
    <row r="223" spans="2:15" ht="15.75" x14ac:dyDescent="0.25">
      <c r="B223" s="2"/>
      <c r="C223" s="27"/>
      <c r="D223" s="27"/>
      <c r="G223" s="16"/>
      <c r="H223" s="16"/>
      <c r="I223" s="16"/>
      <c r="J223" s="16"/>
      <c r="K223" s="16"/>
      <c r="L223" s="16"/>
      <c r="M223" s="16"/>
      <c r="N223" s="16"/>
      <c r="O223" s="16"/>
    </row>
    <row r="224" spans="2:15" ht="15.75" x14ac:dyDescent="0.25">
      <c r="B224" s="2"/>
      <c r="C224" s="22"/>
      <c r="D224" s="27"/>
      <c r="G224" s="16"/>
      <c r="H224" s="16"/>
      <c r="I224" s="16"/>
      <c r="J224" s="16"/>
      <c r="K224" s="16"/>
      <c r="L224" s="16"/>
      <c r="M224" s="16"/>
      <c r="N224" s="16"/>
      <c r="O224" s="16"/>
    </row>
    <row r="225" spans="2:15" ht="15.75" x14ac:dyDescent="0.25">
      <c r="B225" s="2"/>
      <c r="C225" s="27"/>
      <c r="D225" s="27"/>
      <c r="G225" s="16"/>
      <c r="H225" s="16"/>
      <c r="I225" s="16"/>
      <c r="J225" s="16"/>
      <c r="K225" s="16"/>
      <c r="L225" s="16"/>
      <c r="M225" s="16"/>
      <c r="N225" s="16"/>
      <c r="O225" s="16"/>
    </row>
    <row r="226" spans="2:15" ht="15.75" x14ac:dyDescent="0.25">
      <c r="B226" s="2"/>
      <c r="C226" s="22"/>
      <c r="D226" s="27"/>
      <c r="G226" s="16"/>
      <c r="H226" s="16"/>
      <c r="I226" s="16"/>
      <c r="J226" s="16"/>
      <c r="K226" s="16"/>
      <c r="L226" s="16"/>
      <c r="M226" s="16"/>
      <c r="N226" s="16"/>
      <c r="O226" s="16"/>
    </row>
    <row r="227" spans="2:15" x14ac:dyDescent="0.2">
      <c r="B227" s="28"/>
      <c r="C227" s="22"/>
      <c r="D227" s="27"/>
      <c r="G227" s="16"/>
      <c r="H227" s="16"/>
      <c r="I227" s="16"/>
      <c r="J227" s="16"/>
      <c r="K227" s="16"/>
      <c r="L227" s="16"/>
      <c r="M227" s="16"/>
      <c r="N227" s="16"/>
      <c r="O227" s="16"/>
    </row>
    <row r="228" spans="2:15" x14ac:dyDescent="0.2">
      <c r="B228" s="28"/>
      <c r="C228" s="22"/>
      <c r="D228" s="27"/>
      <c r="G228" s="16"/>
      <c r="H228" s="16"/>
      <c r="I228" s="16"/>
      <c r="J228" s="16"/>
      <c r="K228" s="16"/>
      <c r="L228" s="16"/>
      <c r="M228" s="16"/>
      <c r="N228" s="16"/>
      <c r="O228" s="16"/>
    </row>
    <row r="229" spans="2:15" x14ac:dyDescent="0.2">
      <c r="B229" s="28"/>
      <c r="C229" s="22"/>
      <c r="D229" s="27"/>
      <c r="G229" s="16"/>
      <c r="H229" s="16"/>
      <c r="I229" s="16"/>
      <c r="J229" s="16"/>
      <c r="K229" s="16"/>
      <c r="L229" s="16"/>
      <c r="M229" s="16"/>
      <c r="N229" s="16"/>
      <c r="O229" s="16"/>
    </row>
    <row r="230" spans="2:15" ht="15.75" x14ac:dyDescent="0.25">
      <c r="B230" s="28"/>
      <c r="C230" s="88"/>
      <c r="D230" s="27"/>
      <c r="G230" s="16"/>
      <c r="H230" s="16"/>
      <c r="I230" s="16"/>
      <c r="J230" s="16"/>
      <c r="K230" s="16"/>
      <c r="L230" s="16"/>
      <c r="M230" s="16"/>
      <c r="N230" s="16"/>
      <c r="O230" s="16"/>
    </row>
    <row r="231" spans="2:15" x14ac:dyDescent="0.2">
      <c r="B231" s="28"/>
      <c r="C231" s="27"/>
      <c r="D231" s="27"/>
      <c r="G231" s="16"/>
      <c r="H231" s="16"/>
      <c r="I231" s="16"/>
      <c r="J231" s="16"/>
      <c r="K231" s="16"/>
      <c r="L231" s="16"/>
      <c r="M231" s="16"/>
      <c r="N231" s="16"/>
      <c r="O231" s="16"/>
    </row>
    <row r="232" spans="2:15" x14ac:dyDescent="0.2">
      <c r="B232" s="28"/>
      <c r="D232" s="27"/>
      <c r="G232" s="16"/>
      <c r="H232" s="16"/>
      <c r="I232" s="16"/>
      <c r="J232" s="16"/>
      <c r="K232" s="16"/>
      <c r="L232" s="16"/>
      <c r="M232" s="16"/>
      <c r="N232" s="16"/>
      <c r="O232" s="16"/>
    </row>
    <row r="233" spans="2:15" ht="15.75" x14ac:dyDescent="0.25">
      <c r="B233" s="2"/>
      <c r="C233" s="30"/>
      <c r="D233" s="27"/>
      <c r="G233" s="16"/>
      <c r="H233" s="16"/>
      <c r="I233" s="16"/>
      <c r="J233" s="16"/>
      <c r="K233" s="16"/>
      <c r="L233" s="16"/>
      <c r="M233" s="16"/>
      <c r="N233" s="16"/>
      <c r="O233" s="16"/>
    </row>
    <row r="234" spans="2:15" x14ac:dyDescent="0.2">
      <c r="B234" s="28"/>
      <c r="C234" s="58"/>
      <c r="D234" s="27"/>
      <c r="G234" s="16"/>
      <c r="H234" s="16"/>
      <c r="I234" s="16"/>
      <c r="J234" s="16"/>
      <c r="K234" s="16"/>
      <c r="L234" s="16"/>
      <c r="M234" s="16"/>
      <c r="N234" s="16"/>
      <c r="O234" s="16"/>
    </row>
    <row r="235" spans="2:15" x14ac:dyDescent="0.2">
      <c r="B235" s="28"/>
      <c r="C235" s="58"/>
      <c r="D235" s="27"/>
      <c r="G235" s="16"/>
      <c r="H235" s="16"/>
      <c r="I235" s="16"/>
      <c r="J235" s="16"/>
      <c r="K235" s="16"/>
      <c r="L235" s="16"/>
      <c r="M235" s="16"/>
      <c r="N235" s="16"/>
      <c r="O235" s="16"/>
    </row>
    <row r="236" spans="2:15" x14ac:dyDescent="0.2">
      <c r="B236" s="28"/>
      <c r="C236" s="58"/>
      <c r="D236" s="27"/>
      <c r="G236" s="16"/>
      <c r="H236" s="16"/>
      <c r="I236" s="16"/>
      <c r="J236" s="16"/>
      <c r="K236" s="16"/>
      <c r="L236" s="16"/>
      <c r="M236" s="16"/>
      <c r="N236" s="16"/>
      <c r="O236" s="16"/>
    </row>
    <row r="237" spans="2:15" x14ac:dyDescent="0.2">
      <c r="B237" s="28"/>
      <c r="C237" s="64"/>
      <c r="D237" s="27"/>
      <c r="G237" s="16"/>
      <c r="H237" s="16"/>
      <c r="I237" s="16"/>
      <c r="J237" s="16"/>
      <c r="K237" s="16"/>
      <c r="L237" s="16"/>
      <c r="M237" s="16"/>
      <c r="N237" s="16"/>
      <c r="O237" s="16"/>
    </row>
    <row r="238" spans="2:15" x14ac:dyDescent="0.2">
      <c r="B238" s="28"/>
      <c r="C238" s="58"/>
      <c r="D238" s="27"/>
      <c r="G238" s="16"/>
      <c r="H238" s="16"/>
      <c r="I238" s="16"/>
      <c r="J238" s="16"/>
      <c r="K238" s="16"/>
      <c r="L238" s="16"/>
      <c r="M238" s="16"/>
      <c r="N238" s="16"/>
      <c r="O238" s="16"/>
    </row>
    <row r="239" spans="2:15" x14ac:dyDescent="0.2">
      <c r="B239" s="28"/>
      <c r="C239" s="58"/>
      <c r="D239" s="27"/>
      <c r="G239" s="16"/>
      <c r="H239" s="16"/>
      <c r="I239" s="16"/>
      <c r="J239" s="16"/>
      <c r="K239" s="16"/>
      <c r="L239" s="16"/>
      <c r="M239" s="16"/>
      <c r="N239" s="16"/>
      <c r="O239" s="16"/>
    </row>
    <row r="240" spans="2:15" x14ac:dyDescent="0.2">
      <c r="B240" s="28"/>
      <c r="C240" s="27"/>
      <c r="D240" s="27"/>
      <c r="G240" s="16"/>
      <c r="H240" s="16"/>
      <c r="I240" s="16"/>
      <c r="J240" s="16"/>
      <c r="K240" s="16"/>
      <c r="L240" s="16"/>
      <c r="M240" s="16"/>
      <c r="N240" s="16"/>
      <c r="O240" s="16"/>
    </row>
    <row r="241" spans="2:15" ht="15.75" x14ac:dyDescent="0.25">
      <c r="B241" s="28"/>
      <c r="C241" s="30"/>
      <c r="D241" s="27"/>
      <c r="G241" s="16"/>
      <c r="H241" s="16"/>
      <c r="I241" s="16"/>
      <c r="J241" s="16"/>
      <c r="K241" s="16"/>
      <c r="L241" s="16"/>
      <c r="M241" s="16"/>
      <c r="N241" s="16"/>
      <c r="O241" s="16"/>
    </row>
    <row r="242" spans="2:15" ht="15.75" x14ac:dyDescent="0.25">
      <c r="B242" s="2"/>
      <c r="C242" s="5"/>
      <c r="D242" s="27"/>
      <c r="G242" s="16"/>
      <c r="H242" s="16"/>
      <c r="I242" s="16"/>
      <c r="J242" s="16"/>
      <c r="K242" s="16"/>
      <c r="L242" s="16"/>
      <c r="M242" s="16"/>
      <c r="N242" s="16"/>
      <c r="O242" s="16"/>
    </row>
    <row r="243" spans="2:15" ht="15.75" x14ac:dyDescent="0.25">
      <c r="B243" s="26"/>
      <c r="C243" s="37"/>
      <c r="D243" s="5"/>
      <c r="G243" s="16"/>
      <c r="H243" s="16"/>
      <c r="I243" s="16"/>
      <c r="J243" s="16"/>
      <c r="K243" s="16"/>
      <c r="L243" s="16"/>
      <c r="M243" s="16"/>
      <c r="N243" s="16"/>
      <c r="O243" s="16"/>
    </row>
    <row r="244" spans="2:15" ht="15.75" x14ac:dyDescent="0.25">
      <c r="B244" s="2"/>
      <c r="C244" s="5"/>
      <c r="D244" s="22"/>
      <c r="G244" s="16"/>
      <c r="H244" s="16"/>
      <c r="I244" s="16"/>
      <c r="J244" s="16"/>
      <c r="K244" s="16"/>
      <c r="L244" s="16"/>
      <c r="M244" s="16"/>
      <c r="N244" s="16"/>
      <c r="O244" s="16"/>
    </row>
    <row r="245" spans="2:15" ht="15.75" x14ac:dyDescent="0.25">
      <c r="B245" s="26"/>
      <c r="C245" s="3"/>
      <c r="D245" s="1"/>
      <c r="G245" s="16"/>
      <c r="H245" s="16"/>
      <c r="I245" s="16"/>
      <c r="J245" s="16"/>
      <c r="K245" s="16"/>
      <c r="L245" s="16"/>
      <c r="M245" s="16"/>
      <c r="N245" s="16"/>
      <c r="O245" s="16"/>
    </row>
    <row r="246" spans="2:15" ht="15.75" x14ac:dyDescent="0.25">
      <c r="B246" s="2"/>
      <c r="C246" s="5"/>
      <c r="D246" s="27"/>
      <c r="G246" s="16"/>
      <c r="H246" s="16"/>
      <c r="I246" s="16"/>
      <c r="J246" s="16"/>
      <c r="K246" s="16"/>
      <c r="L246" s="16"/>
      <c r="M246" s="16"/>
      <c r="N246" s="16"/>
      <c r="O246" s="16"/>
    </row>
    <row r="247" spans="2:15" ht="15.75" x14ac:dyDescent="0.25">
      <c r="B247" s="26"/>
      <c r="C247" s="36"/>
      <c r="D247" s="5"/>
      <c r="G247" s="16"/>
      <c r="H247" s="16"/>
      <c r="I247" s="16"/>
      <c r="J247" s="16"/>
      <c r="K247" s="16"/>
      <c r="L247" s="16"/>
      <c r="M247" s="16"/>
      <c r="N247" s="16"/>
      <c r="O247" s="16"/>
    </row>
    <row r="248" spans="2:15" ht="15.75" x14ac:dyDescent="0.25">
      <c r="B248" s="2"/>
      <c r="C248" s="5"/>
      <c r="D248" s="27"/>
      <c r="G248" s="16"/>
      <c r="H248" s="16"/>
      <c r="I248" s="16"/>
      <c r="J248" s="16"/>
      <c r="K248" s="16"/>
      <c r="L248" s="16"/>
      <c r="M248" s="16"/>
      <c r="N248" s="16"/>
      <c r="O248" s="16"/>
    </row>
    <row r="249" spans="2:15" ht="15.75" x14ac:dyDescent="0.25">
      <c r="B249" s="26"/>
      <c r="C249" s="221"/>
      <c r="D249" s="5"/>
      <c r="G249" s="16"/>
      <c r="H249" s="16"/>
      <c r="I249" s="16"/>
      <c r="J249" s="16"/>
      <c r="K249" s="16"/>
      <c r="L249" s="16"/>
      <c r="M249" s="16"/>
      <c r="N249" s="16"/>
      <c r="O249" s="16"/>
    </row>
    <row r="250" spans="2:15" ht="15.75" x14ac:dyDescent="0.25">
      <c r="B250" s="2"/>
      <c r="C250" s="5"/>
      <c r="D250" s="27"/>
      <c r="G250" s="16"/>
      <c r="H250" s="16"/>
      <c r="I250" s="16"/>
      <c r="J250" s="16"/>
      <c r="K250" s="16"/>
      <c r="L250" s="16"/>
      <c r="M250" s="16"/>
      <c r="N250" s="16"/>
      <c r="O250" s="16"/>
    </row>
    <row r="251" spans="2:15" ht="15.75" x14ac:dyDescent="0.25">
      <c r="B251" s="26"/>
      <c r="C251" s="215"/>
      <c r="D251" s="5"/>
      <c r="G251" s="16"/>
      <c r="H251" s="16"/>
      <c r="I251" s="16"/>
      <c r="J251" s="16"/>
      <c r="K251" s="16"/>
      <c r="L251" s="16"/>
      <c r="M251" s="16"/>
      <c r="N251" s="16"/>
      <c r="O251" s="16"/>
    </row>
    <row r="252" spans="2:15" ht="15.75" x14ac:dyDescent="0.25">
      <c r="B252" s="2"/>
      <c r="C252" s="5"/>
      <c r="D252" s="27"/>
      <c r="G252" s="16"/>
      <c r="H252" s="16"/>
      <c r="I252" s="16"/>
      <c r="J252" s="16"/>
      <c r="K252" s="16"/>
      <c r="L252" s="16"/>
      <c r="M252" s="16"/>
      <c r="N252" s="16"/>
      <c r="O252" s="16"/>
    </row>
    <row r="253" spans="2:15" ht="15.75" x14ac:dyDescent="0.25">
      <c r="B253" s="26"/>
      <c r="C253" s="215"/>
      <c r="D253" s="5"/>
      <c r="G253" s="16"/>
      <c r="H253" s="16"/>
      <c r="I253" s="16"/>
      <c r="J253" s="16"/>
      <c r="K253" s="16"/>
      <c r="L253" s="16"/>
      <c r="M253" s="16"/>
      <c r="N253" s="16"/>
      <c r="O253" s="16"/>
    </row>
    <row r="254" spans="2:15" ht="15.75" x14ac:dyDescent="0.25">
      <c r="B254" s="26"/>
      <c r="C254" s="216"/>
      <c r="D254" s="5"/>
      <c r="G254" s="16"/>
      <c r="H254" s="16"/>
      <c r="I254" s="16"/>
      <c r="J254" s="16"/>
      <c r="K254" s="16"/>
      <c r="L254" s="16"/>
      <c r="M254" s="16"/>
      <c r="N254" s="16"/>
      <c r="O254" s="16"/>
    </row>
    <row r="255" spans="2:15" ht="15.75" x14ac:dyDescent="0.25">
      <c r="B255" s="1"/>
      <c r="C255" s="50"/>
      <c r="D255" s="5"/>
      <c r="G255" s="16"/>
      <c r="H255" s="16"/>
      <c r="I255" s="16"/>
      <c r="J255" s="16"/>
      <c r="K255" s="16"/>
      <c r="L255" s="16"/>
      <c r="M255" s="16"/>
      <c r="N255" s="16"/>
      <c r="O255" s="16"/>
    </row>
    <row r="256" spans="2:15" ht="15.75" x14ac:dyDescent="0.25">
      <c r="B256" s="4"/>
      <c r="C256" s="5"/>
      <c r="D256" s="5"/>
      <c r="G256" s="16"/>
      <c r="H256" s="16"/>
      <c r="I256" s="16"/>
      <c r="J256" s="16"/>
      <c r="K256" s="16"/>
      <c r="L256" s="16"/>
      <c r="M256" s="16"/>
      <c r="N256" s="16"/>
      <c r="O256" s="16"/>
    </row>
    <row r="257" spans="2:15" ht="15.75" x14ac:dyDescent="0.25">
      <c r="C257" s="5"/>
      <c r="D257" s="5"/>
      <c r="G257" s="16"/>
      <c r="H257" s="16"/>
      <c r="I257" s="16"/>
      <c r="J257" s="16"/>
      <c r="K257" s="16"/>
      <c r="L257" s="16"/>
      <c r="M257" s="16"/>
      <c r="N257" s="16"/>
      <c r="O257" s="16"/>
    </row>
    <row r="258" spans="2:15" ht="15.75" x14ac:dyDescent="0.25">
      <c r="C258" s="3"/>
      <c r="D258" s="5"/>
      <c r="G258" s="16"/>
      <c r="H258" s="16"/>
      <c r="I258" s="16"/>
      <c r="J258" s="16"/>
      <c r="K258" s="16"/>
      <c r="L258" s="16"/>
      <c r="M258" s="16"/>
      <c r="N258" s="16"/>
      <c r="O258" s="16"/>
    </row>
    <row r="259" spans="2:15" x14ac:dyDescent="0.2">
      <c r="G259" s="16"/>
      <c r="H259" s="16"/>
      <c r="I259" s="16"/>
      <c r="J259" s="16"/>
      <c r="K259" s="16"/>
      <c r="L259" s="16"/>
      <c r="M259" s="16"/>
      <c r="N259" s="16"/>
      <c r="O259" s="16"/>
    </row>
    <row r="260" spans="2:15" ht="15.75" x14ac:dyDescent="0.25">
      <c r="B260" s="1"/>
      <c r="C260" s="30"/>
      <c r="D260" s="27"/>
      <c r="G260" s="16"/>
      <c r="H260" s="16"/>
      <c r="I260" s="16"/>
      <c r="J260" s="16"/>
      <c r="K260" s="16"/>
      <c r="L260" s="16"/>
      <c r="M260" s="16"/>
      <c r="N260" s="16"/>
      <c r="O260" s="16"/>
    </row>
    <row r="261" spans="2:15" x14ac:dyDescent="0.2">
      <c r="B261" s="28"/>
      <c r="C261" s="58"/>
      <c r="D261" s="27"/>
      <c r="G261" s="16"/>
      <c r="H261" s="16"/>
      <c r="I261" s="16"/>
      <c r="J261" s="16"/>
      <c r="K261" s="16"/>
      <c r="L261" s="16"/>
      <c r="M261" s="16"/>
      <c r="N261" s="16"/>
      <c r="O261" s="16"/>
    </row>
    <row r="262" spans="2:15" x14ac:dyDescent="0.2">
      <c r="B262" s="28"/>
      <c r="C262" s="58"/>
      <c r="D262" s="27"/>
      <c r="G262" s="16"/>
      <c r="H262" s="16"/>
      <c r="I262" s="16"/>
      <c r="J262" s="16"/>
      <c r="K262" s="16"/>
      <c r="L262" s="16"/>
      <c r="M262" s="16"/>
      <c r="N262" s="16"/>
      <c r="O262" s="16"/>
    </row>
    <row r="263" spans="2:15" x14ac:dyDescent="0.2">
      <c r="B263" s="28"/>
      <c r="C263" s="58"/>
      <c r="D263" s="27"/>
      <c r="G263" s="16"/>
      <c r="H263" s="16"/>
      <c r="I263" s="16"/>
      <c r="J263" s="16"/>
      <c r="K263" s="16"/>
      <c r="L263" s="16"/>
      <c r="M263" s="16"/>
      <c r="N263" s="16"/>
      <c r="O263" s="16"/>
    </row>
    <row r="264" spans="2:15" x14ac:dyDescent="0.2">
      <c r="B264" s="28"/>
      <c r="C264" s="58"/>
      <c r="D264" s="27"/>
      <c r="G264" s="16"/>
      <c r="H264" s="16"/>
      <c r="I264" s="16"/>
      <c r="J264" s="16"/>
      <c r="K264" s="16"/>
      <c r="L264" s="16"/>
      <c r="M264" s="16"/>
      <c r="N264" s="16"/>
      <c r="O264" s="16"/>
    </row>
    <row r="265" spans="2:15" x14ac:dyDescent="0.2">
      <c r="B265" s="28"/>
      <c r="C265" s="58"/>
      <c r="D265" s="27"/>
      <c r="G265" s="16"/>
      <c r="H265" s="16"/>
      <c r="I265" s="16"/>
      <c r="J265" s="16"/>
      <c r="K265" s="16"/>
      <c r="L265" s="16"/>
      <c r="M265" s="16"/>
      <c r="N265" s="16"/>
      <c r="O265" s="16"/>
    </row>
    <row r="266" spans="2:15" x14ac:dyDescent="0.2">
      <c r="B266" s="28"/>
      <c r="C266" s="58"/>
      <c r="D266" s="27"/>
      <c r="G266" s="16"/>
      <c r="H266" s="16"/>
      <c r="I266" s="16"/>
      <c r="J266" s="16"/>
      <c r="K266" s="16"/>
      <c r="L266" s="16"/>
      <c r="M266" s="16"/>
      <c r="N266" s="16"/>
      <c r="O266" s="16"/>
    </row>
    <row r="267" spans="2:15" x14ac:dyDescent="0.2">
      <c r="G267" s="16"/>
      <c r="H267" s="16"/>
      <c r="I267" s="16"/>
      <c r="J267" s="16"/>
      <c r="K267" s="16"/>
      <c r="L267" s="16"/>
      <c r="M267" s="16"/>
      <c r="N267" s="16"/>
      <c r="O267" s="16"/>
    </row>
    <row r="268" spans="2:15" x14ac:dyDescent="0.2">
      <c r="B268" s="28"/>
      <c r="C268" s="58"/>
      <c r="D268" s="27"/>
      <c r="G268" s="16"/>
      <c r="H268" s="16"/>
      <c r="I268" s="16"/>
      <c r="J268" s="16"/>
      <c r="K268" s="16"/>
      <c r="L268" s="16"/>
      <c r="M268" s="16"/>
      <c r="N268" s="16"/>
      <c r="O268" s="16"/>
    </row>
    <row r="269" spans="2:15" x14ac:dyDescent="0.2">
      <c r="B269" s="28"/>
      <c r="C269" s="58"/>
      <c r="D269" s="27"/>
      <c r="G269" s="16"/>
      <c r="H269" s="16"/>
      <c r="I269" s="16"/>
      <c r="J269" s="16"/>
      <c r="K269" s="16"/>
      <c r="L269" s="16"/>
      <c r="M269" s="16"/>
      <c r="N269" s="16"/>
      <c r="O269" s="16"/>
    </row>
    <row r="270" spans="2:15" ht="15.75" x14ac:dyDescent="0.25">
      <c r="B270" s="2"/>
      <c r="C270" s="30"/>
      <c r="D270" s="27"/>
      <c r="G270" s="16"/>
      <c r="H270" s="16"/>
      <c r="I270" s="16"/>
      <c r="J270" s="16"/>
      <c r="K270" s="16"/>
      <c r="L270" s="16"/>
      <c r="M270" s="16"/>
      <c r="N270" s="16"/>
      <c r="O270" s="16"/>
    </row>
    <row r="271" spans="2:15" ht="15.75" x14ac:dyDescent="0.25">
      <c r="B271" s="2"/>
      <c r="C271" s="5"/>
      <c r="D271" s="5"/>
      <c r="G271" s="16"/>
      <c r="H271" s="16"/>
      <c r="I271" s="16"/>
      <c r="J271" s="16"/>
      <c r="K271" s="16"/>
      <c r="L271" s="16"/>
      <c r="M271" s="16"/>
      <c r="N271" s="16"/>
      <c r="O271" s="16"/>
    </row>
    <row r="272" spans="2:15" ht="15.75" x14ac:dyDescent="0.25">
      <c r="B272" s="2"/>
      <c r="C272" s="51"/>
      <c r="D272" s="5"/>
      <c r="G272" s="16"/>
      <c r="H272" s="16"/>
      <c r="I272" s="16"/>
      <c r="J272" s="16"/>
      <c r="K272" s="16"/>
      <c r="L272" s="16"/>
      <c r="M272" s="16"/>
      <c r="N272" s="16"/>
      <c r="O272" s="16"/>
    </row>
    <row r="273" spans="2:15" ht="15.75" x14ac:dyDescent="0.25">
      <c r="B273" s="2"/>
      <c r="C273" s="5"/>
      <c r="D273" s="5"/>
      <c r="G273" s="16"/>
      <c r="H273" s="16"/>
      <c r="I273" s="16"/>
      <c r="J273" s="16"/>
      <c r="K273" s="16"/>
      <c r="L273" s="16"/>
      <c r="M273" s="16"/>
      <c r="N273" s="16"/>
      <c r="O273" s="16"/>
    </row>
    <row r="274" spans="2:15" ht="15.75" x14ac:dyDescent="0.25">
      <c r="B274" s="2"/>
      <c r="C274" s="5"/>
      <c r="D274" s="5"/>
      <c r="G274" s="16"/>
      <c r="H274" s="16"/>
      <c r="I274" s="16"/>
      <c r="J274" s="16"/>
      <c r="K274" s="16"/>
      <c r="L274" s="16"/>
      <c r="M274" s="16"/>
      <c r="N274" s="16"/>
      <c r="O274" s="16"/>
    </row>
    <row r="275" spans="2:15" ht="15.75" x14ac:dyDescent="0.25">
      <c r="B275" s="1"/>
      <c r="G275" s="16"/>
      <c r="H275" s="16"/>
      <c r="I275" s="16"/>
      <c r="J275" s="16"/>
      <c r="K275" s="16"/>
      <c r="L275" s="16"/>
      <c r="M275" s="16"/>
      <c r="N275" s="16"/>
      <c r="O275" s="16"/>
    </row>
    <row r="276" spans="2:15" x14ac:dyDescent="0.2">
      <c r="G276" s="16"/>
      <c r="H276" s="16"/>
      <c r="I276" s="16"/>
      <c r="J276" s="16"/>
      <c r="K276" s="16"/>
      <c r="L276" s="16"/>
      <c r="M276" s="16"/>
      <c r="N276" s="16"/>
      <c r="O276" s="16"/>
    </row>
    <row r="277" spans="2:15" x14ac:dyDescent="0.2">
      <c r="B277" s="22"/>
      <c r="G277" s="16"/>
      <c r="H277" s="16"/>
      <c r="I277" s="16"/>
      <c r="J277" s="16"/>
      <c r="K277" s="16"/>
      <c r="L277" s="16"/>
      <c r="M277" s="16"/>
      <c r="N277" s="16"/>
      <c r="O277" s="16"/>
    </row>
    <row r="278" spans="2:15" ht="15.75" x14ac:dyDescent="0.25">
      <c r="B278" s="2"/>
      <c r="C278" s="4"/>
      <c r="D278" s="4"/>
      <c r="G278" s="16"/>
      <c r="H278" s="16"/>
      <c r="I278" s="16"/>
      <c r="J278" s="16"/>
      <c r="K278" s="16"/>
      <c r="L278" s="16"/>
      <c r="M278" s="16"/>
      <c r="N278" s="16"/>
      <c r="O278" s="16"/>
    </row>
    <row r="279" spans="2:15" ht="15.75" x14ac:dyDescent="0.25">
      <c r="B279" s="2"/>
      <c r="C279" s="4"/>
      <c r="D279" s="4"/>
      <c r="G279" s="16"/>
      <c r="H279" s="16"/>
      <c r="I279" s="16"/>
      <c r="J279" s="16"/>
      <c r="K279" s="16"/>
      <c r="L279" s="16"/>
      <c r="M279" s="16"/>
      <c r="N279" s="16"/>
      <c r="O279" s="16"/>
    </row>
    <row r="280" spans="2:15" ht="15.75" x14ac:dyDescent="0.25">
      <c r="B280" s="2"/>
      <c r="C280" s="4"/>
      <c r="D280" s="4"/>
      <c r="G280" s="16"/>
      <c r="H280" s="16"/>
      <c r="I280" s="16"/>
      <c r="J280" s="16"/>
      <c r="K280" s="16"/>
      <c r="L280" s="16"/>
      <c r="M280" s="16"/>
      <c r="N280" s="16"/>
      <c r="O280" s="16"/>
    </row>
    <row r="281" spans="2:15" ht="15.75" x14ac:dyDescent="0.25">
      <c r="B281" s="2"/>
      <c r="C281" s="4"/>
      <c r="D281" s="4"/>
      <c r="G281" s="16"/>
      <c r="H281" s="16"/>
      <c r="I281" s="16"/>
      <c r="J281" s="16"/>
      <c r="K281" s="16"/>
      <c r="L281" s="16"/>
      <c r="M281" s="16"/>
      <c r="N281" s="16"/>
      <c r="O281" s="16"/>
    </row>
    <row r="282" spans="2:15" ht="15.75" x14ac:dyDescent="0.25">
      <c r="B282" s="2"/>
      <c r="C282" s="5"/>
      <c r="D282" s="4"/>
      <c r="G282" s="16"/>
      <c r="H282" s="16"/>
      <c r="I282" s="16"/>
      <c r="J282" s="16"/>
      <c r="K282" s="16"/>
      <c r="L282" s="16"/>
      <c r="M282" s="16"/>
      <c r="N282" s="16"/>
      <c r="O282" s="16"/>
    </row>
    <row r="283" spans="2:15" ht="15.75" x14ac:dyDescent="0.25">
      <c r="B283" s="2"/>
      <c r="C283" s="4"/>
      <c r="D283" s="4"/>
      <c r="G283" s="16"/>
      <c r="H283" s="16"/>
      <c r="I283" s="16"/>
      <c r="J283" s="16"/>
      <c r="K283" s="16"/>
      <c r="L283" s="16"/>
      <c r="M283" s="16"/>
      <c r="N283" s="16"/>
      <c r="O283" s="16"/>
    </row>
    <row r="284" spans="2:15" ht="15.75" x14ac:dyDescent="0.25">
      <c r="B284" s="26"/>
      <c r="C284" s="4"/>
      <c r="D284" s="4"/>
      <c r="G284" s="16"/>
      <c r="H284" s="16"/>
      <c r="I284" s="16"/>
      <c r="J284" s="16"/>
      <c r="K284" s="16"/>
      <c r="L284" s="16"/>
      <c r="M284" s="16"/>
      <c r="N284" s="16"/>
      <c r="O284" s="16"/>
    </row>
    <row r="285" spans="2:15" x14ac:dyDescent="0.2">
      <c r="B285" s="28"/>
      <c r="G285" s="16"/>
      <c r="H285" s="16"/>
      <c r="I285" s="16"/>
      <c r="J285" s="16"/>
      <c r="K285" s="16"/>
      <c r="L285" s="16"/>
      <c r="M285" s="16"/>
      <c r="N285" s="16"/>
      <c r="O285" s="16"/>
    </row>
    <row r="286" spans="2:15" ht="15.75" x14ac:dyDescent="0.25">
      <c r="B286" s="1"/>
      <c r="G286" s="16"/>
      <c r="H286" s="16"/>
      <c r="I286" s="16"/>
      <c r="J286" s="16"/>
      <c r="K286" s="16"/>
      <c r="L286" s="16"/>
      <c r="M286" s="16"/>
      <c r="N286" s="16"/>
      <c r="O286" s="16"/>
    </row>
    <row r="287" spans="2:15" ht="15.75" x14ac:dyDescent="0.25">
      <c r="B287" s="1"/>
      <c r="G287" s="16"/>
      <c r="H287" s="16"/>
      <c r="I287" s="16"/>
      <c r="J287" s="16"/>
      <c r="K287" s="16"/>
      <c r="L287" s="16"/>
      <c r="M287" s="16"/>
      <c r="N287" s="16"/>
      <c r="O287" s="16"/>
    </row>
    <row r="288" spans="2:15" x14ac:dyDescent="0.2">
      <c r="G288" s="16"/>
      <c r="H288" s="16"/>
      <c r="I288" s="16"/>
      <c r="J288" s="16"/>
      <c r="K288" s="16"/>
      <c r="L288" s="16"/>
      <c r="M288" s="16"/>
      <c r="N288" s="16"/>
      <c r="O288" s="16"/>
    </row>
    <row r="289" spans="2:15" ht="15.75" x14ac:dyDescent="0.25">
      <c r="B289" s="28"/>
      <c r="C289" s="30"/>
      <c r="D289" s="27"/>
      <c r="G289" s="16"/>
      <c r="H289" s="16"/>
      <c r="I289" s="16"/>
      <c r="J289" s="16"/>
      <c r="K289" s="16"/>
      <c r="L289" s="16"/>
      <c r="M289" s="16"/>
      <c r="N289" s="16"/>
      <c r="O289" s="16"/>
    </row>
    <row r="290" spans="2:15" x14ac:dyDescent="0.2">
      <c r="B290" s="28"/>
      <c r="C290" s="58"/>
      <c r="D290" s="27"/>
      <c r="G290" s="16"/>
      <c r="H290" s="16"/>
      <c r="I290" s="16"/>
      <c r="J290" s="16"/>
      <c r="K290" s="16"/>
      <c r="L290" s="16"/>
      <c r="M290" s="16"/>
      <c r="N290" s="16"/>
      <c r="O290" s="16"/>
    </row>
    <row r="291" spans="2:15" x14ac:dyDescent="0.2">
      <c r="B291" s="28"/>
      <c r="C291" s="58"/>
      <c r="D291" s="27"/>
      <c r="G291" s="16"/>
      <c r="H291" s="16"/>
      <c r="I291" s="16"/>
      <c r="J291" s="16"/>
      <c r="K291" s="16"/>
      <c r="L291" s="16"/>
      <c r="M291" s="16"/>
      <c r="N291" s="16"/>
      <c r="O291" s="16"/>
    </row>
    <row r="292" spans="2:15" x14ac:dyDescent="0.2">
      <c r="B292" s="28"/>
      <c r="C292" s="58"/>
      <c r="D292" s="27"/>
      <c r="G292" s="16"/>
      <c r="H292" s="16"/>
      <c r="I292" s="16"/>
      <c r="J292" s="16"/>
      <c r="K292" s="16"/>
      <c r="L292" s="16"/>
      <c r="M292" s="16"/>
      <c r="N292" s="16"/>
      <c r="O292" s="16"/>
    </row>
    <row r="293" spans="2:15" x14ac:dyDescent="0.2">
      <c r="B293" s="28"/>
      <c r="C293" s="58"/>
      <c r="D293" s="27"/>
      <c r="G293" s="16"/>
      <c r="H293" s="16"/>
      <c r="I293" s="16"/>
      <c r="J293" s="16"/>
      <c r="K293" s="16"/>
      <c r="L293" s="16"/>
      <c r="M293" s="16"/>
      <c r="N293" s="16"/>
      <c r="O293" s="16"/>
    </row>
    <row r="294" spans="2:15" x14ac:dyDescent="0.2">
      <c r="B294" s="28"/>
      <c r="C294" s="223"/>
      <c r="D294" s="27"/>
      <c r="G294" s="16"/>
      <c r="H294" s="16"/>
      <c r="I294" s="16"/>
      <c r="J294" s="16"/>
      <c r="K294" s="16"/>
      <c r="L294" s="16"/>
      <c r="M294" s="16"/>
      <c r="N294" s="16"/>
      <c r="O294" s="16"/>
    </row>
    <row r="295" spans="2:15" ht="15.75" x14ac:dyDescent="0.25">
      <c r="B295" s="28"/>
      <c r="C295" s="30"/>
      <c r="D295" s="27"/>
      <c r="G295" s="16"/>
      <c r="H295" s="16"/>
      <c r="I295" s="16"/>
      <c r="J295" s="16"/>
      <c r="K295" s="16"/>
      <c r="L295" s="16"/>
      <c r="M295" s="16"/>
      <c r="N295" s="16"/>
      <c r="O295" s="16"/>
    </row>
    <row r="296" spans="2:15" ht="15.75" x14ac:dyDescent="0.25">
      <c r="B296" s="26"/>
      <c r="C296" s="4"/>
      <c r="D296" s="4"/>
      <c r="G296" s="16"/>
      <c r="H296" s="16"/>
      <c r="I296" s="16"/>
      <c r="J296" s="16"/>
      <c r="K296" s="16"/>
      <c r="L296" s="16"/>
      <c r="M296" s="16"/>
      <c r="N296" s="16"/>
      <c r="O296" s="16"/>
    </row>
    <row r="297" spans="2:15" ht="15.75" x14ac:dyDescent="0.25">
      <c r="B297" s="26"/>
      <c r="C297" s="51"/>
      <c r="D297" s="5"/>
      <c r="G297" s="16"/>
      <c r="H297" s="16"/>
      <c r="I297" s="16"/>
      <c r="J297" s="16"/>
      <c r="K297" s="16"/>
      <c r="L297" s="16"/>
      <c r="M297" s="16"/>
      <c r="N297" s="16"/>
      <c r="O297" s="16"/>
    </row>
    <row r="298" spans="2:15" ht="15.75" x14ac:dyDescent="0.25">
      <c r="B298" s="2"/>
      <c r="C298" s="3"/>
      <c r="D298" s="5"/>
      <c r="G298" s="16"/>
      <c r="H298" s="16"/>
      <c r="I298" s="16"/>
      <c r="J298" s="16"/>
      <c r="K298" s="16"/>
      <c r="L298" s="16"/>
      <c r="M298" s="16"/>
      <c r="N298" s="16"/>
      <c r="O298" s="16"/>
    </row>
    <row r="299" spans="2:15" ht="15.75" x14ac:dyDescent="0.25">
      <c r="B299" s="1"/>
      <c r="C299" s="27"/>
      <c r="D299" s="27"/>
      <c r="G299" s="16"/>
      <c r="H299" s="16"/>
      <c r="I299" s="16"/>
      <c r="J299" s="16"/>
      <c r="K299" s="16"/>
      <c r="L299" s="16"/>
      <c r="M299" s="16"/>
      <c r="N299" s="16"/>
      <c r="O299" s="16"/>
    </row>
    <row r="300" spans="2:15" ht="15.75" x14ac:dyDescent="0.25">
      <c r="B300" s="1"/>
      <c r="C300" s="27"/>
      <c r="D300" s="27"/>
      <c r="G300" s="16"/>
      <c r="H300" s="16"/>
      <c r="I300" s="16"/>
      <c r="J300" s="16"/>
      <c r="K300" s="16"/>
      <c r="L300" s="16"/>
      <c r="M300" s="16"/>
      <c r="N300" s="16"/>
      <c r="O300" s="16"/>
    </row>
    <row r="301" spans="2:15" ht="15.75" x14ac:dyDescent="0.25">
      <c r="B301" s="1"/>
      <c r="C301" s="27"/>
      <c r="D301" s="27"/>
      <c r="G301" s="16"/>
      <c r="H301" s="16"/>
      <c r="I301" s="16"/>
      <c r="J301" s="16"/>
      <c r="K301" s="16"/>
      <c r="L301" s="16"/>
      <c r="M301" s="16"/>
      <c r="N301" s="16"/>
      <c r="O301" s="16"/>
    </row>
    <row r="302" spans="2:15" ht="15.75" x14ac:dyDescent="0.25">
      <c r="B302" s="1"/>
      <c r="C302" s="5"/>
      <c r="D302" s="27"/>
      <c r="G302" s="16"/>
      <c r="H302" s="16"/>
      <c r="I302" s="16"/>
      <c r="J302" s="16"/>
      <c r="K302" s="16"/>
      <c r="L302" s="16"/>
      <c r="M302" s="16"/>
      <c r="N302" s="16"/>
      <c r="O302" s="16"/>
    </row>
    <row r="303" spans="2:15" x14ac:dyDescent="0.2">
      <c r="G303" s="16"/>
      <c r="H303" s="16"/>
      <c r="I303" s="16"/>
      <c r="J303" s="16"/>
      <c r="K303" s="16"/>
      <c r="L303" s="16"/>
      <c r="M303" s="16"/>
      <c r="N303" s="16"/>
      <c r="O303" s="16"/>
    </row>
    <row r="304" spans="2:15" ht="15.75" x14ac:dyDescent="0.25">
      <c r="B304" s="224"/>
      <c r="C304" s="222"/>
      <c r="D304" s="225"/>
      <c r="E304" s="110"/>
      <c r="G304" s="16"/>
      <c r="H304" s="16"/>
      <c r="I304" s="16"/>
      <c r="J304" s="16"/>
      <c r="K304" s="16"/>
      <c r="L304" s="16"/>
      <c r="M304" s="16"/>
      <c r="N304" s="16"/>
      <c r="O304" s="16"/>
    </row>
    <row r="305" spans="2:15" x14ac:dyDescent="0.2">
      <c r="G305" s="16"/>
      <c r="H305" s="16"/>
      <c r="I305" s="16"/>
      <c r="J305" s="16"/>
      <c r="K305" s="16"/>
      <c r="L305" s="16"/>
      <c r="M305" s="16"/>
      <c r="N305" s="16"/>
      <c r="O305" s="16"/>
    </row>
    <row r="306" spans="2:15" x14ac:dyDescent="0.2">
      <c r="G306" s="16"/>
      <c r="H306" s="16"/>
      <c r="I306" s="16"/>
      <c r="J306" s="16"/>
      <c r="K306" s="16"/>
      <c r="L306" s="16"/>
      <c r="M306" s="16"/>
      <c r="N306" s="16"/>
      <c r="O306" s="16"/>
    </row>
    <row r="307" spans="2:15" x14ac:dyDescent="0.2">
      <c r="G307" s="16"/>
      <c r="H307" s="16"/>
      <c r="I307" s="16"/>
      <c r="J307" s="16"/>
      <c r="K307" s="16"/>
      <c r="L307" s="16"/>
      <c r="M307" s="16"/>
      <c r="N307" s="16"/>
      <c r="O307" s="16"/>
    </row>
    <row r="308" spans="2:15" x14ac:dyDescent="0.2">
      <c r="G308" s="16"/>
      <c r="H308" s="16"/>
      <c r="I308" s="16"/>
      <c r="J308" s="16"/>
      <c r="K308" s="16"/>
      <c r="L308" s="16"/>
      <c r="M308" s="16"/>
      <c r="N308" s="16"/>
      <c r="O308" s="16"/>
    </row>
    <row r="309" spans="2:15" x14ac:dyDescent="0.2">
      <c r="G309" s="16"/>
      <c r="H309" s="16"/>
      <c r="I309" s="16"/>
      <c r="J309" s="16"/>
      <c r="K309" s="16"/>
      <c r="L309" s="16"/>
      <c r="M309" s="16"/>
      <c r="N309" s="16"/>
      <c r="O309" s="16"/>
    </row>
    <row r="310" spans="2:15" x14ac:dyDescent="0.2">
      <c r="G310" s="16"/>
      <c r="H310" s="16"/>
      <c r="I310" s="16"/>
      <c r="J310" s="16"/>
      <c r="K310" s="16"/>
      <c r="L310" s="16"/>
      <c r="M310" s="16"/>
      <c r="N310" s="16"/>
      <c r="O310" s="16"/>
    </row>
    <row r="311" spans="2:15" x14ac:dyDescent="0.2">
      <c r="B311" s="16"/>
      <c r="C311" s="16"/>
      <c r="D311" s="16"/>
      <c r="E311" s="16"/>
      <c r="F311" s="16"/>
      <c r="G311" s="16"/>
      <c r="H311" s="16"/>
      <c r="I311" s="16"/>
      <c r="J311" s="16"/>
      <c r="K311" s="16"/>
      <c r="L311" s="16"/>
      <c r="M311" s="16"/>
      <c r="N311" s="16"/>
      <c r="O311" s="16"/>
    </row>
    <row r="312" spans="2:15" x14ac:dyDescent="0.2">
      <c r="B312" s="16"/>
      <c r="C312" s="16"/>
      <c r="D312" s="16"/>
      <c r="E312" s="16"/>
      <c r="F312" s="16"/>
      <c r="G312" s="16"/>
      <c r="H312" s="16"/>
      <c r="I312" s="16"/>
      <c r="J312" s="16"/>
      <c r="K312" s="16"/>
      <c r="L312" s="16"/>
      <c r="M312" s="16"/>
      <c r="N312" s="16"/>
      <c r="O312" s="16"/>
    </row>
    <row r="313" spans="2:15" x14ac:dyDescent="0.2">
      <c r="B313" s="16"/>
      <c r="C313" s="16"/>
      <c r="D313" s="16"/>
      <c r="E313" s="16"/>
      <c r="F313" s="16"/>
      <c r="G313" s="16"/>
      <c r="H313" s="16"/>
      <c r="I313" s="16"/>
      <c r="J313" s="16"/>
      <c r="K313" s="16"/>
      <c r="L313" s="16"/>
      <c r="M313" s="16"/>
      <c r="N313" s="16"/>
      <c r="O313" s="16"/>
    </row>
    <row r="314" spans="2:15" x14ac:dyDescent="0.2">
      <c r="B314" s="16"/>
      <c r="C314" s="16"/>
      <c r="D314" s="16"/>
      <c r="E314" s="16"/>
      <c r="F314" s="16"/>
      <c r="G314" s="16"/>
      <c r="H314" s="16"/>
      <c r="I314" s="16"/>
      <c r="J314" s="16"/>
      <c r="K314" s="16"/>
      <c r="L314" s="16"/>
      <c r="M314" s="16"/>
      <c r="N314" s="16"/>
      <c r="O314" s="16"/>
    </row>
    <row r="315" spans="2:15" x14ac:dyDescent="0.2">
      <c r="B315" s="16"/>
      <c r="C315" s="16"/>
      <c r="D315" s="16"/>
      <c r="E315" s="16"/>
      <c r="F315" s="16"/>
      <c r="G315" s="16"/>
      <c r="H315" s="16"/>
      <c r="I315" s="16"/>
      <c r="J315" s="16"/>
      <c r="K315" s="16"/>
      <c r="L315" s="16"/>
      <c r="M315" s="16"/>
      <c r="N315" s="16"/>
      <c r="O315" s="16"/>
    </row>
    <row r="316" spans="2:15" x14ac:dyDescent="0.2">
      <c r="B316" s="16"/>
      <c r="C316" s="16"/>
      <c r="D316" s="16"/>
      <c r="E316" s="16"/>
      <c r="F316" s="16"/>
      <c r="G316" s="16"/>
      <c r="H316" s="16"/>
      <c r="I316" s="16"/>
      <c r="J316" s="16"/>
      <c r="K316" s="16"/>
      <c r="L316" s="16"/>
      <c r="M316" s="16"/>
      <c r="N316" s="16"/>
      <c r="O316" s="16"/>
    </row>
    <row r="317" spans="2:15" x14ac:dyDescent="0.2">
      <c r="B317" s="16"/>
      <c r="C317" s="16"/>
      <c r="D317" s="16"/>
      <c r="E317" s="16"/>
      <c r="F317" s="16"/>
      <c r="G317" s="16"/>
      <c r="H317" s="16"/>
      <c r="I317" s="16"/>
      <c r="J317" s="16"/>
      <c r="K317" s="16"/>
      <c r="L317" s="16"/>
      <c r="M317" s="16"/>
      <c r="N317" s="16"/>
      <c r="O317" s="16"/>
    </row>
    <row r="318" spans="2:15" x14ac:dyDescent="0.2">
      <c r="B318" s="16"/>
      <c r="C318" s="16"/>
      <c r="D318" s="16"/>
      <c r="E318" s="16"/>
      <c r="F318" s="16"/>
      <c r="G318" s="16"/>
      <c r="H318" s="16"/>
      <c r="I318" s="16"/>
      <c r="J318" s="16"/>
      <c r="K318" s="16"/>
      <c r="L318" s="16"/>
      <c r="M318" s="16"/>
      <c r="N318" s="16"/>
      <c r="O318" s="16"/>
    </row>
    <row r="319" spans="2:15" x14ac:dyDescent="0.2">
      <c r="B319" s="16"/>
      <c r="C319" s="16"/>
      <c r="D319" s="16"/>
      <c r="E319" s="16"/>
      <c r="F319" s="16"/>
      <c r="G319" s="16"/>
      <c r="H319" s="16"/>
      <c r="I319" s="16"/>
      <c r="J319" s="16"/>
      <c r="K319" s="16"/>
      <c r="L319" s="16"/>
      <c r="M319" s="16"/>
      <c r="N319" s="16"/>
      <c r="O319" s="16"/>
    </row>
    <row r="320" spans="2:15" x14ac:dyDescent="0.2">
      <c r="B320" s="16"/>
      <c r="C320" s="16"/>
      <c r="D320" s="16"/>
      <c r="E320" s="16"/>
      <c r="F320" s="16"/>
      <c r="G320" s="16"/>
      <c r="H320" s="16"/>
      <c r="I320" s="16"/>
      <c r="J320" s="16"/>
      <c r="K320" s="16"/>
      <c r="L320" s="16"/>
      <c r="M320" s="16"/>
      <c r="N320" s="16"/>
      <c r="O320" s="16"/>
    </row>
    <row r="321" spans="2:15" x14ac:dyDescent="0.2">
      <c r="B321" s="16"/>
      <c r="C321" s="16"/>
      <c r="D321" s="16"/>
      <c r="E321" s="16"/>
      <c r="F321" s="16"/>
      <c r="G321" s="16"/>
      <c r="H321" s="16"/>
      <c r="I321" s="16"/>
      <c r="J321" s="16"/>
      <c r="K321" s="16"/>
      <c r="L321" s="16"/>
      <c r="M321" s="16"/>
      <c r="N321" s="16"/>
      <c r="O321" s="16"/>
    </row>
    <row r="322" spans="2:15" x14ac:dyDescent="0.2">
      <c r="C322" s="16"/>
      <c r="D322" s="16"/>
      <c r="E322" s="16"/>
      <c r="F322" s="16"/>
      <c r="G322" s="16"/>
      <c r="H322" s="16"/>
      <c r="I322" s="16"/>
      <c r="J322" s="16"/>
      <c r="K322" s="16"/>
      <c r="L322" s="16"/>
      <c r="M322" s="16"/>
      <c r="N322" s="16"/>
      <c r="O322" s="16"/>
    </row>
    <row r="323" spans="2:15" x14ac:dyDescent="0.2">
      <c r="C323" s="16"/>
      <c r="D323" s="16"/>
      <c r="E323" s="16"/>
      <c r="F323" s="16"/>
      <c r="G323" s="16"/>
      <c r="H323" s="16"/>
      <c r="I323" s="16"/>
      <c r="J323" s="16"/>
      <c r="K323" s="16"/>
      <c r="L323" s="16"/>
      <c r="M323" s="16"/>
      <c r="N323" s="16"/>
      <c r="O323" s="16"/>
    </row>
    <row r="324" spans="2:15" x14ac:dyDescent="0.2">
      <c r="C324" s="16"/>
      <c r="D324" s="16"/>
      <c r="E324" s="16"/>
      <c r="F324" s="16"/>
      <c r="G324" s="16"/>
      <c r="H324" s="16"/>
      <c r="I324" s="16"/>
      <c r="J324" s="16"/>
      <c r="K324" s="16"/>
      <c r="L324" s="16"/>
      <c r="M324" s="16"/>
      <c r="N324" s="16"/>
      <c r="O324" s="16"/>
    </row>
    <row r="325" spans="2:15" x14ac:dyDescent="0.2">
      <c r="C325" s="16"/>
      <c r="D325" s="16"/>
      <c r="E325" s="16"/>
      <c r="F325" s="16"/>
      <c r="G325" s="16"/>
      <c r="H325" s="16"/>
      <c r="I325" s="16"/>
      <c r="J325" s="16"/>
      <c r="K325" s="16"/>
      <c r="L325" s="16"/>
      <c r="M325" s="16"/>
      <c r="N325" s="16"/>
      <c r="O325" s="16"/>
    </row>
    <row r="326" spans="2:15" x14ac:dyDescent="0.2">
      <c r="C326" s="16"/>
      <c r="D326" s="16"/>
      <c r="E326" s="16"/>
      <c r="F326" s="16"/>
      <c r="G326" s="16"/>
      <c r="H326" s="16"/>
      <c r="I326" s="16"/>
      <c r="J326" s="16"/>
      <c r="K326" s="16"/>
      <c r="L326" s="16"/>
      <c r="M326" s="16"/>
      <c r="N326" s="16"/>
      <c r="O326" s="16"/>
    </row>
    <row r="327" spans="2:15" x14ac:dyDescent="0.2">
      <c r="C327" s="16"/>
      <c r="D327" s="16"/>
      <c r="E327" s="16"/>
      <c r="F327" s="16"/>
      <c r="G327" s="16"/>
      <c r="H327" s="16"/>
      <c r="I327" s="16"/>
      <c r="J327" s="16"/>
      <c r="K327" s="16"/>
      <c r="L327" s="16"/>
      <c r="M327" s="16"/>
      <c r="N327" s="16"/>
      <c r="O327" s="16"/>
    </row>
    <row r="328" spans="2:15" x14ac:dyDescent="0.2">
      <c r="C328" s="16"/>
      <c r="D328" s="16"/>
      <c r="E328" s="16"/>
      <c r="F328" s="16"/>
      <c r="G328" s="16"/>
      <c r="H328" s="16"/>
      <c r="I328" s="16"/>
      <c r="J328" s="16"/>
      <c r="K328" s="16"/>
      <c r="L328" s="16"/>
      <c r="M328" s="16"/>
      <c r="N328" s="16"/>
      <c r="O328" s="16"/>
    </row>
    <row r="329" spans="2:15" x14ac:dyDescent="0.2">
      <c r="B329" s="16"/>
      <c r="C329" s="16"/>
      <c r="D329" s="16"/>
      <c r="E329" s="16"/>
      <c r="F329" s="16"/>
      <c r="G329" s="16"/>
      <c r="H329" s="16"/>
      <c r="I329" s="16"/>
      <c r="J329" s="16"/>
      <c r="K329" s="16"/>
      <c r="L329" s="16"/>
      <c r="M329" s="16"/>
      <c r="N329" s="16"/>
      <c r="O329" s="16"/>
    </row>
    <row r="330" spans="2:15" x14ac:dyDescent="0.2">
      <c r="B330" s="16"/>
      <c r="C330" s="16"/>
      <c r="D330" s="16"/>
      <c r="E330" s="16"/>
      <c r="F330" s="16"/>
      <c r="G330" s="16"/>
      <c r="H330" s="16"/>
      <c r="I330" s="16"/>
      <c r="J330" s="16"/>
      <c r="K330" s="16"/>
      <c r="L330" s="16"/>
      <c r="M330" s="16"/>
      <c r="N330" s="16"/>
      <c r="O330" s="16"/>
    </row>
    <row r="331" spans="2:15" x14ac:dyDescent="0.2">
      <c r="B331" s="16"/>
      <c r="C331" s="16"/>
      <c r="D331" s="16"/>
      <c r="E331" s="16"/>
      <c r="F331" s="16"/>
      <c r="G331" s="16"/>
      <c r="H331" s="16"/>
      <c r="I331" s="16"/>
      <c r="J331" s="16"/>
      <c r="K331" s="16"/>
      <c r="L331" s="16"/>
      <c r="M331" s="16"/>
      <c r="N331" s="16"/>
      <c r="O331" s="16"/>
    </row>
    <row r="332" spans="2:15" x14ac:dyDescent="0.2">
      <c r="B332" s="16"/>
      <c r="C332" s="16"/>
      <c r="D332" s="16"/>
      <c r="E332" s="16"/>
      <c r="F332" s="16"/>
      <c r="G332" s="16"/>
      <c r="H332" s="16"/>
      <c r="I332" s="16"/>
      <c r="J332" s="16"/>
      <c r="K332" s="16"/>
      <c r="L332" s="16"/>
      <c r="M332" s="16"/>
      <c r="N332" s="16"/>
      <c r="O332" s="16"/>
    </row>
    <row r="333" spans="2:15" x14ac:dyDescent="0.2">
      <c r="B333" s="16"/>
      <c r="C333" s="16"/>
      <c r="D333" s="16"/>
      <c r="E333" s="16"/>
      <c r="F333" s="16"/>
      <c r="G333" s="16"/>
      <c r="H333" s="16"/>
      <c r="I333" s="16"/>
      <c r="J333" s="16"/>
      <c r="K333" s="16"/>
      <c r="L333" s="16"/>
      <c r="M333" s="16"/>
      <c r="N333" s="16"/>
      <c r="O333" s="16"/>
    </row>
    <row r="334" spans="2:15" x14ac:dyDescent="0.2">
      <c r="B334" s="16"/>
      <c r="C334" s="16"/>
      <c r="D334" s="16"/>
      <c r="E334" s="16"/>
      <c r="F334" s="16"/>
      <c r="G334" s="16"/>
      <c r="H334" s="16"/>
      <c r="I334" s="16"/>
      <c r="J334" s="16"/>
      <c r="K334" s="16"/>
      <c r="L334" s="16"/>
      <c r="M334" s="16"/>
      <c r="N334" s="16"/>
      <c r="O334" s="16"/>
    </row>
    <row r="335" spans="2:15" x14ac:dyDescent="0.2">
      <c r="B335" s="16"/>
      <c r="C335" s="16"/>
      <c r="D335" s="16"/>
      <c r="E335" s="16"/>
      <c r="F335" s="16"/>
      <c r="G335" s="16"/>
      <c r="H335" s="16"/>
      <c r="I335" s="16"/>
      <c r="J335" s="16"/>
      <c r="K335" s="16"/>
      <c r="L335" s="16"/>
      <c r="M335" s="16"/>
      <c r="N335" s="16"/>
      <c r="O335" s="16"/>
    </row>
    <row r="336" spans="2:15" x14ac:dyDescent="0.2">
      <c r="B336" s="16"/>
      <c r="C336" s="16"/>
      <c r="D336" s="16"/>
      <c r="E336" s="16"/>
      <c r="F336" s="16"/>
      <c r="G336" s="16"/>
      <c r="H336" s="16"/>
      <c r="I336" s="16"/>
      <c r="J336" s="16"/>
      <c r="K336" s="16"/>
      <c r="L336" s="16"/>
      <c r="M336" s="16"/>
      <c r="N336" s="16"/>
      <c r="O336" s="16"/>
    </row>
    <row r="337" spans="2:15" x14ac:dyDescent="0.2">
      <c r="B337" s="16"/>
      <c r="C337" s="16"/>
      <c r="D337" s="16"/>
      <c r="E337" s="16"/>
      <c r="F337" s="16"/>
      <c r="G337" s="16"/>
      <c r="H337" s="16"/>
      <c r="I337" s="16"/>
      <c r="J337" s="16"/>
      <c r="K337" s="16"/>
      <c r="L337" s="16"/>
      <c r="M337" s="16"/>
      <c r="N337" s="16"/>
      <c r="O337" s="16"/>
    </row>
    <row r="338" spans="2:15" x14ac:dyDescent="0.2">
      <c r="B338" s="16"/>
      <c r="C338" s="16"/>
      <c r="D338" s="16"/>
      <c r="E338" s="16"/>
      <c r="F338" s="16"/>
      <c r="G338" s="16"/>
      <c r="H338" s="16"/>
      <c r="I338" s="16"/>
      <c r="J338" s="16"/>
      <c r="K338" s="16"/>
      <c r="L338" s="16"/>
      <c r="M338" s="16"/>
      <c r="N338" s="16"/>
      <c r="O338" s="16"/>
    </row>
    <row r="339" spans="2:15" x14ac:dyDescent="0.2">
      <c r="B339" s="16"/>
      <c r="C339" s="16"/>
      <c r="D339" s="16"/>
      <c r="E339" s="16"/>
      <c r="F339" s="16"/>
      <c r="G339" s="16"/>
      <c r="H339" s="16"/>
      <c r="I339" s="16"/>
      <c r="J339" s="16"/>
      <c r="K339" s="16"/>
      <c r="L339" s="16"/>
      <c r="M339" s="16"/>
      <c r="N339" s="16"/>
      <c r="O339" s="16"/>
    </row>
    <row r="340" spans="2:15" x14ac:dyDescent="0.2">
      <c r="G340" s="16"/>
      <c r="H340" s="16"/>
      <c r="I340" s="16"/>
      <c r="J340" s="16"/>
      <c r="K340" s="16"/>
      <c r="L340" s="16"/>
      <c r="M340" s="16"/>
      <c r="N340" s="16"/>
      <c r="O340" s="16"/>
    </row>
    <row r="341" spans="2:15" x14ac:dyDescent="0.2">
      <c r="G341" s="16"/>
      <c r="H341" s="16"/>
      <c r="I341" s="16"/>
      <c r="J341" s="16"/>
      <c r="K341" s="16"/>
      <c r="L341" s="16"/>
      <c r="M341" s="16"/>
      <c r="N341" s="16"/>
      <c r="O341" s="16"/>
    </row>
    <row r="342" spans="2:15" x14ac:dyDescent="0.2">
      <c r="G342" s="16"/>
      <c r="H342" s="16"/>
      <c r="I342" s="16"/>
      <c r="J342" s="16"/>
      <c r="K342" s="16"/>
      <c r="L342" s="16"/>
      <c r="M342" s="16"/>
      <c r="N342" s="16"/>
      <c r="O342" s="16"/>
    </row>
    <row r="343" spans="2:15" ht="15.75" x14ac:dyDescent="0.25">
      <c r="C343" s="5"/>
      <c r="D343" s="27"/>
      <c r="G343" s="16"/>
      <c r="H343" s="16"/>
      <c r="I343" s="16"/>
      <c r="J343" s="16"/>
      <c r="K343" s="16"/>
      <c r="L343" s="16"/>
      <c r="M343" s="16"/>
      <c r="N343" s="16"/>
      <c r="O343" s="16"/>
    </row>
    <row r="344" spans="2:15" x14ac:dyDescent="0.2">
      <c r="G344" s="16"/>
      <c r="H344" s="16"/>
      <c r="I344" s="16"/>
      <c r="J344" s="16"/>
      <c r="K344" s="16"/>
      <c r="L344" s="16"/>
      <c r="M344" s="16"/>
      <c r="N344" s="16"/>
      <c r="O344" s="16"/>
    </row>
    <row r="345" spans="2:15" x14ac:dyDescent="0.2">
      <c r="G345" s="16"/>
      <c r="H345" s="16"/>
      <c r="I345" s="16"/>
      <c r="J345" s="16"/>
      <c r="K345" s="16"/>
      <c r="L345" s="16"/>
      <c r="M345" s="16"/>
      <c r="N345" s="16"/>
      <c r="O345" s="16"/>
    </row>
    <row r="346" spans="2:15" ht="15.75" x14ac:dyDescent="0.25">
      <c r="F346" s="5"/>
      <c r="G346" s="16"/>
      <c r="H346" s="16"/>
      <c r="I346" s="16"/>
      <c r="J346" s="16"/>
      <c r="K346" s="16"/>
      <c r="L346" s="16"/>
      <c r="M346" s="16"/>
      <c r="N346" s="16"/>
      <c r="O346" s="16"/>
    </row>
    <row r="347" spans="2:15" x14ac:dyDescent="0.2">
      <c r="B347" s="16"/>
      <c r="G347" s="16"/>
      <c r="H347" s="16"/>
      <c r="I347" s="16"/>
      <c r="J347" s="16"/>
      <c r="K347" s="16"/>
      <c r="L347" s="16"/>
      <c r="M347" s="16"/>
      <c r="N347" s="16"/>
      <c r="O347" s="16"/>
    </row>
    <row r="348" spans="2:15" x14ac:dyDescent="0.2">
      <c r="B348" s="16"/>
      <c r="G348" s="16"/>
      <c r="H348" s="16"/>
      <c r="I348" s="16"/>
      <c r="J348" s="16"/>
      <c r="K348" s="16"/>
      <c r="L348" s="16"/>
      <c r="M348" s="16"/>
      <c r="N348" s="16"/>
      <c r="O348" s="16"/>
    </row>
    <row r="349" spans="2:15" x14ac:dyDescent="0.2">
      <c r="B349" s="16"/>
      <c r="G349" s="16"/>
      <c r="H349" s="16"/>
      <c r="I349" s="16"/>
      <c r="J349" s="16"/>
      <c r="K349" s="16"/>
      <c r="L349" s="16"/>
      <c r="M349" s="16"/>
      <c r="N349" s="16"/>
      <c r="O349" s="16"/>
    </row>
    <row r="350" spans="2:15" x14ac:dyDescent="0.2">
      <c r="G350" s="16"/>
      <c r="H350" s="16"/>
      <c r="I350" s="16"/>
      <c r="J350" s="16"/>
      <c r="K350" s="16"/>
      <c r="L350" s="16"/>
      <c r="M350" s="16"/>
      <c r="N350" s="16"/>
      <c r="O350" s="16"/>
    </row>
    <row r="351" spans="2:15" x14ac:dyDescent="0.2">
      <c r="G351" s="16"/>
      <c r="H351" s="16"/>
      <c r="I351" s="16"/>
      <c r="J351" s="16"/>
      <c r="K351" s="16"/>
      <c r="L351" s="16"/>
      <c r="M351" s="16"/>
      <c r="N351" s="16"/>
      <c r="O351" s="16"/>
    </row>
    <row r="352" spans="2:15" x14ac:dyDescent="0.2">
      <c r="G352" s="16"/>
      <c r="H352" s="16"/>
      <c r="I352" s="16"/>
      <c r="J352" s="16"/>
      <c r="K352" s="16"/>
      <c r="L352" s="16"/>
      <c r="M352" s="16"/>
      <c r="N352" s="16"/>
      <c r="O352" s="16"/>
    </row>
    <row r="353" spans="2:15" ht="15.75" x14ac:dyDescent="0.25">
      <c r="B353" s="1"/>
      <c r="C353" s="5"/>
      <c r="D353" s="27"/>
      <c r="G353" s="16"/>
      <c r="H353" s="16"/>
      <c r="I353" s="16"/>
      <c r="J353" s="16"/>
      <c r="K353" s="16"/>
      <c r="L353" s="16"/>
      <c r="M353" s="16"/>
      <c r="N353" s="16"/>
      <c r="O353" s="16"/>
    </row>
    <row r="354" spans="2:15" ht="15.75" x14ac:dyDescent="0.25">
      <c r="B354" s="88"/>
      <c r="G354" s="16"/>
      <c r="H354" s="16"/>
      <c r="I354" s="16"/>
      <c r="J354" s="16"/>
      <c r="K354" s="16"/>
      <c r="L354" s="16"/>
      <c r="M354" s="16"/>
      <c r="N354" s="16"/>
      <c r="O354" s="16"/>
    </row>
    <row r="355" spans="2:15" ht="15.75" x14ac:dyDescent="0.25">
      <c r="B355" s="4"/>
      <c r="G355" s="16"/>
      <c r="H355" s="16"/>
      <c r="I355" s="16"/>
      <c r="J355" s="16"/>
      <c r="K355" s="16"/>
      <c r="L355" s="16"/>
      <c r="M355" s="16"/>
      <c r="N355" s="16"/>
      <c r="O355" s="16"/>
    </row>
    <row r="356" spans="2:15" ht="15.75" x14ac:dyDescent="0.25">
      <c r="B356" s="5"/>
      <c r="F356" s="5"/>
      <c r="G356" s="16"/>
      <c r="H356" s="16"/>
      <c r="I356" s="16"/>
      <c r="J356" s="16"/>
      <c r="K356" s="16"/>
      <c r="L356" s="16"/>
      <c r="M356" s="16"/>
      <c r="N356" s="16"/>
      <c r="O356" s="16"/>
    </row>
    <row r="357" spans="2:15" ht="15.75" x14ac:dyDescent="0.25">
      <c r="B357" s="5"/>
      <c r="G357" s="16"/>
      <c r="H357" s="16"/>
      <c r="I357" s="16"/>
      <c r="J357" s="16"/>
      <c r="K357" s="16"/>
      <c r="L357" s="16"/>
      <c r="M357" s="16"/>
      <c r="N357" s="16"/>
      <c r="O357" s="16"/>
    </row>
    <row r="358" spans="2:15" ht="15.75" x14ac:dyDescent="0.25">
      <c r="B358" s="5"/>
      <c r="G358" s="16"/>
      <c r="H358" s="16"/>
      <c r="I358" s="16"/>
      <c r="J358" s="16"/>
      <c r="K358" s="16"/>
      <c r="L358" s="16"/>
      <c r="M358" s="16"/>
      <c r="N358" s="16"/>
      <c r="O358" s="16"/>
    </row>
    <row r="359" spans="2:15" ht="15.75" x14ac:dyDescent="0.25">
      <c r="B359" s="5"/>
      <c r="G359" s="16"/>
      <c r="H359" s="16"/>
      <c r="I359" s="16"/>
      <c r="J359" s="16"/>
      <c r="K359" s="16"/>
      <c r="L359" s="16"/>
      <c r="M359" s="16"/>
      <c r="N359" s="16"/>
      <c r="O359" s="16"/>
    </row>
    <row r="360" spans="2:15" ht="15.75" x14ac:dyDescent="0.25">
      <c r="B360" s="5"/>
      <c r="G360" s="16"/>
      <c r="H360" s="16"/>
      <c r="I360" s="16"/>
      <c r="J360" s="16"/>
      <c r="K360" s="16"/>
      <c r="L360" s="16"/>
      <c r="M360" s="16"/>
      <c r="N360" s="16"/>
      <c r="O360" s="16"/>
    </row>
    <row r="361" spans="2:15" x14ac:dyDescent="0.2">
      <c r="B361" s="27"/>
      <c r="G361" s="16"/>
      <c r="H361" s="16"/>
      <c r="I361" s="16"/>
      <c r="J361" s="16"/>
      <c r="K361" s="16"/>
      <c r="L361" s="16"/>
      <c r="M361" s="16"/>
      <c r="N361" s="16"/>
      <c r="O361" s="16"/>
    </row>
    <row r="362" spans="2:15" ht="15.75" x14ac:dyDescent="0.25">
      <c r="B362" s="1"/>
      <c r="G362" s="16"/>
      <c r="H362" s="16"/>
      <c r="I362" s="16"/>
      <c r="J362" s="16"/>
      <c r="K362" s="16"/>
      <c r="L362" s="16"/>
      <c r="M362" s="16"/>
      <c r="N362" s="16"/>
      <c r="O362" s="16"/>
    </row>
    <row r="363" spans="2:15" ht="15.75" x14ac:dyDescent="0.25">
      <c r="B363" s="4"/>
      <c r="C363" s="5"/>
      <c r="D363" s="5"/>
      <c r="E363" s="5"/>
      <c r="G363" s="16"/>
      <c r="H363" s="16"/>
      <c r="I363" s="16"/>
      <c r="J363" s="16"/>
      <c r="K363" s="16"/>
      <c r="L363" s="16"/>
      <c r="M363" s="16"/>
      <c r="N363" s="16"/>
      <c r="O363" s="16"/>
    </row>
    <row r="364" spans="2:15" ht="15.75" x14ac:dyDescent="0.25">
      <c r="B364" s="61"/>
      <c r="C364" s="217"/>
      <c r="D364" s="27"/>
      <c r="E364" s="27"/>
      <c r="G364" s="16"/>
      <c r="H364" s="16"/>
      <c r="I364" s="16"/>
      <c r="J364" s="16"/>
      <c r="K364" s="16"/>
      <c r="L364" s="16"/>
      <c r="M364" s="16"/>
      <c r="N364" s="16"/>
      <c r="O364" s="16"/>
    </row>
    <row r="365" spans="2:15" ht="15.75" x14ac:dyDescent="0.25">
      <c r="B365" s="61"/>
      <c r="C365" s="217"/>
      <c r="D365" s="27"/>
      <c r="E365" s="27"/>
      <c r="G365" s="16"/>
      <c r="H365" s="16"/>
      <c r="I365" s="16"/>
      <c r="J365" s="16"/>
      <c r="K365" s="16"/>
      <c r="L365" s="16"/>
      <c r="M365" s="16"/>
      <c r="N365" s="16"/>
      <c r="O365" s="16"/>
    </row>
    <row r="366" spans="2:15" ht="15.75" x14ac:dyDescent="0.25">
      <c r="B366" s="61"/>
      <c r="C366" s="217"/>
      <c r="D366" s="27"/>
      <c r="E366" s="27"/>
      <c r="G366" s="16"/>
      <c r="H366" s="16"/>
      <c r="I366" s="16"/>
      <c r="J366" s="16"/>
      <c r="K366" s="16"/>
      <c r="L366" s="16"/>
      <c r="M366" s="16"/>
      <c r="N366" s="16"/>
      <c r="O366" s="16"/>
    </row>
    <row r="367" spans="2:15" ht="15.75" x14ac:dyDescent="0.25">
      <c r="B367" s="61"/>
      <c r="C367" s="217"/>
      <c r="D367" s="27"/>
      <c r="E367" s="27"/>
      <c r="G367" s="16"/>
      <c r="H367" s="16"/>
      <c r="I367" s="16"/>
      <c r="J367" s="16"/>
      <c r="K367" s="16"/>
      <c r="L367" s="16"/>
      <c r="M367" s="16"/>
      <c r="N367" s="16"/>
      <c r="O367" s="16"/>
    </row>
    <row r="368" spans="2:15" ht="15.75" x14ac:dyDescent="0.25">
      <c r="B368" s="61"/>
      <c r="C368" s="217"/>
      <c r="D368" s="27"/>
      <c r="E368" s="27"/>
      <c r="G368" s="16"/>
      <c r="H368" s="16"/>
      <c r="I368" s="16"/>
      <c r="J368" s="16"/>
      <c r="K368" s="16"/>
      <c r="L368" s="16"/>
      <c r="M368" s="16"/>
      <c r="N368" s="16"/>
      <c r="O368" s="16"/>
    </row>
    <row r="369" spans="2:15" ht="15.75" x14ac:dyDescent="0.25">
      <c r="B369" s="2"/>
      <c r="G369" s="16"/>
      <c r="H369" s="16"/>
      <c r="I369" s="16"/>
      <c r="J369" s="16"/>
      <c r="K369" s="16"/>
      <c r="L369" s="16"/>
      <c r="M369" s="16"/>
      <c r="N369" s="16"/>
      <c r="O369" s="16"/>
    </row>
    <row r="370" spans="2:15" ht="15.75" x14ac:dyDescent="0.25">
      <c r="B370" s="4"/>
      <c r="G370" s="16"/>
      <c r="H370" s="16"/>
      <c r="I370" s="16"/>
      <c r="J370" s="16"/>
      <c r="K370" s="16"/>
      <c r="L370" s="16"/>
      <c r="M370" s="16"/>
      <c r="N370" s="16"/>
      <c r="O370" s="16"/>
    </row>
    <row r="371" spans="2:15" ht="15.75" x14ac:dyDescent="0.25">
      <c r="B371" s="4"/>
      <c r="G371" s="16"/>
      <c r="H371" s="16"/>
      <c r="I371" s="16"/>
      <c r="J371" s="16"/>
      <c r="K371" s="16"/>
      <c r="L371" s="16"/>
      <c r="M371" s="16"/>
      <c r="N371" s="16"/>
      <c r="O371" s="16"/>
    </row>
    <row r="372" spans="2:15" ht="15.75" x14ac:dyDescent="0.25">
      <c r="B372" s="4"/>
      <c r="G372" s="16"/>
      <c r="H372" s="16"/>
      <c r="I372" s="16"/>
      <c r="J372" s="16"/>
      <c r="K372" s="16"/>
      <c r="L372" s="16"/>
      <c r="M372" s="16"/>
      <c r="N372" s="16"/>
      <c r="O372" s="16"/>
    </row>
    <row r="373" spans="2:15" ht="15.75" x14ac:dyDescent="0.25">
      <c r="B373" s="4"/>
      <c r="G373" s="16"/>
      <c r="H373" s="16"/>
      <c r="I373" s="16"/>
      <c r="J373" s="16"/>
      <c r="K373" s="16"/>
      <c r="L373" s="16"/>
      <c r="M373" s="16"/>
      <c r="N373" s="16"/>
      <c r="O373" s="16"/>
    </row>
    <row r="374" spans="2:15" ht="15.75" x14ac:dyDescent="0.25">
      <c r="B374" s="4"/>
      <c r="G374" s="16"/>
      <c r="H374" s="16"/>
      <c r="I374" s="16"/>
      <c r="J374" s="16"/>
      <c r="K374" s="16"/>
      <c r="L374" s="16"/>
      <c r="M374" s="16"/>
      <c r="N374" s="16"/>
      <c r="O374" s="16"/>
    </row>
    <row r="375" spans="2:15" ht="15.75" x14ac:dyDescent="0.25">
      <c r="B375" s="4"/>
      <c r="G375" s="16"/>
      <c r="H375" s="16"/>
      <c r="I375" s="16"/>
      <c r="J375" s="16"/>
      <c r="K375" s="16"/>
      <c r="L375" s="16"/>
      <c r="M375" s="16"/>
      <c r="N375" s="16"/>
      <c r="O375" s="16"/>
    </row>
    <row r="376" spans="2:15" ht="15.75" x14ac:dyDescent="0.25">
      <c r="B376" s="4"/>
      <c r="G376" s="16"/>
      <c r="H376" s="16"/>
      <c r="I376" s="16"/>
      <c r="J376" s="16"/>
      <c r="K376" s="16"/>
      <c r="L376" s="16"/>
      <c r="M376" s="16"/>
      <c r="N376" s="16"/>
      <c r="O376" s="16"/>
    </row>
    <row r="377" spans="2:15" x14ac:dyDescent="0.2">
      <c r="G377" s="16"/>
      <c r="H377" s="16"/>
      <c r="I377" s="16"/>
      <c r="J377" s="16"/>
      <c r="K377" s="16"/>
      <c r="L377" s="16"/>
      <c r="M377" s="16"/>
      <c r="N377" s="16"/>
      <c r="O377" s="16"/>
    </row>
    <row r="378" spans="2:15" x14ac:dyDescent="0.2">
      <c r="G378" s="16"/>
      <c r="H378" s="16"/>
      <c r="I378" s="16"/>
      <c r="J378" s="16"/>
      <c r="K378" s="16"/>
      <c r="L378" s="16"/>
      <c r="M378" s="16"/>
      <c r="N378" s="16"/>
      <c r="O378" s="16"/>
    </row>
    <row r="379" spans="2:15" x14ac:dyDescent="0.2">
      <c r="G379" s="16"/>
      <c r="H379" s="16"/>
      <c r="I379" s="16"/>
      <c r="J379" s="16"/>
      <c r="K379" s="16"/>
      <c r="L379" s="16"/>
      <c r="M379" s="16"/>
      <c r="N379" s="16"/>
      <c r="O379" s="16"/>
    </row>
    <row r="380" spans="2:15" x14ac:dyDescent="0.2">
      <c r="G380" s="16"/>
      <c r="H380" s="16"/>
      <c r="I380" s="16"/>
      <c r="J380" s="16"/>
      <c r="K380" s="16"/>
      <c r="L380" s="16"/>
      <c r="M380" s="16"/>
      <c r="N380" s="16"/>
      <c r="O380" s="16"/>
    </row>
    <row r="381" spans="2:15" x14ac:dyDescent="0.2">
      <c r="G381" s="16"/>
      <c r="H381" s="16"/>
      <c r="I381" s="16"/>
      <c r="J381" s="16"/>
      <c r="K381" s="16"/>
      <c r="L381" s="16"/>
      <c r="M381" s="16"/>
      <c r="N381" s="16"/>
      <c r="O381" s="16"/>
    </row>
    <row r="382" spans="2:15" x14ac:dyDescent="0.2">
      <c r="G382" s="16"/>
      <c r="H382" s="16"/>
      <c r="I382" s="16"/>
      <c r="J382" s="16"/>
      <c r="K382" s="16"/>
      <c r="L382" s="16"/>
      <c r="M382" s="16"/>
      <c r="N382" s="16"/>
      <c r="O382" s="16"/>
    </row>
    <row r="383" spans="2:15" x14ac:dyDescent="0.2">
      <c r="G383" s="16"/>
      <c r="H383" s="16"/>
      <c r="I383" s="16"/>
      <c r="J383" s="16"/>
      <c r="K383" s="16"/>
      <c r="L383" s="16"/>
      <c r="M383" s="16"/>
      <c r="N383" s="16"/>
      <c r="O383" s="16"/>
    </row>
    <row r="384" spans="2:15" x14ac:dyDescent="0.2">
      <c r="G384" s="16"/>
      <c r="H384" s="16"/>
      <c r="I384" s="16"/>
      <c r="J384" s="16"/>
      <c r="K384" s="16"/>
      <c r="L384" s="16"/>
      <c r="M384" s="16"/>
      <c r="N384" s="16"/>
      <c r="O384" s="16"/>
    </row>
    <row r="385" spans="2:15" x14ac:dyDescent="0.2">
      <c r="G385" s="16"/>
      <c r="H385" s="16"/>
      <c r="I385" s="16"/>
      <c r="J385" s="16"/>
      <c r="K385" s="16"/>
      <c r="L385" s="16"/>
      <c r="M385" s="16"/>
      <c r="N385" s="16"/>
      <c r="O385" s="16"/>
    </row>
    <row r="386" spans="2:15" x14ac:dyDescent="0.2">
      <c r="G386" s="16"/>
      <c r="H386" s="16"/>
      <c r="I386" s="16"/>
      <c r="J386" s="16"/>
      <c r="K386" s="16"/>
      <c r="L386" s="16"/>
      <c r="M386" s="16"/>
      <c r="N386" s="16"/>
      <c r="O386" s="16"/>
    </row>
    <row r="387" spans="2:15" x14ac:dyDescent="0.2">
      <c r="G387" s="16"/>
      <c r="H387" s="16"/>
      <c r="I387" s="16"/>
      <c r="J387" s="16"/>
      <c r="K387" s="16"/>
      <c r="L387" s="16"/>
      <c r="M387" s="16"/>
      <c r="N387" s="16"/>
      <c r="O387" s="16"/>
    </row>
    <row r="388" spans="2:15" x14ac:dyDescent="0.2">
      <c r="G388" s="16"/>
      <c r="H388" s="16"/>
      <c r="I388" s="16"/>
      <c r="J388" s="16"/>
      <c r="K388" s="16"/>
      <c r="L388" s="16"/>
      <c r="M388" s="16"/>
      <c r="N388" s="16"/>
      <c r="O388" s="16"/>
    </row>
    <row r="389" spans="2:15" x14ac:dyDescent="0.2">
      <c r="G389" s="16"/>
      <c r="H389" s="16"/>
      <c r="I389" s="16"/>
      <c r="J389" s="16"/>
      <c r="K389" s="16"/>
      <c r="L389" s="16"/>
      <c r="M389" s="16"/>
      <c r="N389" s="16"/>
      <c r="O389" s="16"/>
    </row>
    <row r="390" spans="2:15" x14ac:dyDescent="0.2">
      <c r="G390" s="16"/>
      <c r="H390" s="16"/>
      <c r="I390" s="16"/>
      <c r="J390" s="16"/>
      <c r="K390" s="16"/>
      <c r="L390" s="16"/>
      <c r="M390" s="16"/>
      <c r="N390" s="16"/>
      <c r="O390" s="16"/>
    </row>
    <row r="391" spans="2:15" x14ac:dyDescent="0.2">
      <c r="G391" s="16"/>
      <c r="H391" s="16"/>
      <c r="I391" s="16"/>
      <c r="J391" s="16"/>
      <c r="K391" s="16"/>
      <c r="L391" s="16"/>
      <c r="M391" s="16"/>
      <c r="N391" s="16"/>
      <c r="O391" s="16"/>
    </row>
    <row r="392" spans="2:15" ht="15.75" x14ac:dyDescent="0.25">
      <c r="C392" s="5"/>
      <c r="D392" s="5"/>
      <c r="E392" s="5"/>
      <c r="G392" s="16"/>
      <c r="H392" s="16"/>
      <c r="I392" s="16"/>
      <c r="J392" s="16"/>
      <c r="K392" s="16"/>
      <c r="L392" s="16"/>
      <c r="M392" s="16"/>
      <c r="N392" s="16"/>
      <c r="O392" s="16"/>
    </row>
    <row r="393" spans="2:15" x14ac:dyDescent="0.2">
      <c r="B393" s="28"/>
      <c r="C393" s="217"/>
      <c r="D393" s="27"/>
      <c r="E393" s="27"/>
      <c r="F393" s="218"/>
      <c r="G393" s="16"/>
      <c r="H393" s="16"/>
      <c r="I393" s="16"/>
      <c r="J393" s="16"/>
      <c r="K393" s="16"/>
      <c r="L393" s="16"/>
      <c r="M393" s="16"/>
      <c r="N393" s="16"/>
      <c r="O393" s="16"/>
    </row>
    <row r="394" spans="2:15" x14ac:dyDescent="0.2">
      <c r="B394" s="28"/>
      <c r="C394" s="217"/>
      <c r="D394" s="27"/>
      <c r="E394" s="27"/>
      <c r="F394" s="218"/>
      <c r="G394" s="16"/>
      <c r="H394" s="16"/>
      <c r="I394" s="16"/>
      <c r="J394" s="16"/>
      <c r="K394" s="16"/>
      <c r="L394" s="16"/>
      <c r="M394" s="16"/>
      <c r="N394" s="16"/>
      <c r="O394" s="16"/>
    </row>
    <row r="395" spans="2:15" x14ac:dyDescent="0.2">
      <c r="B395" s="28"/>
      <c r="C395" s="217"/>
      <c r="D395" s="27"/>
      <c r="E395" s="27"/>
      <c r="F395" s="218"/>
      <c r="G395" s="16"/>
      <c r="H395" s="16"/>
      <c r="I395" s="16"/>
      <c r="J395" s="16"/>
      <c r="K395" s="16"/>
      <c r="L395" s="16"/>
      <c r="M395" s="16"/>
      <c r="N395" s="16"/>
      <c r="O395" s="16"/>
    </row>
    <row r="396" spans="2:15" x14ac:dyDescent="0.2">
      <c r="B396" s="28"/>
      <c r="C396" s="217"/>
      <c r="D396" s="27"/>
      <c r="E396" s="27"/>
      <c r="F396" s="218"/>
      <c r="G396" s="16"/>
      <c r="H396" s="16"/>
      <c r="I396" s="16"/>
      <c r="J396" s="16"/>
      <c r="K396" s="16"/>
      <c r="L396" s="16"/>
      <c r="M396" s="16"/>
      <c r="N396" s="16"/>
      <c r="O396" s="16"/>
    </row>
    <row r="397" spans="2:15" x14ac:dyDescent="0.2">
      <c r="B397" s="28"/>
      <c r="C397" s="217"/>
      <c r="D397" s="27"/>
      <c r="E397" s="27"/>
      <c r="F397" s="218"/>
      <c r="G397" s="16"/>
      <c r="H397" s="16"/>
      <c r="I397" s="16"/>
      <c r="J397" s="16"/>
      <c r="K397" s="16"/>
      <c r="L397" s="16"/>
      <c r="M397" s="16"/>
      <c r="N397" s="16"/>
      <c r="O397" s="16"/>
    </row>
    <row r="398" spans="2:15" x14ac:dyDescent="0.2">
      <c r="G398" s="16"/>
      <c r="H398" s="16"/>
      <c r="I398" s="16"/>
      <c r="J398" s="16"/>
      <c r="K398" s="16"/>
      <c r="L398" s="16"/>
      <c r="M398" s="16"/>
      <c r="N398" s="16"/>
      <c r="O398" s="16"/>
    </row>
    <row r="399" spans="2:15" x14ac:dyDescent="0.2">
      <c r="G399" s="16"/>
      <c r="H399" s="16"/>
      <c r="I399" s="16"/>
      <c r="J399" s="16"/>
      <c r="K399" s="16"/>
      <c r="L399" s="16"/>
      <c r="M399" s="16"/>
      <c r="N399" s="16"/>
      <c r="O399" s="16"/>
    </row>
    <row r="400" spans="2:15" x14ac:dyDescent="0.2">
      <c r="G400" s="16"/>
      <c r="H400" s="16"/>
      <c r="I400" s="16"/>
      <c r="J400" s="16"/>
      <c r="K400" s="16"/>
      <c r="L400" s="16"/>
      <c r="M400" s="16"/>
      <c r="N400" s="16"/>
      <c r="O400" s="16"/>
    </row>
    <row r="401" spans="2:15" x14ac:dyDescent="0.2">
      <c r="B401" s="28"/>
      <c r="C401" s="27"/>
      <c r="D401" s="27"/>
      <c r="G401" s="16"/>
      <c r="H401" s="16"/>
      <c r="I401" s="16"/>
      <c r="J401" s="16"/>
      <c r="K401" s="16"/>
      <c r="L401" s="16"/>
      <c r="M401" s="16"/>
      <c r="N401" s="16"/>
      <c r="O401" s="16"/>
    </row>
    <row r="402" spans="2:15" ht="15.75" x14ac:dyDescent="0.25">
      <c r="B402" s="1"/>
      <c r="C402" s="27"/>
      <c r="D402" s="27"/>
      <c r="G402" s="16"/>
      <c r="H402" s="16"/>
      <c r="I402" s="16"/>
      <c r="J402" s="16"/>
      <c r="K402" s="16"/>
      <c r="L402" s="16"/>
      <c r="M402" s="16"/>
      <c r="N402" s="16"/>
      <c r="O402" s="16"/>
    </row>
    <row r="403" spans="2:15" x14ac:dyDescent="0.2">
      <c r="B403" s="22"/>
      <c r="C403" s="27"/>
      <c r="D403" s="27"/>
      <c r="G403" s="16"/>
      <c r="H403" s="16"/>
      <c r="I403" s="16"/>
      <c r="J403" s="16"/>
      <c r="K403" s="16"/>
      <c r="L403" s="16"/>
      <c r="M403" s="16"/>
      <c r="N403" s="16"/>
      <c r="O403" s="16"/>
    </row>
    <row r="404" spans="2:15" x14ac:dyDescent="0.2">
      <c r="B404" s="22"/>
      <c r="C404" s="27"/>
      <c r="D404" s="27"/>
      <c r="G404" s="16"/>
      <c r="H404" s="16"/>
      <c r="I404" s="16"/>
      <c r="J404" s="16"/>
      <c r="K404" s="16"/>
      <c r="L404" s="16"/>
      <c r="M404" s="16"/>
      <c r="N404" s="16"/>
      <c r="O404" s="16"/>
    </row>
    <row r="405" spans="2:15" x14ac:dyDescent="0.2">
      <c r="B405" s="22"/>
      <c r="C405" s="27"/>
      <c r="D405" s="27"/>
      <c r="G405" s="16"/>
      <c r="H405" s="16"/>
      <c r="I405" s="16"/>
      <c r="J405" s="16"/>
      <c r="K405" s="16"/>
      <c r="L405" s="16"/>
      <c r="M405" s="16"/>
      <c r="N405" s="16"/>
      <c r="O405" s="16"/>
    </row>
    <row r="406" spans="2:15" x14ac:dyDescent="0.2">
      <c r="B406" s="22"/>
      <c r="C406" s="27"/>
      <c r="D406" s="27"/>
      <c r="G406" s="16"/>
      <c r="H406" s="16"/>
      <c r="I406" s="16"/>
      <c r="J406" s="16"/>
      <c r="K406" s="16"/>
      <c r="L406" s="16"/>
      <c r="M406" s="16"/>
      <c r="N406" s="16"/>
      <c r="O406" s="16"/>
    </row>
    <row r="407" spans="2:15" ht="15.75" x14ac:dyDescent="0.25">
      <c r="B407" s="22"/>
      <c r="C407" s="27"/>
      <c r="D407" s="27"/>
      <c r="F407" s="5"/>
      <c r="G407" s="16"/>
      <c r="H407" s="16"/>
      <c r="I407" s="16"/>
      <c r="J407" s="16"/>
      <c r="K407" s="16"/>
      <c r="L407" s="16"/>
      <c r="M407" s="16"/>
      <c r="N407" s="16"/>
      <c r="O407" s="16"/>
    </row>
    <row r="408" spans="2:15" x14ac:dyDescent="0.2">
      <c r="B408" s="22"/>
      <c r="C408" s="27"/>
      <c r="D408" s="27"/>
      <c r="G408" s="16"/>
      <c r="H408" s="16"/>
      <c r="I408" s="16"/>
      <c r="J408" s="16"/>
      <c r="K408" s="16"/>
      <c r="L408" s="16"/>
      <c r="M408" s="16"/>
      <c r="N408" s="16"/>
      <c r="O408" s="16"/>
    </row>
    <row r="409" spans="2:15" x14ac:dyDescent="0.2">
      <c r="B409" s="22"/>
      <c r="C409" s="27"/>
      <c r="D409" s="27"/>
      <c r="G409" s="16"/>
      <c r="H409" s="16"/>
      <c r="I409" s="16"/>
      <c r="J409" s="16"/>
      <c r="K409" s="16"/>
      <c r="L409" s="16"/>
      <c r="M409" s="16"/>
      <c r="N409" s="16"/>
      <c r="O409" s="16"/>
    </row>
    <row r="410" spans="2:15" x14ac:dyDescent="0.2">
      <c r="B410" s="22"/>
      <c r="C410" s="27"/>
      <c r="D410" s="27"/>
      <c r="G410" s="16"/>
      <c r="H410" s="16"/>
      <c r="I410" s="16"/>
      <c r="J410" s="16"/>
      <c r="K410" s="16"/>
      <c r="L410" s="16"/>
      <c r="M410" s="16"/>
      <c r="N410" s="16"/>
      <c r="O410" s="16"/>
    </row>
    <row r="411" spans="2:15" x14ac:dyDescent="0.2">
      <c r="C411" s="27"/>
      <c r="D411" s="27"/>
      <c r="G411" s="16"/>
      <c r="H411" s="16"/>
      <c r="I411" s="16"/>
      <c r="J411" s="16"/>
      <c r="K411" s="16"/>
    </row>
    <row r="412" spans="2:15" x14ac:dyDescent="0.2">
      <c r="C412" s="27"/>
      <c r="D412" s="27"/>
      <c r="G412" s="16"/>
      <c r="H412" s="16"/>
      <c r="I412" s="16"/>
      <c r="J412" s="16"/>
      <c r="K412" s="16"/>
    </row>
    <row r="413" spans="2:15" x14ac:dyDescent="0.2">
      <c r="B413" s="22"/>
      <c r="C413" s="27"/>
      <c r="D413" s="27"/>
    </row>
    <row r="414" spans="2:15" x14ac:dyDescent="0.2">
      <c r="B414" s="22"/>
      <c r="C414" s="27"/>
      <c r="D414" s="27"/>
    </row>
    <row r="415" spans="2:15" x14ac:dyDescent="0.2">
      <c r="B415" s="28"/>
      <c r="C415" s="27"/>
      <c r="D415" s="27"/>
    </row>
    <row r="416" spans="2:15" x14ac:dyDescent="0.2">
      <c r="B416" s="22"/>
      <c r="C416" s="27"/>
      <c r="D416" s="27"/>
    </row>
    <row r="417" spans="2:4" x14ac:dyDescent="0.2">
      <c r="B417" s="22"/>
      <c r="C417" s="27"/>
      <c r="D417" s="27"/>
    </row>
    <row r="418" spans="2:4" x14ac:dyDescent="0.2">
      <c r="B418" s="22"/>
      <c r="C418" s="27"/>
      <c r="D418" s="27"/>
    </row>
    <row r="419" spans="2:4" x14ac:dyDescent="0.2">
      <c r="B419" s="28"/>
      <c r="C419" s="27"/>
      <c r="D419" s="27"/>
    </row>
    <row r="420" spans="2:4" x14ac:dyDescent="0.2">
      <c r="B420" s="22"/>
      <c r="D420" s="27"/>
    </row>
    <row r="421" spans="2:4" ht="15.75" x14ac:dyDescent="0.25">
      <c r="B421" s="2"/>
      <c r="C421" s="5"/>
      <c r="D421" s="27"/>
    </row>
    <row r="422" spans="2:4" x14ac:dyDescent="0.2">
      <c r="B422" s="22"/>
      <c r="C422" s="27"/>
      <c r="D422" s="27"/>
    </row>
    <row r="430" spans="2:4" ht="15.75" x14ac:dyDescent="0.25">
      <c r="B430" s="1"/>
      <c r="D430" s="27"/>
    </row>
    <row r="431" spans="2:4" ht="15.75" x14ac:dyDescent="0.25">
      <c r="B431" s="28"/>
      <c r="C431" s="30"/>
      <c r="D431" s="27"/>
    </row>
    <row r="432" spans="2:4" x14ac:dyDescent="0.2">
      <c r="B432" s="28"/>
      <c r="C432" s="58"/>
      <c r="D432" s="27"/>
    </row>
    <row r="433" spans="2:6" x14ac:dyDescent="0.2">
      <c r="B433" s="28"/>
      <c r="C433" s="58"/>
      <c r="D433" s="27"/>
    </row>
    <row r="434" spans="2:6" ht="15.75" x14ac:dyDescent="0.25">
      <c r="B434" s="28"/>
      <c r="C434" s="30"/>
      <c r="D434" s="27"/>
    </row>
    <row r="435" spans="2:6" ht="15.75" x14ac:dyDescent="0.25">
      <c r="C435" s="5"/>
      <c r="D435" s="5"/>
      <c r="E435" s="5"/>
    </row>
    <row r="436" spans="2:6" x14ac:dyDescent="0.2">
      <c r="B436" s="28"/>
      <c r="C436" s="217"/>
      <c r="D436" s="27"/>
      <c r="E436" s="27"/>
      <c r="F436" s="218"/>
    </row>
    <row r="437" spans="2:6" x14ac:dyDescent="0.2">
      <c r="B437" s="28"/>
      <c r="C437" s="217"/>
      <c r="D437" s="27"/>
      <c r="E437" s="27"/>
      <c r="F437" s="218"/>
    </row>
    <row r="438" spans="2:6" x14ac:dyDescent="0.2">
      <c r="B438" s="28"/>
      <c r="C438" s="217"/>
      <c r="D438" s="27"/>
      <c r="E438" s="27"/>
      <c r="F438" s="218"/>
    </row>
    <row r="439" spans="2:6" x14ac:dyDescent="0.2">
      <c r="B439" s="28"/>
      <c r="C439" s="217"/>
      <c r="D439" s="27"/>
      <c r="E439" s="27"/>
      <c r="F439" s="218"/>
    </row>
    <row r="440" spans="2:6" x14ac:dyDescent="0.2">
      <c r="B440" s="28"/>
      <c r="C440" s="217"/>
      <c r="D440" s="27"/>
      <c r="E440" s="27"/>
      <c r="F440" s="218"/>
    </row>
    <row r="447" spans="2:6" ht="15.75" x14ac:dyDescent="0.25">
      <c r="B447" s="1"/>
      <c r="C447" s="22"/>
      <c r="D447" s="27"/>
    </row>
    <row r="448" spans="2:6" ht="15.75" x14ac:dyDescent="0.25">
      <c r="B448" s="28"/>
      <c r="C448" s="88"/>
      <c r="D448" s="27"/>
    </row>
    <row r="449" spans="2:6" x14ac:dyDescent="0.2">
      <c r="B449" s="28"/>
      <c r="C449" s="58"/>
      <c r="D449" s="27"/>
    </row>
    <row r="450" spans="2:6" x14ac:dyDescent="0.2">
      <c r="B450" s="28"/>
      <c r="C450" s="58"/>
      <c r="D450" s="27"/>
    </row>
    <row r="451" spans="2:6" ht="15.75" x14ac:dyDescent="0.25">
      <c r="B451" s="28"/>
      <c r="C451" s="88"/>
      <c r="D451" s="27"/>
    </row>
    <row r="452" spans="2:6" ht="15.75" x14ac:dyDescent="0.25">
      <c r="B452" s="1"/>
      <c r="C452" s="27"/>
      <c r="D452" s="27"/>
    </row>
    <row r="453" spans="2:6" x14ac:dyDescent="0.2">
      <c r="B453" s="22"/>
      <c r="C453" s="27"/>
      <c r="D453" s="27"/>
    </row>
    <row r="454" spans="2:6" ht="15.75" x14ac:dyDescent="0.25">
      <c r="C454" s="13"/>
      <c r="D454" s="13"/>
      <c r="E454" s="5"/>
      <c r="F454" s="16"/>
    </row>
    <row r="455" spans="2:6" x14ac:dyDescent="0.2">
      <c r="B455" s="28"/>
      <c r="C455" s="128"/>
      <c r="D455" s="58"/>
      <c r="E455" s="27"/>
      <c r="F455" s="133"/>
    </row>
    <row r="456" spans="2:6" x14ac:dyDescent="0.2">
      <c r="B456" s="28"/>
      <c r="C456" s="128"/>
      <c r="D456" s="58"/>
      <c r="E456" s="27"/>
      <c r="F456" s="133"/>
    </row>
    <row r="457" spans="2:6" x14ac:dyDescent="0.2">
      <c r="B457" s="28"/>
      <c r="C457" s="128"/>
      <c r="D457" s="58"/>
      <c r="E457" s="27"/>
      <c r="F457" s="133"/>
    </row>
    <row r="458" spans="2:6" x14ac:dyDescent="0.2">
      <c r="B458" s="28"/>
      <c r="C458" s="128"/>
      <c r="D458" s="58"/>
      <c r="E458" s="27"/>
      <c r="F458" s="133"/>
    </row>
    <row r="459" spans="2:6" x14ac:dyDescent="0.2">
      <c r="B459" s="28"/>
      <c r="C459" s="128"/>
      <c r="D459" s="58"/>
      <c r="E459" s="27"/>
      <c r="F459" s="133"/>
    </row>
    <row r="460" spans="2:6" x14ac:dyDescent="0.2">
      <c r="B460" s="28"/>
      <c r="C460" s="58"/>
      <c r="D460" s="27"/>
    </row>
    <row r="461" spans="2:6" ht="15.75" x14ac:dyDescent="0.25">
      <c r="C461" s="13"/>
      <c r="D461" s="13"/>
      <c r="E461" s="5"/>
      <c r="F461" s="16"/>
    </row>
    <row r="462" spans="2:6" x14ac:dyDescent="0.2">
      <c r="B462" s="28"/>
      <c r="C462" s="128"/>
      <c r="D462" s="58"/>
      <c r="E462" s="27"/>
      <c r="F462" s="133"/>
    </row>
    <row r="463" spans="2:6" x14ac:dyDescent="0.2">
      <c r="B463" s="28"/>
      <c r="C463" s="128"/>
      <c r="D463" s="58"/>
      <c r="E463" s="27"/>
      <c r="F463" s="133"/>
    </row>
    <row r="464" spans="2:6" x14ac:dyDescent="0.2">
      <c r="B464" s="28"/>
      <c r="C464" s="128"/>
      <c r="D464" s="58"/>
      <c r="E464" s="27"/>
      <c r="F464" s="133"/>
    </row>
    <row r="465" spans="2:6" x14ac:dyDescent="0.2">
      <c r="B465" s="28"/>
      <c r="C465" s="128"/>
      <c r="D465" s="58"/>
      <c r="E465" s="27"/>
      <c r="F465" s="133"/>
    </row>
    <row r="466" spans="2:6" x14ac:dyDescent="0.2">
      <c r="B466" s="28"/>
      <c r="C466" s="128"/>
      <c r="D466" s="58"/>
      <c r="E466" s="27"/>
      <c r="F466" s="133"/>
    </row>
    <row r="467" spans="2:6" ht="15.75" x14ac:dyDescent="0.25">
      <c r="B467" s="2"/>
      <c r="C467" s="5"/>
      <c r="D467" s="27"/>
    </row>
    <row r="468" spans="2:6" x14ac:dyDescent="0.2">
      <c r="B468" s="28"/>
      <c r="C468" s="27"/>
      <c r="D468" s="27"/>
    </row>
    <row r="469" spans="2:6" x14ac:dyDescent="0.2">
      <c r="B469" s="28"/>
      <c r="C469" s="27"/>
      <c r="D469" s="27"/>
    </row>
    <row r="470" spans="2:6" x14ac:dyDescent="0.2">
      <c r="B470" s="28"/>
      <c r="C470" s="27"/>
      <c r="D470" s="27"/>
    </row>
    <row r="471" spans="2:6" ht="15.75" x14ac:dyDescent="0.25">
      <c r="B471" s="1"/>
      <c r="C471" s="27"/>
      <c r="D471" s="27"/>
    </row>
    <row r="472" spans="2:6" x14ac:dyDescent="0.2">
      <c r="B472" s="28"/>
      <c r="C472" s="27"/>
      <c r="D472" s="27"/>
    </row>
    <row r="473" spans="2:6" x14ac:dyDescent="0.2">
      <c r="B473" s="28"/>
      <c r="C473" s="27"/>
      <c r="D473" s="27"/>
    </row>
    <row r="474" spans="2:6" x14ac:dyDescent="0.2">
      <c r="B474" s="28"/>
      <c r="C474" s="27"/>
      <c r="D474" s="27"/>
    </row>
    <row r="475" spans="2:6" x14ac:dyDescent="0.2">
      <c r="B475" s="28"/>
      <c r="C475" s="27"/>
      <c r="D475" s="27"/>
    </row>
    <row r="476" spans="2:6" x14ac:dyDescent="0.2">
      <c r="B476" s="28"/>
      <c r="C476" s="27"/>
      <c r="D476" s="27"/>
    </row>
    <row r="477" spans="2:6" x14ac:dyDescent="0.2">
      <c r="B477" s="28"/>
      <c r="C477" s="27"/>
      <c r="D477" s="27"/>
    </row>
    <row r="478" spans="2:6" x14ac:dyDescent="0.2">
      <c r="B478" s="22"/>
      <c r="C478" s="27"/>
      <c r="D478" s="27"/>
    </row>
    <row r="479" spans="2:6" x14ac:dyDescent="0.2">
      <c r="B479" s="22"/>
      <c r="C479" s="27"/>
      <c r="D479" s="27"/>
    </row>
    <row r="480" spans="2:6" x14ac:dyDescent="0.2">
      <c r="B480" s="22"/>
      <c r="C480" s="27"/>
      <c r="D480" s="27"/>
    </row>
    <row r="481" spans="2:4" x14ac:dyDescent="0.2">
      <c r="B481" s="22"/>
      <c r="C481" s="27"/>
      <c r="D481" s="27"/>
    </row>
    <row r="482" spans="2:4" x14ac:dyDescent="0.2">
      <c r="B482" s="22"/>
      <c r="C482" s="27"/>
      <c r="D482" s="27"/>
    </row>
    <row r="483" spans="2:4" ht="15.75" x14ac:dyDescent="0.25">
      <c r="B483" s="28"/>
      <c r="C483" s="30"/>
      <c r="D483" s="27"/>
    </row>
    <row r="484" spans="2:4" x14ac:dyDescent="0.2">
      <c r="B484" s="28"/>
      <c r="C484" s="58"/>
      <c r="D484" s="27"/>
    </row>
    <row r="485" spans="2:4" x14ac:dyDescent="0.2">
      <c r="B485" s="28"/>
      <c r="C485" s="58"/>
      <c r="D485" s="27"/>
    </row>
    <row r="486" spans="2:4" x14ac:dyDescent="0.2">
      <c r="B486" s="28"/>
      <c r="C486" s="58"/>
      <c r="D486" s="27"/>
    </row>
    <row r="487" spans="2:4" x14ac:dyDescent="0.2">
      <c r="B487" s="28"/>
      <c r="C487" s="58"/>
      <c r="D487" s="27"/>
    </row>
    <row r="488" spans="2:4" x14ac:dyDescent="0.2">
      <c r="B488" s="28"/>
      <c r="C488" s="58"/>
      <c r="D488" s="27"/>
    </row>
    <row r="489" spans="2:4" x14ac:dyDescent="0.2">
      <c r="B489" s="28"/>
      <c r="C489" s="58"/>
      <c r="D489" s="27"/>
    </row>
    <row r="490" spans="2:4" x14ac:dyDescent="0.2">
      <c r="B490" s="28"/>
      <c r="C490" s="58"/>
      <c r="D490" s="27"/>
    </row>
    <row r="491" spans="2:4" x14ac:dyDescent="0.2">
      <c r="B491" s="28"/>
      <c r="C491" s="27"/>
      <c r="D491" s="27"/>
    </row>
    <row r="492" spans="2:4" ht="15.75" x14ac:dyDescent="0.25">
      <c r="B492" s="28"/>
      <c r="C492" s="30"/>
      <c r="D492" s="27"/>
    </row>
    <row r="493" spans="2:4" ht="15.75" x14ac:dyDescent="0.25">
      <c r="B493" s="2"/>
      <c r="C493" s="5"/>
      <c r="D493" s="5"/>
    </row>
    <row r="494" spans="2:4" ht="15.75" x14ac:dyDescent="0.25">
      <c r="B494" s="2"/>
      <c r="C494" s="5"/>
      <c r="D494" s="5"/>
    </row>
    <row r="495" spans="2:4" ht="15.75" x14ac:dyDescent="0.25">
      <c r="B495" s="2"/>
      <c r="C495" s="5"/>
      <c r="D495" s="5"/>
    </row>
    <row r="496" spans="2:4" ht="15.75" x14ac:dyDescent="0.25">
      <c r="B496" s="2"/>
      <c r="C496" s="5"/>
      <c r="D496" s="5"/>
    </row>
    <row r="497" spans="2:6" ht="15.75" x14ac:dyDescent="0.25">
      <c r="B497" s="2"/>
      <c r="C497" s="51"/>
      <c r="D497" s="5"/>
    </row>
    <row r="498" spans="2:6" ht="15.75" x14ac:dyDescent="0.25">
      <c r="B498" s="2"/>
      <c r="C498" s="5"/>
      <c r="D498" s="5"/>
    </row>
    <row r="499" spans="2:6" ht="15.75" x14ac:dyDescent="0.25">
      <c r="B499" s="2"/>
      <c r="C499" s="5"/>
      <c r="D499" s="5"/>
    </row>
    <row r="500" spans="2:6" ht="15.75" x14ac:dyDescent="0.25">
      <c r="B500" s="2"/>
      <c r="C500" s="5"/>
      <c r="D500" s="5"/>
    </row>
    <row r="501" spans="2:6" ht="15.75" x14ac:dyDescent="0.25">
      <c r="B501" s="2"/>
      <c r="C501" s="202"/>
      <c r="D501" s="5"/>
    </row>
    <row r="502" spans="2:6" ht="15.75" x14ac:dyDescent="0.25">
      <c r="B502" s="2"/>
      <c r="C502" s="5"/>
      <c r="D502" s="5"/>
    </row>
    <row r="503" spans="2:6" ht="15.75" x14ac:dyDescent="0.25">
      <c r="B503" s="2"/>
      <c r="C503" s="202"/>
      <c r="D503" s="5"/>
    </row>
    <row r="504" spans="2:6" ht="15.75" x14ac:dyDescent="0.25">
      <c r="B504" s="2"/>
      <c r="C504" s="5"/>
      <c r="D504" s="5"/>
    </row>
    <row r="505" spans="2:6" ht="15.75" x14ac:dyDescent="0.25">
      <c r="B505" s="2"/>
      <c r="C505" s="5"/>
      <c r="D505" s="5"/>
    </row>
    <row r="506" spans="2:6" ht="15.75" x14ac:dyDescent="0.25">
      <c r="B506" s="2"/>
      <c r="C506" s="37"/>
      <c r="D506" s="5"/>
    </row>
    <row r="507" spans="2:6" ht="15.75" x14ac:dyDescent="0.25">
      <c r="B507" s="2"/>
      <c r="C507" s="5"/>
      <c r="D507" s="5"/>
    </row>
    <row r="508" spans="2:6" ht="15.75" x14ac:dyDescent="0.25">
      <c r="B508" s="2"/>
      <c r="C508" s="5"/>
      <c r="D508" s="5"/>
    </row>
    <row r="509" spans="2:6" ht="15.75" x14ac:dyDescent="0.25">
      <c r="B509" s="2"/>
      <c r="C509" s="3"/>
      <c r="D509" s="5"/>
    </row>
    <row r="510" spans="2:6" ht="15.75" x14ac:dyDescent="0.25">
      <c r="B510" s="2"/>
      <c r="C510" s="5"/>
      <c r="D510" s="5"/>
    </row>
    <row r="511" spans="2:6" ht="15.75" x14ac:dyDescent="0.25">
      <c r="B511" s="2"/>
      <c r="C511" s="5"/>
      <c r="D511" s="5"/>
      <c r="F511" s="5"/>
    </row>
    <row r="512" spans="2:6" ht="15.75" x14ac:dyDescent="0.25">
      <c r="B512" s="2"/>
      <c r="C512" s="5"/>
      <c r="D512" s="5"/>
    </row>
    <row r="513" spans="2:4" ht="15.75" x14ac:dyDescent="0.25">
      <c r="B513" s="2"/>
      <c r="C513" s="5"/>
      <c r="D513" s="5"/>
    </row>
    <row r="514" spans="2:4" ht="15.75" x14ac:dyDescent="0.25">
      <c r="B514" s="2"/>
      <c r="C514" s="5"/>
      <c r="D514" s="5"/>
    </row>
    <row r="515" spans="2:4" ht="15.75" x14ac:dyDescent="0.25">
      <c r="B515" s="2"/>
      <c r="C515" s="5"/>
      <c r="D515" s="5"/>
    </row>
    <row r="516" spans="2:4" ht="15.75" x14ac:dyDescent="0.25">
      <c r="B516" s="2"/>
      <c r="C516" s="37"/>
      <c r="D516" s="5"/>
    </row>
    <row r="517" spans="2:4" x14ac:dyDescent="0.2">
      <c r="B517" s="28"/>
      <c r="C517" s="27"/>
      <c r="D517" s="27"/>
    </row>
    <row r="518" spans="2:4" ht="15.75" x14ac:dyDescent="0.25">
      <c r="B518" s="2"/>
      <c r="C518" s="37"/>
      <c r="D518" s="5"/>
    </row>
    <row r="519" spans="2:4" x14ac:dyDescent="0.2">
      <c r="B519" s="28"/>
      <c r="C519" s="27"/>
      <c r="D519" s="27"/>
    </row>
    <row r="520" spans="2:4" ht="15.75" x14ac:dyDescent="0.25">
      <c r="B520" s="2"/>
      <c r="C520" s="27"/>
      <c r="D520" s="27"/>
    </row>
    <row r="521" spans="2:4" x14ac:dyDescent="0.2">
      <c r="B521" s="28"/>
      <c r="C521" s="27"/>
      <c r="D521" s="27"/>
    </row>
    <row r="522" spans="2:4" x14ac:dyDescent="0.2">
      <c r="B522" s="28"/>
      <c r="C522" s="27"/>
      <c r="D522" s="27"/>
    </row>
    <row r="523" spans="2:4" x14ac:dyDescent="0.2">
      <c r="B523" s="28"/>
      <c r="C523" s="27"/>
      <c r="D523" s="27"/>
    </row>
    <row r="524" spans="2:4" x14ac:dyDescent="0.2">
      <c r="B524" s="28"/>
      <c r="C524" s="27"/>
      <c r="D524" s="27"/>
    </row>
    <row r="525" spans="2:4" x14ac:dyDescent="0.2">
      <c r="B525" s="28"/>
      <c r="C525" s="27"/>
      <c r="D525" s="27"/>
    </row>
    <row r="526" spans="2:4" x14ac:dyDescent="0.2">
      <c r="B526" s="28"/>
      <c r="C526" s="27"/>
      <c r="D526" s="27"/>
    </row>
    <row r="527" spans="2:4" x14ac:dyDescent="0.2">
      <c r="B527" s="28"/>
      <c r="C527" s="27"/>
      <c r="D527" s="27"/>
    </row>
    <row r="528" spans="2:4" x14ac:dyDescent="0.2">
      <c r="B528" s="28"/>
      <c r="C528" s="27"/>
      <c r="D528" s="27"/>
    </row>
    <row r="529" spans="2:4" x14ac:dyDescent="0.2">
      <c r="B529" s="28"/>
      <c r="C529" s="27"/>
      <c r="D529" s="27"/>
    </row>
    <row r="530" spans="2:4" x14ac:dyDescent="0.2">
      <c r="B530" s="28"/>
      <c r="C530" s="27"/>
      <c r="D530" s="27"/>
    </row>
    <row r="531" spans="2:4" x14ac:dyDescent="0.2">
      <c r="B531" s="28"/>
      <c r="C531" s="27"/>
      <c r="D531" s="27"/>
    </row>
    <row r="532" spans="2:4" x14ac:dyDescent="0.2">
      <c r="B532" s="28"/>
      <c r="C532" s="27"/>
      <c r="D532" s="27"/>
    </row>
    <row r="533" spans="2:4" x14ac:dyDescent="0.2">
      <c r="B533" s="28"/>
      <c r="C533" s="27"/>
      <c r="D533" s="27"/>
    </row>
    <row r="534" spans="2:4" x14ac:dyDescent="0.2">
      <c r="B534" s="28"/>
      <c r="C534" s="27"/>
      <c r="D534" s="27"/>
    </row>
    <row r="535" spans="2:4" x14ac:dyDescent="0.2">
      <c r="B535" s="28"/>
      <c r="C535" s="27"/>
      <c r="D535" s="27"/>
    </row>
    <row r="536" spans="2:4" x14ac:dyDescent="0.2">
      <c r="B536" s="28"/>
      <c r="C536" s="27"/>
      <c r="D536" s="27"/>
    </row>
    <row r="537" spans="2:4" x14ac:dyDescent="0.2">
      <c r="B537" s="28"/>
      <c r="C537" s="27"/>
      <c r="D537" s="27"/>
    </row>
    <row r="538" spans="2:4" x14ac:dyDescent="0.2">
      <c r="B538" s="28"/>
      <c r="C538" s="27"/>
      <c r="D538" s="27"/>
    </row>
    <row r="539" spans="2:4" x14ac:dyDescent="0.2">
      <c r="B539" s="28"/>
      <c r="C539" s="27"/>
      <c r="D539" s="27"/>
    </row>
    <row r="540" spans="2:4" ht="15.75" x14ac:dyDescent="0.25">
      <c r="B540" s="2"/>
      <c r="C540" s="27"/>
      <c r="D540" s="27"/>
    </row>
    <row r="541" spans="2:4" x14ac:dyDescent="0.2">
      <c r="B541" s="28"/>
      <c r="C541" s="27"/>
      <c r="D541" s="27"/>
    </row>
    <row r="542" spans="2:4" x14ac:dyDescent="0.2">
      <c r="B542" s="28"/>
      <c r="C542" s="27"/>
      <c r="D542" s="27"/>
    </row>
    <row r="543" spans="2:4" x14ac:dyDescent="0.2">
      <c r="B543" s="28"/>
      <c r="C543" s="27"/>
      <c r="D543" s="27"/>
    </row>
    <row r="544" spans="2:4" x14ac:dyDescent="0.2">
      <c r="B544" s="28"/>
      <c r="C544" s="27"/>
      <c r="D544" s="27"/>
    </row>
    <row r="545" spans="2:4" x14ac:dyDescent="0.2">
      <c r="B545" s="28"/>
      <c r="C545" s="27"/>
      <c r="D545" s="27"/>
    </row>
    <row r="546" spans="2:4" x14ac:dyDescent="0.2">
      <c r="B546" s="28"/>
      <c r="C546" s="27"/>
      <c r="D546" s="27"/>
    </row>
    <row r="547" spans="2:4" x14ac:dyDescent="0.2">
      <c r="B547" s="28"/>
      <c r="C547" s="27"/>
      <c r="D547" s="27"/>
    </row>
    <row r="548" spans="2:4" x14ac:dyDescent="0.2">
      <c r="B548" s="28"/>
      <c r="C548" s="27"/>
      <c r="D548" s="27"/>
    </row>
    <row r="549" spans="2:4" x14ac:dyDescent="0.2">
      <c r="B549" s="28"/>
      <c r="C549" s="27"/>
      <c r="D549" s="27"/>
    </row>
    <row r="550" spans="2:4" x14ac:dyDescent="0.2">
      <c r="B550" s="28"/>
      <c r="C550" s="27"/>
      <c r="D550" s="27"/>
    </row>
    <row r="551" spans="2:4" x14ac:dyDescent="0.2">
      <c r="B551" s="28"/>
      <c r="C551" s="27"/>
      <c r="D551" s="27"/>
    </row>
    <row r="552" spans="2:4" x14ac:dyDescent="0.2">
      <c r="B552" s="28"/>
      <c r="C552" s="27"/>
      <c r="D552" s="27"/>
    </row>
    <row r="553" spans="2:4" x14ac:dyDescent="0.2">
      <c r="B553" s="28"/>
      <c r="C553" s="27"/>
      <c r="D553" s="27"/>
    </row>
    <row r="554" spans="2:4" x14ac:dyDescent="0.2">
      <c r="B554" s="28"/>
      <c r="C554" s="27"/>
      <c r="D554" s="27"/>
    </row>
    <row r="555" spans="2:4" x14ac:dyDescent="0.2">
      <c r="B555" s="28"/>
      <c r="C555" s="27"/>
      <c r="D555" s="27"/>
    </row>
    <row r="556" spans="2:4" x14ac:dyDescent="0.2">
      <c r="B556" s="28"/>
      <c r="C556" s="27"/>
      <c r="D556" s="27"/>
    </row>
    <row r="557" spans="2:4" ht="15.75" x14ac:dyDescent="0.25">
      <c r="B557" s="2"/>
      <c r="C557" s="27"/>
      <c r="D557" s="27"/>
    </row>
    <row r="558" spans="2:4" x14ac:dyDescent="0.2">
      <c r="B558" s="28"/>
      <c r="C558" s="27"/>
      <c r="D558" s="27"/>
    </row>
    <row r="559" spans="2:4" x14ac:dyDescent="0.2">
      <c r="B559" s="28"/>
      <c r="C559" s="27"/>
      <c r="D559" s="27"/>
    </row>
    <row r="560" spans="2:4" x14ac:dyDescent="0.2">
      <c r="B560" s="28"/>
      <c r="C560" s="27"/>
      <c r="D560" s="27"/>
    </row>
    <row r="561" spans="2:6" x14ac:dyDescent="0.2">
      <c r="B561" s="28"/>
      <c r="C561" s="27"/>
      <c r="D561" s="27"/>
    </row>
    <row r="562" spans="2:6" ht="15.75" x14ac:dyDescent="0.25">
      <c r="B562" s="28"/>
      <c r="C562" s="27"/>
      <c r="D562" s="27"/>
      <c r="F562" s="5"/>
    </row>
    <row r="563" spans="2:6" x14ac:dyDescent="0.2">
      <c r="B563" s="28"/>
      <c r="C563" s="27"/>
      <c r="D563" s="27"/>
    </row>
    <row r="564" spans="2:6" x14ac:dyDescent="0.2">
      <c r="B564" s="28"/>
      <c r="C564" s="27"/>
      <c r="D564" s="27"/>
    </row>
    <row r="565" spans="2:6" x14ac:dyDescent="0.2">
      <c r="B565" s="28"/>
      <c r="C565" s="27"/>
      <c r="D565" s="27"/>
    </row>
    <row r="566" spans="2:6" x14ac:dyDescent="0.2">
      <c r="B566" s="28"/>
      <c r="C566" s="27"/>
      <c r="D566" s="27"/>
    </row>
    <row r="567" spans="2:6" x14ac:dyDescent="0.2">
      <c r="B567" s="28"/>
      <c r="C567" s="27"/>
      <c r="D567" s="27"/>
    </row>
    <row r="568" spans="2:6" x14ac:dyDescent="0.2">
      <c r="B568" s="28"/>
      <c r="C568" s="27"/>
      <c r="D568" s="27"/>
    </row>
    <row r="569" spans="2:6" ht="15.75" x14ac:dyDescent="0.25">
      <c r="B569" s="28"/>
      <c r="C569" s="30"/>
      <c r="D569" s="27"/>
    </row>
    <row r="570" spans="2:6" x14ac:dyDescent="0.2">
      <c r="B570" s="28"/>
      <c r="C570" s="58"/>
      <c r="D570" s="27"/>
    </row>
    <row r="571" spans="2:6" x14ac:dyDescent="0.2">
      <c r="B571" s="28"/>
      <c r="C571" s="58"/>
      <c r="D571" s="27"/>
    </row>
    <row r="572" spans="2:6" x14ac:dyDescent="0.2">
      <c r="B572" s="28"/>
      <c r="C572" s="133"/>
      <c r="D572" s="27"/>
    </row>
    <row r="573" spans="2:6" x14ac:dyDescent="0.2">
      <c r="B573" s="28"/>
      <c r="C573" s="58"/>
      <c r="D573" s="27"/>
    </row>
    <row r="574" spans="2:6" x14ac:dyDescent="0.2">
      <c r="B574" s="28"/>
      <c r="C574" s="27"/>
      <c r="D574" s="27"/>
    </row>
    <row r="575" spans="2:6" ht="15.75" x14ac:dyDescent="0.25">
      <c r="B575" s="28"/>
      <c r="C575" s="30"/>
      <c r="D575" s="27"/>
    </row>
    <row r="576" spans="2:6" ht="15.75" x14ac:dyDescent="0.25">
      <c r="B576" s="2"/>
      <c r="C576" s="5"/>
      <c r="D576" s="5"/>
    </row>
    <row r="577" spans="2:4" ht="15.75" x14ac:dyDescent="0.25">
      <c r="B577" s="2"/>
      <c r="C577" s="5"/>
      <c r="D577" s="5"/>
    </row>
    <row r="578" spans="2:4" x14ac:dyDescent="0.2">
      <c r="B578" s="28"/>
      <c r="C578" s="27"/>
      <c r="D578" s="27"/>
    </row>
    <row r="579" spans="2:4" ht="15.75" x14ac:dyDescent="0.25">
      <c r="B579" s="2"/>
      <c r="C579" s="5"/>
      <c r="D579" s="5"/>
    </row>
    <row r="580" spans="2:4" ht="15.75" x14ac:dyDescent="0.25">
      <c r="B580" s="2"/>
      <c r="C580" s="37"/>
      <c r="D580" s="27"/>
    </row>
    <row r="581" spans="2:4" x14ac:dyDescent="0.2">
      <c r="B581" s="28"/>
      <c r="C581" s="27"/>
      <c r="D581" s="27"/>
    </row>
    <row r="582" spans="2:4" ht="15.75" x14ac:dyDescent="0.25">
      <c r="B582" s="2"/>
      <c r="C582" s="5"/>
      <c r="D582" s="5"/>
    </row>
    <row r="583" spans="2:4" ht="15.75" x14ac:dyDescent="0.25">
      <c r="B583" s="2"/>
      <c r="C583" s="5"/>
      <c r="D583" s="27"/>
    </row>
    <row r="584" spans="2:4" ht="15.75" x14ac:dyDescent="0.25">
      <c r="B584" s="2"/>
      <c r="C584" s="5"/>
      <c r="D584" s="27"/>
    </row>
    <row r="585" spans="2:4" ht="15.75" x14ac:dyDescent="0.25">
      <c r="B585" s="2"/>
      <c r="C585" s="37"/>
      <c r="D585" s="5"/>
    </row>
    <row r="586" spans="2:4" x14ac:dyDescent="0.2">
      <c r="B586" s="28"/>
      <c r="C586" s="27"/>
      <c r="D586" s="27"/>
    </row>
    <row r="587" spans="2:4" ht="15.75" x14ac:dyDescent="0.25">
      <c r="B587" s="2"/>
      <c r="C587" s="5"/>
      <c r="D587" s="5"/>
    </row>
    <row r="588" spans="2:4" ht="15.75" x14ac:dyDescent="0.25">
      <c r="B588" s="2"/>
      <c r="C588" s="5"/>
      <c r="D588" s="5"/>
    </row>
    <row r="589" spans="2:4" ht="15.75" x14ac:dyDescent="0.25">
      <c r="B589" s="2"/>
      <c r="C589" s="5"/>
      <c r="D589" s="5"/>
    </row>
    <row r="590" spans="2:4" ht="15.75" x14ac:dyDescent="0.25">
      <c r="B590" s="2"/>
      <c r="C590" s="5"/>
      <c r="D590" s="5"/>
    </row>
    <row r="591" spans="2:4" ht="15.75" x14ac:dyDescent="0.25">
      <c r="B591" s="2"/>
      <c r="C591" s="5"/>
      <c r="D591" s="5"/>
    </row>
    <row r="592" spans="2:4" ht="15.75" x14ac:dyDescent="0.25">
      <c r="B592" s="2"/>
      <c r="C592" s="5"/>
      <c r="D592" s="5"/>
    </row>
    <row r="593" spans="2:4" x14ac:dyDescent="0.2">
      <c r="B593" s="28"/>
      <c r="C593" s="27"/>
      <c r="D593" s="27"/>
    </row>
    <row r="594" spans="2:4" ht="15.75" x14ac:dyDescent="0.25">
      <c r="B594" s="2"/>
      <c r="C594" s="5"/>
      <c r="D594" s="27"/>
    </row>
    <row r="595" spans="2:4" ht="15.75" x14ac:dyDescent="0.25">
      <c r="B595" s="2"/>
      <c r="C595" s="3"/>
      <c r="D595" s="5"/>
    </row>
    <row r="596" spans="2:4" x14ac:dyDescent="0.2">
      <c r="B596" s="28"/>
      <c r="C596" s="27"/>
      <c r="D596" s="27"/>
    </row>
    <row r="597" spans="2:4" ht="15.75" x14ac:dyDescent="0.25">
      <c r="B597" s="2"/>
      <c r="C597" s="5"/>
      <c r="D597" s="27"/>
    </row>
    <row r="598" spans="2:4" ht="15.75" x14ac:dyDescent="0.25">
      <c r="B598" s="1"/>
      <c r="C598" s="5"/>
      <c r="D598" s="27"/>
    </row>
    <row r="599" spans="2:4" ht="15.75" x14ac:dyDescent="0.25">
      <c r="B599" s="1"/>
      <c r="C599" s="5"/>
      <c r="D599" s="27"/>
    </row>
    <row r="600" spans="2:4" ht="15.75" x14ac:dyDescent="0.25">
      <c r="B600" s="2"/>
      <c r="C600" s="5"/>
      <c r="D600" s="27"/>
    </row>
    <row r="601" spans="2:4" ht="15.75" x14ac:dyDescent="0.25">
      <c r="B601" s="2"/>
      <c r="C601" s="5"/>
      <c r="D601" s="27"/>
    </row>
    <row r="602" spans="2:4" ht="15.75" x14ac:dyDescent="0.25">
      <c r="B602" s="2"/>
      <c r="C602" s="5"/>
      <c r="D602" s="27"/>
    </row>
    <row r="603" spans="2:4" ht="15.75" x14ac:dyDescent="0.25">
      <c r="B603" s="2"/>
      <c r="C603" s="37"/>
      <c r="D603" s="27"/>
    </row>
    <row r="604" spans="2:4" x14ac:dyDescent="0.2">
      <c r="B604" s="28"/>
      <c r="C604" s="27"/>
      <c r="D604" s="27"/>
    </row>
    <row r="605" spans="2:4" ht="15.75" x14ac:dyDescent="0.25">
      <c r="B605" s="2"/>
      <c r="C605" s="22"/>
      <c r="D605" s="27"/>
    </row>
    <row r="606" spans="2:4" ht="15.75" x14ac:dyDescent="0.25">
      <c r="B606" s="2"/>
      <c r="C606" s="211"/>
      <c r="D606" s="5"/>
    </row>
    <row r="607" spans="2:4" ht="15.75" x14ac:dyDescent="0.25">
      <c r="B607" s="2"/>
      <c r="C607" s="5"/>
      <c r="D607" s="5"/>
    </row>
    <row r="608" spans="2:4" ht="15.75" x14ac:dyDescent="0.25">
      <c r="B608" s="2"/>
      <c r="C608" s="5"/>
      <c r="D608" s="5"/>
    </row>
    <row r="609" spans="2:6" ht="15.75" x14ac:dyDescent="0.25">
      <c r="B609" s="2"/>
      <c r="C609" s="5"/>
      <c r="D609" s="5"/>
    </row>
    <row r="610" spans="2:6" ht="15.75" x14ac:dyDescent="0.25">
      <c r="B610" s="2"/>
      <c r="C610" s="5"/>
      <c r="D610" s="5"/>
    </row>
    <row r="611" spans="2:6" x14ac:dyDescent="0.2">
      <c r="B611" s="28"/>
      <c r="C611" s="27"/>
      <c r="D611" s="27"/>
    </row>
    <row r="612" spans="2:6" x14ac:dyDescent="0.2">
      <c r="B612" s="28"/>
      <c r="C612" s="27"/>
      <c r="D612" s="27"/>
    </row>
    <row r="613" spans="2:6" ht="15.75" x14ac:dyDescent="0.25">
      <c r="B613" s="28"/>
      <c r="C613" s="27"/>
      <c r="D613" s="27"/>
      <c r="F613" s="5"/>
    </row>
    <row r="614" spans="2:6" x14ac:dyDescent="0.2">
      <c r="B614" s="28"/>
      <c r="C614" s="27"/>
      <c r="D614" s="27"/>
    </row>
    <row r="615" spans="2:6" x14ac:dyDescent="0.2">
      <c r="B615" s="28"/>
      <c r="C615" s="27"/>
      <c r="D615" s="27"/>
    </row>
    <row r="616" spans="2:6" x14ac:dyDescent="0.2">
      <c r="B616" s="28"/>
      <c r="C616" s="27"/>
      <c r="D616" s="27"/>
    </row>
    <row r="617" spans="2:6" x14ac:dyDescent="0.2">
      <c r="B617" s="28"/>
      <c r="C617" s="27"/>
      <c r="D617" s="27"/>
    </row>
    <row r="618" spans="2:6" x14ac:dyDescent="0.2">
      <c r="B618" s="28"/>
      <c r="C618" s="27"/>
      <c r="D618" s="27"/>
    </row>
    <row r="619" spans="2:6" x14ac:dyDescent="0.2">
      <c r="B619" s="28"/>
      <c r="C619" s="27"/>
      <c r="D619" s="27"/>
    </row>
    <row r="620" spans="2:6" x14ac:dyDescent="0.2">
      <c r="B620" s="28"/>
      <c r="C620" s="27"/>
      <c r="D620" s="27"/>
    </row>
    <row r="621" spans="2:6" x14ac:dyDescent="0.2">
      <c r="B621" s="28"/>
      <c r="C621" s="27"/>
      <c r="D621" s="27"/>
    </row>
    <row r="622" spans="2:6" x14ac:dyDescent="0.2">
      <c r="B622" s="28"/>
      <c r="C622" s="27"/>
      <c r="D622" s="27"/>
    </row>
    <row r="623" spans="2:6" x14ac:dyDescent="0.2">
      <c r="B623" s="28"/>
      <c r="C623" s="27"/>
      <c r="D623" s="27"/>
    </row>
    <row r="624" spans="2:6" x14ac:dyDescent="0.2">
      <c r="B624" s="28"/>
      <c r="C624" s="27"/>
      <c r="D624" s="27"/>
    </row>
    <row r="625" spans="2:5" x14ac:dyDescent="0.2">
      <c r="B625" s="28"/>
      <c r="C625" s="27"/>
      <c r="D625" s="27"/>
    </row>
    <row r="626" spans="2:5" x14ac:dyDescent="0.2">
      <c r="B626" s="28"/>
      <c r="C626" s="27"/>
      <c r="D626" s="27"/>
    </row>
    <row r="627" spans="2:5" x14ac:dyDescent="0.2">
      <c r="B627" s="28"/>
      <c r="C627" s="27"/>
      <c r="D627" s="27"/>
    </row>
    <row r="628" spans="2:5" x14ac:dyDescent="0.2">
      <c r="B628" s="28"/>
      <c r="C628" s="27"/>
      <c r="D628" s="27"/>
    </row>
    <row r="629" spans="2:5" ht="15.75" x14ac:dyDescent="0.25">
      <c r="B629" s="28"/>
      <c r="C629" s="27"/>
      <c r="D629" s="27"/>
      <c r="E629" s="5"/>
    </row>
    <row r="630" spans="2:5" x14ac:dyDescent="0.2">
      <c r="B630" s="28"/>
      <c r="C630" s="27"/>
      <c r="D630" s="27"/>
    </row>
    <row r="631" spans="2:5" x14ac:dyDescent="0.2">
      <c r="B631" s="28"/>
      <c r="C631" s="27"/>
      <c r="D631" s="27"/>
    </row>
    <row r="632" spans="2:5" x14ac:dyDescent="0.2">
      <c r="B632" s="28"/>
      <c r="C632" s="27"/>
      <c r="D632" s="27"/>
    </row>
    <row r="633" spans="2:5" x14ac:dyDescent="0.2">
      <c r="B633" s="28"/>
      <c r="C633" s="27"/>
      <c r="D633" s="27"/>
    </row>
    <row r="634" spans="2:5" x14ac:dyDescent="0.2">
      <c r="B634" s="28"/>
      <c r="C634" s="27"/>
      <c r="D634" s="27"/>
    </row>
    <row r="635" spans="2:5" x14ac:dyDescent="0.2">
      <c r="B635" s="28"/>
      <c r="C635" s="27"/>
      <c r="D635" s="27"/>
    </row>
    <row r="636" spans="2:5" x14ac:dyDescent="0.2">
      <c r="B636" s="28"/>
      <c r="C636" s="27"/>
      <c r="D636" s="27"/>
    </row>
    <row r="637" spans="2:5" x14ac:dyDescent="0.2">
      <c r="B637" s="28"/>
      <c r="C637" s="27"/>
      <c r="D637" s="27"/>
    </row>
    <row r="638" spans="2:5" x14ac:dyDescent="0.2">
      <c r="B638" s="28"/>
      <c r="C638" s="27"/>
      <c r="D638" s="27"/>
    </row>
    <row r="639" spans="2:5" x14ac:dyDescent="0.2">
      <c r="B639" s="28"/>
      <c r="C639" s="27"/>
      <c r="D639" s="27"/>
    </row>
    <row r="640" spans="2:5" x14ac:dyDescent="0.2">
      <c r="B640" s="28"/>
      <c r="C640" s="27"/>
      <c r="D640" s="27"/>
    </row>
    <row r="641" spans="2:4" x14ac:dyDescent="0.2">
      <c r="B641" s="28"/>
      <c r="C641" s="27"/>
      <c r="D641" s="27"/>
    </row>
    <row r="642" spans="2:4" x14ac:dyDescent="0.2">
      <c r="B642" s="28"/>
      <c r="C642" s="27"/>
      <c r="D642" s="27"/>
    </row>
    <row r="643" spans="2:4" x14ac:dyDescent="0.2">
      <c r="B643" s="28"/>
      <c r="C643" s="27"/>
      <c r="D643" s="27"/>
    </row>
    <row r="644" spans="2:4" x14ac:dyDescent="0.2">
      <c r="B644" s="28"/>
      <c r="C644" s="27"/>
      <c r="D644" s="27"/>
    </row>
    <row r="645" spans="2:4" x14ac:dyDescent="0.2">
      <c r="B645" s="28"/>
      <c r="C645" s="27"/>
      <c r="D645" s="27"/>
    </row>
    <row r="646" spans="2:4" x14ac:dyDescent="0.2">
      <c r="B646" s="28"/>
      <c r="C646" s="27"/>
      <c r="D646" s="27"/>
    </row>
    <row r="647" spans="2:4" x14ac:dyDescent="0.2">
      <c r="B647" s="28"/>
      <c r="C647" s="27"/>
      <c r="D647" s="27"/>
    </row>
    <row r="648" spans="2:4" x14ac:dyDescent="0.2">
      <c r="B648" s="28"/>
      <c r="C648" s="27"/>
      <c r="D648" s="27"/>
    </row>
    <row r="664" spans="2:6" ht="15.75" x14ac:dyDescent="0.25">
      <c r="F664" s="5"/>
    </row>
    <row r="665" spans="2:6" x14ac:dyDescent="0.2">
      <c r="B665" s="28"/>
      <c r="C665" s="27"/>
      <c r="D665" s="27"/>
    </row>
    <row r="666" spans="2:6" x14ac:dyDescent="0.2">
      <c r="B666" s="28"/>
      <c r="C666" s="27"/>
      <c r="D666" s="27"/>
    </row>
    <row r="667" spans="2:6" x14ac:dyDescent="0.2">
      <c r="B667" s="28"/>
      <c r="C667" s="27"/>
      <c r="D667" s="27"/>
    </row>
    <row r="668" spans="2:6" x14ac:dyDescent="0.2">
      <c r="B668" s="28"/>
      <c r="C668" s="27"/>
      <c r="D668" s="27"/>
    </row>
    <row r="669" spans="2:6" x14ac:dyDescent="0.2">
      <c r="B669" s="28"/>
      <c r="C669" s="27"/>
      <c r="D669" s="27"/>
    </row>
    <row r="670" spans="2:6" x14ac:dyDescent="0.2">
      <c r="B670" s="28"/>
      <c r="C670" s="27"/>
      <c r="D670" s="27"/>
    </row>
    <row r="671" spans="2:6" x14ac:dyDescent="0.2">
      <c r="B671" s="28"/>
      <c r="C671" s="27"/>
      <c r="D671" s="27"/>
    </row>
    <row r="672" spans="2:6" x14ac:dyDescent="0.2">
      <c r="B672" s="28"/>
      <c r="C672" s="27"/>
      <c r="D672" s="27"/>
    </row>
    <row r="673" spans="2:5" x14ac:dyDescent="0.2">
      <c r="B673" s="28"/>
      <c r="C673" s="27"/>
      <c r="D673" s="27"/>
    </row>
    <row r="674" spans="2:5" x14ac:dyDescent="0.2">
      <c r="B674" s="28"/>
      <c r="C674" s="27"/>
      <c r="D674" s="27"/>
    </row>
    <row r="675" spans="2:5" x14ac:dyDescent="0.2">
      <c r="B675" s="28"/>
      <c r="C675" s="27"/>
      <c r="D675" s="27"/>
    </row>
    <row r="676" spans="2:5" x14ac:dyDescent="0.2">
      <c r="B676" s="28"/>
      <c r="C676" s="27"/>
      <c r="D676" s="27"/>
    </row>
    <row r="677" spans="2:5" x14ac:dyDescent="0.2">
      <c r="B677" s="28"/>
      <c r="C677" s="27"/>
      <c r="D677" s="27"/>
    </row>
    <row r="678" spans="2:5" x14ac:dyDescent="0.2">
      <c r="B678" s="28"/>
      <c r="C678" s="27"/>
      <c r="D678" s="27"/>
    </row>
    <row r="679" spans="2:5" x14ac:dyDescent="0.2">
      <c r="B679" s="28"/>
      <c r="C679" s="27"/>
      <c r="D679" s="27"/>
    </row>
    <row r="680" spans="2:5" x14ac:dyDescent="0.2">
      <c r="B680" s="28"/>
      <c r="C680" s="27"/>
      <c r="D680" s="27"/>
    </row>
    <row r="681" spans="2:5" x14ac:dyDescent="0.2">
      <c r="B681" s="28"/>
      <c r="C681" s="27"/>
      <c r="D681" s="27"/>
    </row>
    <row r="682" spans="2:5" x14ac:dyDescent="0.2">
      <c r="B682" s="28"/>
      <c r="C682" s="27"/>
      <c r="D682" s="27"/>
    </row>
    <row r="683" spans="2:5" x14ac:dyDescent="0.2">
      <c r="B683" s="28"/>
      <c r="C683" s="27"/>
      <c r="D683" s="27"/>
    </row>
    <row r="684" spans="2:5" x14ac:dyDescent="0.2">
      <c r="B684" s="28"/>
      <c r="C684" s="27"/>
      <c r="D684" s="27"/>
    </row>
    <row r="685" spans="2:5" x14ac:dyDescent="0.2">
      <c r="B685" s="28"/>
      <c r="C685" s="27"/>
      <c r="D685" s="27"/>
    </row>
    <row r="686" spans="2:5" x14ac:dyDescent="0.2">
      <c r="B686" s="28"/>
      <c r="C686" s="27"/>
      <c r="D686" s="27"/>
    </row>
    <row r="687" spans="2:5" ht="15.75" x14ac:dyDescent="0.25">
      <c r="B687" s="28"/>
      <c r="C687" s="27"/>
      <c r="D687" s="27"/>
      <c r="E687" s="2"/>
    </row>
    <row r="688" spans="2:5" x14ac:dyDescent="0.2">
      <c r="B688" s="28"/>
      <c r="C688" s="27"/>
      <c r="D688" s="27"/>
    </row>
    <row r="689" spans="2:4" x14ac:dyDescent="0.2">
      <c r="B689" s="28"/>
      <c r="C689" s="27"/>
      <c r="D689" s="27"/>
    </row>
    <row r="690" spans="2:4" x14ac:dyDescent="0.2">
      <c r="B690" s="28"/>
      <c r="C690" s="27"/>
      <c r="D690" s="27"/>
    </row>
    <row r="691" spans="2:4" x14ac:dyDescent="0.2">
      <c r="B691" s="28"/>
      <c r="C691" s="27"/>
      <c r="D691" s="27"/>
    </row>
    <row r="692" spans="2:4" x14ac:dyDescent="0.2">
      <c r="B692" s="28"/>
      <c r="C692" s="27"/>
      <c r="D692" s="27"/>
    </row>
    <row r="693" spans="2:4" x14ac:dyDescent="0.2">
      <c r="B693" s="28"/>
      <c r="C693" s="27"/>
      <c r="D693" s="27"/>
    </row>
    <row r="694" spans="2:4" x14ac:dyDescent="0.2">
      <c r="B694" s="28"/>
      <c r="C694" s="27"/>
      <c r="D694" s="27"/>
    </row>
    <row r="695" spans="2:4" x14ac:dyDescent="0.2">
      <c r="B695" s="28"/>
      <c r="C695" s="27"/>
      <c r="D695" s="27"/>
    </row>
    <row r="696" spans="2:4" x14ac:dyDescent="0.2">
      <c r="B696" s="28"/>
      <c r="C696" s="27"/>
      <c r="D696" s="27"/>
    </row>
    <row r="697" spans="2:4" x14ac:dyDescent="0.2">
      <c r="B697" s="28"/>
      <c r="C697" s="27"/>
      <c r="D697" s="27"/>
    </row>
    <row r="698" spans="2:4" x14ac:dyDescent="0.2">
      <c r="B698" s="28"/>
      <c r="C698" s="27"/>
      <c r="D698" s="27"/>
    </row>
    <row r="699" spans="2:4" x14ac:dyDescent="0.2">
      <c r="B699" s="28"/>
      <c r="C699" s="27"/>
      <c r="D699" s="27"/>
    </row>
    <row r="700" spans="2:4" x14ac:dyDescent="0.2">
      <c r="B700" s="28"/>
      <c r="C700" s="27"/>
      <c r="D700" s="27"/>
    </row>
    <row r="701" spans="2:4" x14ac:dyDescent="0.2">
      <c r="B701" s="28"/>
      <c r="C701" s="27"/>
      <c r="D701" s="27"/>
    </row>
    <row r="702" spans="2:4" x14ac:dyDescent="0.2">
      <c r="B702" s="28"/>
      <c r="C702" s="27"/>
      <c r="D702" s="27"/>
    </row>
    <row r="703" spans="2:4" x14ac:dyDescent="0.2">
      <c r="B703" s="28"/>
      <c r="C703" s="27"/>
      <c r="D703" s="27"/>
    </row>
    <row r="704" spans="2:4" x14ac:dyDescent="0.2">
      <c r="B704" s="28"/>
      <c r="C704" s="27"/>
      <c r="D704" s="27"/>
    </row>
    <row r="705" spans="2:6" x14ac:dyDescent="0.2">
      <c r="B705" s="22"/>
      <c r="C705" s="27"/>
      <c r="D705" s="212"/>
    </row>
    <row r="706" spans="2:6" x14ac:dyDescent="0.2">
      <c r="B706" s="213"/>
      <c r="C706" s="27"/>
      <c r="D706" s="27"/>
    </row>
    <row r="707" spans="2:6" x14ac:dyDescent="0.2">
      <c r="B707" s="22"/>
      <c r="C707" s="27"/>
      <c r="D707" s="27"/>
    </row>
    <row r="708" spans="2:6" x14ac:dyDescent="0.2">
      <c r="B708" s="22"/>
      <c r="C708" s="27"/>
      <c r="D708" s="27"/>
    </row>
    <row r="709" spans="2:6" x14ac:dyDescent="0.2">
      <c r="B709" s="22"/>
      <c r="C709" s="27"/>
      <c r="D709" s="27"/>
    </row>
    <row r="710" spans="2:6" x14ac:dyDescent="0.2">
      <c r="B710" s="22"/>
      <c r="C710" s="27"/>
      <c r="D710" s="27"/>
    </row>
    <row r="711" spans="2:6" x14ac:dyDescent="0.2">
      <c r="B711" s="22"/>
      <c r="C711" s="27"/>
      <c r="D711" s="27"/>
    </row>
    <row r="712" spans="2:6" x14ac:dyDescent="0.2">
      <c r="B712" s="22"/>
      <c r="C712" s="27"/>
      <c r="D712" s="27"/>
    </row>
    <row r="713" spans="2:6" x14ac:dyDescent="0.2">
      <c r="B713" s="28"/>
      <c r="C713" s="27"/>
      <c r="D713" s="27"/>
    </row>
    <row r="714" spans="2:6" x14ac:dyDescent="0.2">
      <c r="B714" s="28"/>
      <c r="C714" s="27"/>
      <c r="D714" s="27"/>
    </row>
    <row r="715" spans="2:6" ht="15.75" x14ac:dyDescent="0.25">
      <c r="B715" s="28"/>
      <c r="C715" s="27"/>
      <c r="D715" s="27"/>
      <c r="F715" s="5"/>
    </row>
    <row r="716" spans="2:6" x14ac:dyDescent="0.2">
      <c r="B716" s="28"/>
      <c r="C716" s="27"/>
      <c r="D716" s="27"/>
    </row>
    <row r="717" spans="2:6" x14ac:dyDescent="0.2">
      <c r="B717" s="28"/>
      <c r="C717" s="27"/>
      <c r="D717" s="27"/>
    </row>
    <row r="718" spans="2:6" x14ac:dyDescent="0.2">
      <c r="B718" s="28"/>
      <c r="C718" s="27"/>
      <c r="D718" s="27"/>
    </row>
    <row r="719" spans="2:6" x14ac:dyDescent="0.2">
      <c r="B719" s="28"/>
      <c r="C719" s="27"/>
      <c r="D719" s="27"/>
    </row>
    <row r="720" spans="2:6" x14ac:dyDescent="0.2">
      <c r="B720" s="28"/>
      <c r="C720" s="27"/>
      <c r="D720" s="27"/>
    </row>
    <row r="721" spans="2:4" x14ac:dyDescent="0.2">
      <c r="B721" s="28"/>
      <c r="C721" s="27"/>
      <c r="D721" s="27"/>
    </row>
    <row r="722" spans="2:4" x14ac:dyDescent="0.2">
      <c r="B722" s="28"/>
      <c r="C722" s="27"/>
      <c r="D722" s="27"/>
    </row>
    <row r="723" spans="2:4" x14ac:dyDescent="0.2">
      <c r="B723" s="28"/>
      <c r="C723" s="27"/>
      <c r="D723" s="27"/>
    </row>
    <row r="724" spans="2:4" x14ac:dyDescent="0.2">
      <c r="B724" s="28"/>
      <c r="C724" s="27"/>
      <c r="D724" s="27"/>
    </row>
    <row r="725" spans="2:4" x14ac:dyDescent="0.2">
      <c r="B725" s="28"/>
      <c r="C725" s="27"/>
      <c r="D725" s="27"/>
    </row>
    <row r="726" spans="2:4" x14ac:dyDescent="0.2">
      <c r="B726" s="28"/>
      <c r="C726" s="27"/>
      <c r="D726" s="27"/>
    </row>
    <row r="727" spans="2:4" x14ac:dyDescent="0.2">
      <c r="B727" s="28"/>
      <c r="C727" s="27"/>
      <c r="D727" s="27"/>
    </row>
    <row r="728" spans="2:4" x14ac:dyDescent="0.2">
      <c r="B728" s="28"/>
      <c r="C728" s="27"/>
      <c r="D728" s="27"/>
    </row>
    <row r="729" spans="2:4" x14ac:dyDescent="0.2">
      <c r="B729" s="28"/>
      <c r="C729" s="27"/>
      <c r="D729" s="27"/>
    </row>
    <row r="730" spans="2:4" x14ac:dyDescent="0.2">
      <c r="B730" s="28"/>
      <c r="C730" s="27"/>
      <c r="D730" s="27"/>
    </row>
    <row r="731" spans="2:4" x14ac:dyDescent="0.2">
      <c r="B731" s="28"/>
      <c r="C731" s="27"/>
      <c r="D731" s="27"/>
    </row>
    <row r="732" spans="2:4" x14ac:dyDescent="0.2">
      <c r="B732" s="28"/>
      <c r="C732" s="27"/>
      <c r="D732" s="27"/>
    </row>
    <row r="733" spans="2:4" x14ac:dyDescent="0.2">
      <c r="B733" s="28"/>
      <c r="C733" s="27"/>
      <c r="D733" s="27"/>
    </row>
    <row r="734" spans="2:4" x14ac:dyDescent="0.2">
      <c r="B734" s="28"/>
      <c r="C734" s="27"/>
      <c r="D734" s="27"/>
    </row>
    <row r="735" spans="2:4" x14ac:dyDescent="0.2">
      <c r="B735" s="28"/>
      <c r="C735" s="27"/>
      <c r="D735" s="27"/>
    </row>
    <row r="736" spans="2:4" x14ac:dyDescent="0.2">
      <c r="B736" s="28"/>
      <c r="C736" s="27"/>
      <c r="D736" s="27"/>
    </row>
    <row r="737" spans="2:4" x14ac:dyDescent="0.2">
      <c r="B737" s="28"/>
      <c r="C737" s="27"/>
      <c r="D737" s="27"/>
    </row>
    <row r="738" spans="2:4" x14ac:dyDescent="0.2">
      <c r="B738" s="28"/>
      <c r="C738" s="27"/>
      <c r="D738" s="27"/>
    </row>
    <row r="739" spans="2:4" x14ac:dyDescent="0.2">
      <c r="B739" s="28"/>
      <c r="C739" s="27"/>
      <c r="D739" s="27"/>
    </row>
    <row r="740" spans="2:4" x14ac:dyDescent="0.2">
      <c r="B740" s="28"/>
      <c r="C740" s="27"/>
      <c r="D740" s="27"/>
    </row>
    <row r="741" spans="2:4" x14ac:dyDescent="0.2">
      <c r="B741" s="22"/>
      <c r="C741" s="27"/>
      <c r="D741" s="27"/>
    </row>
    <row r="742" spans="2:4" x14ac:dyDescent="0.2">
      <c r="B742" s="28"/>
      <c r="C742" s="27"/>
      <c r="D742" s="27"/>
    </row>
    <row r="743" spans="2:4" x14ac:dyDescent="0.2">
      <c r="B743" s="28"/>
      <c r="C743" s="27"/>
      <c r="D743" s="27"/>
    </row>
    <row r="744" spans="2:4" x14ac:dyDescent="0.2">
      <c r="B744" s="28"/>
      <c r="C744" s="27"/>
      <c r="D744" s="27"/>
    </row>
    <row r="745" spans="2:4" x14ac:dyDescent="0.2">
      <c r="B745" s="28"/>
      <c r="C745" s="27"/>
      <c r="D745" s="27"/>
    </row>
    <row r="746" spans="2:4" x14ac:dyDescent="0.2">
      <c r="B746" s="28"/>
      <c r="C746" s="27"/>
      <c r="D746" s="27"/>
    </row>
    <row r="747" spans="2:4" x14ac:dyDescent="0.2">
      <c r="B747" s="28"/>
      <c r="C747" s="27"/>
      <c r="D747" s="27"/>
    </row>
    <row r="748" spans="2:4" x14ac:dyDescent="0.2">
      <c r="B748" s="28"/>
      <c r="C748" s="27"/>
      <c r="D748" s="27"/>
    </row>
    <row r="749" spans="2:4" x14ac:dyDescent="0.2">
      <c r="B749" s="28"/>
      <c r="C749" s="27"/>
      <c r="D749" s="27"/>
    </row>
    <row r="750" spans="2:4" x14ac:dyDescent="0.2">
      <c r="B750" s="28"/>
      <c r="C750" s="27"/>
      <c r="D750" s="27"/>
    </row>
    <row r="751" spans="2:4" x14ac:dyDescent="0.2">
      <c r="B751" s="28"/>
      <c r="C751" s="27"/>
      <c r="D751" s="27"/>
    </row>
    <row r="752" spans="2:4" x14ac:dyDescent="0.2">
      <c r="B752" s="28"/>
      <c r="C752" s="27"/>
      <c r="D752" s="27"/>
    </row>
    <row r="753" spans="2:6" x14ac:dyDescent="0.2">
      <c r="B753" s="28"/>
      <c r="C753" s="27"/>
      <c r="D753" s="27"/>
    </row>
    <row r="754" spans="2:6" x14ac:dyDescent="0.2">
      <c r="B754" s="28"/>
      <c r="C754" s="27"/>
      <c r="D754" s="27"/>
    </row>
    <row r="755" spans="2:6" x14ac:dyDescent="0.2">
      <c r="B755" s="28"/>
      <c r="C755" s="27"/>
      <c r="D755" s="27"/>
    </row>
    <row r="756" spans="2:6" x14ac:dyDescent="0.2">
      <c r="B756" s="28"/>
      <c r="C756" s="27"/>
      <c r="D756" s="27"/>
    </row>
    <row r="757" spans="2:6" x14ac:dyDescent="0.2">
      <c r="B757" s="28"/>
      <c r="C757" s="27"/>
      <c r="D757" s="27"/>
    </row>
    <row r="758" spans="2:6" x14ac:dyDescent="0.2">
      <c r="B758" s="28"/>
      <c r="C758" s="27"/>
      <c r="D758" s="27"/>
    </row>
    <row r="759" spans="2:6" x14ac:dyDescent="0.2">
      <c r="B759" s="28"/>
      <c r="C759" s="27"/>
      <c r="D759" s="27"/>
    </row>
    <row r="760" spans="2:6" x14ac:dyDescent="0.2">
      <c r="B760" s="28"/>
      <c r="C760" s="27"/>
      <c r="D760" s="27"/>
    </row>
    <row r="761" spans="2:6" x14ac:dyDescent="0.2">
      <c r="B761" s="28"/>
      <c r="C761" s="27"/>
      <c r="D761" s="27"/>
    </row>
    <row r="762" spans="2:6" x14ac:dyDescent="0.2">
      <c r="B762" s="28"/>
      <c r="C762" s="27"/>
      <c r="D762" s="27"/>
    </row>
    <row r="763" spans="2:6" x14ac:dyDescent="0.2">
      <c r="B763" s="28"/>
      <c r="C763" s="27"/>
      <c r="D763" s="27"/>
    </row>
    <row r="764" spans="2:6" x14ac:dyDescent="0.2">
      <c r="B764" s="28"/>
      <c r="C764" s="27"/>
      <c r="D764" s="27"/>
    </row>
    <row r="765" spans="2:6" x14ac:dyDescent="0.2">
      <c r="B765" s="28"/>
      <c r="C765" s="27"/>
      <c r="D765" s="27"/>
    </row>
    <row r="766" spans="2:6" ht="15.75" x14ac:dyDescent="0.25">
      <c r="B766" s="28"/>
      <c r="C766" s="27"/>
      <c r="D766" s="27"/>
      <c r="F766" s="2"/>
    </row>
    <row r="767" spans="2:6" x14ac:dyDescent="0.2">
      <c r="B767" s="22"/>
      <c r="C767" s="27"/>
      <c r="D767" s="27"/>
    </row>
    <row r="768" spans="2:6" x14ac:dyDescent="0.2">
      <c r="B768" s="28"/>
      <c r="C768" s="27"/>
      <c r="D768" s="27"/>
    </row>
    <row r="769" spans="2:4" ht="15.75" x14ac:dyDescent="0.25">
      <c r="B769" s="2"/>
      <c r="C769" s="27"/>
      <c r="D769" s="27"/>
    </row>
    <row r="770" spans="2:4" x14ac:dyDescent="0.2">
      <c r="B770" s="28"/>
      <c r="C770" s="27"/>
      <c r="D770" s="27"/>
    </row>
    <row r="771" spans="2:4" x14ac:dyDescent="0.2">
      <c r="B771" s="28"/>
      <c r="C771" s="27"/>
      <c r="D771" s="27"/>
    </row>
    <row r="772" spans="2:4" x14ac:dyDescent="0.2">
      <c r="B772" s="28"/>
      <c r="C772" s="27"/>
      <c r="D772" s="27"/>
    </row>
    <row r="773" spans="2:4" x14ac:dyDescent="0.2">
      <c r="B773" s="28"/>
      <c r="C773" s="27"/>
      <c r="D773" s="27"/>
    </row>
    <row r="774" spans="2:4" x14ac:dyDescent="0.2">
      <c r="B774" s="28"/>
      <c r="C774" s="27"/>
      <c r="D774" s="27"/>
    </row>
    <row r="775" spans="2:4" x14ac:dyDescent="0.2">
      <c r="B775" s="28"/>
      <c r="C775" s="27"/>
      <c r="D775" s="27"/>
    </row>
    <row r="776" spans="2:4" ht="15.75" x14ac:dyDescent="0.25">
      <c r="B776" s="28"/>
      <c r="C776" s="30"/>
      <c r="D776" s="27"/>
    </row>
    <row r="777" spans="2:4" x14ac:dyDescent="0.2">
      <c r="B777" s="28"/>
      <c r="C777" s="58"/>
      <c r="D777" s="27"/>
    </row>
    <row r="778" spans="2:4" x14ac:dyDescent="0.2">
      <c r="B778" s="28"/>
      <c r="C778" s="58"/>
      <c r="D778" s="27"/>
    </row>
    <row r="779" spans="2:4" x14ac:dyDescent="0.2">
      <c r="B779" s="28"/>
      <c r="C779" s="58"/>
      <c r="D779" s="27"/>
    </row>
    <row r="780" spans="2:4" x14ac:dyDescent="0.2">
      <c r="B780" s="28"/>
      <c r="C780" s="58"/>
      <c r="D780" s="27"/>
    </row>
    <row r="781" spans="2:4" x14ac:dyDescent="0.2">
      <c r="B781" s="28"/>
      <c r="C781" s="27"/>
      <c r="D781" s="27"/>
    </row>
    <row r="782" spans="2:4" ht="15.75" x14ac:dyDescent="0.25">
      <c r="B782" s="28"/>
      <c r="C782" s="30"/>
      <c r="D782" s="27"/>
    </row>
    <row r="783" spans="2:4" ht="15.75" x14ac:dyDescent="0.25">
      <c r="B783" s="2"/>
      <c r="C783" s="5"/>
      <c r="D783" s="5"/>
    </row>
    <row r="784" spans="2:4" ht="15.75" x14ac:dyDescent="0.25">
      <c r="B784" s="2"/>
      <c r="C784" s="37"/>
      <c r="D784" s="5"/>
    </row>
    <row r="785" spans="2:4" ht="15.75" x14ac:dyDescent="0.25">
      <c r="B785" s="2"/>
      <c r="C785" s="5"/>
      <c r="D785" s="5"/>
    </row>
    <row r="786" spans="2:4" ht="15.75" x14ac:dyDescent="0.25">
      <c r="B786" s="2"/>
      <c r="C786" s="202"/>
      <c r="D786" s="5"/>
    </row>
    <row r="787" spans="2:4" ht="15.75" x14ac:dyDescent="0.25">
      <c r="B787" s="2"/>
      <c r="C787" s="5"/>
      <c r="D787" s="5"/>
    </row>
    <row r="788" spans="2:4" ht="15.75" x14ac:dyDescent="0.25">
      <c r="B788" s="2"/>
      <c r="C788" s="3"/>
      <c r="D788" s="5"/>
    </row>
    <row r="789" spans="2:4" ht="15.75" x14ac:dyDescent="0.25">
      <c r="B789" s="2"/>
      <c r="C789" s="5"/>
      <c r="D789" s="5"/>
    </row>
    <row r="790" spans="2:4" ht="15.75" x14ac:dyDescent="0.25">
      <c r="B790" s="2"/>
      <c r="C790" s="1"/>
      <c r="D790" s="5"/>
    </row>
    <row r="791" spans="2:4" ht="15.75" x14ac:dyDescent="0.25">
      <c r="B791" s="2"/>
      <c r="C791" s="5"/>
      <c r="D791" s="4"/>
    </row>
    <row r="792" spans="2:4" x14ac:dyDescent="0.2">
      <c r="B792" s="28"/>
      <c r="C792" s="27"/>
    </row>
    <row r="793" spans="2:4" ht="15.75" x14ac:dyDescent="0.25">
      <c r="B793" s="1"/>
      <c r="C793" s="27"/>
    </row>
    <row r="794" spans="2:4" ht="15.75" x14ac:dyDescent="0.25">
      <c r="B794" s="1"/>
      <c r="C794" s="5"/>
    </row>
    <row r="795" spans="2:4" ht="15.75" x14ac:dyDescent="0.25">
      <c r="B795" s="1"/>
      <c r="C795" s="5"/>
    </row>
    <row r="796" spans="2:4" ht="15.75" x14ac:dyDescent="0.25">
      <c r="B796" s="2"/>
      <c r="C796" s="1"/>
    </row>
    <row r="797" spans="2:4" ht="15.75" x14ac:dyDescent="0.25">
      <c r="B797" s="2"/>
      <c r="C797" s="1"/>
    </row>
    <row r="798" spans="2:4" ht="15.75" x14ac:dyDescent="0.25">
      <c r="B798" s="2"/>
      <c r="C798" s="1"/>
    </row>
    <row r="799" spans="2:4" ht="15.75" x14ac:dyDescent="0.25">
      <c r="B799" s="2"/>
      <c r="C799" s="1"/>
    </row>
    <row r="800" spans="2:4" ht="15.75" x14ac:dyDescent="0.25">
      <c r="B800" s="2"/>
      <c r="C800" s="1"/>
    </row>
    <row r="802" spans="2:5" x14ac:dyDescent="0.2">
      <c r="B802" s="28"/>
      <c r="C802" s="27"/>
      <c r="D802" s="27"/>
    </row>
    <row r="803" spans="2:5" ht="15.75" x14ac:dyDescent="0.25">
      <c r="B803" s="2"/>
      <c r="C803" s="22"/>
      <c r="D803" s="27"/>
    </row>
    <row r="804" spans="2:5" x14ac:dyDescent="0.2">
      <c r="B804" s="212"/>
      <c r="C804" s="27"/>
      <c r="D804" s="27"/>
    </row>
    <row r="805" spans="2:5" x14ac:dyDescent="0.2">
      <c r="B805" s="28"/>
      <c r="C805" s="27"/>
      <c r="D805" s="27"/>
    </row>
    <row r="806" spans="2:5" ht="15.75" x14ac:dyDescent="0.25">
      <c r="B806" s="2"/>
      <c r="C806" s="30"/>
      <c r="D806" s="27"/>
    </row>
    <row r="807" spans="2:5" x14ac:dyDescent="0.2">
      <c r="B807" s="28"/>
      <c r="C807" s="128"/>
      <c r="D807" s="27"/>
    </row>
    <row r="808" spans="2:5" x14ac:dyDescent="0.2">
      <c r="B808" s="28"/>
      <c r="C808" s="58"/>
      <c r="D808" s="27"/>
    </row>
    <row r="809" spans="2:5" x14ac:dyDescent="0.2">
      <c r="B809" s="28"/>
      <c r="C809" s="58"/>
      <c r="D809" s="27"/>
    </row>
    <row r="810" spans="2:5" x14ac:dyDescent="0.2">
      <c r="B810" s="28"/>
      <c r="C810" s="58"/>
      <c r="D810" s="27"/>
    </row>
    <row r="811" spans="2:5" x14ac:dyDescent="0.2">
      <c r="B811" s="28"/>
      <c r="C811" s="58"/>
      <c r="D811" s="27"/>
    </row>
    <row r="812" spans="2:5" ht="15.75" x14ac:dyDescent="0.25">
      <c r="B812" s="28"/>
      <c r="C812" s="58"/>
      <c r="D812" s="27"/>
      <c r="E812" s="1"/>
    </row>
    <row r="813" spans="2:5" x14ac:dyDescent="0.2">
      <c r="B813" s="28"/>
      <c r="C813" s="58"/>
      <c r="D813" s="27"/>
      <c r="E813" s="59"/>
    </row>
    <row r="814" spans="2:5" x14ac:dyDescent="0.2">
      <c r="B814" s="28"/>
      <c r="C814" s="58"/>
      <c r="D814" s="27"/>
      <c r="E814" s="59"/>
    </row>
    <row r="815" spans="2:5" x14ac:dyDescent="0.2">
      <c r="B815" s="28"/>
      <c r="C815" s="58"/>
      <c r="D815" s="27"/>
      <c r="E815" s="59"/>
    </row>
    <row r="816" spans="2:5" x14ac:dyDescent="0.2">
      <c r="B816" s="28"/>
      <c r="C816" s="58"/>
      <c r="D816" s="27"/>
    </row>
    <row r="817" spans="2:6" ht="15.75" x14ac:dyDescent="0.25">
      <c r="B817" s="28"/>
      <c r="C817" s="27"/>
      <c r="D817" s="27"/>
      <c r="F817" s="5"/>
    </row>
    <row r="818" spans="2:6" ht="15.75" x14ac:dyDescent="0.25">
      <c r="B818" s="28"/>
      <c r="C818" s="30"/>
      <c r="D818" s="27"/>
    </row>
    <row r="819" spans="2:6" x14ac:dyDescent="0.2">
      <c r="B819" s="28"/>
      <c r="C819" s="27"/>
      <c r="D819" s="27"/>
    </row>
    <row r="820" spans="2:6" ht="15.75" x14ac:dyDescent="0.25">
      <c r="B820" s="2"/>
      <c r="C820" s="5"/>
      <c r="D820" s="5"/>
    </row>
    <row r="821" spans="2:6" ht="15.75" x14ac:dyDescent="0.25">
      <c r="B821" s="2"/>
      <c r="C821" s="3"/>
      <c r="D821" s="5"/>
    </row>
    <row r="822" spans="2:6" ht="15.75" x14ac:dyDescent="0.25">
      <c r="B822" s="2"/>
      <c r="C822" s="5"/>
      <c r="D822" s="5"/>
    </row>
    <row r="823" spans="2:6" ht="15.75" x14ac:dyDescent="0.25">
      <c r="B823" s="2"/>
      <c r="C823" s="37"/>
      <c r="D823" s="5"/>
    </row>
    <row r="824" spans="2:6" ht="15.75" x14ac:dyDescent="0.25">
      <c r="B824" s="2"/>
      <c r="C824" s="5"/>
      <c r="D824" s="5"/>
    </row>
    <row r="825" spans="2:6" ht="15.75" x14ac:dyDescent="0.25">
      <c r="B825" s="2"/>
      <c r="C825" s="5"/>
      <c r="D825" s="5"/>
    </row>
    <row r="826" spans="2:6" ht="15.75" x14ac:dyDescent="0.25">
      <c r="B826" s="2"/>
      <c r="C826" s="51"/>
      <c r="D826" s="5"/>
    </row>
    <row r="827" spans="2:6" x14ac:dyDescent="0.2">
      <c r="B827" s="28"/>
      <c r="C827" s="27"/>
      <c r="D827" s="27"/>
    </row>
    <row r="828" spans="2:6" x14ac:dyDescent="0.2">
      <c r="B828" s="28"/>
      <c r="C828" s="27"/>
      <c r="D828" s="27"/>
    </row>
    <row r="829" spans="2:6" x14ac:dyDescent="0.2">
      <c r="B829" s="28"/>
      <c r="C829" s="27"/>
      <c r="D829" s="27"/>
    </row>
    <row r="830" spans="2:6" x14ac:dyDescent="0.2">
      <c r="B830" s="28"/>
      <c r="C830" s="27"/>
      <c r="D830" s="27"/>
    </row>
    <row r="831" spans="2:6" x14ac:dyDescent="0.2">
      <c r="B831" s="22"/>
      <c r="C831" s="27"/>
      <c r="D831" s="27"/>
    </row>
    <row r="832" spans="2:6" x14ac:dyDescent="0.2">
      <c r="B832" s="22"/>
      <c r="C832" s="27"/>
      <c r="D832" s="27"/>
    </row>
    <row r="833" spans="2:4" x14ac:dyDescent="0.2">
      <c r="B833" s="212"/>
      <c r="C833" s="27"/>
      <c r="D833" s="27"/>
    </row>
    <row r="834" spans="2:4" x14ac:dyDescent="0.2">
      <c r="B834" s="22"/>
      <c r="C834" s="27"/>
      <c r="D834" s="27"/>
    </row>
    <row r="835" spans="2:4" x14ac:dyDescent="0.2">
      <c r="B835" s="22"/>
      <c r="C835" s="27"/>
      <c r="D835" s="27"/>
    </row>
    <row r="836" spans="2:4" x14ac:dyDescent="0.2">
      <c r="B836" s="22"/>
      <c r="C836" s="27"/>
      <c r="D836" s="27"/>
    </row>
    <row r="837" spans="2:4" x14ac:dyDescent="0.2">
      <c r="B837" s="22"/>
      <c r="C837" s="27"/>
      <c r="D837" s="27"/>
    </row>
    <row r="838" spans="2:4" x14ac:dyDescent="0.2">
      <c r="B838" s="22"/>
      <c r="C838" s="27"/>
      <c r="D838" s="27"/>
    </row>
    <row r="839" spans="2:4" x14ac:dyDescent="0.2">
      <c r="B839" s="22"/>
      <c r="C839" s="27"/>
      <c r="D839" s="27"/>
    </row>
    <row r="840" spans="2:4" x14ac:dyDescent="0.2">
      <c r="B840" s="22"/>
      <c r="C840" s="27"/>
      <c r="D840" s="27"/>
    </row>
    <row r="841" spans="2:4" x14ac:dyDescent="0.2">
      <c r="B841" s="22"/>
      <c r="C841" s="27"/>
      <c r="D841" s="27"/>
    </row>
    <row r="842" spans="2:4" x14ac:dyDescent="0.2">
      <c r="B842" s="22"/>
      <c r="C842" s="27"/>
      <c r="D842" s="27"/>
    </row>
    <row r="843" spans="2:4" x14ac:dyDescent="0.2">
      <c r="B843" s="22"/>
      <c r="C843" s="27"/>
      <c r="D843" s="27"/>
    </row>
    <row r="844" spans="2:4" x14ac:dyDescent="0.2">
      <c r="B844" s="28"/>
      <c r="C844" s="27"/>
      <c r="D844" s="27"/>
    </row>
    <row r="845" spans="2:4" ht="15.75" x14ac:dyDescent="0.25">
      <c r="B845" s="1"/>
      <c r="C845" s="27"/>
      <c r="D845" s="27"/>
    </row>
    <row r="846" spans="2:4" ht="15.75" x14ac:dyDescent="0.25">
      <c r="B846" s="28"/>
      <c r="C846" s="88"/>
      <c r="D846" s="27"/>
    </row>
    <row r="847" spans="2:4" ht="15.75" x14ac:dyDescent="0.25">
      <c r="B847" s="2"/>
      <c r="C847" s="5"/>
      <c r="D847" s="5"/>
    </row>
    <row r="848" spans="2:4" ht="15.75" x14ac:dyDescent="0.25">
      <c r="B848" s="2"/>
      <c r="C848" s="5"/>
      <c r="D848" s="5"/>
    </row>
    <row r="849" spans="2:5" ht="15.75" x14ac:dyDescent="0.25">
      <c r="B849" s="2"/>
      <c r="C849" s="202"/>
      <c r="D849" s="5"/>
    </row>
    <row r="850" spans="2:5" ht="15.75" x14ac:dyDescent="0.25">
      <c r="B850" s="2"/>
      <c r="C850" s="5"/>
      <c r="D850" s="5"/>
    </row>
    <row r="851" spans="2:5" ht="15.75" x14ac:dyDescent="0.25">
      <c r="B851" s="2"/>
      <c r="C851" s="202"/>
      <c r="D851" s="5"/>
    </row>
    <row r="852" spans="2:5" ht="15.75" x14ac:dyDescent="0.25">
      <c r="B852" s="2"/>
      <c r="C852" s="5"/>
      <c r="D852" s="5"/>
    </row>
    <row r="853" spans="2:5" ht="15.75" x14ac:dyDescent="0.25">
      <c r="B853" s="2"/>
      <c r="C853" s="5"/>
      <c r="D853" s="5"/>
    </row>
    <row r="854" spans="2:5" ht="15.75" x14ac:dyDescent="0.25">
      <c r="B854" s="2"/>
      <c r="C854" s="5"/>
      <c r="D854" s="5"/>
      <c r="E854" s="27"/>
    </row>
    <row r="855" spans="2:5" ht="15.75" x14ac:dyDescent="0.25">
      <c r="B855" s="2"/>
      <c r="C855" s="202"/>
      <c r="D855" s="5"/>
    </row>
    <row r="856" spans="2:5" ht="15.75" x14ac:dyDescent="0.25">
      <c r="B856" s="2"/>
      <c r="C856" s="5"/>
      <c r="D856" s="5"/>
    </row>
    <row r="857" spans="2:5" ht="15.75" x14ac:dyDescent="0.25">
      <c r="B857" s="2"/>
      <c r="C857" s="5"/>
      <c r="D857" s="5"/>
    </row>
    <row r="858" spans="2:5" ht="15.75" x14ac:dyDescent="0.25">
      <c r="B858" s="2"/>
      <c r="C858" s="36"/>
      <c r="D858" s="5"/>
    </row>
    <row r="859" spans="2:5" ht="15.75" x14ac:dyDescent="0.25">
      <c r="B859" s="2"/>
      <c r="C859" s="5"/>
      <c r="D859" s="5"/>
    </row>
    <row r="860" spans="2:5" ht="15.75" x14ac:dyDescent="0.25">
      <c r="B860" s="2"/>
      <c r="C860" s="5"/>
      <c r="D860" s="5"/>
    </row>
    <row r="861" spans="2:5" ht="15.75" x14ac:dyDescent="0.25">
      <c r="B861" s="2"/>
      <c r="C861" s="202"/>
      <c r="D861" s="5"/>
    </row>
    <row r="862" spans="2:5" ht="15.75" x14ac:dyDescent="0.25">
      <c r="B862" s="2"/>
      <c r="C862" s="5"/>
      <c r="D862" s="5"/>
    </row>
    <row r="863" spans="2:5" ht="15.75" x14ac:dyDescent="0.25">
      <c r="B863" s="2"/>
      <c r="C863" s="5"/>
      <c r="D863" s="5"/>
    </row>
    <row r="864" spans="2:5" ht="15.75" x14ac:dyDescent="0.25">
      <c r="B864" s="2"/>
      <c r="C864" s="37"/>
      <c r="D864" s="5"/>
    </row>
    <row r="865" spans="2:6" ht="15.75" x14ac:dyDescent="0.25">
      <c r="B865" s="2"/>
      <c r="C865" s="5"/>
      <c r="D865" s="5"/>
    </row>
    <row r="866" spans="2:6" ht="15.75" x14ac:dyDescent="0.25">
      <c r="B866" s="2"/>
      <c r="C866" s="5"/>
      <c r="D866" s="5"/>
    </row>
    <row r="867" spans="2:6" ht="15.75" x14ac:dyDescent="0.25">
      <c r="B867" s="2"/>
      <c r="C867" s="202"/>
      <c r="D867" s="5"/>
    </row>
    <row r="868" spans="2:6" ht="15.75" x14ac:dyDescent="0.25">
      <c r="B868" s="28"/>
      <c r="C868" s="27"/>
      <c r="D868" s="27"/>
      <c r="F868" s="5"/>
    </row>
    <row r="869" spans="2:6" x14ac:dyDescent="0.2">
      <c r="B869" s="28"/>
      <c r="C869" s="27"/>
      <c r="D869" s="27"/>
    </row>
    <row r="870" spans="2:6" x14ac:dyDescent="0.2">
      <c r="B870" s="28"/>
      <c r="C870" s="27"/>
      <c r="D870" s="27"/>
    </row>
    <row r="871" spans="2:6" x14ac:dyDescent="0.2">
      <c r="B871" s="28"/>
      <c r="C871" s="27"/>
      <c r="D871" s="27"/>
    </row>
    <row r="872" spans="2:6" x14ac:dyDescent="0.2">
      <c r="B872" s="28"/>
      <c r="C872" s="27"/>
      <c r="D872" s="27"/>
    </row>
    <row r="873" spans="2:6" x14ac:dyDescent="0.2">
      <c r="B873" s="28"/>
      <c r="C873" s="27"/>
      <c r="D873" s="27"/>
    </row>
    <row r="874" spans="2:6" x14ac:dyDescent="0.2">
      <c r="B874" s="28"/>
      <c r="C874" s="27"/>
      <c r="D874" s="27"/>
    </row>
    <row r="875" spans="2:6" x14ac:dyDescent="0.2">
      <c r="B875" s="28"/>
      <c r="C875" s="27"/>
      <c r="D875" s="27"/>
    </row>
    <row r="876" spans="2:6" ht="15.75" x14ac:dyDescent="0.25">
      <c r="B876" s="2"/>
      <c r="C876" s="27"/>
      <c r="D876" s="5"/>
    </row>
    <row r="877" spans="2:6" x14ac:dyDescent="0.2">
      <c r="B877" s="28"/>
      <c r="C877" s="27"/>
      <c r="D877" s="27"/>
    </row>
    <row r="878" spans="2:6" x14ac:dyDescent="0.2">
      <c r="B878" s="28"/>
      <c r="C878" s="27"/>
      <c r="D878" s="27"/>
    </row>
    <row r="879" spans="2:6" x14ac:dyDescent="0.2">
      <c r="B879" s="28"/>
      <c r="C879" s="27"/>
      <c r="D879" s="27"/>
    </row>
    <row r="880" spans="2:6" x14ac:dyDescent="0.2">
      <c r="B880" s="28"/>
      <c r="C880" s="27"/>
      <c r="D880" s="27"/>
    </row>
    <row r="881" spans="2:4" x14ac:dyDescent="0.2">
      <c r="B881" s="28"/>
      <c r="C881" s="27"/>
      <c r="D881" s="27"/>
    </row>
    <row r="882" spans="2:4" x14ac:dyDescent="0.2">
      <c r="B882" s="28"/>
      <c r="C882" s="27"/>
      <c r="D882" s="27"/>
    </row>
    <row r="883" spans="2:4" x14ac:dyDescent="0.2">
      <c r="B883" s="28"/>
      <c r="C883" s="27"/>
      <c r="D883" s="27"/>
    </row>
    <row r="884" spans="2:4" x14ac:dyDescent="0.2">
      <c r="B884" s="28"/>
      <c r="C884" s="27"/>
      <c r="D884" s="27"/>
    </row>
    <row r="885" spans="2:4" x14ac:dyDescent="0.2">
      <c r="B885" s="28"/>
      <c r="C885" s="27"/>
      <c r="D885" s="27"/>
    </row>
    <row r="886" spans="2:4" x14ac:dyDescent="0.2">
      <c r="B886" s="28"/>
      <c r="C886" s="27"/>
      <c r="D886" s="27"/>
    </row>
    <row r="887" spans="2:4" x14ac:dyDescent="0.2">
      <c r="B887" s="28"/>
      <c r="C887" s="27"/>
      <c r="D887" s="27"/>
    </row>
    <row r="888" spans="2:4" x14ac:dyDescent="0.2">
      <c r="B888" s="28"/>
      <c r="C888" s="27"/>
      <c r="D888" s="27"/>
    </row>
    <row r="889" spans="2:4" x14ac:dyDescent="0.2">
      <c r="B889" s="28"/>
      <c r="C889" s="27"/>
      <c r="D889" s="27"/>
    </row>
    <row r="890" spans="2:4" x14ac:dyDescent="0.2">
      <c r="B890" s="28"/>
      <c r="C890" s="27"/>
      <c r="D890" s="27"/>
    </row>
    <row r="891" spans="2:4" x14ac:dyDescent="0.2">
      <c r="B891" s="28"/>
      <c r="C891" s="27"/>
      <c r="D891" s="27"/>
    </row>
    <row r="892" spans="2:4" x14ac:dyDescent="0.2">
      <c r="B892" s="28"/>
      <c r="C892" s="27"/>
      <c r="D892" s="27"/>
    </row>
    <row r="893" spans="2:4" x14ac:dyDescent="0.2">
      <c r="B893" s="28"/>
      <c r="C893" s="27"/>
      <c r="D893" s="27"/>
    </row>
    <row r="894" spans="2:4" x14ac:dyDescent="0.2">
      <c r="B894" s="28"/>
      <c r="C894" s="27"/>
      <c r="D894" s="27"/>
    </row>
    <row r="895" spans="2:4" x14ac:dyDescent="0.2">
      <c r="B895" s="28"/>
      <c r="C895" s="27"/>
      <c r="D895" s="27"/>
    </row>
    <row r="896" spans="2:4" x14ac:dyDescent="0.2">
      <c r="B896" s="28"/>
      <c r="C896" s="27"/>
      <c r="D896" s="27"/>
    </row>
    <row r="897" spans="2:4" x14ac:dyDescent="0.2">
      <c r="B897" s="28"/>
      <c r="C897" s="27"/>
      <c r="D897" s="27"/>
    </row>
    <row r="898" spans="2:4" x14ac:dyDescent="0.2">
      <c r="B898" s="28"/>
      <c r="C898" s="27"/>
      <c r="D898" s="27"/>
    </row>
    <row r="899" spans="2:4" x14ac:dyDescent="0.2">
      <c r="B899" s="28"/>
      <c r="C899" s="27"/>
      <c r="D899" s="27"/>
    </row>
    <row r="900" spans="2:4" x14ac:dyDescent="0.2">
      <c r="B900" s="28"/>
      <c r="C900" s="27"/>
      <c r="D900" s="27"/>
    </row>
    <row r="901" spans="2:4" x14ac:dyDescent="0.2">
      <c r="B901" s="28"/>
      <c r="C901" s="27"/>
      <c r="D901" s="27"/>
    </row>
    <row r="902" spans="2:4" x14ac:dyDescent="0.2">
      <c r="B902" s="28"/>
      <c r="C902" s="27"/>
      <c r="D902" s="27"/>
    </row>
    <row r="903" spans="2:4" x14ac:dyDescent="0.2">
      <c r="B903" s="28"/>
      <c r="C903" s="27"/>
      <c r="D903" s="27"/>
    </row>
    <row r="904" spans="2:4" x14ac:dyDescent="0.2">
      <c r="B904" s="28"/>
      <c r="C904" s="27"/>
      <c r="D904" s="27"/>
    </row>
    <row r="905" spans="2:4" x14ac:dyDescent="0.2">
      <c r="B905" s="28"/>
      <c r="C905" s="27"/>
      <c r="D905" s="27"/>
    </row>
    <row r="906" spans="2:4" x14ac:dyDescent="0.2">
      <c r="B906" s="28"/>
      <c r="C906" s="27"/>
      <c r="D906" s="27"/>
    </row>
    <row r="907" spans="2:4" x14ac:dyDescent="0.2">
      <c r="B907" s="28"/>
      <c r="C907" s="27"/>
      <c r="D907" s="27"/>
    </row>
    <row r="908" spans="2:4" x14ac:dyDescent="0.2">
      <c r="B908" s="28"/>
      <c r="C908" s="27"/>
      <c r="D908" s="27"/>
    </row>
    <row r="909" spans="2:4" x14ac:dyDescent="0.2">
      <c r="B909" s="28"/>
      <c r="C909" s="27"/>
      <c r="D909" s="27"/>
    </row>
    <row r="910" spans="2:4" x14ac:dyDescent="0.2">
      <c r="B910" s="28"/>
      <c r="C910" s="27"/>
      <c r="D910" s="27"/>
    </row>
    <row r="911" spans="2:4" x14ac:dyDescent="0.2">
      <c r="B911" s="28"/>
      <c r="C911" s="27"/>
      <c r="D911" s="27"/>
    </row>
    <row r="912" spans="2:4" x14ac:dyDescent="0.2">
      <c r="B912" s="28"/>
      <c r="C912" s="27"/>
      <c r="D912" s="27"/>
    </row>
    <row r="913" spans="2:4" x14ac:dyDescent="0.2">
      <c r="B913" s="28"/>
      <c r="C913" s="27"/>
      <c r="D913" s="27"/>
    </row>
    <row r="914" spans="2:4" x14ac:dyDescent="0.2">
      <c r="B914" s="28"/>
      <c r="C914" s="27"/>
      <c r="D914" s="27"/>
    </row>
    <row r="915" spans="2:4" x14ac:dyDescent="0.2">
      <c r="B915" s="28"/>
      <c r="C915" s="27"/>
      <c r="D915" s="27"/>
    </row>
    <row r="916" spans="2:4" x14ac:dyDescent="0.2">
      <c r="B916" s="22"/>
      <c r="C916" s="27"/>
      <c r="D916" s="27"/>
    </row>
    <row r="917" spans="2:4" x14ac:dyDescent="0.2">
      <c r="B917" s="28"/>
      <c r="C917" s="27"/>
      <c r="D917" s="27"/>
    </row>
    <row r="918" spans="2:4" ht="15.75" x14ac:dyDescent="0.25">
      <c r="B918" s="1"/>
      <c r="C918" s="27"/>
      <c r="D918" s="27"/>
    </row>
    <row r="919" spans="2:4" x14ac:dyDescent="0.2">
      <c r="B919" s="28"/>
      <c r="C919" s="27"/>
      <c r="D919" s="27"/>
    </row>
  </sheetData>
  <sheetProtection formatCells="0" selectLockedCells="1"/>
  <protectedRanges>
    <protectedRange sqref="C190:C195" name="Range1"/>
    <protectedRange sqref="C234:C239" name="Range2"/>
    <protectedRange sqref="F190:F195" name="Range1_1"/>
  </protectedRanges>
  <phoneticPr fontId="1" type="noConversion"/>
  <printOptions gridLines="1"/>
  <pageMargins left="0.75" right="0.75" top="1" bottom="1" header="0.5" footer="0.5"/>
  <pageSetup orientation="portrait" horizontalDpi="4294967295" verticalDpi="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57"/>
  <sheetViews>
    <sheetView tabSelected="1" zoomScale="125" zoomScaleNormal="125" workbookViewId="0">
      <selection activeCell="G37" sqref="G37"/>
    </sheetView>
  </sheetViews>
  <sheetFormatPr defaultColWidth="8.7109375" defaultRowHeight="15" x14ac:dyDescent="0.2"/>
  <cols>
    <col min="1" max="1" width="44.42578125" style="12" customWidth="1"/>
    <col min="2" max="2" width="22.28515625" style="12" customWidth="1"/>
    <col min="3" max="3" width="9.5703125" style="12" customWidth="1"/>
    <col min="4" max="4" width="9.85546875" style="12" customWidth="1"/>
    <col min="5" max="5" width="11.5703125" style="12" bestFit="1" customWidth="1"/>
    <col min="6" max="6" width="8.140625" style="12" customWidth="1"/>
    <col min="7" max="7" width="20.28515625" style="12" customWidth="1"/>
    <col min="8" max="8" width="20" style="12" customWidth="1"/>
    <col min="9" max="9" width="12.140625" style="12" customWidth="1"/>
    <col min="10" max="16384" width="8.7109375" style="12"/>
  </cols>
  <sheetData>
    <row r="1" spans="1:12" ht="18" x14ac:dyDescent="0.25">
      <c r="A1" s="7" t="s">
        <v>1404</v>
      </c>
      <c r="C1" s="1"/>
      <c r="D1" s="15"/>
      <c r="F1" s="16"/>
      <c r="G1" s="16"/>
      <c r="H1" s="16"/>
      <c r="I1" s="16"/>
      <c r="J1" s="16"/>
      <c r="K1" s="16"/>
      <c r="L1" s="16"/>
    </row>
    <row r="2" spans="1:12" x14ac:dyDescent="0.2">
      <c r="A2" s="17"/>
      <c r="F2" s="16"/>
      <c r="G2" s="16"/>
      <c r="H2" s="16"/>
      <c r="I2" s="16"/>
      <c r="J2" s="16"/>
      <c r="K2" s="16"/>
      <c r="L2" s="16"/>
    </row>
    <row r="3" spans="1:12" ht="15.75" x14ac:dyDescent="0.25">
      <c r="A3" s="4" t="s">
        <v>372</v>
      </c>
      <c r="F3" s="16"/>
      <c r="G3" s="16"/>
      <c r="H3" s="16"/>
      <c r="I3" s="16"/>
      <c r="J3" s="16"/>
      <c r="K3" s="16"/>
      <c r="L3" s="16"/>
    </row>
    <row r="4" spans="1:12" ht="15.75" x14ac:dyDescent="0.25">
      <c r="A4" s="4"/>
      <c r="F4" s="16"/>
      <c r="G4" s="16"/>
      <c r="H4" s="16"/>
      <c r="I4" s="16"/>
      <c r="J4" s="16"/>
      <c r="K4" s="16"/>
      <c r="L4" s="16"/>
    </row>
    <row r="5" spans="1:12" ht="15.75" x14ac:dyDescent="0.25">
      <c r="A5" s="4" t="s">
        <v>1211</v>
      </c>
      <c r="F5" s="16"/>
      <c r="G5" s="16"/>
      <c r="H5" s="16"/>
      <c r="I5" s="16"/>
      <c r="J5" s="16"/>
      <c r="K5" s="16"/>
      <c r="L5" s="16"/>
    </row>
    <row r="6" spans="1:12" ht="15.75" x14ac:dyDescent="0.25">
      <c r="A6" s="4"/>
      <c r="F6" s="16"/>
      <c r="G6" s="16"/>
      <c r="H6" s="16"/>
      <c r="I6" s="16"/>
      <c r="J6" s="16"/>
      <c r="K6" s="16"/>
      <c r="L6" s="16"/>
    </row>
    <row r="7" spans="1:12" ht="15.75" x14ac:dyDescent="0.25">
      <c r="A7" s="1" t="s">
        <v>474</v>
      </c>
      <c r="F7" s="16"/>
      <c r="G7" s="16"/>
      <c r="H7" s="16"/>
      <c r="I7" s="16"/>
      <c r="J7" s="16"/>
      <c r="K7" s="16"/>
      <c r="L7" s="16"/>
    </row>
    <row r="8" spans="1:12" ht="15.75" x14ac:dyDescent="0.25">
      <c r="A8" s="4"/>
      <c r="F8" s="16"/>
      <c r="G8" s="16"/>
      <c r="H8" s="16"/>
      <c r="I8" s="16"/>
      <c r="J8" s="16"/>
      <c r="K8" s="16"/>
      <c r="L8" s="16"/>
    </row>
    <row r="9" spans="1:12" ht="15.75" x14ac:dyDescent="0.25">
      <c r="A9" s="4" t="s">
        <v>1212</v>
      </c>
      <c r="F9" s="16"/>
      <c r="G9" s="16"/>
      <c r="H9" s="16"/>
      <c r="I9" s="16"/>
      <c r="J9" s="16"/>
      <c r="K9" s="16"/>
      <c r="L9" s="16"/>
    </row>
    <row r="10" spans="1:12" ht="15.75" x14ac:dyDescent="0.25">
      <c r="A10" s="4"/>
      <c r="H10" s="16"/>
      <c r="I10" s="16"/>
      <c r="J10" s="16"/>
      <c r="K10" s="16"/>
      <c r="L10" s="16"/>
    </row>
    <row r="11" spans="1:12" ht="15.75" x14ac:dyDescent="0.25">
      <c r="A11" s="4" t="s">
        <v>371</v>
      </c>
      <c r="H11" s="16"/>
      <c r="I11" s="16"/>
      <c r="J11" s="16"/>
      <c r="K11" s="16"/>
      <c r="L11" s="16"/>
    </row>
    <row r="12" spans="1:12" x14ac:dyDescent="0.2">
      <c r="H12" s="16"/>
      <c r="I12" s="16"/>
      <c r="J12" s="16"/>
      <c r="K12" s="16"/>
      <c r="L12" s="16"/>
    </row>
    <row r="13" spans="1:12" x14ac:dyDescent="0.2">
      <c r="G13" s="16"/>
      <c r="H13" s="16"/>
      <c r="I13" s="16"/>
      <c r="J13" s="16"/>
      <c r="K13" s="16"/>
      <c r="L13" s="16"/>
    </row>
    <row r="14" spans="1:12" x14ac:dyDescent="0.2">
      <c r="A14" s="23"/>
      <c r="B14" s="23"/>
      <c r="C14" s="23"/>
      <c r="D14" s="23"/>
      <c r="E14" s="23"/>
      <c r="F14" s="16"/>
      <c r="G14" s="16"/>
      <c r="H14" s="16"/>
      <c r="I14" s="16"/>
      <c r="J14" s="16"/>
      <c r="K14" s="16"/>
      <c r="L14" s="16"/>
    </row>
    <row r="15" spans="1:12" ht="15.75" x14ac:dyDescent="0.25">
      <c r="C15" s="1" t="s">
        <v>105</v>
      </c>
      <c r="F15" s="16"/>
      <c r="G15" s="16"/>
      <c r="H15" s="16"/>
      <c r="I15" s="16"/>
      <c r="J15" s="16"/>
      <c r="K15" s="16"/>
      <c r="L15" s="16"/>
    </row>
    <row r="16" spans="1:12" ht="16.5" thickBot="1" x14ac:dyDescent="0.3">
      <c r="B16" s="2" t="s">
        <v>101</v>
      </c>
      <c r="C16" s="1" t="s">
        <v>1223</v>
      </c>
      <c r="D16" s="2" t="s">
        <v>103</v>
      </c>
      <c r="E16" s="1" t="s">
        <v>1227</v>
      </c>
      <c r="F16" s="16"/>
      <c r="G16" s="16"/>
      <c r="H16" s="16"/>
      <c r="I16" s="16"/>
      <c r="J16" s="16"/>
      <c r="K16" s="16"/>
      <c r="L16" s="16"/>
    </row>
    <row r="17" spans="1:12" ht="15.75" x14ac:dyDescent="0.25">
      <c r="A17" s="102" t="s">
        <v>1068</v>
      </c>
      <c r="B17" s="2" t="s">
        <v>102</v>
      </c>
      <c r="C17" s="4" t="s">
        <v>1224</v>
      </c>
      <c r="D17" s="2" t="s">
        <v>104</v>
      </c>
      <c r="E17" s="24" t="s">
        <v>1228</v>
      </c>
      <c r="F17" s="16"/>
      <c r="G17" s="16"/>
      <c r="H17" s="16"/>
      <c r="I17" s="16"/>
      <c r="J17" s="16"/>
      <c r="K17" s="16"/>
      <c r="L17" s="16"/>
    </row>
    <row r="18" spans="1:12" ht="15.75" x14ac:dyDescent="0.25">
      <c r="A18" s="103" t="s">
        <v>1069</v>
      </c>
      <c r="B18" s="25" t="s">
        <v>748</v>
      </c>
      <c r="C18" s="1">
        <v>6</v>
      </c>
      <c r="D18" s="26" t="s">
        <v>748</v>
      </c>
      <c r="E18" s="1">
        <v>1.5</v>
      </c>
      <c r="F18" s="16"/>
      <c r="G18" s="16"/>
      <c r="H18" s="16"/>
      <c r="I18" s="16"/>
      <c r="J18" s="16"/>
      <c r="K18" s="16"/>
      <c r="L18" s="16"/>
    </row>
    <row r="19" spans="1:12" ht="15.75" x14ac:dyDescent="0.25">
      <c r="A19" s="103" t="s">
        <v>1070</v>
      </c>
      <c r="F19" s="16"/>
      <c r="G19" s="16"/>
      <c r="H19" s="16"/>
      <c r="I19" s="16"/>
      <c r="J19" s="16"/>
      <c r="K19" s="16"/>
      <c r="L19" s="16"/>
    </row>
    <row r="20" spans="1:12" ht="18.75" x14ac:dyDescent="0.25">
      <c r="A20" s="104" t="s">
        <v>1422</v>
      </c>
      <c r="B20" s="2" t="s">
        <v>1231</v>
      </c>
      <c r="C20" s="1" t="s">
        <v>1232</v>
      </c>
      <c r="D20" s="2" t="s">
        <v>1423</v>
      </c>
      <c r="E20" s="1" t="s">
        <v>1225</v>
      </c>
      <c r="F20" s="16"/>
      <c r="G20" s="16"/>
      <c r="H20" s="16"/>
      <c r="I20" s="16"/>
      <c r="J20" s="16"/>
      <c r="K20" s="16"/>
      <c r="L20" s="16"/>
    </row>
    <row r="21" spans="1:12" ht="19.5" thickBot="1" x14ac:dyDescent="0.3">
      <c r="A21" s="105" t="s">
        <v>1424</v>
      </c>
      <c r="B21" s="2" t="s">
        <v>1233</v>
      </c>
      <c r="C21" s="4" t="s">
        <v>1234</v>
      </c>
      <c r="D21" s="2" t="s">
        <v>1425</v>
      </c>
      <c r="E21" s="4" t="s">
        <v>1226</v>
      </c>
      <c r="F21" s="16"/>
      <c r="G21" s="16"/>
      <c r="H21" s="16"/>
      <c r="I21" s="16"/>
      <c r="J21" s="16"/>
      <c r="K21" s="16"/>
      <c r="L21" s="16"/>
    </row>
    <row r="22" spans="1:12" ht="16.5" thickBot="1" x14ac:dyDescent="0.3">
      <c r="B22" s="25" t="s">
        <v>748</v>
      </c>
      <c r="C22" s="1">
        <v>5</v>
      </c>
      <c r="D22" s="26" t="s">
        <v>748</v>
      </c>
      <c r="E22" s="1">
        <v>8</v>
      </c>
      <c r="F22" s="16"/>
      <c r="G22" s="16"/>
      <c r="H22" s="16"/>
      <c r="I22" s="16"/>
      <c r="J22" s="16"/>
      <c r="K22" s="16"/>
      <c r="L22" s="16"/>
    </row>
    <row r="23" spans="1:12" x14ac:dyDescent="0.2">
      <c r="A23" s="106" t="s">
        <v>63</v>
      </c>
      <c r="B23" s="107"/>
      <c r="C23" s="108"/>
      <c r="F23" s="16"/>
      <c r="G23" s="16"/>
      <c r="H23" s="16"/>
      <c r="I23" s="16"/>
      <c r="J23" s="16"/>
      <c r="K23" s="16"/>
      <c r="L23" s="16"/>
    </row>
    <row r="24" spans="1:12" ht="15.75" x14ac:dyDescent="0.25">
      <c r="A24" s="109" t="s">
        <v>60</v>
      </c>
      <c r="B24" s="110"/>
      <c r="C24" s="111"/>
      <c r="F24" s="16"/>
      <c r="G24" s="16"/>
      <c r="H24" s="16"/>
      <c r="I24" s="16"/>
      <c r="J24" s="16"/>
      <c r="K24" s="16"/>
      <c r="L24" s="16"/>
    </row>
    <row r="25" spans="1:12" x14ac:dyDescent="0.2">
      <c r="A25" s="112" t="s">
        <v>61</v>
      </c>
      <c r="B25" s="110"/>
      <c r="C25" s="111"/>
      <c r="F25" s="16"/>
      <c r="G25" s="16"/>
      <c r="H25" s="16"/>
      <c r="I25" s="16"/>
      <c r="J25" s="16"/>
      <c r="K25" s="16"/>
      <c r="L25" s="16"/>
    </row>
    <row r="26" spans="1:12" ht="16.5" thickBot="1" x14ac:dyDescent="0.3">
      <c r="A26" s="113" t="s">
        <v>62</v>
      </c>
      <c r="B26" s="114"/>
      <c r="C26" s="115"/>
      <c r="F26" s="16"/>
      <c r="G26" s="16"/>
      <c r="H26" s="16"/>
      <c r="I26" s="16"/>
      <c r="J26" s="16"/>
      <c r="K26" s="16"/>
      <c r="L26" s="16"/>
    </row>
    <row r="27" spans="1:12" x14ac:dyDescent="0.2">
      <c r="A27" s="23"/>
      <c r="B27" s="23"/>
      <c r="C27" s="23"/>
      <c r="D27" s="23"/>
      <c r="E27" s="23"/>
      <c r="F27" s="16"/>
      <c r="G27" s="16"/>
      <c r="H27" s="16"/>
      <c r="I27" s="16"/>
      <c r="J27" s="16"/>
      <c r="K27" s="16"/>
      <c r="L27" s="16"/>
    </row>
    <row r="28" spans="1:12" x14ac:dyDescent="0.2">
      <c r="H28" s="16"/>
      <c r="I28" s="16"/>
      <c r="J28" s="16"/>
      <c r="K28" s="16"/>
      <c r="L28" s="16"/>
    </row>
    <row r="29" spans="1:12" x14ac:dyDescent="0.2">
      <c r="H29" s="16"/>
      <c r="I29" s="16"/>
      <c r="J29" s="16"/>
      <c r="K29" s="16"/>
      <c r="L29" s="16"/>
    </row>
    <row r="30" spans="1:12" ht="15.75" x14ac:dyDescent="0.25">
      <c r="A30" s="1" t="s">
        <v>225</v>
      </c>
      <c r="F30" s="16"/>
      <c r="G30" s="16"/>
      <c r="H30" s="16"/>
      <c r="I30" s="16"/>
      <c r="J30" s="16"/>
      <c r="K30" s="16"/>
      <c r="L30" s="16"/>
    </row>
    <row r="31" spans="1:12" ht="15.75" x14ac:dyDescent="0.25">
      <c r="A31" s="2" t="s">
        <v>847</v>
      </c>
      <c r="B31" s="1" t="s">
        <v>223</v>
      </c>
      <c r="C31" s="27"/>
      <c r="F31" s="16"/>
      <c r="G31" s="16"/>
      <c r="H31" s="16"/>
      <c r="I31" s="16"/>
      <c r="J31" s="16"/>
      <c r="K31" s="16"/>
      <c r="L31" s="16"/>
    </row>
    <row r="32" spans="1:12" ht="15.75" x14ac:dyDescent="0.25">
      <c r="A32" s="2" t="s">
        <v>222</v>
      </c>
      <c r="B32" s="1" t="s">
        <v>224</v>
      </c>
      <c r="C32" s="27"/>
      <c r="E32" s="5" t="s">
        <v>1071</v>
      </c>
      <c r="F32" s="16"/>
      <c r="G32" s="16"/>
      <c r="H32" s="16"/>
      <c r="I32" s="16"/>
      <c r="J32" s="16"/>
      <c r="K32" s="16"/>
      <c r="L32" s="16"/>
    </row>
    <row r="33" spans="1:12" x14ac:dyDescent="0.2">
      <c r="A33" s="28"/>
      <c r="B33" s="27"/>
      <c r="C33" s="27"/>
      <c r="F33" s="16"/>
      <c r="G33" s="16"/>
      <c r="H33" s="16"/>
      <c r="I33" s="16"/>
      <c r="J33" s="16"/>
      <c r="K33" s="16"/>
      <c r="L33" s="16"/>
    </row>
    <row r="34" spans="1:12" x14ac:dyDescent="0.2">
      <c r="A34" s="28"/>
      <c r="B34" s="27"/>
      <c r="C34" s="27"/>
      <c r="F34" s="16"/>
      <c r="G34" s="16"/>
      <c r="H34" s="16"/>
      <c r="I34" s="16"/>
      <c r="J34" s="16"/>
      <c r="K34" s="16"/>
      <c r="L34" s="16"/>
    </row>
    <row r="35" spans="1:12" x14ac:dyDescent="0.2">
      <c r="A35" s="28"/>
      <c r="B35" s="27"/>
      <c r="C35" s="27"/>
      <c r="F35" s="16"/>
      <c r="G35" s="16"/>
      <c r="H35" s="16"/>
      <c r="I35" s="16"/>
      <c r="J35" s="16"/>
      <c r="K35" s="16"/>
      <c r="L35" s="16"/>
    </row>
    <row r="36" spans="1:12" x14ac:dyDescent="0.2">
      <c r="A36" s="28"/>
      <c r="B36" s="27"/>
      <c r="C36" s="27"/>
      <c r="F36" s="16"/>
      <c r="G36" s="16"/>
      <c r="H36" s="16"/>
      <c r="I36" s="16"/>
      <c r="J36" s="16"/>
      <c r="K36" s="16"/>
      <c r="L36" s="16"/>
    </row>
    <row r="37" spans="1:12" x14ac:dyDescent="0.2">
      <c r="A37" s="28"/>
      <c r="B37" s="27"/>
      <c r="C37" s="27"/>
      <c r="F37" s="16"/>
      <c r="G37" s="16"/>
      <c r="H37" s="16"/>
      <c r="I37" s="16"/>
      <c r="J37" s="16"/>
      <c r="K37" s="16"/>
      <c r="L37" s="16"/>
    </row>
    <row r="38" spans="1:12" x14ac:dyDescent="0.2">
      <c r="A38" s="28"/>
      <c r="B38" s="27"/>
      <c r="C38" s="27"/>
      <c r="F38" s="16"/>
      <c r="G38" s="16"/>
      <c r="H38" s="16"/>
      <c r="I38" s="16"/>
      <c r="J38" s="16"/>
      <c r="K38" s="16"/>
      <c r="L38" s="16"/>
    </row>
    <row r="39" spans="1:12" x14ac:dyDescent="0.2">
      <c r="A39" s="28"/>
      <c r="B39" s="27"/>
      <c r="C39" s="27"/>
      <c r="F39" s="16"/>
      <c r="G39" s="16"/>
      <c r="H39" s="16"/>
      <c r="I39" s="16"/>
      <c r="J39" s="16"/>
      <c r="K39" s="16"/>
      <c r="L39" s="16"/>
    </row>
    <row r="40" spans="1:12" x14ac:dyDescent="0.2">
      <c r="A40" s="28"/>
      <c r="B40" s="27"/>
      <c r="C40" s="27"/>
      <c r="F40" s="16"/>
      <c r="G40" s="16"/>
      <c r="H40" s="16"/>
      <c r="I40" s="16"/>
      <c r="J40" s="16"/>
      <c r="K40" s="16"/>
      <c r="L40" s="16"/>
    </row>
    <row r="41" spans="1:12" x14ac:dyDescent="0.2">
      <c r="A41" s="28"/>
      <c r="B41" s="27"/>
      <c r="C41" s="27"/>
      <c r="F41" s="16"/>
      <c r="G41" s="16"/>
      <c r="H41" s="16"/>
      <c r="I41" s="16"/>
      <c r="J41" s="16"/>
      <c r="K41" s="16"/>
      <c r="L41" s="16"/>
    </row>
    <row r="42" spans="1:12" x14ac:dyDescent="0.2">
      <c r="A42" s="28"/>
      <c r="B42" s="27"/>
      <c r="C42" s="27"/>
      <c r="F42" s="16"/>
      <c r="G42" s="16"/>
      <c r="H42" s="16"/>
      <c r="I42" s="16"/>
      <c r="J42" s="16"/>
      <c r="K42" s="16"/>
      <c r="L42" s="16"/>
    </row>
    <row r="43" spans="1:12" x14ac:dyDescent="0.2">
      <c r="A43" s="28"/>
      <c r="B43" s="27"/>
      <c r="C43" s="27"/>
      <c r="F43" s="16"/>
      <c r="G43" s="16"/>
      <c r="H43" s="16"/>
      <c r="I43" s="16"/>
      <c r="J43" s="16"/>
      <c r="K43" s="16"/>
      <c r="L43" s="16"/>
    </row>
    <row r="44" spans="1:12" x14ac:dyDescent="0.2">
      <c r="F44" s="16"/>
      <c r="G44" s="16"/>
      <c r="H44" s="16"/>
      <c r="I44" s="16"/>
      <c r="J44" s="16"/>
      <c r="K44" s="16"/>
      <c r="L44" s="16"/>
    </row>
    <row r="45" spans="1:12" x14ac:dyDescent="0.2">
      <c r="F45" s="16"/>
      <c r="G45" s="16"/>
      <c r="H45" s="16"/>
      <c r="I45" s="16"/>
      <c r="J45" s="16"/>
      <c r="K45" s="16"/>
      <c r="L45" s="16"/>
    </row>
    <row r="46" spans="1:12" x14ac:dyDescent="0.2">
      <c r="F46" s="16"/>
      <c r="G46" s="16"/>
      <c r="H46" s="16"/>
      <c r="I46" s="16"/>
      <c r="J46" s="16"/>
      <c r="K46" s="16"/>
      <c r="L46" s="16"/>
    </row>
    <row r="47" spans="1:12" x14ac:dyDescent="0.2">
      <c r="A47" s="22" t="s">
        <v>536</v>
      </c>
      <c r="B47" s="27"/>
      <c r="F47" s="16"/>
      <c r="G47" s="16"/>
      <c r="H47" s="16"/>
      <c r="I47" s="16"/>
      <c r="J47" s="16"/>
      <c r="K47" s="16"/>
      <c r="L47" s="16"/>
    </row>
    <row r="48" spans="1:12" x14ac:dyDescent="0.2">
      <c r="A48" s="12" t="s">
        <v>537</v>
      </c>
      <c r="C48" s="27"/>
      <c r="F48" s="16"/>
      <c r="G48" s="16"/>
      <c r="H48" s="16"/>
      <c r="I48" s="16"/>
      <c r="J48" s="16"/>
      <c r="K48" s="16"/>
      <c r="L48" s="16"/>
    </row>
    <row r="49" spans="1:12" x14ac:dyDescent="0.2">
      <c r="A49" s="12" t="s">
        <v>538</v>
      </c>
      <c r="C49" s="27"/>
      <c r="F49" s="16"/>
      <c r="G49" s="16"/>
      <c r="H49" s="16"/>
      <c r="I49" s="16"/>
      <c r="J49" s="16"/>
      <c r="K49" s="16"/>
      <c r="L49" s="16"/>
    </row>
    <row r="50" spans="1:12" x14ac:dyDescent="0.2">
      <c r="A50" s="12" t="s">
        <v>539</v>
      </c>
      <c r="C50" s="27"/>
      <c r="F50" s="16"/>
      <c r="G50" s="16"/>
      <c r="H50" s="16"/>
      <c r="I50" s="16"/>
      <c r="J50" s="16"/>
      <c r="K50" s="16"/>
      <c r="L50" s="16"/>
    </row>
    <row r="51" spans="1:12" x14ac:dyDescent="0.2">
      <c r="F51" s="16"/>
      <c r="G51" s="16"/>
      <c r="H51" s="16"/>
      <c r="I51" s="16"/>
      <c r="J51" s="16"/>
      <c r="K51" s="16"/>
      <c r="L51" s="16"/>
    </row>
    <row r="52" spans="1:12" x14ac:dyDescent="0.2">
      <c r="F52" s="16"/>
      <c r="G52" s="16"/>
      <c r="H52" s="16"/>
      <c r="I52" s="16"/>
      <c r="J52" s="16"/>
      <c r="K52" s="16"/>
      <c r="L52" s="16"/>
    </row>
    <row r="53" spans="1:12" ht="15.75" x14ac:dyDescent="0.25">
      <c r="A53" s="4" t="s">
        <v>540</v>
      </c>
      <c r="C53" s="29" t="s">
        <v>329</v>
      </c>
      <c r="F53" s="16"/>
      <c r="G53" s="16"/>
      <c r="H53" s="16"/>
      <c r="I53" s="16"/>
      <c r="J53" s="16"/>
      <c r="K53" s="16"/>
      <c r="L53" s="16"/>
    </row>
    <row r="54" spans="1:12" ht="16.5" thickBot="1" x14ac:dyDescent="0.3">
      <c r="A54" s="2" t="s">
        <v>1190</v>
      </c>
      <c r="B54" s="30" t="s">
        <v>109</v>
      </c>
      <c r="F54" s="16"/>
      <c r="G54" s="16"/>
      <c r="H54" s="16"/>
      <c r="I54" s="16"/>
      <c r="J54" s="16"/>
      <c r="K54" s="16"/>
      <c r="L54" s="16"/>
    </row>
    <row r="55" spans="1:12" x14ac:dyDescent="0.2">
      <c r="A55" s="28" t="s">
        <v>1420</v>
      </c>
      <c r="B55" s="31">
        <v>2000</v>
      </c>
      <c r="C55" s="22" t="s">
        <v>162</v>
      </c>
      <c r="F55" s="16"/>
      <c r="G55" s="16"/>
      <c r="H55" s="16"/>
      <c r="I55" s="16"/>
      <c r="J55" s="16"/>
      <c r="K55" s="16"/>
      <c r="L55" s="16"/>
    </row>
    <row r="56" spans="1:12" x14ac:dyDescent="0.2">
      <c r="A56" s="28" t="s">
        <v>218</v>
      </c>
      <c r="B56" s="32">
        <v>3.5</v>
      </c>
      <c r="C56" s="22" t="s">
        <v>1078</v>
      </c>
      <c r="F56" s="16"/>
      <c r="G56" s="16"/>
      <c r="H56" s="16"/>
      <c r="I56" s="16"/>
      <c r="J56" s="16"/>
      <c r="K56" s="16"/>
      <c r="L56" s="16"/>
    </row>
    <row r="57" spans="1:12" x14ac:dyDescent="0.2">
      <c r="A57" s="28" t="s">
        <v>219</v>
      </c>
      <c r="B57" s="32">
        <v>0.5</v>
      </c>
      <c r="C57" s="22" t="s">
        <v>1078</v>
      </c>
      <c r="F57" s="16"/>
      <c r="G57" s="16"/>
      <c r="H57" s="16"/>
      <c r="I57" s="16"/>
      <c r="J57" s="16"/>
      <c r="K57" s="16"/>
      <c r="L57" s="16"/>
    </row>
    <row r="58" spans="1:12" x14ac:dyDescent="0.2">
      <c r="A58" s="28" t="s">
        <v>226</v>
      </c>
      <c r="B58" s="32">
        <v>5</v>
      </c>
      <c r="C58" s="22" t="s">
        <v>1078</v>
      </c>
      <c r="F58" s="16"/>
      <c r="G58" s="16"/>
      <c r="H58" s="16"/>
      <c r="I58" s="16"/>
      <c r="J58" s="16"/>
      <c r="K58" s="16"/>
      <c r="L58" s="16"/>
    </row>
    <row r="59" spans="1:12" x14ac:dyDescent="0.2">
      <c r="A59" s="28" t="s">
        <v>849</v>
      </c>
      <c r="B59" s="33">
        <v>3</v>
      </c>
      <c r="C59" s="34" t="s">
        <v>1284</v>
      </c>
      <c r="F59" s="16"/>
      <c r="G59" s="16"/>
      <c r="H59" s="16"/>
      <c r="I59" s="16"/>
      <c r="J59" s="16"/>
      <c r="K59" s="16"/>
      <c r="L59" s="16"/>
    </row>
    <row r="60" spans="1:12" ht="15.75" thickBot="1" x14ac:dyDescent="0.25">
      <c r="A60" s="28" t="s">
        <v>542</v>
      </c>
      <c r="B60" s="35">
        <v>3</v>
      </c>
      <c r="C60" s="34" t="s">
        <v>1284</v>
      </c>
      <c r="F60" s="16"/>
      <c r="G60" s="16"/>
      <c r="H60" s="16"/>
      <c r="I60" s="16"/>
      <c r="J60" s="16"/>
      <c r="K60" s="16"/>
      <c r="L60" s="16"/>
    </row>
    <row r="61" spans="1:12" ht="15.75" x14ac:dyDescent="0.25">
      <c r="A61" s="28"/>
      <c r="B61" s="30" t="s">
        <v>125</v>
      </c>
      <c r="C61" s="27"/>
      <c r="F61" s="16"/>
      <c r="G61" s="16"/>
      <c r="H61" s="16"/>
      <c r="I61" s="16"/>
      <c r="J61" s="16"/>
      <c r="K61" s="16"/>
      <c r="L61" s="16"/>
    </row>
    <row r="62" spans="1:12" ht="15.75" x14ac:dyDescent="0.25">
      <c r="A62" s="2" t="s">
        <v>217</v>
      </c>
      <c r="B62" s="5" t="s">
        <v>220</v>
      </c>
      <c r="C62" s="27"/>
      <c r="F62" s="16"/>
      <c r="G62" s="16"/>
      <c r="H62" s="16"/>
      <c r="I62" s="16"/>
      <c r="J62" s="16"/>
      <c r="K62" s="16"/>
      <c r="L62" s="16"/>
    </row>
    <row r="63" spans="1:12" ht="15.75" x14ac:dyDescent="0.25">
      <c r="A63" s="2" t="s">
        <v>112</v>
      </c>
      <c r="B63" s="5">
        <f>B56*B57</f>
        <v>1.75</v>
      </c>
      <c r="C63" s="5" t="s">
        <v>221</v>
      </c>
      <c r="F63" s="16"/>
      <c r="G63" s="16"/>
      <c r="H63" s="16"/>
      <c r="I63" s="16"/>
      <c r="J63" s="16"/>
      <c r="K63" s="16"/>
      <c r="L63" s="16"/>
    </row>
    <row r="64" spans="1:12" ht="15.75" x14ac:dyDescent="0.25">
      <c r="A64" s="2" t="s">
        <v>546</v>
      </c>
      <c r="B64" s="5" t="s">
        <v>848</v>
      </c>
      <c r="C64" s="5"/>
      <c r="F64" s="16"/>
      <c r="G64" s="16"/>
      <c r="H64" s="16"/>
      <c r="I64" s="16"/>
      <c r="J64" s="16"/>
      <c r="K64" s="16"/>
      <c r="L64" s="16"/>
    </row>
    <row r="65" spans="1:12" ht="15.75" x14ac:dyDescent="0.25">
      <c r="A65" s="2" t="s">
        <v>112</v>
      </c>
      <c r="B65" s="36">
        <f>B59*B60*B55/B63</f>
        <v>10285.714285714286</v>
      </c>
      <c r="C65" s="5" t="s">
        <v>1154</v>
      </c>
      <c r="D65" s="2" t="s">
        <v>1071</v>
      </c>
      <c r="F65" s="16"/>
      <c r="G65" s="16"/>
      <c r="H65" s="16"/>
      <c r="I65" s="16"/>
      <c r="J65" s="16"/>
      <c r="K65" s="16"/>
      <c r="L65" s="16"/>
    </row>
    <row r="66" spans="1:12" ht="15.75" x14ac:dyDescent="0.25">
      <c r="A66" s="2" t="s">
        <v>547</v>
      </c>
      <c r="B66" s="5" t="s">
        <v>548</v>
      </c>
      <c r="F66" s="16"/>
      <c r="G66" s="16"/>
      <c r="H66" s="16"/>
      <c r="I66" s="16"/>
      <c r="J66" s="16"/>
      <c r="K66" s="16"/>
      <c r="L66" s="16"/>
    </row>
    <row r="67" spans="1:12" ht="15.75" x14ac:dyDescent="0.25">
      <c r="A67" s="26" t="s">
        <v>748</v>
      </c>
      <c r="B67" s="37">
        <f>B85/B65</f>
        <v>2.1388888888888888</v>
      </c>
      <c r="C67" s="5" t="s">
        <v>1284</v>
      </c>
      <c r="F67" s="16"/>
      <c r="G67" s="16"/>
      <c r="H67" s="16"/>
      <c r="I67" s="16"/>
      <c r="J67" s="16"/>
      <c r="K67" s="16"/>
      <c r="L67" s="16"/>
    </row>
    <row r="68" spans="1:12" ht="15.75" thickBot="1" x14ac:dyDescent="0.25">
      <c r="A68" s="23"/>
      <c r="B68" s="23"/>
      <c r="C68" s="23"/>
      <c r="D68" s="23"/>
      <c r="E68" s="23"/>
      <c r="F68" s="16"/>
      <c r="G68" s="16"/>
      <c r="H68" s="16"/>
      <c r="I68" s="16"/>
      <c r="J68" s="16"/>
      <c r="K68" s="16"/>
      <c r="L68" s="16"/>
    </row>
    <row r="69" spans="1:12" ht="16.5" thickBot="1" x14ac:dyDescent="0.3">
      <c r="A69" s="38" t="s">
        <v>543</v>
      </c>
      <c r="B69" s="39" t="s">
        <v>656</v>
      </c>
      <c r="C69" s="40" t="s">
        <v>228</v>
      </c>
      <c r="F69" s="16"/>
      <c r="G69" s="16"/>
      <c r="H69" s="16"/>
      <c r="I69" s="16"/>
      <c r="J69" s="16"/>
      <c r="K69" s="16"/>
      <c r="L69" s="16"/>
    </row>
    <row r="70" spans="1:12" ht="15.75" x14ac:dyDescent="0.25">
      <c r="A70" s="41" t="s">
        <v>229</v>
      </c>
      <c r="B70" s="42">
        <v>15</v>
      </c>
      <c r="C70" s="43">
        <v>5.8</v>
      </c>
      <c r="F70" s="16"/>
      <c r="G70" s="16"/>
      <c r="H70" s="16"/>
      <c r="I70" s="16"/>
      <c r="J70" s="16"/>
      <c r="K70" s="16"/>
      <c r="L70" s="16"/>
    </row>
    <row r="71" spans="1:12" ht="15.75" x14ac:dyDescent="0.25">
      <c r="A71" s="41" t="s">
        <v>230</v>
      </c>
      <c r="B71" s="42">
        <v>16</v>
      </c>
      <c r="C71" s="43">
        <v>6.5</v>
      </c>
      <c r="F71" s="16"/>
      <c r="G71" s="16"/>
      <c r="H71" s="16"/>
      <c r="I71" s="16"/>
      <c r="J71" s="16"/>
      <c r="K71" s="16"/>
      <c r="L71" s="16"/>
    </row>
    <row r="72" spans="1:12" ht="15.75" x14ac:dyDescent="0.25">
      <c r="A72" s="41" t="s">
        <v>657</v>
      </c>
      <c r="B72" s="42">
        <v>25</v>
      </c>
      <c r="C72" s="43">
        <v>10.7</v>
      </c>
      <c r="F72" s="16"/>
      <c r="G72" s="16"/>
      <c r="H72" s="16"/>
      <c r="I72" s="16"/>
      <c r="J72" s="16"/>
      <c r="K72" s="16"/>
      <c r="L72" s="16"/>
    </row>
    <row r="73" spans="1:12" ht="15.75" x14ac:dyDescent="0.25">
      <c r="A73" s="41" t="s">
        <v>231</v>
      </c>
      <c r="B73" s="42">
        <v>10.5</v>
      </c>
      <c r="C73" s="43">
        <v>4</v>
      </c>
      <c r="F73" s="16"/>
      <c r="G73" s="16"/>
      <c r="H73" s="16"/>
      <c r="I73" s="16"/>
      <c r="J73" s="16"/>
      <c r="K73" s="16"/>
      <c r="L73" s="16"/>
    </row>
    <row r="74" spans="1:12" ht="15.75" x14ac:dyDescent="0.25">
      <c r="A74" s="41" t="s">
        <v>232</v>
      </c>
      <c r="B74" s="42">
        <v>26</v>
      </c>
      <c r="C74" s="43">
        <v>10</v>
      </c>
      <c r="F74" s="16"/>
      <c r="G74" s="16"/>
      <c r="H74" s="16"/>
      <c r="I74" s="16"/>
      <c r="J74" s="16"/>
      <c r="K74" s="16"/>
      <c r="L74" s="16"/>
    </row>
    <row r="75" spans="1:12" ht="15.75" x14ac:dyDescent="0.25">
      <c r="A75" s="41" t="s">
        <v>544</v>
      </c>
      <c r="B75" s="42">
        <v>29</v>
      </c>
      <c r="C75" s="43">
        <v>11.5</v>
      </c>
      <c r="F75" s="16"/>
      <c r="G75" s="16"/>
      <c r="H75" s="16"/>
      <c r="I75" s="16"/>
      <c r="J75" s="16"/>
      <c r="K75" s="16"/>
      <c r="L75" s="16"/>
    </row>
    <row r="76" spans="1:12" ht="16.5" thickBot="1" x14ac:dyDescent="0.3">
      <c r="A76" s="44" t="s">
        <v>64</v>
      </c>
      <c r="B76" s="45">
        <v>28</v>
      </c>
      <c r="C76" s="46">
        <v>11.8</v>
      </c>
      <c r="F76" s="16"/>
      <c r="G76" s="16"/>
      <c r="H76" s="16"/>
      <c r="I76" s="16"/>
      <c r="J76" s="16"/>
      <c r="K76" s="16"/>
      <c r="L76" s="16"/>
    </row>
    <row r="77" spans="1:12" x14ac:dyDescent="0.2">
      <c r="A77" s="23"/>
      <c r="B77" s="23"/>
      <c r="C77" s="23"/>
      <c r="D77" s="23"/>
      <c r="E77" s="23"/>
      <c r="F77" s="16"/>
      <c r="G77" s="16"/>
      <c r="H77" s="16"/>
      <c r="I77" s="16"/>
      <c r="J77" s="16"/>
      <c r="K77" s="16"/>
      <c r="L77" s="16"/>
    </row>
    <row r="78" spans="1:12" x14ac:dyDescent="0.2">
      <c r="F78" s="16"/>
      <c r="G78" s="16"/>
      <c r="H78" s="16"/>
      <c r="I78" s="16"/>
      <c r="J78" s="16"/>
      <c r="K78" s="16"/>
      <c r="L78" s="16"/>
    </row>
    <row r="79" spans="1:12" x14ac:dyDescent="0.2">
      <c r="F79" s="16"/>
      <c r="G79" s="16"/>
      <c r="H79" s="16"/>
      <c r="I79" s="16"/>
      <c r="J79" s="16"/>
      <c r="K79" s="16"/>
      <c r="L79" s="16"/>
    </row>
    <row r="80" spans="1:12" x14ac:dyDescent="0.2">
      <c r="F80" s="16"/>
      <c r="G80" s="16"/>
      <c r="H80" s="16"/>
      <c r="I80" s="16"/>
      <c r="J80" s="16"/>
      <c r="K80" s="16"/>
      <c r="L80" s="16"/>
    </row>
    <row r="81" spans="1:12" x14ac:dyDescent="0.2">
      <c r="F81" s="16"/>
      <c r="G81" s="16"/>
      <c r="H81" s="16"/>
      <c r="I81" s="16"/>
      <c r="J81" s="16"/>
      <c r="K81" s="16"/>
      <c r="L81" s="16"/>
    </row>
    <row r="82" spans="1:12" x14ac:dyDescent="0.2">
      <c r="F82" s="16"/>
      <c r="G82" s="16"/>
      <c r="H82" s="16"/>
      <c r="I82" s="16"/>
      <c r="J82" s="16"/>
      <c r="K82" s="16"/>
      <c r="L82" s="16"/>
    </row>
    <row r="83" spans="1:12" x14ac:dyDescent="0.2">
      <c r="F83" s="16"/>
      <c r="G83" s="16"/>
      <c r="H83" s="16"/>
      <c r="I83" s="16"/>
      <c r="J83" s="16"/>
      <c r="K83" s="16"/>
      <c r="L83" s="16"/>
    </row>
    <row r="84" spans="1:12" ht="16.5" thickBot="1" x14ac:dyDescent="0.3">
      <c r="A84" s="2"/>
      <c r="B84" s="30" t="s">
        <v>109</v>
      </c>
      <c r="C84" s="27"/>
      <c r="F84" s="16"/>
      <c r="G84" s="16"/>
      <c r="H84" s="16"/>
      <c r="I84" s="16"/>
      <c r="J84" s="16"/>
      <c r="K84" s="16"/>
      <c r="L84" s="16"/>
    </row>
    <row r="85" spans="1:12" x14ac:dyDescent="0.2">
      <c r="A85" s="28" t="s">
        <v>186</v>
      </c>
      <c r="B85" s="31">
        <v>22000</v>
      </c>
      <c r="C85" s="22" t="s">
        <v>1154</v>
      </c>
      <c r="F85" s="16" t="s">
        <v>1071</v>
      </c>
      <c r="G85" s="16"/>
      <c r="H85" s="16"/>
      <c r="I85" s="16"/>
      <c r="J85" s="16"/>
      <c r="K85" s="16"/>
      <c r="L85" s="16"/>
    </row>
    <row r="86" spans="1:12" x14ac:dyDescent="0.2">
      <c r="A86" s="28" t="s">
        <v>187</v>
      </c>
      <c r="B86" s="47">
        <v>2</v>
      </c>
      <c r="C86" s="22" t="s">
        <v>221</v>
      </c>
      <c r="F86" s="16"/>
      <c r="G86" s="16"/>
      <c r="H86" s="16"/>
      <c r="I86" s="16"/>
      <c r="J86" s="16"/>
      <c r="K86" s="16"/>
      <c r="L86" s="16"/>
    </row>
    <row r="87" spans="1:12" x14ac:dyDescent="0.2">
      <c r="A87" s="28" t="s">
        <v>189</v>
      </c>
      <c r="B87" s="32">
        <v>10</v>
      </c>
      <c r="C87" s="22" t="s">
        <v>1078</v>
      </c>
      <c r="F87" s="16"/>
      <c r="G87" s="16"/>
      <c r="H87" s="16"/>
      <c r="I87" s="16"/>
      <c r="J87" s="16"/>
      <c r="K87" s="16"/>
      <c r="L87" s="16"/>
    </row>
    <row r="88" spans="1:12" x14ac:dyDescent="0.2">
      <c r="A88" s="28" t="s">
        <v>190</v>
      </c>
      <c r="B88" s="32">
        <v>3</v>
      </c>
      <c r="C88" s="22" t="s">
        <v>1078</v>
      </c>
      <c r="F88" s="16"/>
      <c r="G88" s="16"/>
      <c r="H88" s="16"/>
      <c r="I88" s="16"/>
      <c r="J88" s="16"/>
      <c r="K88" s="16"/>
      <c r="L88" s="16"/>
    </row>
    <row r="89" spans="1:12" ht="15.75" thickBot="1" x14ac:dyDescent="0.25">
      <c r="A89" s="28" t="s">
        <v>541</v>
      </c>
      <c r="B89" s="48">
        <v>29000000</v>
      </c>
      <c r="C89" s="22" t="s">
        <v>1154</v>
      </c>
      <c r="D89" s="22" t="s">
        <v>550</v>
      </c>
      <c r="F89" s="16"/>
      <c r="G89" s="16"/>
      <c r="H89" s="16"/>
      <c r="I89" s="16"/>
      <c r="J89" s="16"/>
      <c r="K89" s="16"/>
      <c r="L89" s="16"/>
    </row>
    <row r="90" spans="1:12" ht="15.75" x14ac:dyDescent="0.25">
      <c r="B90" s="30" t="s">
        <v>876</v>
      </c>
      <c r="C90" s="22"/>
      <c r="F90" s="16"/>
      <c r="G90" s="16"/>
      <c r="H90" s="16"/>
      <c r="I90" s="16"/>
      <c r="J90" s="16"/>
      <c r="K90" s="16"/>
      <c r="L90" s="16"/>
    </row>
    <row r="91" spans="1:12" ht="15.75" x14ac:dyDescent="0.25">
      <c r="A91" s="2" t="s">
        <v>1235</v>
      </c>
      <c r="B91" s="5" t="s">
        <v>188</v>
      </c>
      <c r="C91" s="22"/>
      <c r="F91" s="16"/>
      <c r="G91" s="16"/>
      <c r="H91" s="16"/>
      <c r="I91" s="16"/>
      <c r="J91" s="16"/>
      <c r="K91" s="16"/>
      <c r="L91" s="16"/>
    </row>
    <row r="92" spans="1:12" ht="15.75" x14ac:dyDescent="0.25">
      <c r="A92" s="26" t="s">
        <v>748</v>
      </c>
      <c r="B92" s="5">
        <f>B85/B86</f>
        <v>11000</v>
      </c>
      <c r="C92" s="22" t="s">
        <v>1154</v>
      </c>
      <c r="F92" s="16"/>
      <c r="G92" s="16"/>
      <c r="H92" s="16"/>
      <c r="I92" s="16"/>
      <c r="J92" s="16"/>
      <c r="K92" s="16"/>
      <c r="L92" s="16"/>
    </row>
    <row r="93" spans="1:12" ht="15.75" x14ac:dyDescent="0.25">
      <c r="A93" s="2" t="s">
        <v>227</v>
      </c>
      <c r="B93" s="5" t="s">
        <v>549</v>
      </c>
      <c r="C93" s="1" t="s">
        <v>1071</v>
      </c>
      <c r="F93" s="16"/>
      <c r="G93" s="49"/>
      <c r="H93" s="16"/>
      <c r="I93" s="16"/>
      <c r="J93" s="16"/>
      <c r="K93" s="16"/>
      <c r="L93" s="16"/>
    </row>
    <row r="94" spans="1:12" ht="15.75" x14ac:dyDescent="0.25">
      <c r="A94" s="2" t="s">
        <v>112</v>
      </c>
      <c r="B94" s="50">
        <f>B92/B89</f>
        <v>3.7931034482758619E-4</v>
      </c>
      <c r="C94" s="1" t="s">
        <v>1284</v>
      </c>
      <c r="F94" s="16"/>
      <c r="G94" s="16"/>
      <c r="H94" s="16"/>
      <c r="I94" s="16"/>
      <c r="J94" s="16"/>
      <c r="K94" s="16"/>
      <c r="L94" s="16"/>
    </row>
    <row r="95" spans="1:12" ht="15.75" x14ac:dyDescent="0.25">
      <c r="A95" s="2" t="s">
        <v>1236</v>
      </c>
      <c r="B95" s="5" t="s">
        <v>239</v>
      </c>
      <c r="C95" s="1"/>
      <c r="F95" s="16"/>
      <c r="G95" s="49"/>
      <c r="H95" s="16"/>
      <c r="I95" s="16"/>
      <c r="J95" s="16"/>
      <c r="K95" s="16"/>
      <c r="L95" s="16"/>
    </row>
    <row r="96" spans="1:12" ht="15.75" x14ac:dyDescent="0.25">
      <c r="A96" s="2" t="s">
        <v>112</v>
      </c>
      <c r="B96" s="51">
        <f>B87*B94</f>
        <v>3.7931034482758617E-3</v>
      </c>
      <c r="C96" s="1" t="s">
        <v>1078</v>
      </c>
      <c r="F96" s="16"/>
      <c r="G96" s="16"/>
      <c r="H96" s="16"/>
      <c r="I96" s="16"/>
      <c r="J96" s="16"/>
      <c r="K96" s="16"/>
      <c r="L96" s="16"/>
    </row>
    <row r="97" spans="1:12" ht="15.75" x14ac:dyDescent="0.25">
      <c r="A97" s="2" t="s">
        <v>1129</v>
      </c>
      <c r="B97" s="5" t="s">
        <v>192</v>
      </c>
      <c r="C97" s="1" t="s">
        <v>194</v>
      </c>
      <c r="F97" s="16"/>
      <c r="G97" s="16"/>
      <c r="H97" s="16"/>
      <c r="I97" s="16"/>
      <c r="J97" s="16"/>
      <c r="K97" s="16"/>
      <c r="L97" s="16"/>
    </row>
    <row r="98" spans="1:12" ht="15.75" x14ac:dyDescent="0.25">
      <c r="A98" s="2" t="s">
        <v>1237</v>
      </c>
      <c r="B98" s="5" t="s">
        <v>191</v>
      </c>
      <c r="C98" s="1"/>
      <c r="F98" s="16"/>
      <c r="G98" s="16"/>
      <c r="H98" s="16"/>
      <c r="I98" s="16"/>
      <c r="J98" s="16"/>
      <c r="K98" s="16"/>
      <c r="L98" s="16"/>
    </row>
    <row r="99" spans="1:12" ht="15.75" x14ac:dyDescent="0.25">
      <c r="A99" s="2" t="s">
        <v>748</v>
      </c>
      <c r="B99" s="5" t="s">
        <v>193</v>
      </c>
      <c r="C99" s="1"/>
      <c r="F99" s="16"/>
      <c r="G99" s="16"/>
      <c r="H99" s="16"/>
      <c r="I99" s="16"/>
      <c r="J99" s="16"/>
      <c r="K99" s="16"/>
      <c r="L99" s="16"/>
    </row>
    <row r="100" spans="1:12" ht="15.75" x14ac:dyDescent="0.25">
      <c r="A100" s="26" t="s">
        <v>748</v>
      </c>
      <c r="B100" s="50">
        <f>0.3*B94*B88</f>
        <v>3.4137931034482758E-4</v>
      </c>
      <c r="C100" s="1" t="s">
        <v>1078</v>
      </c>
      <c r="E100" s="5" t="s">
        <v>1071</v>
      </c>
      <c r="F100" s="16"/>
      <c r="G100" s="16"/>
      <c r="H100" s="16"/>
      <c r="I100" s="16"/>
      <c r="J100" s="16"/>
      <c r="K100" s="16"/>
      <c r="L100" s="16"/>
    </row>
    <row r="101" spans="1:12" x14ac:dyDescent="0.2">
      <c r="A101" s="23"/>
      <c r="B101" s="23"/>
      <c r="C101" s="23"/>
      <c r="D101" s="23"/>
      <c r="E101" s="23"/>
      <c r="F101" s="16"/>
      <c r="G101" s="16"/>
      <c r="H101" s="16"/>
      <c r="I101" s="16"/>
      <c r="J101" s="16"/>
      <c r="K101" s="16"/>
      <c r="L101" s="16"/>
    </row>
    <row r="102" spans="1:12" x14ac:dyDescent="0.2">
      <c r="F102" s="16"/>
      <c r="G102" s="16"/>
      <c r="H102" s="16"/>
      <c r="I102" s="16"/>
      <c r="J102" s="16"/>
      <c r="K102" s="16"/>
      <c r="L102" s="16"/>
    </row>
    <row r="103" spans="1:12" x14ac:dyDescent="0.2">
      <c r="F103" s="16"/>
      <c r="G103" s="16"/>
      <c r="H103" s="16"/>
      <c r="I103" s="16"/>
      <c r="J103" s="16"/>
      <c r="K103" s="16"/>
      <c r="L103" s="16"/>
    </row>
    <row r="104" spans="1:12" x14ac:dyDescent="0.2">
      <c r="F104" s="16"/>
      <c r="G104" s="16"/>
      <c r="H104" s="16"/>
      <c r="I104" s="16"/>
      <c r="J104" s="16"/>
      <c r="K104" s="16"/>
      <c r="L104" s="16"/>
    </row>
    <row r="105" spans="1:12" x14ac:dyDescent="0.2">
      <c r="F105" s="16"/>
      <c r="G105" s="16"/>
      <c r="H105" s="16"/>
      <c r="I105" s="16"/>
      <c r="J105" s="16"/>
      <c r="K105" s="16"/>
      <c r="L105" s="16"/>
    </row>
    <row r="106" spans="1:12" x14ac:dyDescent="0.2">
      <c r="F106" s="16"/>
      <c r="G106" s="16"/>
      <c r="H106" s="16"/>
      <c r="I106" s="16"/>
      <c r="J106" s="16"/>
      <c r="K106" s="16"/>
      <c r="L106" s="16"/>
    </row>
    <row r="107" spans="1:12" x14ac:dyDescent="0.2">
      <c r="F107" s="16"/>
      <c r="G107" s="16"/>
      <c r="H107" s="16"/>
      <c r="I107" s="16"/>
      <c r="J107" s="16"/>
      <c r="K107" s="16"/>
      <c r="L107" s="16"/>
    </row>
    <row r="108" spans="1:12" x14ac:dyDescent="0.2">
      <c r="F108" s="16"/>
      <c r="G108" s="16"/>
      <c r="H108" s="16"/>
      <c r="I108" s="16"/>
      <c r="J108" s="16"/>
      <c r="K108" s="16"/>
      <c r="L108" s="16"/>
    </row>
    <row r="109" spans="1:12" x14ac:dyDescent="0.2">
      <c r="F109" s="16"/>
      <c r="G109" s="16"/>
      <c r="H109" s="16"/>
      <c r="I109" s="16"/>
      <c r="J109" s="16"/>
      <c r="K109" s="16"/>
      <c r="L109" s="16"/>
    </row>
    <row r="110" spans="1:12" x14ac:dyDescent="0.2">
      <c r="F110" s="16"/>
      <c r="G110" s="16"/>
      <c r="H110" s="16"/>
      <c r="I110" s="16"/>
      <c r="J110" s="16"/>
      <c r="K110" s="16"/>
      <c r="L110" s="16"/>
    </row>
    <row r="111" spans="1:12" x14ac:dyDescent="0.2">
      <c r="F111" s="16"/>
      <c r="G111" s="16"/>
      <c r="H111" s="16"/>
      <c r="I111" s="16"/>
      <c r="J111" s="16"/>
      <c r="K111" s="16"/>
      <c r="L111" s="16"/>
    </row>
    <row r="112" spans="1:12" x14ac:dyDescent="0.2">
      <c r="F112" s="16"/>
      <c r="G112" s="16"/>
      <c r="H112" s="16"/>
      <c r="I112" s="16"/>
      <c r="J112" s="16"/>
      <c r="K112" s="16"/>
      <c r="L112" s="16"/>
    </row>
    <row r="113" spans="1:12" x14ac:dyDescent="0.2">
      <c r="F113" s="16"/>
      <c r="G113" s="16"/>
      <c r="H113" s="16"/>
      <c r="I113" s="16"/>
      <c r="J113" s="16"/>
      <c r="K113" s="16"/>
      <c r="L113" s="16"/>
    </row>
    <row r="114" spans="1:12" x14ac:dyDescent="0.2">
      <c r="F114" s="16"/>
      <c r="G114" s="16"/>
      <c r="H114" s="16"/>
      <c r="I114" s="16"/>
      <c r="J114" s="16"/>
      <c r="K114" s="16"/>
      <c r="L114" s="16"/>
    </row>
    <row r="115" spans="1:12" x14ac:dyDescent="0.2">
      <c r="F115" s="16"/>
      <c r="G115" s="16"/>
      <c r="H115" s="16"/>
      <c r="I115" s="16"/>
      <c r="J115" s="16"/>
      <c r="K115" s="16"/>
      <c r="L115" s="16"/>
    </row>
    <row r="116" spans="1:12" x14ac:dyDescent="0.2">
      <c r="F116" s="16"/>
      <c r="G116" s="16"/>
      <c r="H116" s="16"/>
      <c r="I116" s="16"/>
      <c r="J116" s="16"/>
      <c r="K116" s="16"/>
      <c r="L116" s="16"/>
    </row>
    <row r="117" spans="1:12" x14ac:dyDescent="0.2">
      <c r="F117" s="16"/>
      <c r="G117" s="16"/>
      <c r="H117" s="16"/>
      <c r="I117" s="16"/>
      <c r="J117" s="16"/>
      <c r="K117" s="16"/>
      <c r="L117" s="16"/>
    </row>
    <row r="118" spans="1:12" x14ac:dyDescent="0.2">
      <c r="F118" s="16"/>
      <c r="G118" s="16"/>
      <c r="H118" s="16"/>
      <c r="I118" s="16"/>
      <c r="J118" s="16"/>
      <c r="K118" s="16"/>
      <c r="L118" s="16"/>
    </row>
    <row r="119" spans="1:12" x14ac:dyDescent="0.2">
      <c r="F119" s="16"/>
      <c r="G119" s="16"/>
      <c r="H119" s="16"/>
      <c r="I119" s="16"/>
      <c r="J119" s="16"/>
      <c r="K119" s="16"/>
      <c r="L119" s="16"/>
    </row>
    <row r="120" spans="1:12" ht="16.5" thickBot="1" x14ac:dyDescent="0.3">
      <c r="A120" s="1"/>
      <c r="B120" s="30" t="s">
        <v>107</v>
      </c>
      <c r="F120" s="16"/>
      <c r="G120" s="16"/>
      <c r="H120" s="16"/>
      <c r="I120" s="16"/>
      <c r="J120" s="16"/>
      <c r="K120" s="16"/>
      <c r="L120" s="16"/>
    </row>
    <row r="121" spans="1:12" x14ac:dyDescent="0.2">
      <c r="A121" s="28" t="s">
        <v>1421</v>
      </c>
      <c r="B121" s="31">
        <v>2200</v>
      </c>
      <c r="C121" s="22" t="s">
        <v>162</v>
      </c>
      <c r="F121" s="16"/>
      <c r="G121" s="16"/>
      <c r="H121" s="16"/>
      <c r="I121" s="16"/>
      <c r="J121" s="16"/>
      <c r="K121" s="16"/>
      <c r="L121" s="16"/>
    </row>
    <row r="122" spans="1:12" x14ac:dyDescent="0.2">
      <c r="A122" s="28" t="s">
        <v>218</v>
      </c>
      <c r="B122" s="52">
        <v>3.5</v>
      </c>
      <c r="C122" s="22" t="s">
        <v>1078</v>
      </c>
      <c r="F122" s="16"/>
      <c r="G122" s="16"/>
      <c r="H122" s="16"/>
      <c r="I122" s="16"/>
      <c r="J122" s="16"/>
      <c r="K122" s="16"/>
      <c r="L122" s="16"/>
    </row>
    <row r="123" spans="1:12" x14ac:dyDescent="0.2">
      <c r="A123" s="28" t="s">
        <v>219</v>
      </c>
      <c r="B123" s="52">
        <v>1.25</v>
      </c>
      <c r="C123" s="22" t="s">
        <v>1078</v>
      </c>
      <c r="F123" s="16"/>
      <c r="G123" s="16"/>
      <c r="H123" s="16"/>
      <c r="I123" s="16"/>
      <c r="J123" s="16"/>
      <c r="K123" s="16"/>
      <c r="L123" s="16"/>
    </row>
    <row r="124" spans="1:12" x14ac:dyDescent="0.2">
      <c r="A124" s="28" t="s">
        <v>235</v>
      </c>
      <c r="B124" s="53">
        <v>1150000</v>
      </c>
      <c r="C124" s="22" t="s">
        <v>1154</v>
      </c>
      <c r="F124" s="16"/>
      <c r="G124" s="16"/>
      <c r="H124" s="16"/>
      <c r="I124" s="16"/>
      <c r="J124" s="16"/>
      <c r="K124" s="16"/>
      <c r="L124" s="16"/>
    </row>
    <row r="125" spans="1:12" ht="15.75" thickBot="1" x14ac:dyDescent="0.25">
      <c r="A125" s="28" t="s">
        <v>323</v>
      </c>
      <c r="B125" s="54">
        <v>12</v>
      </c>
      <c r="C125" s="22" t="s">
        <v>1078</v>
      </c>
      <c r="F125" s="16"/>
      <c r="G125" s="16"/>
      <c r="H125" s="16"/>
      <c r="I125" s="16"/>
      <c r="J125" s="16"/>
      <c r="K125" s="16"/>
      <c r="L125" s="16"/>
    </row>
    <row r="126" spans="1:12" ht="15.75" x14ac:dyDescent="0.25">
      <c r="B126" s="30" t="s">
        <v>876</v>
      </c>
      <c r="C126" s="22"/>
      <c r="F126" s="16"/>
      <c r="G126" s="16"/>
      <c r="H126" s="16"/>
      <c r="I126" s="16"/>
      <c r="J126" s="16"/>
      <c r="K126" s="16"/>
      <c r="L126" s="16"/>
    </row>
    <row r="127" spans="1:12" ht="15.75" x14ac:dyDescent="0.25">
      <c r="A127" s="2" t="s">
        <v>217</v>
      </c>
      <c r="B127" s="5" t="s">
        <v>220</v>
      </c>
      <c r="C127" s="22"/>
      <c r="F127" s="16"/>
      <c r="G127" s="16"/>
      <c r="H127" s="16"/>
      <c r="I127" s="16"/>
      <c r="J127" s="16"/>
      <c r="K127" s="16"/>
      <c r="L127" s="16"/>
    </row>
    <row r="128" spans="1:12" ht="15.75" x14ac:dyDescent="0.25">
      <c r="A128" s="2" t="s">
        <v>173</v>
      </c>
      <c r="B128" s="5">
        <f>B122*B123</f>
        <v>4.375</v>
      </c>
      <c r="C128" s="1" t="s">
        <v>221</v>
      </c>
      <c r="F128" s="16"/>
      <c r="G128" s="16"/>
      <c r="H128" s="16"/>
      <c r="I128" s="16"/>
      <c r="J128" s="16"/>
      <c r="K128" s="16"/>
      <c r="L128" s="16"/>
    </row>
    <row r="129" spans="1:12" ht="15.75" x14ac:dyDescent="0.25">
      <c r="A129" s="2" t="s">
        <v>845</v>
      </c>
      <c r="B129" s="13">
        <v>1.5</v>
      </c>
      <c r="C129" s="1" t="s">
        <v>1284</v>
      </c>
      <c r="F129" s="16"/>
      <c r="G129" s="16"/>
      <c r="H129" s="16"/>
      <c r="I129" s="16"/>
      <c r="J129" s="16"/>
      <c r="K129" s="16"/>
      <c r="L129" s="16"/>
    </row>
    <row r="130" spans="1:12" ht="15.75" x14ac:dyDescent="0.25">
      <c r="A130" s="2" t="s">
        <v>545</v>
      </c>
      <c r="B130" s="5" t="s">
        <v>233</v>
      </c>
      <c r="C130" s="1"/>
      <c r="F130" s="16"/>
      <c r="G130" s="16"/>
      <c r="H130" s="16"/>
      <c r="I130" s="16"/>
      <c r="J130" s="16"/>
      <c r="K130" s="16"/>
      <c r="L130" s="16"/>
    </row>
    <row r="131" spans="1:12" ht="15.75" x14ac:dyDescent="0.25">
      <c r="A131" s="2" t="s">
        <v>112</v>
      </c>
      <c r="B131" s="36">
        <f>B129*B121/B128</f>
        <v>754.28571428571433</v>
      </c>
      <c r="C131" s="1" t="s">
        <v>1154</v>
      </c>
      <c r="F131" s="16"/>
      <c r="G131" s="16"/>
      <c r="H131" s="16"/>
      <c r="I131" s="16"/>
      <c r="J131" s="16"/>
      <c r="K131" s="16"/>
      <c r="L131" s="16"/>
    </row>
    <row r="132" spans="1:12" ht="15.75" x14ac:dyDescent="0.25">
      <c r="A132" s="2" t="s">
        <v>234</v>
      </c>
      <c r="B132" s="5" t="s">
        <v>237</v>
      </c>
      <c r="C132" s="1" t="s">
        <v>1284</v>
      </c>
      <c r="F132" s="16"/>
      <c r="G132" s="16"/>
      <c r="H132" s="16"/>
      <c r="I132" s="16"/>
      <c r="J132" s="16"/>
      <c r="K132" s="16"/>
      <c r="L132" s="16"/>
    </row>
    <row r="133" spans="1:12" ht="15.75" x14ac:dyDescent="0.25">
      <c r="A133" s="2" t="s">
        <v>112</v>
      </c>
      <c r="B133" s="50">
        <f>B131/B124</f>
        <v>6.5590062111801244E-4</v>
      </c>
      <c r="C133" s="1" t="s">
        <v>1284</v>
      </c>
      <c r="F133" s="16"/>
      <c r="G133" s="16"/>
      <c r="H133" s="16"/>
      <c r="I133" s="16"/>
      <c r="J133" s="16"/>
      <c r="K133" s="16"/>
      <c r="L133" s="16"/>
    </row>
    <row r="134" spans="1:12" ht="15.75" x14ac:dyDescent="0.25">
      <c r="A134" s="2" t="s">
        <v>236</v>
      </c>
      <c r="B134" s="5" t="s">
        <v>246</v>
      </c>
      <c r="C134" s="1"/>
      <c r="F134" s="16"/>
      <c r="G134" s="16"/>
      <c r="H134" s="16"/>
      <c r="I134" s="16"/>
      <c r="J134" s="16"/>
      <c r="K134" s="16"/>
      <c r="L134" s="16"/>
    </row>
    <row r="135" spans="1:12" ht="15.75" x14ac:dyDescent="0.25">
      <c r="A135" s="2" t="s">
        <v>112</v>
      </c>
      <c r="B135" s="51">
        <f>B133*B125</f>
        <v>7.8708074534161489E-3</v>
      </c>
      <c r="C135" s="1" t="s">
        <v>1078</v>
      </c>
      <c r="F135" s="16"/>
      <c r="G135" s="16"/>
      <c r="H135" s="16"/>
      <c r="I135" s="16"/>
      <c r="J135" s="16"/>
      <c r="K135" s="16"/>
      <c r="L135" s="16"/>
    </row>
    <row r="136" spans="1:12" x14ac:dyDescent="0.2">
      <c r="F136" s="16"/>
      <c r="G136" s="16"/>
      <c r="H136" s="16"/>
      <c r="I136" s="16"/>
      <c r="J136" s="16"/>
      <c r="K136" s="16"/>
      <c r="L136" s="16"/>
    </row>
    <row r="137" spans="1:12" x14ac:dyDescent="0.2">
      <c r="A137" s="23"/>
      <c r="B137" s="23"/>
      <c r="C137" s="23"/>
      <c r="D137" s="23"/>
      <c r="E137" s="23"/>
      <c r="F137" s="16"/>
      <c r="G137" s="16"/>
      <c r="H137" s="16"/>
      <c r="I137" s="16"/>
      <c r="J137" s="16"/>
      <c r="K137" s="16"/>
      <c r="L137" s="16"/>
    </row>
    <row r="138" spans="1:12" x14ac:dyDescent="0.2">
      <c r="F138" s="16"/>
      <c r="G138" s="16"/>
      <c r="H138" s="16"/>
      <c r="I138" s="16"/>
      <c r="J138" s="16"/>
      <c r="K138" s="16"/>
      <c r="L138" s="16"/>
    </row>
    <row r="139" spans="1:12" x14ac:dyDescent="0.2">
      <c r="F139" s="16"/>
      <c r="G139" s="16"/>
      <c r="H139" s="16"/>
      <c r="I139" s="16"/>
      <c r="J139" s="16"/>
      <c r="K139" s="16"/>
      <c r="L139" s="16"/>
    </row>
    <row r="140" spans="1:12" x14ac:dyDescent="0.2">
      <c r="F140" s="16"/>
      <c r="G140" s="16"/>
      <c r="H140" s="16"/>
      <c r="I140" s="16"/>
      <c r="J140" s="16"/>
      <c r="K140" s="16"/>
      <c r="L140" s="16"/>
    </row>
    <row r="141" spans="1:12" x14ac:dyDescent="0.2">
      <c r="F141" s="16"/>
      <c r="G141" s="16"/>
      <c r="H141" s="16"/>
      <c r="I141" s="16"/>
      <c r="J141" s="16"/>
      <c r="K141" s="16"/>
      <c r="L141" s="16"/>
    </row>
    <row r="142" spans="1:12" x14ac:dyDescent="0.2">
      <c r="F142" s="16"/>
      <c r="G142" s="16"/>
      <c r="H142" s="16"/>
      <c r="I142" s="16"/>
      <c r="J142" s="16"/>
      <c r="K142" s="16"/>
      <c r="L142" s="16"/>
    </row>
    <row r="143" spans="1:12" x14ac:dyDescent="0.2">
      <c r="F143" s="16"/>
      <c r="G143" s="16"/>
      <c r="H143" s="16"/>
      <c r="I143" s="16"/>
      <c r="J143" s="16"/>
      <c r="K143" s="16"/>
      <c r="L143" s="16"/>
    </row>
    <row r="144" spans="1:12" x14ac:dyDescent="0.2">
      <c r="F144" s="16"/>
      <c r="G144" s="16"/>
      <c r="H144" s="16"/>
      <c r="I144" s="16"/>
      <c r="J144" s="16"/>
      <c r="K144" s="16"/>
      <c r="L144" s="16"/>
    </row>
    <row r="145" spans="1:12" x14ac:dyDescent="0.2">
      <c r="F145" s="16"/>
      <c r="G145" s="16"/>
      <c r="H145" s="16"/>
      <c r="I145" s="16"/>
      <c r="J145" s="16"/>
      <c r="K145" s="16"/>
      <c r="L145" s="16"/>
    </row>
    <row r="146" spans="1:12" x14ac:dyDescent="0.2">
      <c r="F146" s="16"/>
      <c r="G146" s="16"/>
      <c r="H146" s="16"/>
      <c r="I146" s="16"/>
      <c r="J146" s="16"/>
      <c r="K146" s="16"/>
      <c r="L146" s="16"/>
    </row>
    <row r="147" spans="1:12" x14ac:dyDescent="0.2">
      <c r="F147" s="16"/>
      <c r="G147" s="16"/>
      <c r="H147" s="16"/>
      <c r="I147" s="16"/>
      <c r="J147" s="16"/>
      <c r="K147" s="16"/>
      <c r="L147" s="16"/>
    </row>
    <row r="148" spans="1:12" x14ac:dyDescent="0.2">
      <c r="F148" s="16"/>
      <c r="G148" s="16"/>
      <c r="H148" s="16"/>
      <c r="I148" s="16"/>
      <c r="J148" s="16"/>
      <c r="K148" s="16"/>
      <c r="L148" s="16"/>
    </row>
    <row r="149" spans="1:12" ht="15.75" x14ac:dyDescent="0.25">
      <c r="A149" s="1" t="s">
        <v>327</v>
      </c>
      <c r="B149" s="27"/>
      <c r="F149" s="16"/>
      <c r="G149" s="16"/>
      <c r="H149" s="16"/>
      <c r="I149" s="16"/>
      <c r="J149" s="16"/>
      <c r="K149" s="16"/>
      <c r="L149" s="16"/>
    </row>
    <row r="150" spans="1:12" ht="15.75" x14ac:dyDescent="0.25">
      <c r="A150" s="2" t="s">
        <v>1190</v>
      </c>
      <c r="C150" s="27"/>
      <c r="F150" s="16"/>
      <c r="G150" s="16"/>
      <c r="H150" s="16"/>
      <c r="I150" s="16"/>
      <c r="J150" s="16"/>
      <c r="K150" s="16"/>
      <c r="L150" s="16"/>
    </row>
    <row r="151" spans="1:12" ht="15.75" x14ac:dyDescent="0.25">
      <c r="A151" s="4" t="s">
        <v>661</v>
      </c>
      <c r="F151" s="16"/>
      <c r="G151" s="16"/>
      <c r="H151" s="16"/>
      <c r="I151" s="16"/>
      <c r="J151" s="16"/>
      <c r="K151" s="16"/>
      <c r="L151" s="16"/>
    </row>
    <row r="152" spans="1:12" ht="16.5" thickBot="1" x14ac:dyDescent="0.3">
      <c r="A152" s="4" t="s">
        <v>662</v>
      </c>
      <c r="B152" s="30" t="s">
        <v>109</v>
      </c>
      <c r="F152" s="16"/>
      <c r="G152" s="16"/>
      <c r="H152" s="16"/>
      <c r="I152" s="16"/>
      <c r="J152" s="16"/>
      <c r="K152" s="16"/>
      <c r="L152" s="16"/>
    </row>
    <row r="153" spans="1:12" x14ac:dyDescent="0.2">
      <c r="A153" s="28" t="s">
        <v>1421</v>
      </c>
      <c r="B153" s="31">
        <v>4000</v>
      </c>
      <c r="C153" s="27" t="s">
        <v>162</v>
      </c>
      <c r="F153" s="16"/>
      <c r="G153" s="16"/>
      <c r="H153" s="16"/>
      <c r="I153" s="16"/>
      <c r="J153" s="16"/>
      <c r="K153" s="16"/>
      <c r="L153" s="16"/>
    </row>
    <row r="154" spans="1:12" x14ac:dyDescent="0.2">
      <c r="A154" s="28" t="s">
        <v>658</v>
      </c>
      <c r="B154" s="52">
        <v>1.5</v>
      </c>
      <c r="C154" s="27" t="s">
        <v>1078</v>
      </c>
      <c r="F154" s="16"/>
      <c r="G154" s="16"/>
      <c r="H154" s="16"/>
      <c r="I154" s="16"/>
      <c r="J154" s="16"/>
      <c r="K154" s="16"/>
      <c r="L154" s="16"/>
    </row>
    <row r="155" spans="1:12" x14ac:dyDescent="0.2">
      <c r="A155" s="28" t="s">
        <v>659</v>
      </c>
      <c r="B155" s="52">
        <v>0</v>
      </c>
      <c r="C155" s="27" t="s">
        <v>1078</v>
      </c>
      <c r="F155" s="16"/>
      <c r="G155" s="16"/>
      <c r="H155" s="16"/>
      <c r="I155" s="16"/>
      <c r="J155" s="16"/>
      <c r="K155" s="16"/>
      <c r="L155" s="16"/>
    </row>
    <row r="156" spans="1:12" x14ac:dyDescent="0.2">
      <c r="A156" s="28" t="s">
        <v>845</v>
      </c>
      <c r="B156" s="55">
        <v>1.33</v>
      </c>
      <c r="C156" s="27" t="s">
        <v>1284</v>
      </c>
      <c r="F156" s="16"/>
      <c r="G156" s="16"/>
      <c r="H156" s="16"/>
      <c r="I156" s="16"/>
      <c r="J156" s="16"/>
      <c r="K156" s="16"/>
      <c r="L156" s="16"/>
    </row>
    <row r="157" spans="1:12" x14ac:dyDescent="0.2">
      <c r="A157" s="28" t="s">
        <v>235</v>
      </c>
      <c r="B157" s="56">
        <v>1150000</v>
      </c>
      <c r="C157" s="27" t="s">
        <v>1154</v>
      </c>
      <c r="F157" s="16"/>
      <c r="G157" s="16"/>
      <c r="H157" s="16"/>
      <c r="I157" s="16"/>
      <c r="J157" s="16"/>
      <c r="K157" s="16"/>
      <c r="L157" s="16"/>
    </row>
    <row r="158" spans="1:12" ht="15.75" thickBot="1" x14ac:dyDescent="0.25">
      <c r="A158" s="28" t="s">
        <v>323</v>
      </c>
      <c r="B158" s="54">
        <v>5</v>
      </c>
      <c r="C158" s="27" t="s">
        <v>1078</v>
      </c>
      <c r="F158" s="16"/>
      <c r="G158" s="16"/>
      <c r="H158" s="16"/>
      <c r="I158" s="16"/>
      <c r="J158" s="16"/>
      <c r="K158" s="16"/>
      <c r="L158" s="16"/>
    </row>
    <row r="159" spans="1:12" ht="15.75" x14ac:dyDescent="0.25">
      <c r="A159" s="2"/>
      <c r="B159" s="30" t="s">
        <v>876</v>
      </c>
      <c r="C159" s="5"/>
      <c r="F159" s="16"/>
      <c r="G159" s="16"/>
      <c r="H159" s="16"/>
      <c r="I159" s="16"/>
      <c r="J159" s="16"/>
      <c r="K159" s="16"/>
      <c r="L159" s="16"/>
    </row>
    <row r="160" spans="1:12" ht="15.75" x14ac:dyDescent="0.25">
      <c r="A160" s="2" t="s">
        <v>217</v>
      </c>
      <c r="B160" s="5" t="s">
        <v>660</v>
      </c>
      <c r="C160" s="4"/>
      <c r="F160" s="16"/>
      <c r="G160" s="16"/>
      <c r="H160" s="16"/>
      <c r="I160" s="16"/>
      <c r="J160" s="16"/>
      <c r="K160" s="16"/>
      <c r="L160" s="16"/>
    </row>
    <row r="161" spans="1:12" ht="15.75" x14ac:dyDescent="0.25">
      <c r="A161" s="2" t="s">
        <v>173</v>
      </c>
      <c r="B161" s="51">
        <f>3.142*(B154^2-B155^2)/4</f>
        <v>1.7673749999999999</v>
      </c>
      <c r="C161" s="5" t="s">
        <v>221</v>
      </c>
      <c r="F161" s="16"/>
      <c r="G161" s="16"/>
      <c r="H161" s="16"/>
      <c r="I161" s="16"/>
      <c r="J161" s="16"/>
      <c r="K161" s="16"/>
      <c r="L161" s="16"/>
    </row>
    <row r="162" spans="1:12" ht="15.75" x14ac:dyDescent="0.25">
      <c r="A162" s="2" t="s">
        <v>1097</v>
      </c>
      <c r="B162" s="5" t="s">
        <v>233</v>
      </c>
      <c r="C162" s="5"/>
      <c r="F162" s="16"/>
      <c r="G162" s="57"/>
      <c r="H162" s="16"/>
      <c r="I162" s="16"/>
      <c r="J162" s="16"/>
      <c r="K162" s="16"/>
      <c r="L162" s="16"/>
    </row>
    <row r="163" spans="1:12" ht="15.75" x14ac:dyDescent="0.25">
      <c r="A163" s="2" t="s">
        <v>324</v>
      </c>
      <c r="B163" s="36">
        <f>B156*B153/B161</f>
        <v>3010.1138694391402</v>
      </c>
      <c r="C163" s="5" t="s">
        <v>1154</v>
      </c>
      <c r="D163" s="12" t="s">
        <v>1071</v>
      </c>
      <c r="F163" s="16"/>
      <c r="G163" s="57"/>
      <c r="H163" s="16"/>
      <c r="I163" s="16"/>
      <c r="J163" s="16"/>
      <c r="K163" s="16"/>
      <c r="L163" s="16"/>
    </row>
    <row r="164" spans="1:12" ht="15.75" x14ac:dyDescent="0.25">
      <c r="A164" s="2" t="s">
        <v>234</v>
      </c>
      <c r="B164" s="5" t="s">
        <v>237</v>
      </c>
      <c r="C164" s="5" t="s">
        <v>1284</v>
      </c>
      <c r="F164" s="16"/>
      <c r="G164" s="57"/>
      <c r="H164" s="16"/>
      <c r="I164" s="16"/>
      <c r="J164" s="16"/>
      <c r="K164" s="16"/>
      <c r="L164" s="16"/>
    </row>
    <row r="165" spans="1:12" ht="15.75" x14ac:dyDescent="0.25">
      <c r="A165" s="2" t="s">
        <v>210</v>
      </c>
      <c r="B165" s="50">
        <f>B163/B157</f>
        <v>2.6174903212514262E-3</v>
      </c>
      <c r="C165" s="5" t="s">
        <v>1284</v>
      </c>
      <c r="F165" s="16"/>
      <c r="G165" s="57"/>
      <c r="H165" s="16"/>
      <c r="I165" s="16"/>
      <c r="J165" s="16"/>
      <c r="K165" s="16"/>
      <c r="L165" s="16"/>
    </row>
    <row r="166" spans="1:12" ht="15.75" x14ac:dyDescent="0.25">
      <c r="A166" s="2" t="s">
        <v>236</v>
      </c>
      <c r="B166" s="5" t="s">
        <v>246</v>
      </c>
      <c r="C166" s="4"/>
      <c r="F166" s="16"/>
      <c r="G166" s="57"/>
      <c r="H166" s="16"/>
      <c r="I166" s="16"/>
      <c r="J166" s="16"/>
      <c r="K166" s="16"/>
      <c r="L166" s="16"/>
    </row>
    <row r="167" spans="1:12" ht="15.75" x14ac:dyDescent="0.25">
      <c r="A167" s="2" t="s">
        <v>247</v>
      </c>
      <c r="B167" s="51">
        <f>B165*B158</f>
        <v>1.3087451606257131E-2</v>
      </c>
      <c r="C167" s="5" t="s">
        <v>1078</v>
      </c>
      <c r="F167" s="16"/>
      <c r="G167" s="16"/>
      <c r="H167" s="16"/>
      <c r="I167" s="16"/>
      <c r="J167" s="16"/>
      <c r="K167" s="16"/>
      <c r="L167" s="16"/>
    </row>
    <row r="168" spans="1:12" x14ac:dyDescent="0.2">
      <c r="A168" s="23"/>
      <c r="B168" s="23"/>
      <c r="C168" s="23"/>
      <c r="D168" s="23"/>
      <c r="E168" s="23"/>
      <c r="F168" s="16"/>
      <c r="G168" s="16"/>
      <c r="H168" s="16"/>
      <c r="I168" s="16"/>
      <c r="J168" s="16"/>
      <c r="K168" s="16"/>
      <c r="L168" s="16"/>
    </row>
    <row r="169" spans="1:12" ht="15.75" x14ac:dyDescent="0.25">
      <c r="A169" s="1" t="s">
        <v>846</v>
      </c>
      <c r="B169" s="27"/>
      <c r="C169" s="27"/>
      <c r="F169" s="16"/>
      <c r="G169" s="16"/>
      <c r="H169" s="16"/>
      <c r="I169" s="16"/>
      <c r="J169" s="16"/>
      <c r="K169" s="16"/>
      <c r="L169" s="16"/>
    </row>
    <row r="170" spans="1:12" x14ac:dyDescent="0.2">
      <c r="A170" s="28"/>
      <c r="B170" s="27"/>
      <c r="C170" s="27"/>
      <c r="F170" s="16"/>
      <c r="G170" s="16"/>
      <c r="H170" s="16"/>
      <c r="I170" s="16"/>
      <c r="J170" s="16"/>
      <c r="K170" s="16"/>
      <c r="L170" s="16"/>
    </row>
    <row r="171" spans="1:12" x14ac:dyDescent="0.2">
      <c r="A171" s="28"/>
      <c r="B171" s="27"/>
      <c r="C171" s="27"/>
      <c r="F171" s="16"/>
      <c r="G171" s="16"/>
      <c r="H171" s="16"/>
      <c r="I171" s="16"/>
      <c r="J171" s="16"/>
      <c r="K171" s="16"/>
      <c r="L171" s="16"/>
    </row>
    <row r="172" spans="1:12" x14ac:dyDescent="0.2">
      <c r="A172" s="28"/>
      <c r="B172" s="27"/>
      <c r="C172" s="27"/>
      <c r="F172" s="16"/>
      <c r="G172" s="16"/>
      <c r="H172" s="16"/>
      <c r="I172" s="16"/>
      <c r="J172" s="16"/>
      <c r="K172" s="16"/>
      <c r="L172" s="16"/>
    </row>
    <row r="173" spans="1:12" x14ac:dyDescent="0.2">
      <c r="A173" s="28"/>
      <c r="B173" s="27"/>
      <c r="C173" s="27"/>
      <c r="F173" s="16"/>
      <c r="G173" s="16"/>
      <c r="H173" s="16"/>
      <c r="I173" s="16"/>
      <c r="J173" s="16"/>
      <c r="K173" s="16"/>
      <c r="L173" s="16"/>
    </row>
    <row r="174" spans="1:12" x14ac:dyDescent="0.2">
      <c r="A174" s="28"/>
      <c r="B174" s="27"/>
      <c r="C174" s="27"/>
      <c r="F174" s="16"/>
      <c r="G174" s="16"/>
      <c r="H174" s="16"/>
      <c r="I174" s="16"/>
      <c r="J174" s="16"/>
      <c r="K174" s="16"/>
      <c r="L174" s="16"/>
    </row>
    <row r="175" spans="1:12" x14ac:dyDescent="0.2">
      <c r="A175" s="28"/>
      <c r="B175" s="27"/>
      <c r="C175" s="27"/>
      <c r="F175" s="16"/>
      <c r="G175" s="16"/>
      <c r="H175" s="16"/>
      <c r="I175" s="16"/>
      <c r="J175" s="16"/>
      <c r="K175" s="16"/>
      <c r="L175" s="16"/>
    </row>
    <row r="176" spans="1:12" x14ac:dyDescent="0.2">
      <c r="A176" s="28"/>
      <c r="B176" s="27"/>
      <c r="C176" s="27"/>
      <c r="F176" s="16"/>
      <c r="G176" s="16"/>
      <c r="H176" s="16"/>
      <c r="I176" s="16"/>
      <c r="J176" s="16"/>
      <c r="K176" s="16"/>
      <c r="L176" s="16"/>
    </row>
    <row r="177" spans="1:12" x14ac:dyDescent="0.2">
      <c r="A177" s="28"/>
      <c r="B177" s="27"/>
      <c r="C177" s="27"/>
      <c r="F177" s="16"/>
      <c r="G177" s="16"/>
      <c r="H177" s="16"/>
      <c r="I177" s="16"/>
      <c r="J177" s="16"/>
      <c r="K177" s="16"/>
      <c r="L177" s="16"/>
    </row>
    <row r="178" spans="1:12" x14ac:dyDescent="0.2">
      <c r="F178" s="16"/>
      <c r="G178" s="16"/>
      <c r="H178" s="16"/>
      <c r="I178" s="16"/>
      <c r="J178" s="16"/>
      <c r="K178" s="16"/>
      <c r="L178" s="16"/>
    </row>
    <row r="179" spans="1:12" x14ac:dyDescent="0.2">
      <c r="F179" s="16"/>
      <c r="G179" s="16"/>
      <c r="H179" s="16"/>
      <c r="I179" s="16"/>
      <c r="J179" s="16"/>
      <c r="K179" s="16"/>
      <c r="L179" s="16"/>
    </row>
    <row r="180" spans="1:12" x14ac:dyDescent="0.2">
      <c r="F180" s="16"/>
      <c r="G180" s="16"/>
      <c r="H180" s="16"/>
      <c r="I180" s="16"/>
      <c r="J180" s="16"/>
      <c r="K180" s="16"/>
      <c r="L180" s="16"/>
    </row>
    <row r="181" spans="1:12" x14ac:dyDescent="0.2">
      <c r="F181" s="16"/>
      <c r="G181" s="16"/>
      <c r="H181" s="16"/>
      <c r="I181" s="16"/>
      <c r="J181" s="16"/>
      <c r="K181" s="16"/>
      <c r="L181" s="16"/>
    </row>
    <row r="182" spans="1:12" x14ac:dyDescent="0.2">
      <c r="F182" s="16"/>
      <c r="G182" s="16"/>
      <c r="H182" s="16"/>
      <c r="I182" s="16"/>
      <c r="J182" s="16"/>
      <c r="K182" s="16"/>
      <c r="L182" s="16"/>
    </row>
    <row r="183" spans="1:12" x14ac:dyDescent="0.2">
      <c r="F183" s="16"/>
      <c r="G183" s="16"/>
      <c r="H183" s="16"/>
      <c r="I183" s="16"/>
      <c r="J183" s="16"/>
      <c r="K183" s="16"/>
      <c r="L183" s="16"/>
    </row>
    <row r="184" spans="1:12" x14ac:dyDescent="0.2">
      <c r="F184" s="16"/>
      <c r="G184" s="16"/>
      <c r="H184" s="16"/>
      <c r="I184" s="16"/>
      <c r="J184" s="16"/>
      <c r="K184" s="16"/>
      <c r="L184" s="16"/>
    </row>
    <row r="185" spans="1:12" x14ac:dyDescent="0.2">
      <c r="F185" s="16"/>
      <c r="G185" s="16"/>
      <c r="H185" s="16"/>
      <c r="I185" s="16"/>
      <c r="J185" s="16"/>
      <c r="K185" s="16"/>
      <c r="L185" s="16"/>
    </row>
    <row r="186" spans="1:12" x14ac:dyDescent="0.2">
      <c r="F186" s="16"/>
      <c r="G186" s="16"/>
      <c r="H186" s="16"/>
      <c r="I186" s="16"/>
      <c r="J186" s="16"/>
      <c r="K186" s="16"/>
      <c r="L186" s="16"/>
    </row>
    <row r="187" spans="1:12" x14ac:dyDescent="0.2">
      <c r="F187" s="16"/>
      <c r="G187" s="16"/>
      <c r="H187" s="16"/>
      <c r="I187" s="16"/>
      <c r="J187" s="16"/>
      <c r="K187" s="16"/>
      <c r="L187" s="16"/>
    </row>
    <row r="188" spans="1:12" x14ac:dyDescent="0.2">
      <c r="F188" s="16"/>
      <c r="G188" s="16"/>
      <c r="H188" s="16"/>
      <c r="I188" s="16"/>
      <c r="J188" s="16"/>
      <c r="K188" s="16"/>
      <c r="L188" s="16"/>
    </row>
    <row r="189" spans="1:12" x14ac:dyDescent="0.2">
      <c r="F189" s="16"/>
      <c r="G189" s="16"/>
      <c r="H189" s="16"/>
      <c r="I189" s="16"/>
      <c r="J189" s="16"/>
      <c r="K189" s="16"/>
      <c r="L189" s="16"/>
    </row>
    <row r="190" spans="1:12" x14ac:dyDescent="0.2">
      <c r="F190" s="16"/>
      <c r="G190" s="16"/>
      <c r="H190" s="16"/>
      <c r="I190" s="16"/>
      <c r="J190" s="16"/>
      <c r="K190" s="16"/>
      <c r="L190" s="16"/>
    </row>
    <row r="191" spans="1:12" x14ac:dyDescent="0.2">
      <c r="F191" s="16"/>
      <c r="G191" s="16"/>
      <c r="H191" s="16"/>
      <c r="I191" s="16"/>
      <c r="J191" s="16"/>
      <c r="K191" s="16"/>
      <c r="L191" s="16"/>
    </row>
    <row r="192" spans="1:12" x14ac:dyDescent="0.2">
      <c r="F192" s="16"/>
      <c r="G192" s="16"/>
      <c r="H192" s="16"/>
      <c r="I192" s="16"/>
      <c r="J192" s="16"/>
      <c r="K192" s="16"/>
      <c r="L192" s="16"/>
    </row>
    <row r="193" spans="1:12" x14ac:dyDescent="0.2">
      <c r="F193" s="16"/>
      <c r="G193" s="16"/>
      <c r="H193" s="16"/>
      <c r="I193" s="16"/>
      <c r="J193" s="16"/>
      <c r="K193" s="16"/>
      <c r="L193" s="16"/>
    </row>
    <row r="194" spans="1:12" x14ac:dyDescent="0.2">
      <c r="F194" s="16"/>
      <c r="G194" s="16"/>
      <c r="H194" s="16"/>
      <c r="I194" s="16"/>
      <c r="J194" s="16"/>
      <c r="K194" s="16"/>
      <c r="L194" s="16"/>
    </row>
    <row r="195" spans="1:12" x14ac:dyDescent="0.2">
      <c r="F195" s="16"/>
      <c r="G195" s="16"/>
      <c r="H195" s="16"/>
      <c r="I195" s="16"/>
      <c r="J195" s="16"/>
      <c r="K195" s="16"/>
      <c r="L195" s="16"/>
    </row>
    <row r="196" spans="1:12" x14ac:dyDescent="0.2">
      <c r="F196" s="16"/>
      <c r="G196" s="16"/>
      <c r="H196" s="16"/>
      <c r="I196" s="16"/>
      <c r="J196" s="16"/>
      <c r="K196" s="16"/>
      <c r="L196" s="16"/>
    </row>
    <row r="197" spans="1:12" ht="15.75" x14ac:dyDescent="0.25">
      <c r="C197" s="27"/>
      <c r="E197" s="5" t="s">
        <v>1071</v>
      </c>
      <c r="F197" s="16"/>
      <c r="G197" s="16"/>
      <c r="H197" s="16"/>
      <c r="I197" s="16"/>
      <c r="J197" s="16"/>
      <c r="K197" s="16"/>
      <c r="L197" s="16"/>
    </row>
    <row r="198" spans="1:12" x14ac:dyDescent="0.2">
      <c r="F198" s="16"/>
      <c r="G198" s="16"/>
      <c r="H198" s="16"/>
      <c r="I198" s="16"/>
      <c r="J198" s="16"/>
      <c r="K198" s="16"/>
      <c r="L198" s="16"/>
    </row>
    <row r="199" spans="1:12" x14ac:dyDescent="0.2">
      <c r="F199" s="16"/>
      <c r="G199" s="16"/>
      <c r="H199" s="16"/>
      <c r="I199" s="16"/>
      <c r="J199" s="16"/>
      <c r="K199" s="16"/>
      <c r="L199" s="16"/>
    </row>
    <row r="200" spans="1:12" x14ac:dyDescent="0.2">
      <c r="F200" s="16"/>
      <c r="G200" s="16"/>
      <c r="H200" s="16"/>
      <c r="I200" s="16"/>
      <c r="J200" s="16"/>
      <c r="K200" s="16"/>
      <c r="L200" s="16"/>
    </row>
    <row r="201" spans="1:12" x14ac:dyDescent="0.2">
      <c r="F201" s="16"/>
      <c r="G201" s="16"/>
      <c r="H201" s="16"/>
      <c r="I201" s="16"/>
      <c r="J201" s="16"/>
      <c r="K201" s="16"/>
      <c r="L201" s="16"/>
    </row>
    <row r="202" spans="1:12" x14ac:dyDescent="0.2">
      <c r="F202" s="16"/>
      <c r="G202" s="16"/>
      <c r="H202" s="16"/>
      <c r="I202" s="16"/>
      <c r="J202" s="16"/>
      <c r="K202" s="16"/>
      <c r="L202" s="16"/>
    </row>
    <row r="203" spans="1:12" x14ac:dyDescent="0.2">
      <c r="F203" s="16"/>
      <c r="G203" s="16"/>
      <c r="H203" s="16"/>
      <c r="I203" s="16"/>
      <c r="J203" s="16"/>
      <c r="K203" s="16"/>
      <c r="L203" s="16"/>
    </row>
    <row r="204" spans="1:12" x14ac:dyDescent="0.2">
      <c r="F204" s="16"/>
      <c r="G204" s="16"/>
      <c r="H204" s="16"/>
      <c r="I204" s="16"/>
      <c r="J204" s="16"/>
      <c r="K204" s="16"/>
      <c r="L204" s="16"/>
    </row>
    <row r="205" spans="1:12" x14ac:dyDescent="0.2">
      <c r="F205" s="16"/>
      <c r="G205" s="16"/>
      <c r="H205" s="16"/>
      <c r="I205" s="16"/>
      <c r="J205" s="16"/>
      <c r="K205" s="16"/>
      <c r="L205" s="16"/>
    </row>
    <row r="206" spans="1:12" x14ac:dyDescent="0.2">
      <c r="A206" s="28" t="s">
        <v>1071</v>
      </c>
      <c r="B206" s="27"/>
      <c r="C206" s="27"/>
      <c r="F206" s="16"/>
      <c r="G206" s="16"/>
      <c r="H206" s="16"/>
      <c r="I206" s="16"/>
      <c r="J206" s="16"/>
      <c r="K206" s="16"/>
      <c r="L206" s="16"/>
    </row>
    <row r="207" spans="1:12" x14ac:dyDescent="0.2">
      <c r="A207" s="28"/>
      <c r="B207" s="27"/>
      <c r="C207" s="27"/>
      <c r="F207" s="16"/>
      <c r="G207" s="16"/>
      <c r="H207" s="16"/>
      <c r="I207" s="16"/>
      <c r="J207" s="16"/>
      <c r="K207" s="16"/>
      <c r="L207" s="16"/>
    </row>
    <row r="208" spans="1:12" x14ac:dyDescent="0.2">
      <c r="A208" s="28"/>
      <c r="B208" s="27"/>
      <c r="C208" s="27"/>
      <c r="F208" s="16"/>
      <c r="G208" s="16"/>
      <c r="H208" s="16"/>
      <c r="I208" s="16"/>
      <c r="J208" s="16"/>
      <c r="K208" s="16"/>
      <c r="L208" s="16"/>
    </row>
    <row r="209" spans="1:12" x14ac:dyDescent="0.2">
      <c r="A209" s="28"/>
      <c r="B209" s="27" t="s">
        <v>57</v>
      </c>
      <c r="C209" s="27"/>
      <c r="F209" s="16"/>
      <c r="G209" s="16"/>
      <c r="H209" s="16"/>
      <c r="I209" s="16"/>
      <c r="J209" s="16"/>
      <c r="K209" s="16"/>
      <c r="L209" s="16"/>
    </row>
    <row r="210" spans="1:12" ht="15.75" x14ac:dyDescent="0.25">
      <c r="A210" s="1" t="s">
        <v>663</v>
      </c>
      <c r="C210" s="27" t="s">
        <v>57</v>
      </c>
      <c r="F210" s="16"/>
      <c r="G210" s="16"/>
      <c r="H210" s="16"/>
      <c r="I210" s="16"/>
      <c r="J210" s="16"/>
      <c r="K210" s="16"/>
      <c r="L210" s="16"/>
    </row>
    <row r="211" spans="1:12" ht="15.75" x14ac:dyDescent="0.25">
      <c r="A211" s="2" t="s">
        <v>1186</v>
      </c>
      <c r="B211" s="1" t="s">
        <v>807</v>
      </c>
      <c r="C211" s="27"/>
      <c r="F211" s="16"/>
      <c r="G211" s="16"/>
      <c r="H211" s="16"/>
      <c r="I211" s="16"/>
      <c r="J211" s="16"/>
      <c r="K211" s="16"/>
      <c r="L211" s="16"/>
    </row>
    <row r="212" spans="1:12" ht="15.75" x14ac:dyDescent="0.25">
      <c r="A212" s="2"/>
      <c r="B212" s="1"/>
      <c r="C212" s="27"/>
      <c r="F212" s="16"/>
      <c r="G212" s="16"/>
      <c r="H212" s="16"/>
      <c r="I212" s="16"/>
      <c r="J212" s="16"/>
      <c r="K212" s="16"/>
      <c r="L212" s="16"/>
    </row>
    <row r="213" spans="1:12" ht="15.75" x14ac:dyDescent="0.25">
      <c r="A213" s="2" t="s">
        <v>1187</v>
      </c>
      <c r="B213" s="1" t="s">
        <v>806</v>
      </c>
      <c r="C213" s="27"/>
      <c r="F213" s="16"/>
      <c r="G213" s="16"/>
      <c r="H213" s="16"/>
      <c r="I213" s="16"/>
      <c r="J213" s="16"/>
      <c r="K213" s="16"/>
      <c r="L213" s="16"/>
    </row>
    <row r="214" spans="1:12" ht="15.75" x14ac:dyDescent="0.25">
      <c r="A214" s="2"/>
      <c r="B214" s="1"/>
      <c r="C214" s="27"/>
      <c r="F214" s="16"/>
      <c r="G214" s="16"/>
      <c r="H214" s="16"/>
      <c r="I214" s="16"/>
      <c r="J214" s="16"/>
      <c r="K214" s="16"/>
      <c r="L214" s="16"/>
    </row>
    <row r="215" spans="1:12" ht="15.75" x14ac:dyDescent="0.25">
      <c r="A215" s="2" t="s">
        <v>747</v>
      </c>
      <c r="B215" s="1" t="s">
        <v>340</v>
      </c>
      <c r="C215" s="27"/>
      <c r="F215" s="16"/>
      <c r="G215" s="16"/>
      <c r="H215" s="16"/>
      <c r="I215" s="16"/>
      <c r="J215" s="16"/>
      <c r="K215" s="16"/>
      <c r="L215" s="16"/>
    </row>
    <row r="216" spans="1:12" x14ac:dyDescent="0.2">
      <c r="C216" s="27"/>
      <c r="F216" s="16"/>
      <c r="G216" s="16"/>
      <c r="H216" s="16"/>
      <c r="I216" s="16"/>
      <c r="J216" s="16"/>
      <c r="K216" s="16"/>
      <c r="L216" s="16"/>
    </row>
    <row r="217" spans="1:12" ht="15.75" x14ac:dyDescent="0.25">
      <c r="A217" s="2" t="s">
        <v>1189</v>
      </c>
      <c r="B217" s="4" t="s">
        <v>1188</v>
      </c>
      <c r="C217" s="27"/>
      <c r="F217" s="16"/>
      <c r="G217" s="16"/>
      <c r="H217" s="16"/>
      <c r="I217" s="16"/>
      <c r="J217" s="16"/>
      <c r="K217" s="16"/>
      <c r="L217" s="16"/>
    </row>
    <row r="218" spans="1:12" x14ac:dyDescent="0.2">
      <c r="A218" s="23"/>
      <c r="B218" s="23"/>
      <c r="C218" s="23"/>
      <c r="D218" s="23"/>
      <c r="E218" s="23"/>
      <c r="F218" s="16"/>
      <c r="G218" s="16"/>
      <c r="H218" s="16"/>
      <c r="I218" s="16"/>
      <c r="J218" s="16"/>
      <c r="K218" s="16"/>
      <c r="L218" s="16"/>
    </row>
    <row r="219" spans="1:12" x14ac:dyDescent="0.2">
      <c r="F219" s="16"/>
      <c r="G219" s="16"/>
      <c r="H219" s="16"/>
      <c r="I219" s="16"/>
      <c r="J219" s="16"/>
      <c r="K219" s="16"/>
      <c r="L219" s="16"/>
    </row>
    <row r="220" spans="1:12" x14ac:dyDescent="0.2">
      <c r="F220" s="16"/>
      <c r="G220" s="16"/>
      <c r="H220" s="16"/>
      <c r="I220" s="16"/>
      <c r="J220" s="16"/>
      <c r="K220" s="16"/>
      <c r="L220" s="16"/>
    </row>
    <row r="221" spans="1:12" x14ac:dyDescent="0.2">
      <c r="F221" s="16"/>
      <c r="G221" s="16"/>
      <c r="H221" s="16"/>
      <c r="I221" s="16"/>
      <c r="J221" s="16"/>
      <c r="K221" s="16"/>
      <c r="L221" s="16"/>
    </row>
    <row r="222" spans="1:12" x14ac:dyDescent="0.2">
      <c r="F222" s="16"/>
      <c r="G222" s="16"/>
      <c r="H222" s="16"/>
      <c r="I222" s="16"/>
      <c r="J222" s="16"/>
      <c r="K222" s="16"/>
      <c r="L222" s="16"/>
    </row>
    <row r="223" spans="1:12" x14ac:dyDescent="0.2">
      <c r="F223" s="16"/>
      <c r="G223" s="16"/>
      <c r="H223" s="16"/>
      <c r="I223" s="16"/>
      <c r="J223" s="16"/>
      <c r="K223" s="16"/>
      <c r="L223" s="16"/>
    </row>
    <row r="224" spans="1:12" x14ac:dyDescent="0.2">
      <c r="F224" s="16"/>
      <c r="G224" s="16"/>
      <c r="H224" s="16"/>
      <c r="I224" s="16"/>
      <c r="J224" s="16"/>
      <c r="K224" s="16"/>
      <c r="L224" s="16"/>
    </row>
    <row r="225" spans="1:12" x14ac:dyDescent="0.2">
      <c r="F225" s="16"/>
      <c r="G225" s="16"/>
      <c r="H225" s="16"/>
      <c r="I225" s="16"/>
      <c r="J225" s="16"/>
      <c r="K225" s="16"/>
      <c r="L225" s="16"/>
    </row>
    <row r="226" spans="1:12" x14ac:dyDescent="0.2">
      <c r="F226" s="16"/>
      <c r="G226" s="16"/>
      <c r="H226" s="16"/>
      <c r="I226" s="16"/>
      <c r="J226" s="16"/>
      <c r="K226" s="16"/>
      <c r="L226" s="16"/>
    </row>
    <row r="227" spans="1:12" x14ac:dyDescent="0.2">
      <c r="F227" s="16"/>
      <c r="G227" s="16"/>
      <c r="H227" s="16"/>
      <c r="I227" s="16"/>
      <c r="J227" s="16"/>
      <c r="K227" s="16"/>
      <c r="L227" s="16"/>
    </row>
    <row r="228" spans="1:12" x14ac:dyDescent="0.2">
      <c r="F228" s="16"/>
      <c r="G228" s="16"/>
      <c r="H228" s="16"/>
      <c r="I228" s="16"/>
      <c r="J228" s="16"/>
      <c r="K228" s="16"/>
      <c r="L228" s="16"/>
    </row>
    <row r="229" spans="1:12" x14ac:dyDescent="0.2">
      <c r="F229" s="16"/>
      <c r="G229" s="16"/>
      <c r="H229" s="16"/>
      <c r="I229" s="16"/>
      <c r="J229" s="16"/>
      <c r="K229" s="16"/>
      <c r="L229" s="16"/>
    </row>
    <row r="230" spans="1:12" x14ac:dyDescent="0.2">
      <c r="F230" s="16"/>
      <c r="G230" s="16"/>
      <c r="H230" s="16"/>
      <c r="I230" s="16"/>
      <c r="J230" s="16"/>
      <c r="K230" s="16"/>
      <c r="L230" s="16"/>
    </row>
    <row r="231" spans="1:12" x14ac:dyDescent="0.2">
      <c r="F231" s="16"/>
      <c r="G231" s="16"/>
      <c r="H231" s="16"/>
      <c r="I231" s="16"/>
      <c r="J231" s="16"/>
      <c r="K231" s="16"/>
      <c r="L231" s="16"/>
    </row>
    <row r="232" spans="1:12" x14ac:dyDescent="0.2">
      <c r="F232" s="16"/>
      <c r="G232" s="16"/>
      <c r="H232" s="16"/>
      <c r="I232" s="16"/>
      <c r="J232" s="16"/>
      <c r="K232" s="16"/>
      <c r="L232" s="16"/>
    </row>
    <row r="233" spans="1:12" ht="15.75" x14ac:dyDescent="0.25">
      <c r="A233" s="1" t="s">
        <v>813</v>
      </c>
      <c r="B233" s="27"/>
      <c r="C233" s="27"/>
      <c r="F233" s="16"/>
      <c r="G233" s="16"/>
      <c r="H233" s="16"/>
      <c r="I233" s="16"/>
      <c r="J233" s="16"/>
      <c r="K233" s="16"/>
      <c r="L233" s="16"/>
    </row>
    <row r="234" spans="1:12" ht="16.5" thickBot="1" x14ac:dyDescent="0.3">
      <c r="B234" s="30" t="s">
        <v>109</v>
      </c>
      <c r="C234" s="27"/>
      <c r="F234" s="16"/>
      <c r="G234" s="16"/>
      <c r="H234" s="16"/>
      <c r="I234" s="16"/>
      <c r="J234" s="16"/>
      <c r="K234" s="16"/>
      <c r="L234" s="16"/>
    </row>
    <row r="235" spans="1:12" x14ac:dyDescent="0.2">
      <c r="A235" s="28" t="s">
        <v>341</v>
      </c>
      <c r="B235" s="31">
        <v>3000</v>
      </c>
      <c r="C235" s="27" t="s">
        <v>1100</v>
      </c>
      <c r="F235" s="16"/>
      <c r="G235" s="58" t="s">
        <v>1071</v>
      </c>
      <c r="H235" s="16"/>
      <c r="I235" s="16"/>
      <c r="J235" s="16"/>
      <c r="K235" s="16"/>
      <c r="L235" s="16"/>
    </row>
    <row r="236" spans="1:12" x14ac:dyDescent="0.2">
      <c r="A236" s="28" t="s">
        <v>342</v>
      </c>
      <c r="B236" s="32">
        <v>600</v>
      </c>
      <c r="C236" s="27" t="s">
        <v>1100</v>
      </c>
      <c r="F236" s="16"/>
      <c r="G236" s="58"/>
      <c r="H236" s="16"/>
      <c r="I236" s="16"/>
      <c r="J236" s="16"/>
      <c r="K236" s="16"/>
      <c r="L236" s="16"/>
    </row>
    <row r="237" spans="1:12" x14ac:dyDescent="0.2">
      <c r="A237" s="28" t="s">
        <v>343</v>
      </c>
      <c r="B237" s="32">
        <v>2000</v>
      </c>
      <c r="C237" s="27" t="s">
        <v>1075</v>
      </c>
      <c r="F237" s="16"/>
      <c r="G237" s="58"/>
      <c r="H237" s="16"/>
      <c r="I237" s="16"/>
      <c r="J237" s="16"/>
      <c r="K237" s="16"/>
      <c r="L237" s="16"/>
    </row>
    <row r="238" spans="1:12" x14ac:dyDescent="0.2">
      <c r="A238" s="28" t="s">
        <v>344</v>
      </c>
      <c r="B238" s="32">
        <v>10</v>
      </c>
      <c r="C238" s="27" t="s">
        <v>1074</v>
      </c>
      <c r="F238" s="16"/>
      <c r="G238" s="58"/>
      <c r="H238" s="16"/>
      <c r="I238" s="16"/>
      <c r="J238" s="16"/>
      <c r="K238" s="16"/>
      <c r="L238" s="16"/>
    </row>
    <row r="239" spans="1:12" ht="15.75" thickBot="1" x14ac:dyDescent="0.25">
      <c r="A239" s="28" t="s">
        <v>345</v>
      </c>
      <c r="B239" s="54">
        <v>2</v>
      </c>
      <c r="C239" s="27" t="s">
        <v>1078</v>
      </c>
      <c r="F239" s="16"/>
      <c r="G239" s="58"/>
      <c r="H239" s="16"/>
      <c r="I239" s="16"/>
      <c r="J239" s="16"/>
      <c r="K239" s="16"/>
      <c r="L239" s="16"/>
    </row>
    <row r="240" spans="1:12" ht="15.75" x14ac:dyDescent="0.25">
      <c r="E240" s="5" t="s">
        <v>1071</v>
      </c>
      <c r="F240" s="16"/>
      <c r="G240" s="16"/>
      <c r="H240" s="16"/>
      <c r="I240" s="16"/>
      <c r="J240" s="16"/>
      <c r="K240" s="16"/>
      <c r="L240" s="16"/>
    </row>
    <row r="241" spans="1:12" ht="15.75" x14ac:dyDescent="0.25">
      <c r="A241" s="2" t="s">
        <v>347</v>
      </c>
      <c r="B241" s="30" t="s">
        <v>876</v>
      </c>
      <c r="F241" s="16"/>
      <c r="G241" s="16"/>
      <c r="H241" s="16"/>
      <c r="I241" s="16"/>
      <c r="J241" s="16"/>
      <c r="K241" s="16"/>
      <c r="L241" s="16"/>
    </row>
    <row r="242" spans="1:12" ht="15.75" x14ac:dyDescent="0.25">
      <c r="A242" s="2" t="s">
        <v>440</v>
      </c>
      <c r="B242" s="5">
        <v>3.1415999999999999</v>
      </c>
      <c r="C242" s="59" t="s">
        <v>1284</v>
      </c>
      <c r="F242" s="16"/>
      <c r="G242" s="16"/>
      <c r="H242" s="16"/>
      <c r="I242" s="16"/>
      <c r="J242" s="16"/>
      <c r="K242" s="16"/>
      <c r="L242" s="16"/>
    </row>
    <row r="243" spans="1:12" ht="15.75" x14ac:dyDescent="0.25">
      <c r="A243" s="2" t="s">
        <v>348</v>
      </c>
      <c r="B243" s="5" t="s">
        <v>664</v>
      </c>
      <c r="C243" s="5" t="s">
        <v>1071</v>
      </c>
      <c r="F243" s="16"/>
      <c r="G243" s="16"/>
      <c r="H243" s="16"/>
      <c r="I243" s="16"/>
      <c r="J243" s="16"/>
      <c r="K243" s="16"/>
      <c r="L243" s="16"/>
    </row>
    <row r="244" spans="1:12" ht="15.75" x14ac:dyDescent="0.25">
      <c r="A244" s="2" t="s">
        <v>173</v>
      </c>
      <c r="B244" s="3">
        <f>B242*B239^2/4</f>
        <v>3.1415999999999999</v>
      </c>
      <c r="C244" s="5" t="s">
        <v>221</v>
      </c>
      <c r="F244" s="16"/>
      <c r="G244" s="16"/>
      <c r="H244" s="16"/>
      <c r="I244" s="16"/>
      <c r="J244" s="16"/>
      <c r="K244" s="16"/>
      <c r="L244" s="16"/>
    </row>
    <row r="245" spans="1:12" ht="15.75" x14ac:dyDescent="0.25">
      <c r="A245" s="2" t="s">
        <v>1131</v>
      </c>
      <c r="B245" s="5" t="s">
        <v>258</v>
      </c>
      <c r="C245" s="5"/>
      <c r="F245" s="16"/>
      <c r="G245" s="16"/>
      <c r="H245" s="16"/>
      <c r="I245" s="16"/>
      <c r="J245" s="16"/>
      <c r="K245" s="16"/>
      <c r="L245" s="16"/>
    </row>
    <row r="246" spans="1:12" ht="15.75" x14ac:dyDescent="0.25">
      <c r="A246" s="2" t="s">
        <v>9</v>
      </c>
      <c r="B246" s="51">
        <f>B242*B239^4/64</f>
        <v>0.78539999999999999</v>
      </c>
      <c r="C246" s="5" t="s">
        <v>1073</v>
      </c>
      <c r="F246" s="16"/>
      <c r="G246" s="16"/>
      <c r="H246" s="16"/>
      <c r="I246" s="16"/>
      <c r="J246" s="16"/>
      <c r="K246" s="16"/>
      <c r="L246" s="16"/>
    </row>
    <row r="247" spans="1:12" ht="15.75" x14ac:dyDescent="0.25">
      <c r="A247" s="2" t="s">
        <v>325</v>
      </c>
      <c r="B247" s="5" t="s">
        <v>1180</v>
      </c>
      <c r="C247" s="5"/>
      <c r="F247" s="16"/>
      <c r="G247" s="16"/>
      <c r="H247" s="16"/>
      <c r="I247" s="16"/>
      <c r="J247" s="16"/>
      <c r="K247" s="16"/>
      <c r="L247" s="16"/>
    </row>
    <row r="248" spans="1:12" ht="15.75" x14ac:dyDescent="0.25">
      <c r="A248" s="2" t="s">
        <v>1091</v>
      </c>
      <c r="B248" s="51">
        <f>B242*B239^4/32</f>
        <v>1.5708</v>
      </c>
      <c r="C248" s="5" t="s">
        <v>1073</v>
      </c>
      <c r="F248" s="16"/>
      <c r="G248" s="16"/>
      <c r="H248" s="16"/>
      <c r="I248" s="16"/>
      <c r="J248" s="16"/>
      <c r="K248" s="16"/>
      <c r="L248" s="16"/>
    </row>
    <row r="249" spans="1:12" ht="15.75" x14ac:dyDescent="0.25">
      <c r="A249" s="1" t="s">
        <v>667</v>
      </c>
      <c r="B249" s="5"/>
      <c r="C249" s="5"/>
      <c r="F249" s="16"/>
      <c r="G249" s="16"/>
      <c r="H249" s="16"/>
      <c r="I249" s="16"/>
      <c r="J249" s="16"/>
      <c r="K249" s="16"/>
      <c r="L249" s="16"/>
    </row>
    <row r="250" spans="1:12" ht="15.75" x14ac:dyDescent="0.25">
      <c r="A250" s="2" t="s">
        <v>368</v>
      </c>
      <c r="B250" s="5" t="s">
        <v>665</v>
      </c>
      <c r="C250" s="5"/>
      <c r="F250" s="16"/>
      <c r="G250" s="16"/>
      <c r="H250" s="16"/>
      <c r="I250" s="16"/>
      <c r="J250" s="16"/>
      <c r="K250" s="16"/>
      <c r="L250" s="16"/>
    </row>
    <row r="251" spans="1:12" ht="15.75" x14ac:dyDescent="0.25">
      <c r="A251" s="2" t="s">
        <v>129</v>
      </c>
      <c r="B251" s="36">
        <f>(B235/B244)</f>
        <v>954.92742551566084</v>
      </c>
      <c r="C251" s="5" t="s">
        <v>1154</v>
      </c>
      <c r="F251" s="16"/>
      <c r="G251" s="16"/>
      <c r="H251" s="16"/>
      <c r="I251" s="16"/>
      <c r="J251" s="16"/>
      <c r="K251" s="16"/>
      <c r="L251" s="16"/>
    </row>
    <row r="252" spans="1:12" ht="15.75" x14ac:dyDescent="0.25">
      <c r="A252" s="2" t="s">
        <v>666</v>
      </c>
      <c r="B252" s="5" t="s">
        <v>1098</v>
      </c>
      <c r="C252" s="27"/>
      <c r="F252" s="16"/>
      <c r="G252" s="16"/>
      <c r="H252" s="16"/>
      <c r="I252" s="16"/>
      <c r="J252" s="16"/>
      <c r="K252" s="16"/>
      <c r="L252" s="16"/>
    </row>
    <row r="253" spans="1:12" ht="15.75" x14ac:dyDescent="0.25">
      <c r="A253" s="2" t="s">
        <v>369</v>
      </c>
      <c r="B253" s="36">
        <f>B236*B238*(B239/2)/B246</f>
        <v>7639.4194041252867</v>
      </c>
      <c r="C253" s="5" t="s">
        <v>1154</v>
      </c>
      <c r="F253" s="16"/>
      <c r="G253" s="16"/>
      <c r="H253" s="16"/>
      <c r="I253" s="16"/>
      <c r="J253" s="16"/>
      <c r="K253" s="16"/>
      <c r="L253" s="16"/>
    </row>
    <row r="254" spans="1:12" ht="15.75" x14ac:dyDescent="0.25">
      <c r="A254" s="2" t="s">
        <v>366</v>
      </c>
      <c r="B254" s="5" t="s">
        <v>370</v>
      </c>
      <c r="C254" s="27"/>
      <c r="F254" s="16"/>
      <c r="G254" s="16"/>
      <c r="H254" s="16"/>
      <c r="I254" s="16"/>
      <c r="J254" s="16"/>
      <c r="K254" s="16"/>
      <c r="L254" s="16"/>
    </row>
    <row r="255" spans="1:12" ht="15.75" x14ac:dyDescent="0.25">
      <c r="A255" s="2" t="s">
        <v>367</v>
      </c>
      <c r="B255" s="36">
        <f>B251+B253</f>
        <v>8594.3468296409483</v>
      </c>
      <c r="C255" s="5" t="s">
        <v>1154</v>
      </c>
      <c r="F255" s="16"/>
      <c r="G255" s="16"/>
      <c r="H255" s="16"/>
      <c r="I255" s="16"/>
      <c r="J255" s="16"/>
      <c r="K255" s="16"/>
      <c r="L255" s="16"/>
    </row>
    <row r="256" spans="1:12" ht="15.75" x14ac:dyDescent="0.25">
      <c r="A256" s="2" t="s">
        <v>668</v>
      </c>
      <c r="B256" s="5">
        <v>0</v>
      </c>
      <c r="C256" s="5" t="s">
        <v>1154</v>
      </c>
      <c r="F256" s="16"/>
      <c r="G256" s="16"/>
      <c r="H256" s="16"/>
      <c r="I256" s="16"/>
      <c r="J256" s="16"/>
      <c r="K256" s="16"/>
      <c r="L256" s="16"/>
    </row>
    <row r="257" spans="1:12" ht="15.75" x14ac:dyDescent="0.25">
      <c r="A257" s="2" t="s">
        <v>744</v>
      </c>
      <c r="B257" s="5" t="s">
        <v>985</v>
      </c>
      <c r="C257" s="5"/>
      <c r="F257" s="16"/>
      <c r="G257" s="16"/>
      <c r="H257" s="16"/>
      <c r="I257" s="16"/>
      <c r="J257" s="16"/>
      <c r="K257" s="16"/>
      <c r="L257" s="16"/>
    </row>
    <row r="258" spans="1:12" ht="15.75" x14ac:dyDescent="0.25">
      <c r="A258" s="2" t="s">
        <v>346</v>
      </c>
      <c r="B258" s="36">
        <f>$B$237*($B$239/2)/$B$248</f>
        <v>1273.2365673542145</v>
      </c>
      <c r="C258" s="5" t="s">
        <v>1154</v>
      </c>
      <c r="F258" s="16"/>
      <c r="G258" s="16"/>
      <c r="H258" s="16"/>
      <c r="I258" s="16"/>
      <c r="J258" s="16"/>
      <c r="K258" s="16"/>
      <c r="L258" s="16"/>
    </row>
    <row r="259" spans="1:12" ht="15.75" x14ac:dyDescent="0.25">
      <c r="B259" s="5"/>
      <c r="C259" s="5"/>
      <c r="F259" s="16"/>
      <c r="G259" s="16"/>
      <c r="H259" s="16"/>
      <c r="I259" s="16"/>
      <c r="J259" s="16"/>
      <c r="K259" s="16"/>
      <c r="L259" s="16"/>
    </row>
    <row r="260" spans="1:12" ht="15.75" x14ac:dyDescent="0.25">
      <c r="A260" s="2" t="s">
        <v>809</v>
      </c>
      <c r="B260" s="1" t="s">
        <v>807</v>
      </c>
      <c r="C260" s="5"/>
      <c r="F260" s="16"/>
      <c r="G260" s="16"/>
      <c r="H260" s="16"/>
      <c r="I260" s="16"/>
      <c r="J260" s="16"/>
      <c r="K260" s="16"/>
      <c r="L260" s="16"/>
    </row>
    <row r="261" spans="1:12" ht="15.75" x14ac:dyDescent="0.25">
      <c r="A261" s="2" t="s">
        <v>749</v>
      </c>
      <c r="B261" s="60">
        <f>((B255+B256)/2)+(((B255-B256)/2)^2+B258^2)^0.5</f>
        <v>8779.0068246526371</v>
      </c>
      <c r="C261" s="5" t="s">
        <v>1154</v>
      </c>
      <c r="F261" s="16"/>
      <c r="G261" s="16"/>
      <c r="H261" s="16"/>
      <c r="I261" s="16"/>
      <c r="J261" s="16"/>
      <c r="K261" s="16"/>
      <c r="L261" s="16"/>
    </row>
    <row r="262" spans="1:12" ht="15.75" x14ac:dyDescent="0.25">
      <c r="A262" s="2" t="s">
        <v>810</v>
      </c>
      <c r="B262" s="1" t="s">
        <v>808</v>
      </c>
      <c r="C262" s="5"/>
      <c r="F262" s="16"/>
      <c r="G262" s="16"/>
      <c r="H262" s="16"/>
      <c r="I262" s="16"/>
      <c r="J262" s="16"/>
      <c r="K262" s="16"/>
      <c r="L262" s="16"/>
    </row>
    <row r="263" spans="1:12" ht="15.75" x14ac:dyDescent="0.25">
      <c r="A263" s="2" t="s">
        <v>750</v>
      </c>
      <c r="B263" s="60">
        <f>((B255+B256)/2)-(((B255-B256)/2)^2+B258^2)^0.5</f>
        <v>-184.65999501168881</v>
      </c>
      <c r="C263" s="5" t="s">
        <v>1154</v>
      </c>
      <c r="F263" s="16"/>
      <c r="G263" s="16"/>
      <c r="H263" s="16"/>
      <c r="I263" s="16"/>
      <c r="J263" s="16"/>
      <c r="K263" s="16"/>
      <c r="L263" s="16"/>
    </row>
    <row r="264" spans="1:12" ht="15.75" x14ac:dyDescent="0.25">
      <c r="A264" s="2" t="s">
        <v>811</v>
      </c>
      <c r="B264" s="1" t="s">
        <v>340</v>
      </c>
      <c r="C264" s="5"/>
      <c r="F264" s="16"/>
      <c r="G264" s="16"/>
      <c r="H264" s="16"/>
      <c r="I264" s="16"/>
      <c r="J264" s="16"/>
      <c r="K264" s="16"/>
      <c r="L264" s="16"/>
    </row>
    <row r="265" spans="1:12" ht="15.75" x14ac:dyDescent="0.25">
      <c r="A265" s="26" t="s">
        <v>748</v>
      </c>
      <c r="B265" s="60">
        <f>(B261-B263)/2</f>
        <v>4481.8334098321629</v>
      </c>
      <c r="C265" s="5" t="s">
        <v>1154</v>
      </c>
      <c r="F265" s="16"/>
      <c r="G265" s="16"/>
      <c r="H265" s="16"/>
      <c r="I265" s="16"/>
      <c r="J265" s="16"/>
      <c r="K265" s="16"/>
      <c r="L265" s="16"/>
    </row>
    <row r="266" spans="1:12" x14ac:dyDescent="0.2">
      <c r="A266" s="28"/>
      <c r="B266" s="27"/>
      <c r="C266" s="27"/>
      <c r="F266" s="16"/>
      <c r="G266" s="16"/>
      <c r="H266" s="16"/>
      <c r="I266" s="16"/>
      <c r="J266" s="16"/>
      <c r="K266" s="16"/>
      <c r="L266" s="16"/>
    </row>
    <row r="267" spans="1:12" ht="15.75" x14ac:dyDescent="0.25">
      <c r="A267" s="1" t="s">
        <v>745</v>
      </c>
      <c r="B267" s="5"/>
      <c r="C267" s="5"/>
      <c r="F267" s="16"/>
      <c r="G267" s="16"/>
      <c r="H267" s="16"/>
      <c r="I267" s="16"/>
      <c r="J267" s="16"/>
      <c r="K267" s="16"/>
      <c r="L267" s="16"/>
    </row>
    <row r="268" spans="1:12" ht="15.75" x14ac:dyDescent="0.25">
      <c r="A268" s="2" t="s">
        <v>368</v>
      </c>
      <c r="B268" s="5" t="s">
        <v>365</v>
      </c>
      <c r="C268" s="5"/>
      <c r="F268" s="16"/>
      <c r="G268" s="16"/>
      <c r="H268" s="16"/>
      <c r="I268" s="16"/>
      <c r="J268" s="16"/>
      <c r="K268" s="16"/>
      <c r="L268" s="16"/>
    </row>
    <row r="269" spans="1:12" ht="15.75" x14ac:dyDescent="0.25">
      <c r="A269" s="2" t="s">
        <v>129</v>
      </c>
      <c r="B269" s="36">
        <f>(B251)</f>
        <v>954.92742551566084</v>
      </c>
      <c r="C269" s="5" t="s">
        <v>1154</v>
      </c>
      <c r="F269" s="16"/>
      <c r="G269" s="16"/>
      <c r="H269" s="16"/>
      <c r="I269" s="16"/>
      <c r="J269" s="16"/>
      <c r="K269" s="16"/>
      <c r="L269" s="16"/>
    </row>
    <row r="270" spans="1:12" ht="15.75" x14ac:dyDescent="0.25">
      <c r="A270" s="2" t="s">
        <v>666</v>
      </c>
      <c r="B270" s="61" t="s">
        <v>986</v>
      </c>
      <c r="C270" s="27"/>
      <c r="F270" s="16"/>
      <c r="G270" s="16"/>
      <c r="H270" s="16"/>
      <c r="I270" s="16"/>
      <c r="J270" s="16"/>
      <c r="K270" s="16"/>
      <c r="L270" s="16"/>
    </row>
    <row r="271" spans="1:12" ht="15.75" x14ac:dyDescent="0.25">
      <c r="A271" s="2" t="s">
        <v>369</v>
      </c>
      <c r="B271" s="36">
        <f>-B253</f>
        <v>-7639.4194041252867</v>
      </c>
      <c r="C271" s="5" t="s">
        <v>1154</v>
      </c>
      <c r="F271" s="16"/>
      <c r="G271" s="16"/>
      <c r="H271" s="16"/>
      <c r="I271" s="16"/>
      <c r="J271" s="16"/>
      <c r="K271" s="16"/>
      <c r="L271" s="16"/>
    </row>
    <row r="272" spans="1:12" ht="15.75" x14ac:dyDescent="0.25">
      <c r="A272" s="2" t="s">
        <v>366</v>
      </c>
      <c r="B272" s="5" t="s">
        <v>370</v>
      </c>
      <c r="C272" s="27"/>
      <c r="F272" s="16"/>
      <c r="G272" s="16"/>
      <c r="H272" s="16"/>
      <c r="I272" s="16"/>
      <c r="J272" s="16"/>
      <c r="K272" s="16"/>
      <c r="L272" s="16"/>
    </row>
    <row r="273" spans="1:12" ht="15.75" x14ac:dyDescent="0.25">
      <c r="A273" s="2" t="s">
        <v>367</v>
      </c>
      <c r="B273" s="36">
        <f>B269+B271</f>
        <v>-6684.4919786096261</v>
      </c>
      <c r="C273" s="5" t="s">
        <v>1154</v>
      </c>
      <c r="E273" s="12" t="s">
        <v>1071</v>
      </c>
      <c r="F273" s="16"/>
      <c r="G273" s="16"/>
      <c r="H273" s="16"/>
      <c r="I273" s="16"/>
      <c r="J273" s="16"/>
      <c r="K273" s="16"/>
      <c r="L273" s="16"/>
    </row>
    <row r="274" spans="1:12" ht="15.75" x14ac:dyDescent="0.25">
      <c r="A274" s="2" t="s">
        <v>668</v>
      </c>
      <c r="B274" s="5">
        <v>0</v>
      </c>
      <c r="C274" s="5" t="s">
        <v>1154</v>
      </c>
      <c r="F274" s="16"/>
      <c r="G274" s="16"/>
      <c r="H274" s="16"/>
      <c r="I274" s="16"/>
      <c r="J274" s="16"/>
      <c r="K274" s="16"/>
      <c r="L274" s="16"/>
    </row>
    <row r="275" spans="1:12" ht="15.75" x14ac:dyDescent="0.25">
      <c r="A275" s="2" t="s">
        <v>744</v>
      </c>
      <c r="B275" s="5" t="s">
        <v>364</v>
      </c>
      <c r="C275" s="5"/>
      <c r="F275" s="16"/>
      <c r="G275" s="16"/>
      <c r="H275" s="16"/>
      <c r="I275" s="16"/>
      <c r="J275" s="16"/>
      <c r="K275" s="16"/>
      <c r="L275" s="16"/>
    </row>
    <row r="276" spans="1:12" ht="15.75" x14ac:dyDescent="0.25">
      <c r="A276" s="2" t="s">
        <v>346</v>
      </c>
      <c r="B276" s="36">
        <f>$B$237*$B$239/(2*$B$248)</f>
        <v>1273.2365673542145</v>
      </c>
      <c r="C276" s="5" t="s">
        <v>1154</v>
      </c>
      <c r="F276" s="16"/>
      <c r="G276" s="16" t="s">
        <v>336</v>
      </c>
      <c r="H276" s="16"/>
      <c r="I276" s="16"/>
      <c r="J276" s="16"/>
      <c r="K276" s="16"/>
      <c r="L276" s="16"/>
    </row>
    <row r="277" spans="1:12" x14ac:dyDescent="0.2">
      <c r="F277" s="16"/>
      <c r="G277" s="16"/>
      <c r="H277" s="16"/>
      <c r="I277" s="16"/>
      <c r="J277" s="16"/>
      <c r="K277" s="16"/>
      <c r="L277" s="16"/>
    </row>
    <row r="278" spans="1:12" ht="15.75" x14ac:dyDescent="0.25">
      <c r="A278" s="2" t="s">
        <v>472</v>
      </c>
      <c r="B278" s="1" t="s">
        <v>807</v>
      </c>
      <c r="C278" s="5"/>
      <c r="F278" s="16"/>
      <c r="G278" s="16"/>
      <c r="H278" s="16"/>
      <c r="I278" s="16"/>
      <c r="J278" s="16"/>
      <c r="K278" s="16"/>
      <c r="L278" s="16"/>
    </row>
    <row r="279" spans="1:12" ht="15.75" x14ac:dyDescent="0.25">
      <c r="A279" s="2" t="s">
        <v>749</v>
      </c>
      <c r="B279" s="36">
        <f>((B273+B274)/2)+(((B273-B274)/2)^2+B276^2)^0.5</f>
        <v>234.30816371343144</v>
      </c>
      <c r="C279" s="5" t="s">
        <v>1154</v>
      </c>
      <c r="F279" s="16"/>
      <c r="G279" s="16"/>
      <c r="H279" s="16"/>
      <c r="I279" s="16"/>
      <c r="J279" s="16"/>
      <c r="K279" s="16"/>
      <c r="L279" s="16"/>
    </row>
    <row r="280" spans="1:12" ht="15.75" x14ac:dyDescent="0.25">
      <c r="A280" s="2" t="s">
        <v>473</v>
      </c>
      <c r="B280" s="1" t="s">
        <v>806</v>
      </c>
      <c r="C280" s="5"/>
      <c r="F280" s="16"/>
      <c r="G280" s="16"/>
      <c r="H280" s="16"/>
      <c r="I280" s="16"/>
      <c r="J280" s="16"/>
      <c r="K280" s="16"/>
      <c r="L280" s="16"/>
    </row>
    <row r="281" spans="1:12" ht="15.75" x14ac:dyDescent="0.25">
      <c r="A281" s="2" t="s">
        <v>750</v>
      </c>
      <c r="B281" s="36">
        <f>((B273+B274)/2)-(((B273-B274)/2)^2+B276^2)^0.5</f>
        <v>-6918.800142323058</v>
      </c>
      <c r="C281" s="5" t="s">
        <v>1154</v>
      </c>
      <c r="F281" s="16"/>
      <c r="G281" s="16" t="s">
        <v>1071</v>
      </c>
      <c r="H281" s="16"/>
      <c r="I281" s="16"/>
      <c r="J281" s="16"/>
      <c r="K281" s="16"/>
      <c r="L281" s="16"/>
    </row>
    <row r="282" spans="1:12" ht="15.75" x14ac:dyDescent="0.25">
      <c r="A282" s="2" t="s">
        <v>746</v>
      </c>
      <c r="B282" s="1" t="s">
        <v>340</v>
      </c>
      <c r="C282" s="5"/>
      <c r="F282" s="16"/>
      <c r="G282" s="16"/>
      <c r="H282" s="16"/>
      <c r="I282" s="16"/>
      <c r="J282" s="16"/>
      <c r="K282" s="16"/>
      <c r="L282" s="16"/>
    </row>
    <row r="283" spans="1:12" ht="15.75" x14ac:dyDescent="0.25">
      <c r="A283" s="28"/>
      <c r="B283" s="36">
        <f>(B279-B281)/2</f>
        <v>3576.5541530182445</v>
      </c>
      <c r="C283" s="5" t="s">
        <v>1154</v>
      </c>
      <c r="F283" s="16"/>
      <c r="G283" s="16"/>
      <c r="H283" s="16"/>
      <c r="I283" s="16"/>
      <c r="J283" s="16"/>
      <c r="K283" s="16"/>
      <c r="L283" s="16"/>
    </row>
    <row r="284" spans="1:12" x14ac:dyDescent="0.2">
      <c r="A284" s="23"/>
      <c r="B284" s="23"/>
      <c r="C284" s="23"/>
      <c r="D284" s="23"/>
      <c r="E284" s="23"/>
      <c r="F284" s="16"/>
      <c r="G284" s="16"/>
      <c r="H284" s="16"/>
      <c r="I284" s="16"/>
      <c r="J284" s="16"/>
      <c r="K284" s="16"/>
      <c r="L284" s="16"/>
    </row>
    <row r="285" spans="1:12" x14ac:dyDescent="0.2">
      <c r="F285" s="16"/>
      <c r="G285" s="16"/>
      <c r="H285" s="16"/>
      <c r="I285" s="16"/>
      <c r="J285" s="16"/>
      <c r="K285" s="16"/>
      <c r="L285" s="16"/>
    </row>
    <row r="286" spans="1:12" ht="15.75" x14ac:dyDescent="0.25">
      <c r="E286" s="5" t="s">
        <v>1071</v>
      </c>
      <c r="F286" s="16"/>
      <c r="G286" s="16"/>
      <c r="H286" s="16"/>
      <c r="I286" s="16"/>
      <c r="J286" s="16"/>
      <c r="K286" s="16"/>
      <c r="L286" s="16"/>
    </row>
    <row r="287" spans="1:12" x14ac:dyDescent="0.2">
      <c r="F287" s="16"/>
      <c r="G287" s="16"/>
      <c r="H287" s="16"/>
      <c r="I287" s="16"/>
      <c r="J287" s="16"/>
      <c r="K287" s="16"/>
      <c r="L287" s="16"/>
    </row>
    <row r="288" spans="1:12" x14ac:dyDescent="0.2">
      <c r="F288" s="16"/>
      <c r="G288" s="16"/>
      <c r="H288" s="16"/>
      <c r="I288" s="16"/>
      <c r="J288" s="16"/>
      <c r="K288" s="16"/>
      <c r="L288" s="16"/>
    </row>
    <row r="289" spans="1:12" x14ac:dyDescent="0.2">
      <c r="F289" s="16"/>
      <c r="G289" s="16"/>
      <c r="H289" s="16"/>
      <c r="I289" s="16"/>
      <c r="J289" s="16"/>
      <c r="K289" s="16"/>
      <c r="L289" s="16"/>
    </row>
    <row r="290" spans="1:12" x14ac:dyDescent="0.2">
      <c r="F290" s="16"/>
      <c r="G290" s="16"/>
      <c r="H290" s="16"/>
      <c r="I290" s="16"/>
      <c r="J290" s="16"/>
      <c r="K290" s="16"/>
      <c r="L290" s="16"/>
    </row>
    <row r="291" spans="1:12" x14ac:dyDescent="0.2">
      <c r="F291" s="16"/>
      <c r="G291" s="16"/>
      <c r="H291" s="16"/>
      <c r="I291" s="16"/>
      <c r="J291" s="16"/>
      <c r="K291" s="16"/>
      <c r="L291" s="16"/>
    </row>
    <row r="292" spans="1:12" x14ac:dyDescent="0.2">
      <c r="D292" s="28"/>
      <c r="F292" s="16"/>
      <c r="G292" s="16"/>
      <c r="H292" s="16"/>
      <c r="I292" s="16"/>
      <c r="J292" s="16"/>
      <c r="K292" s="16"/>
      <c r="L292" s="16"/>
    </row>
    <row r="293" spans="1:12" x14ac:dyDescent="0.2">
      <c r="F293" s="16"/>
      <c r="G293" s="16"/>
      <c r="H293" s="16"/>
      <c r="I293" s="16"/>
      <c r="J293" s="16"/>
      <c r="K293" s="16"/>
      <c r="L293" s="16"/>
    </row>
    <row r="294" spans="1:12" x14ac:dyDescent="0.2">
      <c r="F294" s="16"/>
      <c r="G294" s="16"/>
      <c r="H294" s="16"/>
      <c r="I294" s="16"/>
      <c r="J294" s="16"/>
      <c r="K294" s="16"/>
      <c r="L294" s="16"/>
    </row>
    <row r="295" spans="1:12" x14ac:dyDescent="0.2">
      <c r="F295" s="16"/>
      <c r="G295" s="16"/>
      <c r="H295" s="16"/>
      <c r="I295" s="16"/>
      <c r="J295" s="16"/>
      <c r="K295" s="16"/>
      <c r="L295" s="16"/>
    </row>
    <row r="296" spans="1:12" x14ac:dyDescent="0.2">
      <c r="E296" s="62"/>
      <c r="F296" s="16"/>
      <c r="G296" s="16"/>
      <c r="H296" s="16"/>
      <c r="I296" s="16"/>
      <c r="J296" s="16"/>
      <c r="K296" s="16"/>
      <c r="L296" s="16"/>
    </row>
    <row r="297" spans="1:12" x14ac:dyDescent="0.2">
      <c r="F297" s="16"/>
      <c r="G297" s="16"/>
      <c r="H297" s="16"/>
      <c r="I297" s="16"/>
      <c r="J297" s="16"/>
      <c r="K297" s="16"/>
      <c r="L297" s="16"/>
    </row>
    <row r="298" spans="1:12" x14ac:dyDescent="0.2">
      <c r="F298" s="16"/>
      <c r="G298" s="16"/>
      <c r="H298" s="16"/>
      <c r="I298" s="16"/>
      <c r="J298" s="16"/>
      <c r="K298" s="16"/>
      <c r="L298" s="16"/>
    </row>
    <row r="299" spans="1:12" ht="15.75" x14ac:dyDescent="0.25">
      <c r="E299" s="5" t="s">
        <v>1071</v>
      </c>
      <c r="F299" s="16"/>
      <c r="G299" s="16"/>
      <c r="H299" s="16"/>
      <c r="I299" s="16"/>
      <c r="J299" s="16"/>
      <c r="K299" s="16"/>
      <c r="L299" s="16"/>
    </row>
    <row r="300" spans="1:12" ht="15.75" x14ac:dyDescent="0.25">
      <c r="A300" s="1" t="s">
        <v>182</v>
      </c>
      <c r="F300" s="16"/>
      <c r="G300" s="16"/>
      <c r="H300" s="16"/>
      <c r="I300" s="16"/>
      <c r="J300" s="16"/>
      <c r="K300" s="16"/>
      <c r="L300" s="16"/>
    </row>
    <row r="301" spans="1:12" ht="16.5" thickBot="1" x14ac:dyDescent="0.3">
      <c r="B301" s="30" t="s">
        <v>109</v>
      </c>
      <c r="C301" s="27"/>
      <c r="F301" s="16"/>
      <c r="G301" s="16"/>
      <c r="H301" s="16"/>
      <c r="I301" s="16"/>
      <c r="J301" s="16"/>
      <c r="K301" s="16"/>
      <c r="L301" s="16"/>
    </row>
    <row r="302" spans="1:12" x14ac:dyDescent="0.2">
      <c r="A302" s="28" t="s">
        <v>241</v>
      </c>
      <c r="B302" s="63">
        <v>8.5</v>
      </c>
      <c r="C302" s="27" t="s">
        <v>1078</v>
      </c>
      <c r="F302" s="16"/>
      <c r="G302" s="16"/>
      <c r="H302" s="16"/>
      <c r="I302" s="16"/>
      <c r="J302" s="16"/>
      <c r="K302" s="16"/>
      <c r="L302" s="16"/>
    </row>
    <row r="303" spans="1:12" x14ac:dyDescent="0.2">
      <c r="A303" s="28" t="s">
        <v>242</v>
      </c>
      <c r="B303" s="52">
        <v>7</v>
      </c>
      <c r="C303" s="27" t="s">
        <v>1078</v>
      </c>
      <c r="F303" s="16"/>
      <c r="G303" s="16"/>
      <c r="H303" s="16"/>
      <c r="I303" s="16"/>
      <c r="J303" s="16"/>
      <c r="K303" s="16"/>
      <c r="L303" s="16"/>
    </row>
    <row r="304" spans="1:12" x14ac:dyDescent="0.2">
      <c r="A304" s="28" t="s">
        <v>219</v>
      </c>
      <c r="B304" s="52">
        <v>1.5</v>
      </c>
      <c r="C304" s="27" t="s">
        <v>1078</v>
      </c>
      <c r="F304" s="16"/>
      <c r="G304" s="16"/>
      <c r="H304" s="16"/>
      <c r="I304" s="16"/>
      <c r="J304" s="16"/>
      <c r="K304" s="16"/>
      <c r="L304" s="16"/>
    </row>
    <row r="305" spans="1:12" ht="15.75" thickBot="1" x14ac:dyDescent="0.25">
      <c r="A305" s="28" t="s">
        <v>249</v>
      </c>
      <c r="B305" s="54">
        <v>500</v>
      </c>
      <c r="C305" s="27" t="s">
        <v>1075</v>
      </c>
      <c r="F305" s="16"/>
      <c r="G305" s="16"/>
      <c r="H305" s="16"/>
      <c r="I305" s="16"/>
      <c r="J305" s="16"/>
      <c r="K305" s="16"/>
      <c r="L305" s="16"/>
    </row>
    <row r="306" spans="1:12" ht="15.75" x14ac:dyDescent="0.25">
      <c r="B306" s="30" t="s">
        <v>876</v>
      </c>
      <c r="F306" s="16"/>
      <c r="G306" s="16"/>
      <c r="H306" s="16"/>
      <c r="I306" s="16"/>
      <c r="J306" s="16"/>
      <c r="K306" s="16"/>
      <c r="L306" s="16"/>
    </row>
    <row r="307" spans="1:12" ht="15.75" x14ac:dyDescent="0.25">
      <c r="A307" s="2" t="s">
        <v>218</v>
      </c>
      <c r="B307" s="5" t="s">
        <v>248</v>
      </c>
      <c r="C307" s="5" t="s">
        <v>1078</v>
      </c>
      <c r="F307" s="16"/>
      <c r="G307" s="16"/>
      <c r="H307" s="16"/>
      <c r="I307" s="16"/>
      <c r="J307" s="16"/>
      <c r="K307" s="16"/>
      <c r="L307" s="16"/>
    </row>
    <row r="308" spans="1:12" ht="15.75" x14ac:dyDescent="0.25">
      <c r="A308" s="26" t="s">
        <v>112</v>
      </c>
      <c r="B308" s="3">
        <f>B302-B303</f>
        <v>1.5</v>
      </c>
      <c r="C308" s="5" t="s">
        <v>1078</v>
      </c>
      <c r="F308" s="16"/>
      <c r="G308" s="16"/>
      <c r="H308" s="16"/>
      <c r="I308" s="16"/>
      <c r="J308" s="16"/>
      <c r="K308" s="16"/>
      <c r="L308" s="16"/>
    </row>
    <row r="309" spans="1:12" ht="15.75" x14ac:dyDescent="0.25">
      <c r="A309" s="2" t="s">
        <v>217</v>
      </c>
      <c r="B309" s="3">
        <f>B308*B304</f>
        <v>2.25</v>
      </c>
      <c r="C309" s="5" t="s">
        <v>221</v>
      </c>
      <c r="F309" s="16"/>
      <c r="G309" s="16"/>
      <c r="H309" s="16"/>
      <c r="I309" s="16"/>
      <c r="J309" s="16"/>
      <c r="K309" s="16"/>
      <c r="L309" s="16"/>
    </row>
    <row r="310" spans="1:12" ht="15.75" x14ac:dyDescent="0.25">
      <c r="A310" s="2" t="s">
        <v>245</v>
      </c>
      <c r="B310" s="5" t="s">
        <v>244</v>
      </c>
      <c r="C310" s="5"/>
      <c r="F310" s="16"/>
      <c r="G310" s="16"/>
      <c r="H310" s="16"/>
      <c r="I310" s="16"/>
      <c r="J310" s="16"/>
      <c r="K310" s="16"/>
      <c r="L310" s="16"/>
    </row>
    <row r="311" spans="1:12" ht="15.75" x14ac:dyDescent="0.25">
      <c r="A311" s="2" t="s">
        <v>240</v>
      </c>
      <c r="B311" s="5" t="s">
        <v>253</v>
      </c>
      <c r="C311" s="5"/>
      <c r="F311" s="16"/>
      <c r="G311" s="16"/>
      <c r="H311" s="16"/>
      <c r="I311" s="16"/>
      <c r="J311" s="16"/>
      <c r="K311" s="16"/>
      <c r="L311" s="16"/>
    </row>
    <row r="312" spans="1:12" ht="15.75" x14ac:dyDescent="0.25">
      <c r="A312" s="26" t="s">
        <v>748</v>
      </c>
      <c r="B312" s="3">
        <f>B308/LN(B302/B303)</f>
        <v>7.7257457324668568</v>
      </c>
      <c r="C312" s="5" t="s">
        <v>1078</v>
      </c>
      <c r="F312" s="16"/>
      <c r="G312" s="16"/>
      <c r="H312" s="16"/>
      <c r="I312" s="16"/>
      <c r="J312" s="16"/>
      <c r="K312" s="16"/>
      <c r="L312" s="16"/>
    </row>
    <row r="313" spans="1:12" ht="15.75" x14ac:dyDescent="0.25">
      <c r="A313" s="2" t="s">
        <v>210</v>
      </c>
      <c r="B313" s="5" t="s">
        <v>251</v>
      </c>
      <c r="C313" s="5"/>
      <c r="F313" s="16"/>
      <c r="G313" s="16"/>
      <c r="H313" s="16"/>
      <c r="I313" s="16"/>
      <c r="J313" s="16"/>
      <c r="K313" s="16"/>
      <c r="L313" s="16"/>
    </row>
    <row r="314" spans="1:12" ht="15.75" x14ac:dyDescent="0.25">
      <c r="A314" s="26" t="s">
        <v>748</v>
      </c>
      <c r="B314" s="3">
        <f>B303+(B308/2)-B312</f>
        <v>2.4254267533143192E-2</v>
      </c>
      <c r="C314" s="5" t="s">
        <v>1078</v>
      </c>
      <c r="F314" s="16"/>
      <c r="G314" s="16"/>
      <c r="H314" s="16"/>
      <c r="I314" s="16"/>
      <c r="J314" s="16"/>
      <c r="K314" s="16"/>
      <c r="L314" s="16"/>
    </row>
    <row r="315" spans="1:12" ht="15.75" x14ac:dyDescent="0.25">
      <c r="A315" s="2" t="s">
        <v>184</v>
      </c>
      <c r="B315" s="5" t="s">
        <v>252</v>
      </c>
      <c r="C315" s="5"/>
      <c r="F315" s="16"/>
      <c r="G315" s="16"/>
      <c r="H315" s="16"/>
      <c r="I315" s="16"/>
      <c r="J315" s="16"/>
      <c r="K315" s="16"/>
      <c r="L315" s="16"/>
    </row>
    <row r="316" spans="1:12" ht="15.75" x14ac:dyDescent="0.25">
      <c r="A316" s="26" t="s">
        <v>748</v>
      </c>
      <c r="B316" s="36">
        <f>B305*(B312-B303)/(B309*(B314)*B303)</f>
        <v>949.91724779800541</v>
      </c>
      <c r="C316" s="5" t="s">
        <v>1154</v>
      </c>
      <c r="F316" s="16"/>
      <c r="G316" s="16"/>
      <c r="H316" s="16"/>
      <c r="I316" s="16"/>
      <c r="J316" s="16"/>
      <c r="K316" s="16"/>
      <c r="L316" s="16"/>
    </row>
    <row r="317" spans="1:12" ht="15.75" x14ac:dyDescent="0.25">
      <c r="A317" s="2" t="s">
        <v>489</v>
      </c>
      <c r="B317" s="5" t="s">
        <v>490</v>
      </c>
      <c r="C317" s="5"/>
      <c r="F317" s="16"/>
      <c r="G317" s="16"/>
      <c r="H317" s="16"/>
      <c r="I317" s="16"/>
      <c r="J317" s="16"/>
      <c r="K317" s="16"/>
      <c r="L317" s="16"/>
    </row>
    <row r="318" spans="1:12" ht="15.75" x14ac:dyDescent="0.25">
      <c r="A318" s="26" t="s">
        <v>748</v>
      </c>
      <c r="B318" s="36">
        <f>B305*(B302-B312)/(B309*B314*B303)</f>
        <v>1013.4093112900689</v>
      </c>
      <c r="C318" s="5" t="s">
        <v>1154</v>
      </c>
      <c r="F318" s="16"/>
      <c r="G318" s="16"/>
      <c r="H318" s="16"/>
      <c r="I318" s="16"/>
      <c r="J318" s="16"/>
      <c r="K318" s="16"/>
      <c r="L318" s="16"/>
    </row>
    <row r="319" spans="1:12" ht="15.75" x14ac:dyDescent="0.25">
      <c r="A319" s="1" t="s">
        <v>491</v>
      </c>
      <c r="B319" s="27"/>
      <c r="C319" s="27"/>
      <c r="F319" s="16"/>
      <c r="G319" s="16"/>
      <c r="H319" s="16"/>
      <c r="I319" s="16"/>
      <c r="J319" s="16"/>
      <c r="K319" s="16"/>
      <c r="L319" s="16"/>
    </row>
    <row r="320" spans="1:12" ht="15.75" x14ac:dyDescent="0.25">
      <c r="A320" s="2" t="s">
        <v>492</v>
      </c>
      <c r="B320" s="5" t="s">
        <v>248</v>
      </c>
      <c r="C320" s="27"/>
      <c r="F320" s="16"/>
      <c r="G320" s="16"/>
      <c r="H320" s="16"/>
      <c r="I320" s="16"/>
      <c r="J320" s="16"/>
      <c r="K320" s="16"/>
      <c r="L320" s="16"/>
    </row>
    <row r="321" spans="1:12" ht="15.75" x14ac:dyDescent="0.25">
      <c r="A321" s="26" t="s">
        <v>112</v>
      </c>
      <c r="B321" s="3">
        <f>B302-B303</f>
        <v>1.5</v>
      </c>
      <c r="C321" s="5" t="s">
        <v>1078</v>
      </c>
      <c r="F321" s="16"/>
      <c r="G321" s="16"/>
      <c r="H321" s="16"/>
      <c r="I321" s="16"/>
      <c r="J321" s="16"/>
      <c r="K321" s="16"/>
      <c r="L321" s="16"/>
    </row>
    <row r="322" spans="1:12" ht="15.75" x14ac:dyDescent="0.25">
      <c r="A322" s="2" t="s">
        <v>255</v>
      </c>
      <c r="B322" s="1" t="s">
        <v>183</v>
      </c>
      <c r="C322" s="5"/>
      <c r="F322" s="16"/>
      <c r="G322" s="16"/>
      <c r="H322" s="16"/>
      <c r="I322" s="16"/>
      <c r="J322" s="16"/>
      <c r="K322" s="16"/>
      <c r="L322" s="16"/>
    </row>
    <row r="323" spans="1:12" ht="15.75" x14ac:dyDescent="0.25">
      <c r="A323" s="26" t="s">
        <v>112</v>
      </c>
      <c r="B323" s="3">
        <f>0.25*((B302^0.5+B303^0.5)^2)</f>
        <v>7.7318121551353789</v>
      </c>
      <c r="C323" s="5" t="s">
        <v>1078</v>
      </c>
      <c r="F323" s="16"/>
      <c r="G323" s="16"/>
      <c r="H323" s="16"/>
      <c r="I323" s="16"/>
      <c r="J323" s="16"/>
      <c r="K323" s="16"/>
      <c r="L323" s="16"/>
    </row>
    <row r="324" spans="1:12" ht="15.75" x14ac:dyDescent="0.25">
      <c r="A324" s="2" t="s">
        <v>210</v>
      </c>
      <c r="B324" s="5" t="s">
        <v>328</v>
      </c>
      <c r="F324" s="16"/>
      <c r="G324" s="16"/>
      <c r="H324" s="16"/>
      <c r="I324" s="16"/>
      <c r="J324" s="16"/>
      <c r="K324" s="16"/>
      <c r="L324" s="16"/>
    </row>
    <row r="325" spans="1:12" ht="15.75" x14ac:dyDescent="0.25">
      <c r="A325" s="26" t="s">
        <v>748</v>
      </c>
      <c r="B325" s="3">
        <f>B303+(B302-B303)/2-B323</f>
        <v>1.8187844864621106E-2</v>
      </c>
      <c r="C325" s="5" t="s">
        <v>1078</v>
      </c>
      <c r="F325" s="16"/>
      <c r="G325" s="16"/>
      <c r="H325" s="16"/>
      <c r="I325" s="16"/>
      <c r="J325" s="16"/>
      <c r="K325" s="16"/>
      <c r="L325" s="16"/>
    </row>
    <row r="326" spans="1:12" ht="15.75" x14ac:dyDescent="0.25">
      <c r="A326" s="2" t="s">
        <v>184</v>
      </c>
      <c r="B326" s="1" t="s">
        <v>252</v>
      </c>
      <c r="C326" s="5"/>
      <c r="F326" s="16"/>
      <c r="G326" s="16"/>
      <c r="H326" s="16"/>
      <c r="I326" s="16"/>
      <c r="J326" s="16"/>
      <c r="K326" s="16"/>
      <c r="L326" s="16"/>
    </row>
    <row r="327" spans="1:12" ht="15.75" x14ac:dyDescent="0.25">
      <c r="A327" s="26" t="s">
        <v>748</v>
      </c>
      <c r="B327" s="36">
        <f>B305*(B323-B303)/((3.142*(B321^2)/4)*B325*B303)</f>
        <v>1626.153859903493</v>
      </c>
      <c r="C327" s="5" t="s">
        <v>1154</v>
      </c>
      <c r="F327" s="16"/>
      <c r="G327" s="16"/>
      <c r="H327" s="16"/>
      <c r="I327" s="16"/>
      <c r="J327" s="16"/>
      <c r="K327" s="16"/>
      <c r="L327" s="16"/>
    </row>
    <row r="328" spans="1:12" ht="15.75" x14ac:dyDescent="0.25">
      <c r="A328" s="2" t="s">
        <v>786</v>
      </c>
      <c r="B328" s="1" t="s">
        <v>254</v>
      </c>
      <c r="C328" s="5"/>
      <c r="F328" s="16"/>
      <c r="G328" s="16"/>
      <c r="H328" s="16"/>
      <c r="I328" s="16"/>
      <c r="J328" s="16"/>
      <c r="K328" s="16"/>
      <c r="L328" s="16"/>
    </row>
    <row r="329" spans="1:12" ht="15.75" x14ac:dyDescent="0.25">
      <c r="A329" s="26" t="s">
        <v>112</v>
      </c>
      <c r="B329" s="36">
        <f>B305*(B302-B323)/((3.142*B321^2/4)*B325*B302)</f>
        <v>1405.7515172986555</v>
      </c>
      <c r="C329" s="5" t="s">
        <v>1154</v>
      </c>
      <c r="F329" s="16"/>
      <c r="G329" s="16"/>
      <c r="H329" s="16"/>
      <c r="I329" s="16"/>
      <c r="J329" s="16"/>
      <c r="K329" s="16"/>
      <c r="L329" s="16"/>
    </row>
    <row r="330" spans="1:12" x14ac:dyDescent="0.2">
      <c r="A330" s="23"/>
      <c r="B330" s="23"/>
      <c r="C330" s="23"/>
      <c r="D330" s="23"/>
      <c r="E330" s="23"/>
      <c r="F330" s="16"/>
      <c r="G330" s="16"/>
      <c r="H330" s="16"/>
      <c r="I330" s="16"/>
      <c r="J330" s="16"/>
      <c r="K330" s="16"/>
      <c r="L330" s="16"/>
    </row>
    <row r="331" spans="1:12" x14ac:dyDescent="0.2">
      <c r="F331" s="16"/>
      <c r="G331" s="16"/>
      <c r="H331" s="16"/>
      <c r="I331" s="16"/>
      <c r="J331" s="16"/>
      <c r="K331" s="16"/>
      <c r="L331" s="16"/>
    </row>
    <row r="332" spans="1:12" ht="15.75" x14ac:dyDescent="0.25">
      <c r="A332" s="2"/>
      <c r="B332" s="36"/>
      <c r="C332" s="5"/>
      <c r="E332" s="5" t="s">
        <v>1071</v>
      </c>
      <c r="F332" s="16"/>
      <c r="G332" s="16"/>
      <c r="H332" s="16"/>
      <c r="I332" s="16"/>
      <c r="J332" s="16"/>
      <c r="K332" s="16"/>
      <c r="L332" s="16"/>
    </row>
    <row r="333" spans="1:12" x14ac:dyDescent="0.2">
      <c r="F333" s="16"/>
      <c r="G333" s="16"/>
      <c r="H333" s="16"/>
      <c r="I333" s="16"/>
      <c r="J333" s="16"/>
      <c r="K333" s="16"/>
      <c r="L333" s="16"/>
    </row>
    <row r="334" spans="1:12" x14ac:dyDescent="0.2">
      <c r="F334" s="16"/>
      <c r="G334" s="16"/>
      <c r="H334" s="16"/>
      <c r="I334" s="16"/>
      <c r="J334" s="16"/>
      <c r="K334" s="16"/>
      <c r="L334" s="16"/>
    </row>
    <row r="335" spans="1:12" x14ac:dyDescent="0.2">
      <c r="F335" s="16"/>
      <c r="G335" s="16"/>
      <c r="H335" s="16"/>
      <c r="I335" s="16"/>
      <c r="J335" s="16"/>
      <c r="K335" s="16"/>
      <c r="L335" s="16"/>
    </row>
    <row r="336" spans="1:12" x14ac:dyDescent="0.2">
      <c r="F336" s="16"/>
      <c r="G336" s="16"/>
      <c r="H336" s="16"/>
      <c r="I336" s="16"/>
      <c r="J336" s="16"/>
      <c r="K336" s="16"/>
      <c r="L336" s="16"/>
    </row>
    <row r="337" spans="1:12" x14ac:dyDescent="0.2">
      <c r="F337" s="16"/>
      <c r="G337" s="16"/>
      <c r="H337" s="16"/>
      <c r="I337" s="16"/>
      <c r="J337" s="16"/>
      <c r="K337" s="16"/>
      <c r="L337" s="16"/>
    </row>
    <row r="338" spans="1:12" x14ac:dyDescent="0.2">
      <c r="F338" s="16"/>
      <c r="G338" s="16"/>
      <c r="H338" s="16"/>
      <c r="I338" s="16"/>
      <c r="J338" s="16"/>
      <c r="K338" s="16"/>
      <c r="L338" s="16"/>
    </row>
    <row r="339" spans="1:12" x14ac:dyDescent="0.2">
      <c r="F339" s="16"/>
      <c r="G339" s="16"/>
      <c r="H339" s="16"/>
      <c r="I339" s="16"/>
      <c r="J339" s="16"/>
      <c r="K339" s="16"/>
      <c r="L339" s="16"/>
    </row>
    <row r="340" spans="1:12" x14ac:dyDescent="0.2">
      <c r="F340" s="16"/>
      <c r="G340" s="16"/>
      <c r="H340" s="16"/>
      <c r="I340" s="16"/>
      <c r="J340" s="16"/>
      <c r="K340" s="16"/>
      <c r="L340" s="16"/>
    </row>
    <row r="341" spans="1:12" x14ac:dyDescent="0.2">
      <c r="F341" s="16"/>
      <c r="G341" s="16"/>
      <c r="H341" s="16"/>
      <c r="I341" s="16"/>
      <c r="J341" s="16"/>
      <c r="K341" s="16"/>
      <c r="L341" s="16"/>
    </row>
    <row r="342" spans="1:12" x14ac:dyDescent="0.2">
      <c r="F342" s="16"/>
      <c r="G342" s="16"/>
      <c r="H342" s="16"/>
      <c r="I342" s="16"/>
      <c r="J342" s="16"/>
      <c r="K342" s="16"/>
      <c r="L342" s="16"/>
    </row>
    <row r="343" spans="1:12" x14ac:dyDescent="0.2">
      <c r="F343" s="16"/>
      <c r="G343" s="16"/>
      <c r="H343" s="16"/>
      <c r="I343" s="16"/>
      <c r="J343" s="16"/>
      <c r="K343" s="16"/>
      <c r="L343" s="16"/>
    </row>
    <row r="344" spans="1:12" x14ac:dyDescent="0.2">
      <c r="F344" s="16"/>
      <c r="G344" s="16"/>
      <c r="H344" s="16"/>
      <c r="I344" s="16"/>
      <c r="J344" s="16"/>
      <c r="K344" s="16"/>
      <c r="L344" s="16"/>
    </row>
    <row r="345" spans="1:12" ht="15.75" x14ac:dyDescent="0.25">
      <c r="A345" s="1" t="s">
        <v>1430</v>
      </c>
      <c r="F345" s="16"/>
      <c r="G345" s="16"/>
      <c r="H345" s="16"/>
      <c r="I345" s="16"/>
      <c r="J345" s="16"/>
      <c r="K345" s="16"/>
      <c r="L345" s="16"/>
    </row>
    <row r="346" spans="1:12" ht="16.5" thickBot="1" x14ac:dyDescent="0.3">
      <c r="B346" s="30" t="s">
        <v>109</v>
      </c>
      <c r="C346" s="27"/>
      <c r="F346" s="16"/>
      <c r="G346" s="16"/>
      <c r="H346" s="16"/>
      <c r="I346" s="16"/>
      <c r="J346" s="16"/>
      <c r="K346" s="16"/>
      <c r="L346" s="16"/>
    </row>
    <row r="347" spans="1:12" x14ac:dyDescent="0.2">
      <c r="A347" s="28" t="s">
        <v>241</v>
      </c>
      <c r="B347" s="63">
        <v>6</v>
      </c>
      <c r="C347" s="27" t="s">
        <v>1078</v>
      </c>
      <c r="F347" s="16"/>
      <c r="G347" s="16"/>
      <c r="H347" s="16"/>
      <c r="I347" s="16"/>
      <c r="J347" s="16"/>
      <c r="K347" s="16"/>
      <c r="L347" s="16"/>
    </row>
    <row r="348" spans="1:12" x14ac:dyDescent="0.2">
      <c r="A348" s="28" t="s">
        <v>242</v>
      </c>
      <c r="B348" s="52">
        <v>4</v>
      </c>
      <c r="C348" s="27" t="s">
        <v>1078</v>
      </c>
      <c r="F348" s="16"/>
      <c r="G348" s="16"/>
      <c r="H348" s="16"/>
      <c r="I348" s="16"/>
      <c r="J348" s="16"/>
      <c r="K348" s="16"/>
      <c r="L348" s="16"/>
    </row>
    <row r="349" spans="1:12" ht="15.75" thickBot="1" x14ac:dyDescent="0.25">
      <c r="A349" s="28" t="s">
        <v>249</v>
      </c>
      <c r="B349" s="54">
        <v>175</v>
      </c>
      <c r="C349" s="27" t="s">
        <v>1075</v>
      </c>
      <c r="F349" s="16"/>
      <c r="G349" s="16"/>
      <c r="H349" s="16"/>
      <c r="I349" s="16"/>
      <c r="J349" s="16"/>
      <c r="K349" s="16"/>
      <c r="L349" s="16"/>
    </row>
    <row r="350" spans="1:12" ht="15.75" x14ac:dyDescent="0.25">
      <c r="B350" s="30" t="s">
        <v>876</v>
      </c>
      <c r="C350" s="27"/>
      <c r="F350" s="16"/>
      <c r="G350" s="16"/>
      <c r="H350" s="16"/>
      <c r="I350" s="16"/>
      <c r="J350" s="16"/>
      <c r="K350" s="16"/>
      <c r="L350" s="16"/>
    </row>
    <row r="351" spans="1:12" ht="15.75" x14ac:dyDescent="0.25">
      <c r="A351" s="2" t="s">
        <v>492</v>
      </c>
      <c r="B351" s="5" t="s">
        <v>248</v>
      </c>
      <c r="C351" s="27"/>
      <c r="F351" s="16"/>
      <c r="G351" s="16"/>
      <c r="H351" s="16"/>
      <c r="I351" s="16"/>
      <c r="J351" s="16"/>
      <c r="K351" s="16"/>
      <c r="L351" s="16"/>
    </row>
    <row r="352" spans="1:12" ht="15.75" x14ac:dyDescent="0.25">
      <c r="A352" s="2" t="s">
        <v>264</v>
      </c>
      <c r="B352" s="5">
        <f>B347-B348</f>
        <v>2</v>
      </c>
      <c r="C352" s="5" t="s">
        <v>1078</v>
      </c>
      <c r="F352" s="16"/>
      <c r="G352" s="16"/>
      <c r="H352" s="16"/>
      <c r="I352" s="16"/>
      <c r="J352" s="16"/>
      <c r="K352" s="16"/>
      <c r="L352" s="16"/>
    </row>
    <row r="353" spans="1:12" ht="15.75" x14ac:dyDescent="0.25">
      <c r="A353" s="2" t="s">
        <v>255</v>
      </c>
      <c r="B353" s="1" t="s">
        <v>183</v>
      </c>
      <c r="C353" s="5"/>
      <c r="F353" s="16"/>
      <c r="G353" s="16"/>
      <c r="H353" s="16"/>
      <c r="I353" s="16"/>
      <c r="J353" s="16"/>
      <c r="K353" s="16"/>
      <c r="L353" s="16"/>
    </row>
    <row r="354" spans="1:12" ht="15.75" x14ac:dyDescent="0.25">
      <c r="A354" s="2" t="s">
        <v>243</v>
      </c>
      <c r="B354" s="3">
        <f>0.25*((B347^0.5+B348^0.5)^2)</f>
        <v>4.9494897427831779</v>
      </c>
      <c r="C354" s="5" t="s">
        <v>1078</v>
      </c>
      <c r="F354" s="16"/>
      <c r="G354" s="16"/>
      <c r="H354" s="16"/>
      <c r="I354" s="16"/>
      <c r="J354" s="16"/>
      <c r="K354" s="16"/>
      <c r="L354" s="16"/>
    </row>
    <row r="355" spans="1:12" ht="15.75" x14ac:dyDescent="0.25">
      <c r="A355" s="2" t="s">
        <v>210</v>
      </c>
      <c r="B355" s="5" t="s">
        <v>328</v>
      </c>
      <c r="F355" s="16"/>
      <c r="G355" s="16"/>
      <c r="H355" s="16"/>
      <c r="I355" s="16"/>
      <c r="J355" s="16"/>
      <c r="K355" s="16"/>
      <c r="L355" s="16"/>
    </row>
    <row r="356" spans="1:12" ht="15.75" x14ac:dyDescent="0.25">
      <c r="A356" s="2" t="s">
        <v>210</v>
      </c>
      <c r="B356" s="3">
        <f>B348+(B347-B348)/2-B354</f>
        <v>5.0510257216822119E-2</v>
      </c>
      <c r="C356" s="5" t="s">
        <v>1078</v>
      </c>
      <c r="F356" s="16"/>
      <c r="G356" s="16"/>
      <c r="H356" s="16"/>
      <c r="I356" s="16"/>
      <c r="J356" s="16"/>
      <c r="K356" s="16"/>
      <c r="L356" s="16"/>
    </row>
    <row r="357" spans="1:12" ht="15.75" x14ac:dyDescent="0.25">
      <c r="A357" s="2" t="s">
        <v>184</v>
      </c>
      <c r="B357" s="1" t="s">
        <v>185</v>
      </c>
      <c r="C357" s="5"/>
      <c r="F357" s="16"/>
      <c r="G357" s="16"/>
      <c r="H357" s="16"/>
      <c r="I357" s="16"/>
      <c r="J357" s="16"/>
      <c r="K357" s="16"/>
      <c r="L357" s="16"/>
    </row>
    <row r="358" spans="1:12" ht="15.75" x14ac:dyDescent="0.25">
      <c r="A358" s="2" t="s">
        <v>112</v>
      </c>
      <c r="B358" s="60">
        <f>(B349*(B354+B356))*(B354-B348)/((3.142*(B352^2)/4)*B356*B348)</f>
        <v>1308.7375954599815</v>
      </c>
      <c r="C358" s="5" t="s">
        <v>1154</v>
      </c>
      <c r="F358" s="16"/>
      <c r="G358" s="16"/>
      <c r="H358" s="16"/>
      <c r="I358" s="16"/>
      <c r="J358" s="16"/>
      <c r="K358" s="16"/>
      <c r="L358" s="16"/>
    </row>
    <row r="359" spans="1:12" ht="15.75" x14ac:dyDescent="0.25">
      <c r="A359" s="2" t="s">
        <v>787</v>
      </c>
      <c r="B359" s="1" t="s">
        <v>254</v>
      </c>
      <c r="C359" s="5"/>
      <c r="F359" s="16"/>
      <c r="G359" s="16"/>
      <c r="H359" s="16"/>
      <c r="I359" s="16"/>
      <c r="J359" s="16"/>
      <c r="K359" s="16"/>
      <c r="L359" s="16"/>
    </row>
    <row r="360" spans="1:12" ht="15.75" x14ac:dyDescent="0.25">
      <c r="A360" s="2" t="s">
        <v>112</v>
      </c>
      <c r="B360" s="36">
        <f>B349*(B347-B354)/((3.142*B352^2/4)*B356*B347)</f>
        <v>193.06401548632556</v>
      </c>
      <c r="C360" s="5" t="s">
        <v>1154</v>
      </c>
      <c r="F360" s="16"/>
      <c r="G360" s="16"/>
      <c r="H360" s="16"/>
      <c r="I360" s="16"/>
      <c r="J360" s="16"/>
      <c r="K360" s="16"/>
      <c r="L360" s="16"/>
    </row>
    <row r="361" spans="1:12" x14ac:dyDescent="0.2">
      <c r="F361" s="16"/>
      <c r="G361" s="16"/>
      <c r="H361" s="16"/>
      <c r="I361" s="16"/>
      <c r="J361" s="16"/>
      <c r="K361" s="16"/>
      <c r="L361" s="16"/>
    </row>
    <row r="362" spans="1:12" x14ac:dyDescent="0.2">
      <c r="A362" s="23"/>
      <c r="B362" s="23"/>
      <c r="C362" s="23"/>
      <c r="D362" s="23"/>
      <c r="E362" s="23"/>
      <c r="F362" s="16"/>
      <c r="G362" s="16"/>
      <c r="H362" s="16"/>
      <c r="I362" s="16"/>
      <c r="J362" s="16"/>
      <c r="K362" s="16"/>
      <c r="L362" s="16"/>
    </row>
    <row r="363" spans="1:12" x14ac:dyDescent="0.2">
      <c r="F363" s="16"/>
      <c r="G363" s="16"/>
      <c r="H363" s="16"/>
      <c r="I363" s="16"/>
      <c r="J363" s="16"/>
      <c r="K363" s="16"/>
      <c r="L363" s="16"/>
    </row>
    <row r="364" spans="1:12" ht="15.75" x14ac:dyDescent="0.25">
      <c r="A364" s="1" t="s">
        <v>357</v>
      </c>
      <c r="F364" s="16"/>
      <c r="G364" s="16"/>
      <c r="H364" s="16"/>
      <c r="I364" s="16"/>
      <c r="J364" s="16"/>
      <c r="K364" s="16"/>
      <c r="L364" s="16"/>
    </row>
    <row r="365" spans="1:12" ht="16.5" thickBot="1" x14ac:dyDescent="0.3">
      <c r="B365" s="30" t="s">
        <v>109</v>
      </c>
      <c r="C365" s="27"/>
      <c r="F365" s="16"/>
      <c r="G365" s="16"/>
      <c r="H365" s="16"/>
      <c r="I365" s="16"/>
      <c r="J365" s="16"/>
      <c r="K365" s="16"/>
      <c r="L365" s="16"/>
    </row>
    <row r="366" spans="1:12" x14ac:dyDescent="0.2">
      <c r="A366" s="28" t="s">
        <v>100</v>
      </c>
      <c r="B366" s="63">
        <v>1.5</v>
      </c>
      <c r="C366" s="22" t="s">
        <v>1078</v>
      </c>
      <c r="F366" s="16"/>
      <c r="G366" s="64"/>
      <c r="H366" s="16"/>
      <c r="I366" s="16"/>
      <c r="J366" s="16"/>
      <c r="K366" s="16"/>
      <c r="L366" s="16"/>
    </row>
    <row r="367" spans="1:12" ht="15.75" thickBot="1" x14ac:dyDescent="0.25">
      <c r="A367" s="28" t="s">
        <v>1096</v>
      </c>
      <c r="B367" s="65">
        <v>3</v>
      </c>
      <c r="C367" s="22" t="s">
        <v>1078</v>
      </c>
      <c r="F367" s="16"/>
      <c r="G367" s="64"/>
      <c r="H367" s="16"/>
      <c r="I367" s="16"/>
      <c r="J367" s="16"/>
      <c r="K367" s="16"/>
      <c r="L367" s="16"/>
    </row>
    <row r="368" spans="1:12" ht="15.75" x14ac:dyDescent="0.25">
      <c r="B368" s="30" t="s">
        <v>876</v>
      </c>
      <c r="C368" s="22"/>
      <c r="F368" s="16"/>
      <c r="G368" s="16"/>
      <c r="H368" s="16"/>
      <c r="I368" s="16"/>
      <c r="J368" s="16"/>
      <c r="K368" s="16"/>
      <c r="L368" s="16"/>
    </row>
    <row r="369" spans="1:12" ht="15.75" x14ac:dyDescent="0.25">
      <c r="A369" s="2" t="s">
        <v>354</v>
      </c>
      <c r="B369" s="5" t="s">
        <v>1149</v>
      </c>
      <c r="F369" s="16"/>
      <c r="G369" s="16"/>
      <c r="H369" s="16"/>
      <c r="I369" s="16"/>
      <c r="J369" s="16"/>
      <c r="K369" s="16"/>
      <c r="L369" s="16"/>
    </row>
    <row r="370" spans="1:12" ht="15.75" x14ac:dyDescent="0.25">
      <c r="A370" s="2" t="s">
        <v>355</v>
      </c>
      <c r="B370" s="3">
        <f>B366*B367^3/12</f>
        <v>3.375</v>
      </c>
      <c r="C370" s="1" t="s">
        <v>1073</v>
      </c>
      <c r="F370" s="16"/>
      <c r="G370" s="16"/>
      <c r="H370" s="16"/>
      <c r="I370" s="16"/>
      <c r="J370" s="16"/>
      <c r="K370" s="16"/>
      <c r="L370" s="16"/>
    </row>
    <row r="371" spans="1:12" ht="15.75" x14ac:dyDescent="0.25">
      <c r="A371" s="2" t="s">
        <v>358</v>
      </c>
      <c r="B371" s="5" t="s">
        <v>356</v>
      </c>
      <c r="C371" s="27"/>
      <c r="F371" s="16"/>
      <c r="G371" s="16"/>
      <c r="H371" s="16"/>
      <c r="I371" s="16"/>
      <c r="J371" s="16"/>
      <c r="K371" s="16"/>
      <c r="L371" s="16"/>
    </row>
    <row r="372" spans="1:12" ht="15.75" x14ac:dyDescent="0.25">
      <c r="A372" s="26" t="s">
        <v>748</v>
      </c>
      <c r="B372" s="5">
        <f>B367/2</f>
        <v>1.5</v>
      </c>
      <c r="C372" s="4" t="s">
        <v>1078</v>
      </c>
      <c r="F372" s="16"/>
      <c r="G372" s="16"/>
      <c r="H372" s="16"/>
      <c r="I372" s="16"/>
      <c r="J372" s="16"/>
      <c r="K372" s="16"/>
      <c r="L372" s="16"/>
    </row>
    <row r="373" spans="1:12" x14ac:dyDescent="0.2">
      <c r="F373" s="16"/>
      <c r="G373" s="16"/>
      <c r="H373" s="16"/>
      <c r="I373" s="16"/>
      <c r="J373" s="16"/>
      <c r="K373" s="16"/>
      <c r="L373" s="16"/>
    </row>
    <row r="374" spans="1:12" x14ac:dyDescent="0.2">
      <c r="A374" s="23"/>
      <c r="B374" s="23"/>
      <c r="C374" s="23"/>
      <c r="D374" s="23"/>
      <c r="E374" s="23"/>
      <c r="F374" s="16"/>
      <c r="G374" s="16"/>
      <c r="H374" s="16"/>
      <c r="I374" s="16"/>
      <c r="J374" s="16"/>
      <c r="K374" s="16"/>
      <c r="L374" s="16"/>
    </row>
    <row r="375" spans="1:12" x14ac:dyDescent="0.2">
      <c r="F375" s="16"/>
      <c r="G375" s="16"/>
      <c r="H375" s="16"/>
      <c r="I375" s="16"/>
      <c r="J375" s="16"/>
      <c r="K375" s="16"/>
      <c r="L375" s="16"/>
    </row>
    <row r="376" spans="1:12" x14ac:dyDescent="0.2">
      <c r="F376" s="16"/>
      <c r="G376" s="16"/>
      <c r="H376" s="16"/>
      <c r="I376" s="16"/>
      <c r="J376" s="16"/>
      <c r="K376" s="16"/>
      <c r="L376" s="16"/>
    </row>
    <row r="377" spans="1:12" x14ac:dyDescent="0.2">
      <c r="F377" s="16"/>
      <c r="G377" s="16"/>
      <c r="H377" s="16"/>
      <c r="I377" s="16"/>
      <c r="J377" s="16"/>
      <c r="K377" s="16"/>
      <c r="L377" s="16"/>
    </row>
    <row r="378" spans="1:12" x14ac:dyDescent="0.2">
      <c r="F378" s="16"/>
      <c r="G378" s="16"/>
      <c r="H378" s="16"/>
      <c r="I378" s="16"/>
      <c r="J378" s="16"/>
      <c r="K378" s="16"/>
      <c r="L378" s="16"/>
    </row>
    <row r="379" spans="1:12" ht="16.5" thickBot="1" x14ac:dyDescent="0.3">
      <c r="A379" s="28"/>
      <c r="B379" s="5" t="s">
        <v>551</v>
      </c>
      <c r="C379" s="27"/>
      <c r="F379" s="16"/>
      <c r="G379" s="16"/>
      <c r="H379" s="16"/>
      <c r="I379" s="16"/>
      <c r="J379" s="16"/>
      <c r="K379" s="16"/>
      <c r="L379" s="16"/>
    </row>
    <row r="380" spans="1:12" ht="16.5" thickBot="1" x14ac:dyDescent="0.3">
      <c r="A380" s="66"/>
      <c r="B380" s="67" t="s">
        <v>108</v>
      </c>
      <c r="C380" s="68"/>
      <c r="D380" s="69" t="s">
        <v>475</v>
      </c>
      <c r="E380" s="40"/>
      <c r="F380" s="16"/>
      <c r="G380" s="16"/>
      <c r="H380" s="16"/>
      <c r="I380" s="16"/>
      <c r="J380" s="16"/>
      <c r="K380" s="16"/>
      <c r="L380" s="16"/>
    </row>
    <row r="381" spans="1:12" ht="16.5" thickBot="1" x14ac:dyDescent="0.3">
      <c r="A381" s="5" t="s">
        <v>1071</v>
      </c>
      <c r="B381" s="70" t="s">
        <v>113</v>
      </c>
      <c r="C381" s="71" t="s">
        <v>114</v>
      </c>
      <c r="D381" s="72" t="s">
        <v>106</v>
      </c>
      <c r="E381" s="39" t="s">
        <v>116</v>
      </c>
      <c r="F381" s="16"/>
      <c r="G381" s="16"/>
      <c r="H381" s="16"/>
      <c r="I381" s="16"/>
      <c r="J381" s="16"/>
      <c r="K381" s="16"/>
      <c r="L381" s="16"/>
    </row>
    <row r="382" spans="1:12" ht="15.75" x14ac:dyDescent="0.25">
      <c r="A382" s="2">
        <v>1</v>
      </c>
      <c r="B382" s="73">
        <v>9</v>
      </c>
      <c r="C382" s="31">
        <v>2</v>
      </c>
      <c r="D382" s="74">
        <f>B382*C382</f>
        <v>18</v>
      </c>
      <c r="E382" s="74">
        <f>(C384)+(C383)+(C382/2)</f>
        <v>11</v>
      </c>
      <c r="F382" s="16"/>
      <c r="G382" s="16"/>
      <c r="H382" s="16"/>
      <c r="I382" s="16"/>
      <c r="J382" s="16"/>
      <c r="K382" s="16"/>
      <c r="L382" s="16"/>
    </row>
    <row r="383" spans="1:12" ht="15.75" x14ac:dyDescent="0.25">
      <c r="A383" s="2">
        <v>2</v>
      </c>
      <c r="B383" s="73">
        <v>1.5</v>
      </c>
      <c r="C383" s="32">
        <v>7</v>
      </c>
      <c r="D383" s="75">
        <f>B383*C383</f>
        <v>10.5</v>
      </c>
      <c r="E383" s="75">
        <f>(C384)+(C383/2)</f>
        <v>6.5</v>
      </c>
      <c r="F383" s="16"/>
      <c r="G383" s="58"/>
      <c r="H383" s="16"/>
      <c r="I383" s="16"/>
      <c r="J383" s="16"/>
      <c r="K383" s="16"/>
      <c r="L383" s="16"/>
    </row>
    <row r="384" spans="1:12" ht="16.5" thickBot="1" x14ac:dyDescent="0.3">
      <c r="A384" s="2">
        <v>3</v>
      </c>
      <c r="B384" s="76">
        <v>6</v>
      </c>
      <c r="C384" s="54">
        <v>3</v>
      </c>
      <c r="D384" s="71">
        <f>B384*C384</f>
        <v>18</v>
      </c>
      <c r="E384" s="71">
        <f>C384/2</f>
        <v>1.5</v>
      </c>
      <c r="F384" s="16"/>
      <c r="G384" s="58"/>
      <c r="H384" s="16"/>
      <c r="I384" s="16"/>
      <c r="J384" s="16"/>
      <c r="K384" s="16"/>
      <c r="L384" s="16"/>
    </row>
    <row r="385" spans="1:12" ht="16.5" thickBot="1" x14ac:dyDescent="0.3">
      <c r="B385" s="27" t="s">
        <v>1071</v>
      </c>
      <c r="C385" s="2" t="s">
        <v>1151</v>
      </c>
      <c r="D385" s="39">
        <f>SUM(D382:D384)</f>
        <v>46.5</v>
      </c>
      <c r="F385" s="16"/>
      <c r="G385" s="58"/>
      <c r="H385" s="16"/>
      <c r="I385" s="16"/>
      <c r="J385" s="16"/>
      <c r="K385" s="16"/>
      <c r="L385" s="16"/>
    </row>
    <row r="386" spans="1:12" ht="15.75" thickBot="1" x14ac:dyDescent="0.25">
      <c r="B386" s="27"/>
      <c r="C386" s="27"/>
      <c r="F386" s="16"/>
      <c r="G386" s="16"/>
      <c r="H386" s="16"/>
      <c r="I386" s="16"/>
      <c r="J386" s="16"/>
      <c r="K386" s="16"/>
      <c r="L386" s="16"/>
    </row>
    <row r="387" spans="1:12" ht="16.5" thickBot="1" x14ac:dyDescent="0.3">
      <c r="B387" s="77"/>
      <c r="C387" s="67" t="s">
        <v>876</v>
      </c>
      <c r="D387" s="78"/>
      <c r="E387" s="79"/>
      <c r="F387" s="16"/>
      <c r="G387" s="16"/>
      <c r="H387" s="16"/>
      <c r="I387" s="16"/>
      <c r="J387" s="16"/>
      <c r="K387" s="16"/>
      <c r="L387" s="16"/>
    </row>
    <row r="388" spans="1:12" ht="16.5" thickBot="1" x14ac:dyDescent="0.3">
      <c r="B388" s="39" t="s">
        <v>116</v>
      </c>
      <c r="C388" s="39" t="s">
        <v>352</v>
      </c>
      <c r="D388" s="72" t="s">
        <v>353</v>
      </c>
      <c r="E388" s="39" t="s">
        <v>110</v>
      </c>
      <c r="F388" s="16"/>
      <c r="G388" s="16"/>
      <c r="H388" s="16"/>
      <c r="I388" s="16"/>
      <c r="J388" s="16"/>
      <c r="K388" s="16"/>
      <c r="L388" s="16"/>
    </row>
    <row r="389" spans="1:12" ht="15.75" x14ac:dyDescent="0.25">
      <c r="A389" s="2">
        <v>1</v>
      </c>
      <c r="B389" s="80">
        <f>(E382)</f>
        <v>11</v>
      </c>
      <c r="C389" s="81">
        <f>(B382*C382)*E382</f>
        <v>198</v>
      </c>
      <c r="D389" s="82">
        <f>(B382*C382)*B389^2</f>
        <v>2178</v>
      </c>
      <c r="E389" s="82">
        <f>(B382*C382^3)/12</f>
        <v>6</v>
      </c>
      <c r="F389" s="16"/>
      <c r="G389" s="16"/>
      <c r="H389" s="16"/>
      <c r="I389" s="16"/>
      <c r="J389" s="16"/>
      <c r="K389" s="16"/>
      <c r="L389" s="16"/>
    </row>
    <row r="390" spans="1:12" ht="15.75" x14ac:dyDescent="0.25">
      <c r="A390" s="2">
        <v>2</v>
      </c>
      <c r="B390" s="83">
        <f>(E383)</f>
        <v>6.5</v>
      </c>
      <c r="C390" s="43">
        <f>(B383*C383)*E383</f>
        <v>68.25</v>
      </c>
      <c r="D390" s="84">
        <f>(B383*C383)*B390^2</f>
        <v>443.625</v>
      </c>
      <c r="E390" s="84">
        <f>(B383*C383^3)/12</f>
        <v>42.875</v>
      </c>
      <c r="F390" s="16"/>
      <c r="G390" s="16"/>
      <c r="H390" s="16"/>
      <c r="I390" s="16"/>
      <c r="J390" s="16"/>
      <c r="K390" s="16"/>
      <c r="L390" s="16"/>
    </row>
    <row r="391" spans="1:12" ht="16.5" thickBot="1" x14ac:dyDescent="0.3">
      <c r="A391" s="2">
        <v>3</v>
      </c>
      <c r="B391" s="85">
        <f>(E384)</f>
        <v>1.5</v>
      </c>
      <c r="C391" s="46">
        <f>(B384*C384)*E384</f>
        <v>27</v>
      </c>
      <c r="D391" s="86">
        <f>(B384*C384)*B391^2</f>
        <v>40.5</v>
      </c>
      <c r="E391" s="86">
        <f>(B384*C384^3)/12</f>
        <v>13.5</v>
      </c>
      <c r="F391" s="16"/>
      <c r="G391" s="16"/>
      <c r="H391" s="16"/>
      <c r="I391" s="16"/>
      <c r="J391" s="16"/>
      <c r="K391" s="16"/>
      <c r="L391" s="16"/>
    </row>
    <row r="392" spans="1:12" ht="16.5" thickBot="1" x14ac:dyDescent="0.3">
      <c r="A392" s="28"/>
      <c r="B392" s="2" t="s">
        <v>111</v>
      </c>
      <c r="C392" s="87">
        <f>SUM(C389:C391)</f>
        <v>293.25</v>
      </c>
      <c r="D392" s="87">
        <f>SUM(D389:D391)</f>
        <v>2662.125</v>
      </c>
      <c r="E392" s="87">
        <f>SUM(E389:E391)</f>
        <v>62.375</v>
      </c>
      <c r="F392" s="16"/>
      <c r="G392" s="16"/>
      <c r="H392" s="16"/>
      <c r="I392" s="16"/>
      <c r="J392" s="16"/>
      <c r="K392" s="16"/>
      <c r="L392" s="16"/>
    </row>
    <row r="393" spans="1:12" x14ac:dyDescent="0.2">
      <c r="F393" s="16"/>
      <c r="G393" s="16"/>
      <c r="H393" s="16"/>
      <c r="I393" s="16"/>
      <c r="J393" s="16"/>
      <c r="K393" s="16"/>
      <c r="L393" s="16"/>
    </row>
    <row r="394" spans="1:12" ht="15.75" x14ac:dyDescent="0.25">
      <c r="A394" s="28"/>
      <c r="C394" s="88" t="s">
        <v>876</v>
      </c>
      <c r="E394" s="27"/>
      <c r="F394" s="16"/>
      <c r="G394" s="16"/>
      <c r="H394" s="16"/>
      <c r="I394" s="16"/>
      <c r="J394" s="16"/>
      <c r="K394" s="16"/>
      <c r="L394" s="16"/>
    </row>
    <row r="395" spans="1:12" ht="15.75" x14ac:dyDescent="0.25">
      <c r="A395" s="28"/>
      <c r="B395" s="2" t="s">
        <v>351</v>
      </c>
      <c r="C395" s="1" t="s">
        <v>363</v>
      </c>
      <c r="D395" s="5"/>
      <c r="E395" s="3"/>
      <c r="F395" s="16"/>
      <c r="G395" s="16"/>
      <c r="H395" s="16"/>
      <c r="I395" s="16"/>
      <c r="J395" s="16"/>
      <c r="K395" s="16"/>
      <c r="L395" s="16"/>
    </row>
    <row r="396" spans="1:12" ht="15.75" x14ac:dyDescent="0.25">
      <c r="A396" s="28"/>
      <c r="B396" s="2" t="s">
        <v>112</v>
      </c>
      <c r="C396" s="37">
        <f>D392+E392</f>
        <v>2724.5</v>
      </c>
      <c r="D396" s="4" t="s">
        <v>1073</v>
      </c>
      <c r="E396" s="27"/>
      <c r="F396" s="16"/>
      <c r="G396" s="16"/>
      <c r="H396" s="16"/>
      <c r="I396" s="16"/>
      <c r="J396" s="16"/>
      <c r="K396" s="16"/>
      <c r="L396" s="16"/>
    </row>
    <row r="397" spans="1:12" ht="15.75" x14ac:dyDescent="0.25">
      <c r="A397" s="28"/>
      <c r="B397" s="2" t="s">
        <v>362</v>
      </c>
      <c r="C397" s="5" t="s">
        <v>117</v>
      </c>
      <c r="D397" s="27"/>
      <c r="E397" s="37"/>
      <c r="F397" s="16"/>
      <c r="G397" s="16"/>
      <c r="H397" s="16"/>
      <c r="I397" s="16"/>
      <c r="J397" s="16"/>
      <c r="K397" s="16"/>
      <c r="L397" s="16"/>
    </row>
    <row r="398" spans="1:12" ht="15.75" x14ac:dyDescent="0.25">
      <c r="B398" s="2" t="s">
        <v>112</v>
      </c>
      <c r="C398" s="3">
        <f>C392/D385</f>
        <v>6.306451612903226</v>
      </c>
      <c r="D398" s="4" t="s">
        <v>1078</v>
      </c>
      <c r="F398" s="16"/>
      <c r="G398" s="16"/>
      <c r="H398" s="16"/>
      <c r="I398" s="16"/>
      <c r="J398" s="16"/>
      <c r="K398" s="16"/>
      <c r="L398" s="16"/>
    </row>
    <row r="399" spans="1:12" ht="15.75" x14ac:dyDescent="0.25">
      <c r="A399" s="1" t="s">
        <v>1071</v>
      </c>
      <c r="B399" s="2" t="s">
        <v>284</v>
      </c>
      <c r="C399" s="1" t="s">
        <v>361</v>
      </c>
      <c r="D399" s="4"/>
      <c r="F399" s="16"/>
      <c r="G399" s="16"/>
      <c r="H399" s="16"/>
      <c r="I399" s="16"/>
      <c r="J399" s="16"/>
      <c r="K399" s="16"/>
      <c r="L399" s="16"/>
    </row>
    <row r="400" spans="1:12" ht="15.75" x14ac:dyDescent="0.25">
      <c r="B400" s="26" t="s">
        <v>748</v>
      </c>
      <c r="C400" s="3">
        <f>E382+C382/2</f>
        <v>12</v>
      </c>
      <c r="D400" s="4" t="s">
        <v>1078</v>
      </c>
      <c r="F400" s="16"/>
      <c r="G400" s="16"/>
      <c r="H400" s="16"/>
      <c r="I400" s="16"/>
      <c r="J400" s="16"/>
      <c r="K400" s="16"/>
      <c r="L400" s="16"/>
    </row>
    <row r="401" spans="1:12" x14ac:dyDescent="0.2">
      <c r="F401" s="16"/>
      <c r="G401" s="16"/>
      <c r="H401" s="16"/>
      <c r="I401" s="16"/>
      <c r="J401" s="16"/>
      <c r="K401" s="16"/>
      <c r="L401" s="16"/>
    </row>
    <row r="402" spans="1:12" x14ac:dyDescent="0.2">
      <c r="A402" s="23"/>
      <c r="B402" s="23"/>
      <c r="C402" s="23"/>
      <c r="D402" s="23"/>
      <c r="E402" s="23"/>
      <c r="F402" s="16"/>
      <c r="G402" s="16"/>
      <c r="H402" s="16"/>
      <c r="I402" s="16"/>
      <c r="J402" s="16"/>
      <c r="K402" s="16"/>
      <c r="L402" s="16"/>
    </row>
    <row r="403" spans="1:12" x14ac:dyDescent="0.2">
      <c r="F403" s="16"/>
      <c r="G403" s="16"/>
      <c r="H403" s="16"/>
      <c r="I403" s="16"/>
      <c r="J403" s="16"/>
      <c r="K403" s="16"/>
      <c r="L403" s="16"/>
    </row>
    <row r="404" spans="1:12" x14ac:dyDescent="0.2">
      <c r="F404" s="16"/>
      <c r="G404" s="16"/>
      <c r="H404" s="16"/>
      <c r="I404" s="16"/>
      <c r="J404" s="16"/>
      <c r="K404" s="16"/>
      <c r="L404" s="16"/>
    </row>
    <row r="405" spans="1:12" x14ac:dyDescent="0.2">
      <c r="F405" s="16"/>
      <c r="G405" s="16"/>
      <c r="H405" s="16"/>
      <c r="I405" s="16"/>
      <c r="J405" s="16"/>
      <c r="K405" s="16"/>
      <c r="L405" s="16"/>
    </row>
    <row r="406" spans="1:12" x14ac:dyDescent="0.2">
      <c r="F406" s="16"/>
      <c r="G406" s="16"/>
      <c r="H406" s="16"/>
      <c r="I406" s="16"/>
      <c r="J406" s="16"/>
      <c r="K406" s="16"/>
      <c r="L406" s="16"/>
    </row>
    <row r="407" spans="1:12" x14ac:dyDescent="0.2">
      <c r="F407" s="16"/>
      <c r="G407" s="58"/>
      <c r="H407" s="16"/>
      <c r="I407" s="16"/>
      <c r="J407" s="16"/>
      <c r="K407" s="16"/>
      <c r="L407" s="16"/>
    </row>
    <row r="408" spans="1:12" x14ac:dyDescent="0.2">
      <c r="F408" s="16"/>
      <c r="G408" s="58"/>
      <c r="H408" s="16"/>
      <c r="I408" s="16"/>
      <c r="J408" s="16"/>
      <c r="K408" s="16"/>
      <c r="L408" s="16"/>
    </row>
    <row r="409" spans="1:12" x14ac:dyDescent="0.2">
      <c r="F409" s="16"/>
      <c r="G409" s="58"/>
      <c r="H409" s="16"/>
      <c r="I409" s="16"/>
      <c r="J409" s="16"/>
      <c r="K409" s="16"/>
      <c r="L409" s="16"/>
    </row>
    <row r="410" spans="1:12" x14ac:dyDescent="0.2">
      <c r="F410" s="16"/>
      <c r="G410" s="58"/>
      <c r="H410" s="16"/>
      <c r="I410" s="16"/>
      <c r="J410" s="16"/>
      <c r="K410" s="16"/>
      <c r="L410" s="16"/>
    </row>
    <row r="411" spans="1:12" x14ac:dyDescent="0.2">
      <c r="F411" s="16"/>
      <c r="G411" s="58"/>
      <c r="H411" s="16"/>
      <c r="I411" s="16"/>
      <c r="J411" s="16"/>
      <c r="K411" s="16"/>
      <c r="L411" s="16"/>
    </row>
    <row r="412" spans="1:12" ht="16.5" thickBot="1" x14ac:dyDescent="0.3">
      <c r="B412" s="30" t="s">
        <v>107</v>
      </c>
      <c r="F412" s="16"/>
      <c r="G412" s="58"/>
      <c r="H412" s="16"/>
      <c r="I412" s="16"/>
      <c r="J412" s="16"/>
      <c r="K412" s="16"/>
      <c r="L412" s="16"/>
    </row>
    <row r="413" spans="1:12" x14ac:dyDescent="0.2">
      <c r="A413" s="28" t="s">
        <v>1245</v>
      </c>
      <c r="B413" s="31">
        <v>2200</v>
      </c>
      <c r="C413" s="12" t="s">
        <v>1100</v>
      </c>
      <c r="E413" s="58"/>
      <c r="F413" s="16"/>
      <c r="G413" s="16"/>
      <c r="H413" s="16"/>
      <c r="I413" s="16"/>
      <c r="J413" s="16"/>
      <c r="K413" s="16"/>
      <c r="L413" s="16"/>
    </row>
    <row r="414" spans="1:12" x14ac:dyDescent="0.2">
      <c r="A414" s="28" t="s">
        <v>198</v>
      </c>
      <c r="B414" s="32">
        <v>6</v>
      </c>
      <c r="C414" s="12" t="s">
        <v>1078</v>
      </c>
      <c r="E414" s="58"/>
      <c r="F414" s="16"/>
      <c r="G414" s="16"/>
      <c r="H414" s="16"/>
      <c r="I414" s="16"/>
      <c r="J414" s="16"/>
      <c r="K414" s="16"/>
      <c r="L414" s="16"/>
    </row>
    <row r="415" spans="1:12" ht="15.75" thickBot="1" x14ac:dyDescent="0.25">
      <c r="A415" s="28" t="s">
        <v>812</v>
      </c>
      <c r="B415" s="54">
        <v>2</v>
      </c>
      <c r="C415" s="12" t="s">
        <v>1078</v>
      </c>
      <c r="E415" s="27"/>
      <c r="F415" s="16"/>
      <c r="G415" s="16"/>
      <c r="H415" s="16"/>
      <c r="I415" s="16"/>
      <c r="J415" s="16"/>
      <c r="K415" s="16"/>
      <c r="L415" s="16"/>
    </row>
    <row r="416" spans="1:12" ht="15.75" x14ac:dyDescent="0.25">
      <c r="B416" s="30" t="s">
        <v>876</v>
      </c>
      <c r="F416" s="16"/>
      <c r="G416" s="16"/>
      <c r="H416" s="16"/>
      <c r="I416" s="16"/>
      <c r="J416" s="16"/>
      <c r="K416" s="16"/>
      <c r="L416" s="16"/>
    </row>
    <row r="417" spans="1:12" ht="15.75" x14ac:dyDescent="0.25">
      <c r="A417" s="2" t="s">
        <v>1242</v>
      </c>
      <c r="B417" s="5" t="s">
        <v>1243</v>
      </c>
      <c r="F417" s="16"/>
      <c r="G417" s="16"/>
      <c r="H417" s="16"/>
      <c r="I417" s="16"/>
      <c r="J417" s="16"/>
      <c r="K417" s="16"/>
      <c r="L417" s="16"/>
    </row>
    <row r="418" spans="1:12" ht="15.75" x14ac:dyDescent="0.25">
      <c r="B418" s="5">
        <f>B414-B415</f>
        <v>4</v>
      </c>
      <c r="F418" s="16"/>
      <c r="G418" s="16"/>
      <c r="H418" s="16"/>
      <c r="I418" s="16"/>
      <c r="J418" s="16"/>
      <c r="K418" s="16"/>
      <c r="L418" s="16"/>
    </row>
    <row r="419" spans="1:12" ht="18.75" x14ac:dyDescent="0.35">
      <c r="A419" s="2" t="s">
        <v>1426</v>
      </c>
      <c r="B419" s="5" t="s">
        <v>1240</v>
      </c>
      <c r="C419" s="4"/>
      <c r="F419" s="16"/>
      <c r="G419" s="16"/>
      <c r="H419" s="16"/>
      <c r="I419" s="16"/>
      <c r="J419" s="16"/>
      <c r="K419" s="16"/>
      <c r="L419" s="16"/>
    </row>
    <row r="420" spans="1:12" ht="15.75" x14ac:dyDescent="0.25">
      <c r="A420" s="4"/>
      <c r="B420" s="36">
        <f>B413*B414</f>
        <v>13200</v>
      </c>
      <c r="C420" s="4" t="s">
        <v>1141</v>
      </c>
      <c r="F420" s="16"/>
      <c r="G420" s="16"/>
      <c r="H420" s="16"/>
      <c r="I420" s="16"/>
      <c r="J420" s="16"/>
      <c r="K420" s="16"/>
      <c r="L420" s="16"/>
    </row>
    <row r="421" spans="1:12" ht="18.75" x14ac:dyDescent="0.35">
      <c r="A421" s="2" t="s">
        <v>1427</v>
      </c>
      <c r="B421" s="5" t="s">
        <v>1241</v>
      </c>
      <c r="C421" s="4"/>
      <c r="F421" s="16"/>
      <c r="G421" s="16"/>
      <c r="H421" s="16"/>
      <c r="I421" s="16"/>
      <c r="J421" s="16"/>
      <c r="K421" s="16"/>
      <c r="L421" s="16"/>
    </row>
    <row r="422" spans="1:12" ht="15.75" x14ac:dyDescent="0.25">
      <c r="A422" s="4"/>
      <c r="B422" s="36">
        <f>B413 * B415 * B418^2 / B414^2</f>
        <v>1955.5555555555557</v>
      </c>
      <c r="C422" s="4" t="s">
        <v>1141</v>
      </c>
      <c r="F422" s="16"/>
      <c r="G422" s="16"/>
      <c r="H422" s="16"/>
      <c r="I422" s="16"/>
      <c r="J422" s="16"/>
      <c r="K422" s="16"/>
      <c r="L422" s="16"/>
    </row>
    <row r="423" spans="1:12" ht="18.75" x14ac:dyDescent="0.35">
      <c r="A423" s="2" t="s">
        <v>1428</v>
      </c>
      <c r="B423" s="5" t="s">
        <v>1244</v>
      </c>
      <c r="C423" s="4"/>
      <c r="E423" s="5" t="s">
        <v>1071</v>
      </c>
      <c r="F423" s="16"/>
      <c r="G423" s="16"/>
      <c r="H423" s="16"/>
      <c r="I423" s="16"/>
      <c r="J423" s="16"/>
      <c r="K423" s="16"/>
      <c r="L423" s="16"/>
    </row>
    <row r="424" spans="1:12" ht="15.75" x14ac:dyDescent="0.25">
      <c r="A424" s="4"/>
      <c r="B424" s="36">
        <f>B413 * B415 * B418 / B414</f>
        <v>2933.3333333333335</v>
      </c>
      <c r="C424" s="4" t="s">
        <v>1141</v>
      </c>
      <c r="F424" s="16"/>
      <c r="G424" s="16"/>
      <c r="H424" s="16"/>
      <c r="I424" s="16"/>
      <c r="J424" s="16"/>
      <c r="K424" s="16"/>
      <c r="L424" s="16"/>
    </row>
    <row r="425" spans="1:12" x14ac:dyDescent="0.2">
      <c r="F425" s="16"/>
      <c r="G425" s="16"/>
      <c r="H425" s="16"/>
      <c r="I425" s="16"/>
      <c r="J425" s="16"/>
      <c r="K425" s="16"/>
      <c r="L425" s="16"/>
    </row>
    <row r="426" spans="1:12" x14ac:dyDescent="0.2">
      <c r="F426" s="16"/>
      <c r="G426" s="16"/>
      <c r="H426" s="16"/>
      <c r="I426" s="16"/>
      <c r="J426" s="16"/>
      <c r="K426" s="16"/>
      <c r="L426" s="16"/>
    </row>
    <row r="427" spans="1:12" ht="18.75" x14ac:dyDescent="0.35">
      <c r="A427" s="1" t="s">
        <v>947</v>
      </c>
      <c r="F427" s="16"/>
      <c r="G427" s="16"/>
      <c r="H427" s="16"/>
      <c r="I427" s="16"/>
      <c r="J427" s="16"/>
      <c r="K427" s="16"/>
      <c r="L427" s="16"/>
    </row>
    <row r="428" spans="1:12" x14ac:dyDescent="0.2">
      <c r="A428" s="28" t="s">
        <v>321</v>
      </c>
      <c r="B428" s="27">
        <v>3</v>
      </c>
      <c r="C428" s="22" t="s">
        <v>428</v>
      </c>
      <c r="F428" s="16"/>
      <c r="G428" s="16"/>
      <c r="H428" s="16"/>
      <c r="I428" s="16"/>
      <c r="J428" s="16"/>
      <c r="K428" s="16"/>
      <c r="L428" s="16"/>
    </row>
    <row r="429" spans="1:12" ht="16.5" thickBot="1" x14ac:dyDescent="0.3">
      <c r="A429" s="1" t="s">
        <v>1238</v>
      </c>
      <c r="B429" s="30" t="s">
        <v>107</v>
      </c>
      <c r="C429" s="27"/>
      <c r="F429" s="16"/>
      <c r="G429" s="16"/>
      <c r="H429" s="16"/>
      <c r="I429" s="16"/>
      <c r="J429" s="16"/>
      <c r="K429" s="16"/>
      <c r="L429" s="16"/>
    </row>
    <row r="430" spans="1:12" ht="19.5" x14ac:dyDescent="0.35">
      <c r="A430" s="28" t="s">
        <v>1429</v>
      </c>
      <c r="B430" s="89">
        <v>13200</v>
      </c>
      <c r="C430" s="27" t="s">
        <v>1075</v>
      </c>
      <c r="F430" s="16"/>
      <c r="G430" s="16"/>
      <c r="H430" s="16"/>
      <c r="I430" s="16"/>
      <c r="J430" s="16"/>
      <c r="K430" s="16"/>
      <c r="L430" s="16"/>
    </row>
    <row r="431" spans="1:12" x14ac:dyDescent="0.2">
      <c r="A431" s="28" t="s">
        <v>196</v>
      </c>
      <c r="B431" s="47">
        <v>12</v>
      </c>
      <c r="C431" s="27" t="s">
        <v>1078</v>
      </c>
      <c r="F431" s="16"/>
      <c r="G431" s="16"/>
      <c r="H431" s="16"/>
      <c r="I431" s="16"/>
      <c r="J431" s="16"/>
      <c r="K431" s="16"/>
      <c r="L431" s="16"/>
    </row>
    <row r="432" spans="1:12" x14ac:dyDescent="0.2">
      <c r="A432" s="28" t="s">
        <v>354</v>
      </c>
      <c r="B432" s="47">
        <v>4.66</v>
      </c>
      <c r="C432" s="27" t="s">
        <v>1073</v>
      </c>
      <c r="F432" s="16"/>
      <c r="G432" s="16"/>
      <c r="H432" s="16"/>
      <c r="I432" s="16"/>
      <c r="J432" s="16"/>
      <c r="K432" s="16"/>
      <c r="L432" s="16"/>
    </row>
    <row r="433" spans="1:12" ht="15.75" thickBot="1" x14ac:dyDescent="0.25">
      <c r="A433" s="28" t="s">
        <v>321</v>
      </c>
      <c r="B433" s="90">
        <v>1.5</v>
      </c>
      <c r="C433" s="27" t="s">
        <v>1284</v>
      </c>
      <c r="F433" s="16"/>
      <c r="G433" s="16"/>
      <c r="H433" s="16"/>
      <c r="I433" s="16"/>
      <c r="J433" s="16"/>
      <c r="K433" s="16"/>
      <c r="L433" s="16"/>
    </row>
    <row r="434" spans="1:12" ht="15.75" x14ac:dyDescent="0.25">
      <c r="B434" s="30" t="s">
        <v>876</v>
      </c>
      <c r="F434" s="16"/>
      <c r="G434" s="16"/>
      <c r="H434" s="16"/>
      <c r="I434" s="16"/>
      <c r="J434" s="16"/>
      <c r="K434" s="16"/>
      <c r="L434" s="16"/>
    </row>
    <row r="435" spans="1:12" ht="15.75" x14ac:dyDescent="0.25">
      <c r="A435" s="2" t="s">
        <v>1239</v>
      </c>
      <c r="B435" s="5" t="s">
        <v>195</v>
      </c>
      <c r="C435" s="22"/>
      <c r="F435" s="16"/>
      <c r="G435" s="16"/>
      <c r="H435" s="16"/>
      <c r="I435" s="16"/>
      <c r="J435" s="16"/>
      <c r="K435" s="16"/>
      <c r="L435" s="16"/>
    </row>
    <row r="436" spans="1:12" ht="15.75" x14ac:dyDescent="0.25">
      <c r="A436" s="2" t="s">
        <v>112</v>
      </c>
      <c r="B436" s="36">
        <f>B433*B430*B431/B432</f>
        <v>50987.124463519314</v>
      </c>
      <c r="C436" s="5" t="s">
        <v>1092</v>
      </c>
      <c r="F436" s="16"/>
      <c r="G436" s="16"/>
      <c r="H436" s="16"/>
      <c r="I436" s="16"/>
      <c r="J436" s="16"/>
      <c r="K436" s="16"/>
      <c r="L436" s="16"/>
    </row>
    <row r="437" spans="1:12" x14ac:dyDescent="0.2">
      <c r="A437" s="23"/>
      <c r="B437" s="23"/>
      <c r="C437" s="23"/>
      <c r="D437" s="23"/>
      <c r="E437" s="23"/>
      <c r="F437" s="16"/>
      <c r="G437" s="16"/>
      <c r="H437" s="16"/>
      <c r="I437" s="16"/>
      <c r="J437" s="16"/>
      <c r="K437" s="16"/>
      <c r="L437" s="16"/>
    </row>
    <row r="438" spans="1:12" ht="15.75" thickBot="1" x14ac:dyDescent="0.25">
      <c r="F438" s="16"/>
      <c r="G438" s="16"/>
      <c r="H438" s="16"/>
      <c r="I438" s="16"/>
      <c r="J438" s="16"/>
      <c r="K438" s="16"/>
      <c r="L438" s="16"/>
    </row>
    <row r="439" spans="1:12" ht="16.5" thickBot="1" x14ac:dyDescent="0.3">
      <c r="B439" s="91" t="s">
        <v>108</v>
      </c>
      <c r="C439" s="68"/>
      <c r="D439" s="69" t="s">
        <v>475</v>
      </c>
      <c r="E439" s="40"/>
      <c r="F439" s="16"/>
      <c r="G439" s="16"/>
      <c r="H439" s="16"/>
      <c r="I439" s="16"/>
      <c r="J439" s="16"/>
      <c r="K439" s="16"/>
      <c r="L439" s="16"/>
    </row>
    <row r="440" spans="1:12" ht="16.5" thickBot="1" x14ac:dyDescent="0.3">
      <c r="B440" s="70" t="s">
        <v>113</v>
      </c>
      <c r="C440" s="71" t="s">
        <v>114</v>
      </c>
      <c r="D440" s="72" t="s">
        <v>106</v>
      </c>
      <c r="E440" s="74" t="s">
        <v>116</v>
      </c>
      <c r="F440" s="16"/>
      <c r="G440" s="16"/>
      <c r="H440" s="16"/>
      <c r="I440" s="16"/>
      <c r="J440" s="16"/>
      <c r="K440" s="16"/>
      <c r="L440" s="16"/>
    </row>
    <row r="441" spans="1:12" ht="15.75" x14ac:dyDescent="0.25">
      <c r="A441" s="4">
        <v>1</v>
      </c>
      <c r="B441" s="31">
        <v>2</v>
      </c>
      <c r="C441" s="73">
        <v>9</v>
      </c>
      <c r="D441" s="92">
        <f>B441*C441</f>
        <v>18</v>
      </c>
      <c r="E441" s="82">
        <f>B441/2</f>
        <v>1</v>
      </c>
      <c r="F441" s="16"/>
      <c r="G441" s="16"/>
      <c r="H441" s="16"/>
      <c r="I441" s="16"/>
      <c r="J441" s="16"/>
      <c r="K441" s="16"/>
      <c r="L441" s="16"/>
    </row>
    <row r="442" spans="1:12" ht="15.75" x14ac:dyDescent="0.25">
      <c r="A442" s="4">
        <v>2</v>
      </c>
      <c r="B442" s="32">
        <v>7</v>
      </c>
      <c r="C442" s="73">
        <v>1.5</v>
      </c>
      <c r="D442" s="93">
        <f>B442*C442</f>
        <v>10.5</v>
      </c>
      <c r="E442" s="84">
        <f>B442/2</f>
        <v>3.5</v>
      </c>
      <c r="F442" s="16"/>
      <c r="G442" s="16"/>
      <c r="H442" s="16"/>
      <c r="I442" s="16"/>
      <c r="J442" s="16"/>
      <c r="K442" s="16"/>
      <c r="L442" s="16"/>
    </row>
    <row r="443" spans="1:12" ht="16.5" thickBot="1" x14ac:dyDescent="0.3">
      <c r="A443" s="4">
        <v>3</v>
      </c>
      <c r="B443" s="54">
        <v>3</v>
      </c>
      <c r="C443" s="76">
        <v>6</v>
      </c>
      <c r="D443" s="94">
        <f>B443*C443</f>
        <v>18</v>
      </c>
      <c r="E443" s="86">
        <f>B443/2</f>
        <v>1.5</v>
      </c>
      <c r="F443" s="16"/>
      <c r="G443" s="16"/>
      <c r="H443" s="16"/>
      <c r="I443" s="16"/>
      <c r="J443" s="16"/>
      <c r="K443" s="16"/>
      <c r="L443" s="16"/>
    </row>
    <row r="444" spans="1:12" ht="16.5" thickBot="1" x14ac:dyDescent="0.3">
      <c r="B444" s="27" t="s">
        <v>1071</v>
      </c>
      <c r="C444" s="2" t="s">
        <v>1151</v>
      </c>
      <c r="D444" s="39">
        <f>SUM(D441:D443)</f>
        <v>46.5</v>
      </c>
      <c r="F444" s="16"/>
      <c r="G444" s="16"/>
      <c r="H444" s="16"/>
      <c r="I444" s="16"/>
      <c r="J444" s="16"/>
      <c r="K444" s="16"/>
      <c r="L444" s="16"/>
    </row>
    <row r="445" spans="1:12" ht="15.75" thickBot="1" x14ac:dyDescent="0.25">
      <c r="B445" s="27"/>
      <c r="C445" s="27"/>
      <c r="F445" s="16"/>
      <c r="G445" s="16"/>
      <c r="H445" s="16"/>
      <c r="I445" s="16"/>
      <c r="J445" s="16"/>
      <c r="K445" s="16"/>
      <c r="L445" s="16"/>
    </row>
    <row r="446" spans="1:12" ht="16.5" thickBot="1" x14ac:dyDescent="0.3">
      <c r="B446" s="77"/>
      <c r="C446" s="67" t="s">
        <v>125</v>
      </c>
      <c r="D446" s="78"/>
      <c r="E446" s="79"/>
      <c r="F446" s="16"/>
      <c r="G446" s="16"/>
      <c r="H446" s="16"/>
      <c r="I446" s="16"/>
      <c r="J446" s="16"/>
      <c r="K446" s="16"/>
      <c r="L446" s="16"/>
    </row>
    <row r="447" spans="1:12" ht="16.5" thickBot="1" x14ac:dyDescent="0.3">
      <c r="B447" s="39" t="s">
        <v>116</v>
      </c>
      <c r="C447" s="74" t="s">
        <v>352</v>
      </c>
      <c r="D447" s="95" t="s">
        <v>353</v>
      </c>
      <c r="E447" s="39" t="s">
        <v>110</v>
      </c>
      <c r="F447" s="16"/>
      <c r="G447" s="16"/>
      <c r="H447" s="16"/>
      <c r="I447" s="16"/>
      <c r="J447" s="16"/>
      <c r="K447" s="16"/>
      <c r="L447" s="16"/>
    </row>
    <row r="448" spans="1:12" ht="15.75" x14ac:dyDescent="0.25">
      <c r="B448" s="96">
        <f>(E441)</f>
        <v>1</v>
      </c>
      <c r="C448" s="82">
        <f>D441*(E441/2)</f>
        <v>9</v>
      </c>
      <c r="D448" s="82">
        <f>D441*(E441/2)^2</f>
        <v>4.5</v>
      </c>
      <c r="E448" s="81">
        <f>(B441*C441^3)/12</f>
        <v>121.5</v>
      </c>
      <c r="F448" s="16"/>
      <c r="G448" s="16"/>
      <c r="H448" s="16"/>
      <c r="I448" s="16"/>
      <c r="J448" s="16"/>
      <c r="K448" s="16"/>
      <c r="L448" s="16"/>
    </row>
    <row r="449" spans="1:12" ht="15.75" x14ac:dyDescent="0.25">
      <c r="B449" s="97">
        <f>(E442)</f>
        <v>3.5</v>
      </c>
      <c r="C449" s="84">
        <f>D442*(E442/2)</f>
        <v>18.375</v>
      </c>
      <c r="D449" s="84">
        <f>D442*(E442/2)^2</f>
        <v>32.15625</v>
      </c>
      <c r="E449" s="43">
        <f>(B442*C442^3)/12</f>
        <v>1.96875</v>
      </c>
      <c r="F449" s="16"/>
      <c r="G449" s="16"/>
      <c r="H449" s="16"/>
      <c r="I449" s="16"/>
      <c r="J449" s="16"/>
      <c r="K449" s="16"/>
      <c r="L449" s="16"/>
    </row>
    <row r="450" spans="1:12" ht="16.5" thickBot="1" x14ac:dyDescent="0.3">
      <c r="B450" s="98">
        <f>(E443)</f>
        <v>1.5</v>
      </c>
      <c r="C450" s="86">
        <f>D443*(E443/2)</f>
        <v>13.5</v>
      </c>
      <c r="D450" s="86">
        <f>D443*(E443/2)^2</f>
        <v>10.125</v>
      </c>
      <c r="E450" s="46">
        <f>(B443*C443^3)/12</f>
        <v>54</v>
      </c>
      <c r="F450" s="16"/>
      <c r="G450" s="16"/>
      <c r="H450" s="16"/>
      <c r="I450" s="16"/>
      <c r="J450" s="16"/>
      <c r="K450" s="16"/>
      <c r="L450" s="16"/>
    </row>
    <row r="451" spans="1:12" ht="16.5" thickBot="1" x14ac:dyDescent="0.3">
      <c r="B451" s="2" t="s">
        <v>111</v>
      </c>
      <c r="C451" s="86">
        <f>SUM(C448:C450)</f>
        <v>40.875</v>
      </c>
      <c r="D451" s="86">
        <f>SUM(D448:D450)</f>
        <v>46.78125</v>
      </c>
      <c r="E451" s="87">
        <f>SUM(E448:E450)</f>
        <v>177.46875</v>
      </c>
      <c r="F451" s="16"/>
      <c r="G451" s="16"/>
      <c r="H451" s="16"/>
      <c r="I451" s="16"/>
      <c r="J451" s="16"/>
      <c r="K451" s="16"/>
      <c r="L451" s="16"/>
    </row>
    <row r="452" spans="1:12" x14ac:dyDescent="0.2">
      <c r="F452" s="16"/>
      <c r="G452" s="16"/>
      <c r="H452" s="16"/>
      <c r="I452" s="16"/>
      <c r="J452" s="16"/>
      <c r="K452" s="16"/>
      <c r="L452" s="16"/>
    </row>
    <row r="453" spans="1:12" ht="15.75" x14ac:dyDescent="0.25">
      <c r="B453" s="2" t="s">
        <v>351</v>
      </c>
      <c r="C453" s="1" t="s">
        <v>1152</v>
      </c>
      <c r="D453" s="5"/>
      <c r="E453" s="27"/>
      <c r="F453" s="16"/>
      <c r="G453" s="16"/>
      <c r="H453" s="16"/>
      <c r="I453" s="16"/>
      <c r="J453" s="16"/>
      <c r="K453" s="16"/>
      <c r="L453" s="16"/>
    </row>
    <row r="454" spans="1:12" ht="15.75" x14ac:dyDescent="0.25">
      <c r="B454" s="2" t="s">
        <v>112</v>
      </c>
      <c r="C454" s="37">
        <f>D451+E451</f>
        <v>224.25</v>
      </c>
      <c r="D454" s="4" t="s">
        <v>1073</v>
      </c>
      <c r="E454" s="3"/>
      <c r="F454" s="16"/>
      <c r="G454" s="16"/>
      <c r="H454" s="16"/>
      <c r="I454" s="16"/>
      <c r="J454" s="16"/>
      <c r="K454" s="16"/>
      <c r="L454" s="16"/>
    </row>
    <row r="455" spans="1:12" ht="15.75" x14ac:dyDescent="0.25">
      <c r="B455" s="2" t="s">
        <v>362</v>
      </c>
      <c r="C455" s="5" t="s">
        <v>117</v>
      </c>
      <c r="D455" s="27"/>
      <c r="E455" s="27"/>
      <c r="F455" s="16"/>
      <c r="G455" s="16"/>
      <c r="H455" s="16"/>
      <c r="I455" s="16"/>
      <c r="J455" s="16"/>
      <c r="K455" s="16"/>
      <c r="L455" s="16"/>
    </row>
    <row r="456" spans="1:12" ht="15.75" x14ac:dyDescent="0.25">
      <c r="B456" s="2" t="s">
        <v>112</v>
      </c>
      <c r="C456" s="3">
        <f>C451/D444</f>
        <v>0.87903225806451613</v>
      </c>
      <c r="D456" s="4" t="s">
        <v>1078</v>
      </c>
      <c r="E456" s="37"/>
      <c r="F456" s="16"/>
      <c r="G456" s="16"/>
      <c r="H456" s="16"/>
      <c r="I456" s="16"/>
      <c r="J456" s="16"/>
      <c r="K456" s="16"/>
      <c r="L456" s="16"/>
    </row>
    <row r="457" spans="1:12" ht="15.75" x14ac:dyDescent="0.25">
      <c r="B457" s="2" t="s">
        <v>284</v>
      </c>
      <c r="C457" s="1" t="s">
        <v>360</v>
      </c>
      <c r="D457" s="4"/>
      <c r="F457" s="16"/>
      <c r="G457" s="16"/>
      <c r="H457" s="16"/>
      <c r="I457" s="16"/>
      <c r="J457" s="16"/>
      <c r="K457" s="16"/>
      <c r="L457" s="16"/>
    </row>
    <row r="458" spans="1:12" ht="15.75" x14ac:dyDescent="0.25">
      <c r="B458" s="26" t="s">
        <v>748</v>
      </c>
      <c r="C458" s="3">
        <f>B441-C456</f>
        <v>1.120967741935484</v>
      </c>
      <c r="D458" s="4" t="s">
        <v>1078</v>
      </c>
      <c r="F458" s="16"/>
      <c r="G458" s="16"/>
      <c r="H458" s="16"/>
      <c r="I458" s="16"/>
      <c r="J458" s="16"/>
      <c r="K458" s="16"/>
      <c r="L458" s="16"/>
    </row>
    <row r="459" spans="1:12" x14ac:dyDescent="0.2">
      <c r="A459" s="23"/>
      <c r="B459" s="23"/>
      <c r="C459" s="23"/>
      <c r="D459" s="23"/>
      <c r="E459" s="23"/>
      <c r="F459" s="16"/>
      <c r="G459" s="16"/>
      <c r="H459" s="16"/>
      <c r="I459" s="16"/>
      <c r="J459" s="16"/>
      <c r="K459" s="16"/>
      <c r="L459" s="16"/>
    </row>
    <row r="460" spans="1:12" ht="16.5" thickBot="1" x14ac:dyDescent="0.3">
      <c r="B460" s="4" t="s">
        <v>359</v>
      </c>
      <c r="F460" s="16"/>
      <c r="G460" s="16"/>
      <c r="H460" s="16"/>
      <c r="I460" s="16"/>
      <c r="J460" s="16"/>
      <c r="K460" s="16"/>
      <c r="L460" s="16"/>
    </row>
    <row r="461" spans="1:12" ht="16.5" thickBot="1" x14ac:dyDescent="0.3">
      <c r="B461" s="91" t="s">
        <v>108</v>
      </c>
      <c r="C461" s="68"/>
      <c r="D461" s="69" t="s">
        <v>475</v>
      </c>
      <c r="E461" s="40"/>
      <c r="F461" s="16"/>
      <c r="G461" s="16"/>
      <c r="H461" s="16"/>
      <c r="I461" s="16"/>
      <c r="J461" s="16"/>
      <c r="K461" s="16"/>
      <c r="L461" s="16"/>
    </row>
    <row r="462" spans="1:12" ht="16.5" thickBot="1" x14ac:dyDescent="0.3">
      <c r="B462" s="70" t="s">
        <v>113</v>
      </c>
      <c r="C462" s="71" t="s">
        <v>114</v>
      </c>
      <c r="D462" s="72" t="s">
        <v>106</v>
      </c>
      <c r="E462" s="74" t="s">
        <v>110</v>
      </c>
      <c r="F462" s="16"/>
      <c r="G462" s="16"/>
      <c r="H462" s="16"/>
      <c r="I462" s="16"/>
      <c r="J462" s="16"/>
      <c r="K462" s="16"/>
      <c r="L462" s="16"/>
    </row>
    <row r="463" spans="1:12" ht="16.5" thickBot="1" x14ac:dyDescent="0.3">
      <c r="A463" s="4">
        <v>1</v>
      </c>
      <c r="B463" s="31">
        <v>2</v>
      </c>
      <c r="C463" s="73">
        <v>9</v>
      </c>
      <c r="D463" s="92">
        <f>B463*C463</f>
        <v>18</v>
      </c>
      <c r="E463" s="99">
        <f>C463*B463^3/12</f>
        <v>6</v>
      </c>
      <c r="F463" s="16"/>
      <c r="G463" s="16"/>
      <c r="H463" s="16"/>
      <c r="I463" s="16"/>
      <c r="J463" s="16"/>
      <c r="K463" s="16"/>
      <c r="L463" s="16"/>
    </row>
    <row r="464" spans="1:12" ht="16.5" thickBot="1" x14ac:dyDescent="0.3">
      <c r="A464" s="4">
        <v>2</v>
      </c>
      <c r="B464" s="32">
        <v>7</v>
      </c>
      <c r="C464" s="73">
        <v>1.5</v>
      </c>
      <c r="D464" s="93">
        <f>B464*C464</f>
        <v>10.5</v>
      </c>
      <c r="E464" s="99">
        <f>C464*B464^3/12</f>
        <v>42.875</v>
      </c>
      <c r="F464" s="16"/>
      <c r="G464" s="16"/>
      <c r="H464" s="16"/>
      <c r="I464" s="16"/>
      <c r="J464" s="16"/>
      <c r="K464" s="16"/>
      <c r="L464" s="16"/>
    </row>
    <row r="465" spans="1:12" ht="16.5" thickBot="1" x14ac:dyDescent="0.3">
      <c r="A465" s="4">
        <v>3</v>
      </c>
      <c r="B465" s="54">
        <v>3</v>
      </c>
      <c r="C465" s="76">
        <v>6</v>
      </c>
      <c r="D465" s="94">
        <f>B465*C465</f>
        <v>18</v>
      </c>
      <c r="E465" s="99">
        <f>C465*B465^3/12</f>
        <v>13.5</v>
      </c>
      <c r="F465" s="16"/>
      <c r="G465" s="16"/>
      <c r="H465" s="16"/>
      <c r="I465" s="16"/>
      <c r="J465" s="16"/>
      <c r="K465" s="16"/>
      <c r="L465" s="16"/>
    </row>
    <row r="466" spans="1:12" ht="16.5" thickBot="1" x14ac:dyDescent="0.3">
      <c r="B466" s="27" t="s">
        <v>1071</v>
      </c>
      <c r="C466" s="2" t="s">
        <v>1151</v>
      </c>
      <c r="D466" s="39">
        <f>SUM(D463:D465)</f>
        <v>46.5</v>
      </c>
      <c r="E466" s="100">
        <f>SUM(E463:E465)</f>
        <v>62.375</v>
      </c>
      <c r="F466" s="16"/>
      <c r="G466" s="16"/>
      <c r="H466" s="16"/>
      <c r="I466" s="16"/>
      <c r="J466" s="16"/>
      <c r="K466" s="16"/>
      <c r="L466" s="16"/>
    </row>
    <row r="467" spans="1:12" x14ac:dyDescent="0.2">
      <c r="B467" s="27"/>
      <c r="C467" s="27"/>
      <c r="F467" s="16"/>
      <c r="G467" s="16"/>
      <c r="H467" s="16"/>
      <c r="I467" s="16"/>
      <c r="J467" s="16"/>
      <c r="K467" s="16"/>
      <c r="L467" s="16"/>
    </row>
    <row r="468" spans="1:12" ht="15.75" x14ac:dyDescent="0.25">
      <c r="B468" s="2" t="s">
        <v>115</v>
      </c>
      <c r="C468" s="5" t="s">
        <v>349</v>
      </c>
      <c r="D468" s="27"/>
      <c r="E468" s="27"/>
      <c r="F468" s="16"/>
      <c r="G468" s="16"/>
      <c r="H468" s="16"/>
      <c r="I468" s="16"/>
      <c r="J468" s="16"/>
      <c r="K468" s="16"/>
      <c r="L468" s="16"/>
    </row>
    <row r="469" spans="1:12" ht="15.75" x14ac:dyDescent="0.25">
      <c r="B469" s="2" t="s">
        <v>112</v>
      </c>
      <c r="C469" s="3">
        <f>B463/2</f>
        <v>1</v>
      </c>
      <c r="D469" s="4" t="s">
        <v>1078</v>
      </c>
      <c r="E469" s="5"/>
      <c r="F469" s="16"/>
      <c r="G469" s="16"/>
      <c r="H469" s="16"/>
      <c r="I469" s="16"/>
      <c r="J469" s="16"/>
      <c r="K469" s="16"/>
      <c r="L469" s="16"/>
    </row>
    <row r="470" spans="1:12" ht="15.75" x14ac:dyDescent="0.25">
      <c r="B470" s="2" t="s">
        <v>351</v>
      </c>
      <c r="C470" s="5" t="s">
        <v>350</v>
      </c>
      <c r="D470" s="5"/>
      <c r="E470" s="37"/>
      <c r="F470" s="16"/>
      <c r="G470" s="16"/>
      <c r="H470" s="16"/>
      <c r="I470" s="16"/>
      <c r="J470" s="16"/>
      <c r="K470" s="16"/>
      <c r="L470" s="16"/>
    </row>
    <row r="471" spans="1:12" ht="15.75" x14ac:dyDescent="0.25">
      <c r="B471" s="2" t="s">
        <v>112</v>
      </c>
      <c r="C471" s="36">
        <f>E466</f>
        <v>62.375</v>
      </c>
      <c r="D471" s="4" t="s">
        <v>1073</v>
      </c>
      <c r="E471" s="37"/>
      <c r="F471" s="16"/>
      <c r="G471" s="16"/>
      <c r="H471" s="16"/>
      <c r="I471" s="16"/>
      <c r="J471" s="16"/>
      <c r="K471" s="16"/>
      <c r="L471" s="16"/>
    </row>
    <row r="472" spans="1:12" ht="15.75" x14ac:dyDescent="0.25">
      <c r="B472" s="2" t="s">
        <v>358</v>
      </c>
      <c r="C472" s="5" t="s">
        <v>349</v>
      </c>
      <c r="D472" s="4"/>
      <c r="E472" s="37"/>
      <c r="F472" s="16"/>
      <c r="G472" s="16"/>
      <c r="H472" s="16"/>
      <c r="I472" s="16"/>
      <c r="J472" s="16"/>
      <c r="K472" s="16"/>
      <c r="L472" s="16"/>
    </row>
    <row r="473" spans="1:12" ht="15.75" x14ac:dyDescent="0.25">
      <c r="B473" s="26" t="s">
        <v>748</v>
      </c>
      <c r="C473" s="3">
        <f>B463/2</f>
        <v>1</v>
      </c>
      <c r="D473" s="4"/>
      <c r="E473" s="5" t="s">
        <v>1071</v>
      </c>
      <c r="F473" s="16"/>
      <c r="G473" s="16"/>
      <c r="H473" s="16"/>
      <c r="I473" s="16"/>
      <c r="J473" s="16"/>
      <c r="K473" s="16"/>
      <c r="L473" s="16"/>
    </row>
    <row r="474" spans="1:12" x14ac:dyDescent="0.2">
      <c r="F474" s="16"/>
      <c r="G474" s="16"/>
      <c r="H474" s="16"/>
      <c r="I474" s="16"/>
      <c r="J474" s="16"/>
      <c r="K474" s="16"/>
      <c r="L474" s="16"/>
    </row>
    <row r="475" spans="1:12" x14ac:dyDescent="0.2">
      <c r="A475" s="23"/>
      <c r="B475" s="23"/>
      <c r="C475" s="23"/>
      <c r="D475" s="23"/>
      <c r="E475" s="23"/>
      <c r="F475" s="16"/>
      <c r="G475" s="16"/>
      <c r="H475" s="16"/>
      <c r="I475" s="16"/>
      <c r="J475" s="16"/>
      <c r="K475" s="16"/>
      <c r="L475" s="16"/>
    </row>
    <row r="476" spans="1:12" x14ac:dyDescent="0.2">
      <c r="F476" s="16"/>
      <c r="G476" s="16"/>
      <c r="H476" s="16"/>
      <c r="I476" s="16"/>
      <c r="J476" s="16"/>
      <c r="K476" s="16"/>
      <c r="L476" s="16"/>
    </row>
    <row r="477" spans="1:12" x14ac:dyDescent="0.2">
      <c r="F477" s="16"/>
      <c r="G477" s="16"/>
      <c r="H477" s="16"/>
      <c r="I477" s="16"/>
      <c r="J477" s="16"/>
      <c r="K477" s="16"/>
      <c r="L477" s="16"/>
    </row>
    <row r="478" spans="1:12" x14ac:dyDescent="0.2">
      <c r="F478" s="16"/>
      <c r="G478" s="16"/>
      <c r="H478" s="16"/>
      <c r="I478" s="16"/>
      <c r="J478" s="16"/>
      <c r="K478" s="16"/>
      <c r="L478" s="16"/>
    </row>
    <row r="479" spans="1:12" x14ac:dyDescent="0.2">
      <c r="F479" s="16"/>
      <c r="G479" s="16"/>
      <c r="H479" s="16"/>
      <c r="I479" s="16"/>
      <c r="J479" s="16"/>
      <c r="K479" s="16"/>
      <c r="L479" s="16"/>
    </row>
    <row r="480" spans="1:12" x14ac:dyDescent="0.2">
      <c r="F480" s="16"/>
      <c r="G480" s="16"/>
      <c r="H480" s="16"/>
      <c r="I480" s="16"/>
      <c r="J480" s="16"/>
      <c r="K480" s="16"/>
      <c r="L480" s="16"/>
    </row>
    <row r="481" spans="1:12" x14ac:dyDescent="0.2">
      <c r="F481" s="16"/>
      <c r="G481" s="16"/>
      <c r="H481" s="16"/>
      <c r="I481" s="16"/>
      <c r="J481" s="16"/>
      <c r="K481" s="16"/>
      <c r="L481" s="16"/>
    </row>
    <row r="482" spans="1:12" x14ac:dyDescent="0.2">
      <c r="F482" s="16"/>
      <c r="G482" s="16"/>
      <c r="H482" s="16"/>
      <c r="I482" s="16"/>
      <c r="J482" s="16"/>
      <c r="K482" s="16"/>
      <c r="L482" s="16"/>
    </row>
    <row r="483" spans="1:12" x14ac:dyDescent="0.2">
      <c r="F483" s="16"/>
      <c r="G483" s="16"/>
      <c r="H483" s="16"/>
      <c r="I483" s="16"/>
      <c r="J483" s="16"/>
      <c r="K483" s="16"/>
      <c r="L483" s="16"/>
    </row>
    <row r="484" spans="1:12" x14ac:dyDescent="0.2">
      <c r="F484" s="16"/>
      <c r="G484" s="16"/>
      <c r="H484" s="16"/>
      <c r="I484" s="16"/>
      <c r="J484" s="16"/>
      <c r="K484" s="16"/>
      <c r="L484" s="16"/>
    </row>
    <row r="485" spans="1:12" ht="18.75" x14ac:dyDescent="0.35">
      <c r="A485" s="1" t="s">
        <v>947</v>
      </c>
      <c r="F485" s="16"/>
      <c r="G485" s="16"/>
      <c r="H485" s="16"/>
      <c r="I485" s="16"/>
      <c r="J485" s="16"/>
      <c r="K485" s="16"/>
      <c r="L485" s="16"/>
    </row>
    <row r="486" spans="1:12" ht="16.5" thickBot="1" x14ac:dyDescent="0.3">
      <c r="B486" s="30" t="s">
        <v>107</v>
      </c>
      <c r="F486" s="16"/>
      <c r="G486" s="16"/>
      <c r="H486" s="16"/>
      <c r="I486" s="16"/>
      <c r="J486" s="16"/>
      <c r="K486" s="16"/>
      <c r="L486" s="16"/>
    </row>
    <row r="487" spans="1:12" x14ac:dyDescent="0.2">
      <c r="A487" s="28" t="s">
        <v>1245</v>
      </c>
      <c r="B487" s="31">
        <v>1800</v>
      </c>
      <c r="C487" s="12" t="s">
        <v>1100</v>
      </c>
      <c r="F487" s="16"/>
      <c r="G487" s="16"/>
      <c r="H487" s="16"/>
      <c r="I487" s="16"/>
      <c r="J487" s="16"/>
      <c r="K487" s="16"/>
      <c r="L487" s="16"/>
    </row>
    <row r="488" spans="1:12" x14ac:dyDescent="0.2">
      <c r="A488" s="28" t="s">
        <v>198</v>
      </c>
      <c r="B488" s="32">
        <v>12</v>
      </c>
      <c r="C488" s="12" t="s">
        <v>1078</v>
      </c>
      <c r="F488" s="16"/>
      <c r="G488" s="16"/>
      <c r="H488" s="16"/>
      <c r="I488" s="16"/>
      <c r="J488" s="16"/>
      <c r="K488" s="16"/>
      <c r="L488" s="16"/>
    </row>
    <row r="489" spans="1:12" ht="15.75" thickBot="1" x14ac:dyDescent="0.25">
      <c r="A489" s="28" t="s">
        <v>812</v>
      </c>
      <c r="B489" s="54">
        <v>3</v>
      </c>
      <c r="C489" s="12" t="s">
        <v>1078</v>
      </c>
      <c r="F489" s="16"/>
      <c r="G489" s="16"/>
      <c r="H489" s="16"/>
      <c r="I489" s="16"/>
      <c r="J489" s="16"/>
      <c r="K489" s="16"/>
      <c r="L489" s="16"/>
    </row>
    <row r="490" spans="1:12" ht="15.75" x14ac:dyDescent="0.25">
      <c r="B490" s="30" t="s">
        <v>876</v>
      </c>
      <c r="F490" s="16"/>
      <c r="G490" s="16"/>
      <c r="H490" s="16"/>
      <c r="I490" s="16"/>
      <c r="J490" s="16"/>
      <c r="K490" s="16"/>
      <c r="L490" s="16"/>
    </row>
    <row r="491" spans="1:12" ht="15.75" x14ac:dyDescent="0.25">
      <c r="A491" s="2" t="s">
        <v>1242</v>
      </c>
      <c r="B491" s="5" t="s">
        <v>1243</v>
      </c>
      <c r="F491" s="16"/>
      <c r="G491" s="16"/>
      <c r="H491" s="16"/>
      <c r="I491" s="16"/>
      <c r="J491" s="16"/>
      <c r="K491" s="16"/>
      <c r="L491" s="16"/>
    </row>
    <row r="492" spans="1:12" ht="15.75" x14ac:dyDescent="0.25">
      <c r="A492" s="25" t="s">
        <v>748</v>
      </c>
      <c r="B492" s="5">
        <f>B488-B489</f>
        <v>9</v>
      </c>
      <c r="F492" s="16"/>
      <c r="G492" s="16"/>
      <c r="H492" s="16"/>
      <c r="I492" s="16"/>
      <c r="J492" s="16"/>
      <c r="K492" s="16"/>
      <c r="L492" s="16"/>
    </row>
    <row r="493" spans="1:12" ht="18.75" x14ac:dyDescent="0.35">
      <c r="A493" s="2" t="s">
        <v>1426</v>
      </c>
      <c r="B493" s="5" t="s">
        <v>1240</v>
      </c>
      <c r="C493" s="4"/>
      <c r="F493" s="16"/>
      <c r="G493" s="16"/>
      <c r="H493" s="16"/>
      <c r="I493" s="16"/>
      <c r="J493" s="16"/>
      <c r="K493" s="16"/>
      <c r="L493" s="16"/>
    </row>
    <row r="494" spans="1:12" ht="15.75" x14ac:dyDescent="0.25">
      <c r="A494" s="26" t="s">
        <v>748</v>
      </c>
      <c r="B494" s="36">
        <f>B487*B488</f>
        <v>21600</v>
      </c>
      <c r="C494" s="4" t="s">
        <v>1141</v>
      </c>
      <c r="E494" s="12" t="s">
        <v>1071</v>
      </c>
      <c r="F494" s="16"/>
      <c r="G494" s="16"/>
      <c r="H494" s="16"/>
      <c r="I494" s="16"/>
      <c r="J494" s="16"/>
      <c r="K494" s="16"/>
      <c r="L494" s="16"/>
    </row>
    <row r="495" spans="1:12" ht="18.75" x14ac:dyDescent="0.35">
      <c r="A495" s="2" t="s">
        <v>1427</v>
      </c>
      <c r="B495" s="5" t="s">
        <v>1241</v>
      </c>
      <c r="C495" s="4"/>
      <c r="F495" s="16"/>
      <c r="G495" s="16"/>
      <c r="H495" s="16"/>
      <c r="I495" s="16"/>
      <c r="J495" s="16"/>
      <c r="K495" s="16"/>
      <c r="L495" s="16"/>
    </row>
    <row r="496" spans="1:12" ht="15.75" x14ac:dyDescent="0.25">
      <c r="A496" s="26" t="s">
        <v>748</v>
      </c>
      <c r="B496" s="36">
        <f>B487 * B489 * B492^2 / B488^2</f>
        <v>3037.5</v>
      </c>
      <c r="C496" s="4" t="s">
        <v>1141</v>
      </c>
      <c r="F496" s="16"/>
      <c r="G496" s="16"/>
      <c r="H496" s="16"/>
      <c r="I496" s="16"/>
      <c r="J496" s="16"/>
      <c r="K496" s="16"/>
      <c r="L496" s="16"/>
    </row>
    <row r="497" spans="1:12" ht="18.75" x14ac:dyDescent="0.35">
      <c r="A497" s="2" t="s">
        <v>1428</v>
      </c>
      <c r="B497" s="5" t="s">
        <v>1244</v>
      </c>
      <c r="C497" s="4"/>
      <c r="F497" s="16"/>
      <c r="G497" s="16"/>
      <c r="H497" s="16"/>
      <c r="I497" s="16"/>
      <c r="J497" s="16"/>
      <c r="K497" s="16"/>
      <c r="L497" s="16"/>
    </row>
    <row r="498" spans="1:12" ht="15.75" x14ac:dyDescent="0.25">
      <c r="A498" s="4"/>
      <c r="B498" s="36">
        <f>B487 * B489 * B492 / B488</f>
        <v>4050</v>
      </c>
      <c r="C498" s="4" t="s">
        <v>1141</v>
      </c>
      <c r="F498" s="16"/>
      <c r="G498" s="16"/>
      <c r="H498" s="16"/>
      <c r="I498" s="16"/>
      <c r="J498" s="16"/>
      <c r="K498" s="16"/>
      <c r="L498" s="16"/>
    </row>
    <row r="499" spans="1:12" x14ac:dyDescent="0.2">
      <c r="F499" s="16"/>
      <c r="G499" s="16"/>
      <c r="H499" s="16"/>
      <c r="I499" s="16"/>
      <c r="J499" s="16"/>
      <c r="K499" s="16"/>
      <c r="L499" s="16"/>
    </row>
    <row r="500" spans="1:12" x14ac:dyDescent="0.2">
      <c r="F500" s="16"/>
      <c r="G500" s="16"/>
      <c r="H500" s="16"/>
      <c r="I500" s="16"/>
      <c r="J500" s="16"/>
      <c r="K500" s="16"/>
      <c r="L500" s="16"/>
    </row>
    <row r="501" spans="1:12" ht="15.75" x14ac:dyDescent="0.25">
      <c r="A501" s="1" t="s">
        <v>197</v>
      </c>
      <c r="F501" s="16"/>
      <c r="G501" s="16"/>
      <c r="H501" s="16"/>
      <c r="I501" s="16"/>
      <c r="J501" s="16"/>
      <c r="K501" s="16"/>
      <c r="L501" s="16"/>
    </row>
    <row r="502" spans="1:12" x14ac:dyDescent="0.2">
      <c r="C502" s="22"/>
      <c r="F502" s="16"/>
      <c r="G502" s="16"/>
      <c r="H502" s="16"/>
      <c r="I502" s="16"/>
      <c r="J502" s="16"/>
      <c r="K502" s="16"/>
      <c r="L502" s="16"/>
    </row>
    <row r="503" spans="1:12" ht="16.5" thickBot="1" x14ac:dyDescent="0.3">
      <c r="A503" s="1" t="s">
        <v>1238</v>
      </c>
      <c r="B503" s="30" t="s">
        <v>107</v>
      </c>
      <c r="C503" s="27"/>
      <c r="F503" s="16"/>
      <c r="G503" s="16"/>
      <c r="H503" s="16"/>
      <c r="I503" s="16"/>
      <c r="J503" s="16"/>
      <c r="K503" s="16"/>
      <c r="L503" s="16"/>
    </row>
    <row r="504" spans="1:12" ht="19.5" x14ac:dyDescent="0.35">
      <c r="A504" s="28" t="s">
        <v>1429</v>
      </c>
      <c r="B504" s="31">
        <v>13200</v>
      </c>
      <c r="C504" s="22" t="s">
        <v>1075</v>
      </c>
      <c r="F504" s="16"/>
      <c r="G504" s="16"/>
      <c r="H504" s="16"/>
      <c r="I504" s="16"/>
      <c r="J504" s="16"/>
      <c r="K504" s="16"/>
      <c r="L504" s="16"/>
    </row>
    <row r="505" spans="1:12" x14ac:dyDescent="0.2">
      <c r="A505" s="28" t="s">
        <v>196</v>
      </c>
      <c r="B505" s="52">
        <v>1.75</v>
      </c>
      <c r="C505" s="22" t="s">
        <v>1078</v>
      </c>
      <c r="F505" s="16"/>
      <c r="G505" s="16"/>
      <c r="H505" s="16"/>
      <c r="I505" s="16"/>
      <c r="J505" s="16"/>
      <c r="K505" s="16"/>
      <c r="L505" s="16"/>
    </row>
    <row r="506" spans="1:12" x14ac:dyDescent="0.2">
      <c r="A506" s="28" t="s">
        <v>354</v>
      </c>
      <c r="B506" s="32">
        <v>4.4660000000000002</v>
      </c>
      <c r="C506" s="22" t="s">
        <v>1073</v>
      </c>
      <c r="F506" s="16"/>
      <c r="G506" s="16"/>
      <c r="H506" s="16"/>
      <c r="I506" s="16"/>
      <c r="J506" s="16"/>
      <c r="K506" s="16"/>
      <c r="L506" s="16"/>
    </row>
    <row r="507" spans="1:12" x14ac:dyDescent="0.2">
      <c r="A507" s="28" t="s">
        <v>321</v>
      </c>
      <c r="B507" s="32">
        <v>1.5</v>
      </c>
      <c r="C507" s="22" t="s">
        <v>1284</v>
      </c>
      <c r="F507" s="16"/>
      <c r="G507" s="16"/>
      <c r="H507" s="16"/>
      <c r="I507" s="16"/>
      <c r="J507" s="16"/>
      <c r="K507" s="16"/>
      <c r="L507" s="16"/>
    </row>
    <row r="508" spans="1:12" ht="15.75" thickBot="1" x14ac:dyDescent="0.25">
      <c r="A508" s="28" t="s">
        <v>488</v>
      </c>
      <c r="B508" s="54">
        <v>29000000</v>
      </c>
      <c r="C508" s="22" t="s">
        <v>1092</v>
      </c>
      <c r="F508" s="16"/>
      <c r="G508" s="16"/>
      <c r="H508" s="16"/>
      <c r="I508" s="16"/>
      <c r="J508" s="16"/>
      <c r="K508" s="16"/>
      <c r="L508" s="16"/>
    </row>
    <row r="509" spans="1:12" ht="15.75" x14ac:dyDescent="0.25">
      <c r="B509" s="30" t="s">
        <v>876</v>
      </c>
      <c r="C509" s="22"/>
      <c r="F509" s="16"/>
      <c r="G509" s="16"/>
      <c r="H509" s="16"/>
      <c r="I509" s="16"/>
      <c r="J509" s="16"/>
      <c r="K509" s="16"/>
      <c r="L509" s="16"/>
    </row>
    <row r="510" spans="1:12" ht="15.75" x14ac:dyDescent="0.25">
      <c r="A510" s="2" t="s">
        <v>487</v>
      </c>
      <c r="B510" s="5">
        <f>B488</f>
        <v>12</v>
      </c>
      <c r="C510" s="1" t="s">
        <v>1078</v>
      </c>
      <c r="F510" s="16"/>
      <c r="G510" s="16"/>
      <c r="H510" s="16"/>
      <c r="I510" s="16"/>
      <c r="J510" s="16"/>
      <c r="K510" s="16"/>
      <c r="L510" s="16"/>
    </row>
    <row r="511" spans="1:12" ht="15.75" x14ac:dyDescent="0.25">
      <c r="A511" s="2" t="s">
        <v>948</v>
      </c>
      <c r="B511" s="5">
        <f>B487</f>
        <v>1800</v>
      </c>
      <c r="C511" s="1" t="s">
        <v>1100</v>
      </c>
      <c r="F511" s="16"/>
      <c r="G511" s="16"/>
      <c r="H511" s="16"/>
      <c r="I511" s="16"/>
      <c r="J511" s="16"/>
      <c r="K511" s="16"/>
      <c r="L511" s="16"/>
    </row>
    <row r="512" spans="1:12" ht="15.75" x14ac:dyDescent="0.25">
      <c r="A512" s="2" t="s">
        <v>1239</v>
      </c>
      <c r="B512" s="5" t="s">
        <v>195</v>
      </c>
      <c r="C512" s="1"/>
      <c r="F512" s="16"/>
      <c r="G512" s="58"/>
      <c r="H512" s="16"/>
      <c r="I512" s="16"/>
      <c r="J512" s="16"/>
      <c r="K512" s="16"/>
      <c r="L512" s="16"/>
    </row>
    <row r="513" spans="1:12" ht="15.75" x14ac:dyDescent="0.25">
      <c r="A513" s="2" t="s">
        <v>112</v>
      </c>
      <c r="B513" s="36">
        <f>B507*B504*B505/B506</f>
        <v>7758.6206896551721</v>
      </c>
      <c r="C513" s="1" t="s">
        <v>1092</v>
      </c>
      <c r="F513" s="16"/>
      <c r="G513" s="64"/>
      <c r="H513" s="16"/>
      <c r="I513" s="16"/>
      <c r="J513" s="16"/>
      <c r="K513" s="16"/>
      <c r="L513" s="16"/>
    </row>
    <row r="514" spans="1:12" ht="15.75" x14ac:dyDescent="0.25">
      <c r="A514" s="2" t="s">
        <v>484</v>
      </c>
      <c r="B514" s="5" t="s">
        <v>949</v>
      </c>
      <c r="C514" s="22"/>
      <c r="F514" s="16"/>
      <c r="G514" s="58"/>
      <c r="H514" s="16"/>
      <c r="I514" s="16"/>
      <c r="J514" s="16"/>
      <c r="K514" s="16"/>
      <c r="L514" s="16"/>
    </row>
    <row r="515" spans="1:12" ht="15.75" x14ac:dyDescent="0.25">
      <c r="A515" s="4"/>
      <c r="B515" s="51">
        <f>$B$511*$B$510^3 / (3*$B$508*$B$506)</f>
        <v>8.0053121670244139E-3</v>
      </c>
      <c r="C515" s="1" t="s">
        <v>1078</v>
      </c>
      <c r="D515" s="12" t="s">
        <v>1071</v>
      </c>
      <c r="F515" s="16"/>
      <c r="G515" s="58"/>
      <c r="H515" s="16"/>
      <c r="I515" s="16"/>
      <c r="J515" s="16"/>
      <c r="K515" s="16"/>
      <c r="L515" s="16"/>
    </row>
    <row r="516" spans="1:12" ht="15.75" x14ac:dyDescent="0.25">
      <c r="A516" s="2" t="s">
        <v>485</v>
      </c>
      <c r="B516" s="1" t="s">
        <v>950</v>
      </c>
      <c r="C516" s="22"/>
      <c r="F516" s="16"/>
      <c r="G516" s="58"/>
      <c r="H516" s="16"/>
      <c r="I516" s="16"/>
      <c r="J516" s="16"/>
      <c r="K516" s="16"/>
      <c r="L516" s="16"/>
    </row>
    <row r="517" spans="1:12" ht="15.75" x14ac:dyDescent="0.25">
      <c r="A517" s="4"/>
      <c r="B517" s="101">
        <f>B487 * B489^3 * B492^3 / (3*B508*B506*B488^3)</f>
        <v>5.2769391725991009E-5</v>
      </c>
      <c r="C517" s="1" t="s">
        <v>1078</v>
      </c>
      <c r="F517" s="16"/>
      <c r="G517" s="16"/>
      <c r="H517" s="16"/>
      <c r="I517" s="16"/>
      <c r="J517" s="16"/>
      <c r="K517" s="16"/>
      <c r="L517" s="16"/>
    </row>
    <row r="518" spans="1:12" ht="15.75" x14ac:dyDescent="0.25">
      <c r="A518" s="2" t="s">
        <v>486</v>
      </c>
      <c r="B518" s="1" t="s">
        <v>951</v>
      </c>
      <c r="C518" s="22"/>
      <c r="F518" s="16"/>
      <c r="G518" s="16"/>
      <c r="H518" s="16"/>
      <c r="I518" s="16"/>
      <c r="J518" s="16"/>
      <c r="K518" s="16"/>
      <c r="L518" s="16"/>
    </row>
    <row r="519" spans="1:12" ht="15.75" x14ac:dyDescent="0.25">
      <c r="B519" s="101">
        <f>B487*B489^2 * B492^2 / (3*B508*B506*B488)</f>
        <v>2.8143675587195209E-4</v>
      </c>
      <c r="C519" s="1" t="s">
        <v>1078</v>
      </c>
      <c r="F519" s="16"/>
      <c r="G519" s="16"/>
      <c r="H519" s="16"/>
      <c r="I519" s="16"/>
      <c r="J519" s="16"/>
      <c r="K519" s="16"/>
      <c r="L519" s="16"/>
    </row>
    <row r="520" spans="1:12" x14ac:dyDescent="0.2">
      <c r="F520" s="16"/>
      <c r="G520" s="16"/>
      <c r="H520" s="16"/>
      <c r="I520" s="16"/>
      <c r="J520" s="16"/>
      <c r="K520" s="16"/>
      <c r="L520" s="16"/>
    </row>
    <row r="521" spans="1:12" x14ac:dyDescent="0.2">
      <c r="A521" s="23"/>
      <c r="B521" s="23"/>
      <c r="C521" s="23"/>
      <c r="D521" s="23"/>
      <c r="E521" s="23"/>
      <c r="F521" s="16"/>
      <c r="G521" s="16"/>
      <c r="H521" s="16"/>
      <c r="I521" s="16"/>
      <c r="J521" s="16"/>
      <c r="K521" s="16"/>
      <c r="L521" s="16"/>
    </row>
    <row r="522" spans="1:12" ht="15.75" x14ac:dyDescent="0.25">
      <c r="A522" s="2"/>
      <c r="F522" s="16"/>
      <c r="G522" s="16"/>
      <c r="H522" s="16"/>
      <c r="I522" s="16"/>
      <c r="J522" s="16"/>
      <c r="K522" s="16"/>
      <c r="L522" s="16"/>
    </row>
    <row r="523" spans="1:12" x14ac:dyDescent="0.2">
      <c r="F523" s="16"/>
      <c r="G523" s="16"/>
      <c r="H523" s="16"/>
      <c r="I523" s="16"/>
      <c r="J523" s="16"/>
      <c r="K523" s="16"/>
      <c r="L523" s="16"/>
    </row>
    <row r="524" spans="1:12" ht="15.75" x14ac:dyDescent="0.25">
      <c r="B524" s="12" t="s">
        <v>1418</v>
      </c>
      <c r="E524" s="5" t="s">
        <v>1071</v>
      </c>
      <c r="G524" s="16"/>
      <c r="H524" s="16"/>
      <c r="I524" s="16"/>
      <c r="J524" s="16"/>
      <c r="K524" s="16"/>
      <c r="L524" s="16"/>
    </row>
    <row r="525" spans="1:12" x14ac:dyDescent="0.2">
      <c r="G525" s="16"/>
      <c r="H525" s="16"/>
      <c r="I525" s="16"/>
      <c r="J525" s="16"/>
      <c r="K525" s="16"/>
      <c r="L525" s="16"/>
    </row>
    <row r="526" spans="1:12" x14ac:dyDescent="0.2">
      <c r="G526" s="16"/>
      <c r="H526" s="16"/>
      <c r="I526" s="16"/>
      <c r="J526" s="16"/>
      <c r="K526" s="16"/>
      <c r="L526" s="16"/>
    </row>
    <row r="527" spans="1:12" x14ac:dyDescent="0.2">
      <c r="G527" s="16"/>
      <c r="H527" s="16"/>
      <c r="I527" s="16"/>
      <c r="J527" s="16"/>
      <c r="K527" s="16"/>
      <c r="L527" s="16"/>
    </row>
    <row r="528" spans="1:12" x14ac:dyDescent="0.2">
      <c r="H528" s="16"/>
      <c r="I528" s="16"/>
      <c r="J528" s="16"/>
      <c r="K528" s="16"/>
      <c r="L528" s="16"/>
    </row>
    <row r="529" spans="8:12" x14ac:dyDescent="0.2">
      <c r="H529" s="16"/>
      <c r="I529" s="16"/>
      <c r="J529" s="16"/>
      <c r="K529" s="16"/>
      <c r="L529" s="16"/>
    </row>
    <row r="530" spans="8:12" x14ac:dyDescent="0.2">
      <c r="H530" s="16"/>
      <c r="I530" s="16"/>
      <c r="J530" s="16"/>
      <c r="K530" s="16"/>
      <c r="L530" s="16"/>
    </row>
    <row r="531" spans="8:12" x14ac:dyDescent="0.2">
      <c r="H531" s="16"/>
      <c r="I531" s="16"/>
      <c r="J531" s="16"/>
      <c r="K531" s="16"/>
      <c r="L531" s="16"/>
    </row>
    <row r="532" spans="8:12" x14ac:dyDescent="0.2">
      <c r="H532" s="16"/>
      <c r="I532" s="16"/>
      <c r="J532" s="16"/>
      <c r="K532" s="16"/>
      <c r="L532" s="16"/>
    </row>
    <row r="533" spans="8:12" x14ac:dyDescent="0.2">
      <c r="H533" s="16"/>
      <c r="I533" s="16"/>
      <c r="J533" s="16"/>
      <c r="K533" s="16"/>
      <c r="L533" s="16"/>
    </row>
    <row r="534" spans="8:12" x14ac:dyDescent="0.2">
      <c r="H534" s="16"/>
      <c r="I534" s="16"/>
      <c r="J534" s="16"/>
      <c r="K534" s="16"/>
      <c r="L534" s="16"/>
    </row>
    <row r="535" spans="8:12" x14ac:dyDescent="0.2">
      <c r="H535" s="16"/>
      <c r="I535" s="16"/>
      <c r="J535" s="16"/>
      <c r="K535" s="16"/>
      <c r="L535" s="16"/>
    </row>
    <row r="536" spans="8:12" x14ac:dyDescent="0.2">
      <c r="H536" s="16"/>
      <c r="I536" s="16"/>
      <c r="J536" s="16"/>
      <c r="K536" s="16"/>
      <c r="L536" s="16"/>
    </row>
    <row r="537" spans="8:12" x14ac:dyDescent="0.2">
      <c r="H537" s="16"/>
      <c r="I537" s="16"/>
      <c r="J537" s="16"/>
      <c r="K537" s="16"/>
      <c r="L537" s="16"/>
    </row>
    <row r="538" spans="8:12" x14ac:dyDescent="0.2">
      <c r="H538" s="16"/>
      <c r="I538" s="16"/>
      <c r="J538" s="16"/>
      <c r="K538" s="16"/>
      <c r="L538" s="16"/>
    </row>
    <row r="539" spans="8:12" x14ac:dyDescent="0.2">
      <c r="H539" s="16"/>
      <c r="I539" s="16"/>
      <c r="J539" s="16"/>
      <c r="K539" s="16"/>
      <c r="L539" s="16"/>
    </row>
    <row r="540" spans="8:12" x14ac:dyDescent="0.2">
      <c r="H540" s="16"/>
      <c r="I540" s="16"/>
      <c r="J540" s="16"/>
      <c r="K540" s="16"/>
      <c r="L540" s="16"/>
    </row>
    <row r="541" spans="8:12" x14ac:dyDescent="0.2">
      <c r="H541" s="16"/>
      <c r="I541" s="16"/>
      <c r="J541" s="16"/>
      <c r="K541" s="16"/>
      <c r="L541" s="16"/>
    </row>
    <row r="542" spans="8:12" x14ac:dyDescent="0.2">
      <c r="H542" s="16"/>
      <c r="I542" s="16"/>
      <c r="J542" s="16"/>
      <c r="K542" s="16"/>
      <c r="L542" s="16"/>
    </row>
    <row r="543" spans="8:12" x14ac:dyDescent="0.2">
      <c r="H543" s="16"/>
      <c r="I543" s="16"/>
      <c r="J543" s="16"/>
      <c r="K543" s="16"/>
      <c r="L543" s="16"/>
    </row>
    <row r="544" spans="8:12" x14ac:dyDescent="0.2">
      <c r="H544" s="16"/>
      <c r="I544" s="16"/>
      <c r="J544" s="16"/>
      <c r="K544" s="16"/>
      <c r="L544" s="16"/>
    </row>
    <row r="545" spans="8:12" x14ac:dyDescent="0.2">
      <c r="H545" s="16"/>
      <c r="I545" s="16"/>
      <c r="J545" s="16"/>
      <c r="K545" s="16"/>
      <c r="L545" s="16"/>
    </row>
    <row r="546" spans="8:12" x14ac:dyDescent="0.2">
      <c r="H546" s="16"/>
      <c r="I546" s="16"/>
      <c r="J546" s="16"/>
      <c r="K546" s="16"/>
      <c r="L546" s="16"/>
    </row>
    <row r="547" spans="8:12" x14ac:dyDescent="0.2">
      <c r="H547" s="16"/>
      <c r="I547" s="16"/>
      <c r="J547" s="16"/>
      <c r="K547" s="16"/>
      <c r="L547" s="16"/>
    </row>
    <row r="548" spans="8:12" x14ac:dyDescent="0.2">
      <c r="H548" s="16"/>
      <c r="I548" s="16"/>
      <c r="J548" s="16"/>
      <c r="K548" s="16"/>
      <c r="L548" s="16"/>
    </row>
    <row r="549" spans="8:12" x14ac:dyDescent="0.2">
      <c r="H549" s="16"/>
      <c r="I549" s="16"/>
      <c r="J549" s="16"/>
      <c r="K549" s="16"/>
      <c r="L549" s="16"/>
    </row>
    <row r="550" spans="8:12" x14ac:dyDescent="0.2">
      <c r="H550" s="16"/>
      <c r="I550" s="16"/>
      <c r="J550" s="16"/>
      <c r="K550" s="16"/>
      <c r="L550" s="16"/>
    </row>
    <row r="551" spans="8:12" x14ac:dyDescent="0.2">
      <c r="H551" s="16"/>
      <c r="I551" s="16"/>
      <c r="J551" s="16"/>
      <c r="K551" s="16"/>
      <c r="L551" s="16"/>
    </row>
    <row r="552" spans="8:12" x14ac:dyDescent="0.2">
      <c r="H552" s="16"/>
      <c r="I552" s="16"/>
      <c r="J552" s="16"/>
      <c r="K552" s="16"/>
      <c r="L552" s="16"/>
    </row>
    <row r="553" spans="8:12" x14ac:dyDescent="0.2">
      <c r="H553" s="16"/>
      <c r="I553" s="16"/>
      <c r="J553" s="16"/>
      <c r="K553" s="16"/>
      <c r="L553" s="16"/>
    </row>
    <row r="554" spans="8:12" x14ac:dyDescent="0.2">
      <c r="H554" s="16"/>
      <c r="I554" s="16"/>
      <c r="J554" s="16"/>
      <c r="K554" s="16"/>
      <c r="L554" s="16"/>
    </row>
    <row r="555" spans="8:12" x14ac:dyDescent="0.2">
      <c r="H555" s="16"/>
      <c r="I555" s="16"/>
      <c r="J555" s="16"/>
      <c r="K555" s="16"/>
      <c r="L555" s="16"/>
    </row>
    <row r="556" spans="8:12" x14ac:dyDescent="0.2">
      <c r="H556" s="16"/>
      <c r="I556" s="16"/>
      <c r="J556" s="16"/>
      <c r="K556" s="16"/>
      <c r="L556" s="16"/>
    </row>
    <row r="557" spans="8:12" x14ac:dyDescent="0.2">
      <c r="H557" s="16"/>
      <c r="I557" s="16"/>
      <c r="J557" s="16"/>
      <c r="K557" s="16"/>
      <c r="L557" s="16"/>
    </row>
  </sheetData>
  <sheetProtection sheet="1" objects="1" scenarios="1" selectLockedCells="1"/>
  <protectedRanges>
    <protectedRange sqref="B307 B302:B304 B347:B348" name="Range17"/>
    <protectedRange sqref="B253:B254" name="Range14"/>
    <protectedRange sqref="B245" name="Range13"/>
    <protectedRange sqref="B233" name="Range12"/>
    <protectedRange sqref="B233" name="Range11"/>
    <protectedRange sqref="B162" name="Range7"/>
    <protectedRange sqref="B153" name="Range6"/>
    <protectedRange sqref="B39:B44" name="Range1"/>
    <protectedRange sqref="B121" name="Range2"/>
    <protectedRange sqref="B153" name="Range4"/>
    <protectedRange sqref="B162" name="Range5"/>
    <protectedRange sqref="B274:B275" name="Range15"/>
    <protectedRange sqref="B366:B367 G366:G367" name="Range15_1"/>
    <protectedRange sqref="B441:C443 G383:G385 G407:G409 B382:C384 B463:C465" name="Range16_1"/>
  </protectedRanges>
  <phoneticPr fontId="1" type="noConversion"/>
  <printOptions gridLines="1"/>
  <pageMargins left="0.75" right="0.75" top="1" bottom="1" header="0.5" footer="0.5"/>
  <pageSetup orientation="portrait" horizont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00"/>
  <sheetViews>
    <sheetView workbookViewId="0">
      <selection activeCell="F1" sqref="F1"/>
    </sheetView>
  </sheetViews>
  <sheetFormatPr defaultColWidth="8.7109375" defaultRowHeight="15" x14ac:dyDescent="0.2"/>
  <cols>
    <col min="1" max="1" width="38.85546875" style="28" customWidth="1"/>
    <col min="2" max="2" width="22.140625" style="27" customWidth="1"/>
    <col min="3" max="3" width="9.140625" style="22"/>
    <col min="4" max="4" width="8.7109375" style="12"/>
    <col min="5" max="5" width="11.42578125" style="12" customWidth="1"/>
    <col min="6" max="6" width="48.28515625" style="28" customWidth="1"/>
    <col min="7" max="7" width="22.28515625" style="12" customWidth="1"/>
    <col min="8" max="16384" width="8.7109375" style="12"/>
  </cols>
  <sheetData>
    <row r="1" spans="1:9" ht="15.75" x14ac:dyDescent="0.25">
      <c r="A1" s="1" t="s">
        <v>1431</v>
      </c>
      <c r="C1" s="1"/>
      <c r="D1" s="15"/>
      <c r="E1" s="5" t="s">
        <v>1071</v>
      </c>
      <c r="F1" s="49"/>
      <c r="G1" s="16"/>
      <c r="H1" s="16"/>
      <c r="I1" s="16"/>
    </row>
    <row r="2" spans="1:9" x14ac:dyDescent="0.2">
      <c r="A2" s="17"/>
      <c r="F2" s="49"/>
      <c r="G2" s="16"/>
      <c r="H2" s="16"/>
      <c r="I2" s="16"/>
    </row>
    <row r="3" spans="1:9" ht="16.5" thickBot="1" x14ac:dyDescent="0.3">
      <c r="B3" s="5"/>
      <c r="F3" s="49"/>
      <c r="G3" s="16"/>
      <c r="H3" s="16"/>
      <c r="I3" s="16"/>
    </row>
    <row r="4" spans="1:9" ht="15.75" x14ac:dyDescent="0.25">
      <c r="A4" s="102" t="s">
        <v>1068</v>
      </c>
      <c r="F4" s="49"/>
      <c r="G4" s="16"/>
      <c r="H4" s="16"/>
      <c r="I4" s="16"/>
    </row>
    <row r="5" spans="1:9" ht="15.75" x14ac:dyDescent="0.25">
      <c r="A5" s="103" t="s">
        <v>1069</v>
      </c>
      <c r="F5" s="49"/>
      <c r="G5" s="16"/>
      <c r="H5" s="16"/>
      <c r="I5" s="16"/>
    </row>
    <row r="6" spans="1:9" ht="15.75" x14ac:dyDescent="0.25">
      <c r="A6" s="103" t="s">
        <v>1070</v>
      </c>
      <c r="B6" s="27" t="s">
        <v>1071</v>
      </c>
      <c r="F6" s="49"/>
      <c r="G6" s="16"/>
      <c r="H6" s="16"/>
      <c r="I6" s="16"/>
    </row>
    <row r="7" spans="1:9" ht="15.75" x14ac:dyDescent="0.25">
      <c r="A7" s="103" t="s">
        <v>1432</v>
      </c>
      <c r="F7" s="49"/>
      <c r="G7" s="16"/>
      <c r="H7" s="16"/>
      <c r="I7" s="16"/>
    </row>
    <row r="8" spans="1:9" ht="16.5" thickBot="1" x14ac:dyDescent="0.3">
      <c r="A8" s="116" t="s">
        <v>1433</v>
      </c>
      <c r="F8" s="49"/>
      <c r="G8" s="16"/>
      <c r="H8" s="16"/>
      <c r="I8" s="16"/>
    </row>
    <row r="9" spans="1:9" x14ac:dyDescent="0.2">
      <c r="F9" s="49"/>
      <c r="G9" s="16"/>
      <c r="H9" s="16"/>
      <c r="I9" s="16"/>
    </row>
    <row r="10" spans="1:9" ht="15.75" x14ac:dyDescent="0.25">
      <c r="A10" s="2"/>
      <c r="F10" s="49"/>
      <c r="G10" s="16"/>
      <c r="H10" s="16"/>
      <c r="I10" s="16"/>
    </row>
    <row r="11" spans="1:9" x14ac:dyDescent="0.2">
      <c r="F11" s="49"/>
      <c r="G11" s="16"/>
      <c r="H11" s="16"/>
      <c r="I11" s="16"/>
    </row>
    <row r="12" spans="1:9" x14ac:dyDescent="0.2">
      <c r="F12" s="49"/>
      <c r="G12" s="16"/>
      <c r="H12" s="16"/>
      <c r="I12" s="16"/>
    </row>
    <row r="13" spans="1:9" x14ac:dyDescent="0.2">
      <c r="F13" s="49"/>
      <c r="G13" s="16"/>
      <c r="H13" s="16"/>
      <c r="I13" s="16"/>
    </row>
    <row r="14" spans="1:9" x14ac:dyDescent="0.2">
      <c r="F14" s="49"/>
      <c r="G14" s="16"/>
      <c r="H14" s="16"/>
      <c r="I14" s="16"/>
    </row>
    <row r="15" spans="1:9" x14ac:dyDescent="0.2">
      <c r="F15" s="49"/>
      <c r="G15" s="16"/>
      <c r="H15" s="16"/>
      <c r="I15" s="16"/>
    </row>
    <row r="16" spans="1:9" x14ac:dyDescent="0.2">
      <c r="F16" s="49"/>
      <c r="G16" s="16"/>
      <c r="H16" s="16"/>
      <c r="I16" s="16"/>
    </row>
    <row r="17" spans="6:9" x14ac:dyDescent="0.2">
      <c r="F17" s="49"/>
      <c r="G17" s="16"/>
      <c r="H17" s="16"/>
      <c r="I17" s="16"/>
    </row>
    <row r="18" spans="6:9" x14ac:dyDescent="0.2">
      <c r="F18" s="49"/>
      <c r="G18" s="16"/>
      <c r="H18" s="16"/>
      <c r="I18" s="16"/>
    </row>
    <row r="19" spans="6:9" x14ac:dyDescent="0.2">
      <c r="F19" s="49"/>
      <c r="G19" s="16"/>
      <c r="H19" s="16"/>
      <c r="I19" s="16"/>
    </row>
    <row r="20" spans="6:9" x14ac:dyDescent="0.2">
      <c r="F20" s="49"/>
      <c r="G20" s="16"/>
      <c r="H20" s="16"/>
      <c r="I20" s="16"/>
    </row>
    <row r="21" spans="6:9" x14ac:dyDescent="0.2">
      <c r="F21" s="49"/>
      <c r="G21" s="16"/>
      <c r="H21" s="16"/>
      <c r="I21" s="16"/>
    </row>
    <row r="22" spans="6:9" x14ac:dyDescent="0.2">
      <c r="F22" s="49"/>
      <c r="G22" s="16"/>
      <c r="H22" s="16"/>
      <c r="I22" s="16"/>
    </row>
    <row r="23" spans="6:9" x14ac:dyDescent="0.2">
      <c r="F23" s="49"/>
      <c r="G23" s="16"/>
      <c r="H23" s="16"/>
      <c r="I23" s="16"/>
    </row>
    <row r="24" spans="6:9" x14ac:dyDescent="0.2">
      <c r="F24" s="49"/>
      <c r="G24" s="16"/>
      <c r="H24" s="16"/>
      <c r="I24" s="16"/>
    </row>
    <row r="25" spans="6:9" x14ac:dyDescent="0.2">
      <c r="F25" s="49"/>
      <c r="G25" s="16"/>
      <c r="H25" s="16"/>
      <c r="I25" s="16"/>
    </row>
    <row r="26" spans="6:9" x14ac:dyDescent="0.2">
      <c r="F26" s="49"/>
      <c r="G26" s="16"/>
      <c r="H26" s="16"/>
      <c r="I26" s="16"/>
    </row>
    <row r="27" spans="6:9" x14ac:dyDescent="0.2">
      <c r="F27" s="49"/>
      <c r="G27" s="16"/>
      <c r="H27" s="16"/>
      <c r="I27" s="16"/>
    </row>
    <row r="28" spans="6:9" x14ac:dyDescent="0.2">
      <c r="F28" s="49"/>
      <c r="G28" s="16"/>
      <c r="H28" s="16"/>
      <c r="I28" s="16"/>
    </row>
    <row r="29" spans="6:9" x14ac:dyDescent="0.2">
      <c r="F29" s="49"/>
      <c r="G29" s="16"/>
      <c r="H29" s="16"/>
      <c r="I29" s="16"/>
    </row>
    <row r="30" spans="6:9" x14ac:dyDescent="0.2">
      <c r="F30" s="49"/>
      <c r="G30" s="16"/>
      <c r="H30" s="16"/>
      <c r="I30" s="16"/>
    </row>
    <row r="31" spans="6:9" x14ac:dyDescent="0.2">
      <c r="F31" s="49"/>
      <c r="G31" s="16"/>
      <c r="H31" s="16"/>
      <c r="I31" s="16"/>
    </row>
    <row r="32" spans="6:9" x14ac:dyDescent="0.2">
      <c r="F32" s="49"/>
      <c r="G32" s="16"/>
      <c r="H32" s="16"/>
      <c r="I32" s="16"/>
    </row>
    <row r="33" spans="6:9" x14ac:dyDescent="0.2">
      <c r="F33" s="49"/>
      <c r="G33" s="16"/>
      <c r="H33" s="16"/>
      <c r="I33" s="16"/>
    </row>
    <row r="34" spans="6:9" x14ac:dyDescent="0.2">
      <c r="F34" s="49"/>
      <c r="G34" s="16"/>
      <c r="H34" s="16"/>
      <c r="I34" s="16"/>
    </row>
    <row r="73" spans="1:9" x14ac:dyDescent="0.2">
      <c r="A73" s="49"/>
      <c r="B73" s="16"/>
      <c r="C73" s="16"/>
      <c r="D73" s="16"/>
      <c r="F73" s="49"/>
      <c r="G73" s="16"/>
      <c r="H73" s="16"/>
      <c r="I73" s="16"/>
    </row>
    <row r="74" spans="1:9" x14ac:dyDescent="0.2">
      <c r="A74" s="49"/>
      <c r="B74" s="16"/>
      <c r="C74" s="16"/>
      <c r="D74" s="16"/>
    </row>
    <row r="75" spans="1:9" x14ac:dyDescent="0.2">
      <c r="A75" s="49"/>
      <c r="B75" s="16"/>
      <c r="C75" s="16"/>
      <c r="D75" s="16"/>
    </row>
    <row r="76" spans="1:9" x14ac:dyDescent="0.2">
      <c r="A76" s="49"/>
      <c r="B76" s="16"/>
      <c r="C76" s="16"/>
      <c r="D76" s="16"/>
    </row>
    <row r="77" spans="1:9" ht="16.5" thickBot="1" x14ac:dyDescent="0.3">
      <c r="A77" s="1" t="s">
        <v>519</v>
      </c>
      <c r="B77" s="30" t="s">
        <v>107</v>
      </c>
    </row>
    <row r="78" spans="1:9" x14ac:dyDescent="0.2">
      <c r="A78" s="28" t="s">
        <v>680</v>
      </c>
      <c r="B78" s="31">
        <v>58000</v>
      </c>
      <c r="C78" s="22" t="s">
        <v>1154</v>
      </c>
    </row>
    <row r="79" spans="1:9" ht="15.75" thickBot="1" x14ac:dyDescent="0.25">
      <c r="A79" s="28" t="s">
        <v>681</v>
      </c>
      <c r="B79" s="54">
        <v>36000</v>
      </c>
      <c r="C79" s="22" t="s">
        <v>1154</v>
      </c>
    </row>
    <row r="80" spans="1:9" ht="15.75" x14ac:dyDescent="0.25">
      <c r="B80" s="30" t="s">
        <v>199</v>
      </c>
    </row>
    <row r="81" spans="1:4" ht="15.75" x14ac:dyDescent="0.25">
      <c r="A81" s="2" t="s">
        <v>688</v>
      </c>
      <c r="B81" s="5" t="s">
        <v>686</v>
      </c>
      <c r="C81" s="1"/>
    </row>
    <row r="82" spans="1:4" ht="15.75" x14ac:dyDescent="0.25">
      <c r="A82" s="2"/>
      <c r="B82" s="5">
        <f>0.18*B78</f>
        <v>10440</v>
      </c>
      <c r="C82" s="1" t="s">
        <v>1154</v>
      </c>
    </row>
    <row r="83" spans="1:4" ht="15.75" x14ac:dyDescent="0.25">
      <c r="A83" s="2" t="s">
        <v>689</v>
      </c>
      <c r="B83" s="5" t="s">
        <v>687</v>
      </c>
      <c r="C83" s="1"/>
    </row>
    <row r="84" spans="1:4" ht="15.75" x14ac:dyDescent="0.25">
      <c r="A84" s="2"/>
      <c r="B84" s="5">
        <f>0.3*B79</f>
        <v>10800</v>
      </c>
      <c r="C84" s="1" t="s">
        <v>1154</v>
      </c>
    </row>
    <row r="85" spans="1:4" ht="15.75" x14ac:dyDescent="0.25">
      <c r="A85" s="2" t="s">
        <v>734</v>
      </c>
      <c r="B85" s="5" t="s">
        <v>735</v>
      </c>
      <c r="C85" s="1"/>
    </row>
    <row r="86" spans="1:4" ht="15.75" x14ac:dyDescent="0.25">
      <c r="A86" s="2"/>
      <c r="B86" s="5">
        <f>0.75*B82</f>
        <v>7830</v>
      </c>
      <c r="C86" s="1" t="s">
        <v>1154</v>
      </c>
    </row>
    <row r="87" spans="1:4" x14ac:dyDescent="0.2">
      <c r="A87" s="49"/>
      <c r="B87" s="16"/>
      <c r="C87" s="16"/>
      <c r="D87" s="16"/>
    </row>
    <row r="88" spans="1:4" ht="16.5" thickBot="1" x14ac:dyDescent="0.3">
      <c r="A88" s="1" t="s">
        <v>520</v>
      </c>
      <c r="B88" s="30" t="s">
        <v>107</v>
      </c>
    </row>
    <row r="89" spans="1:4" x14ac:dyDescent="0.2">
      <c r="A89" s="28" t="s">
        <v>736</v>
      </c>
      <c r="B89" s="31">
        <v>7830</v>
      </c>
      <c r="C89" s="22" t="s">
        <v>1154</v>
      </c>
    </row>
    <row r="90" spans="1:4" x14ac:dyDescent="0.2">
      <c r="A90" s="28" t="s">
        <v>514</v>
      </c>
      <c r="B90" s="32">
        <v>10</v>
      </c>
      <c r="C90" s="22" t="s">
        <v>1087</v>
      </c>
    </row>
    <row r="91" spans="1:4" x14ac:dyDescent="0.2">
      <c r="A91" s="28" t="s">
        <v>1085</v>
      </c>
      <c r="B91" s="32">
        <v>300</v>
      </c>
      <c r="C91" s="22" t="s">
        <v>1086</v>
      </c>
    </row>
    <row r="92" spans="1:4" x14ac:dyDescent="0.2">
      <c r="A92" s="28" t="s">
        <v>515</v>
      </c>
      <c r="B92" s="32">
        <v>0</v>
      </c>
      <c r="C92" s="22" t="s">
        <v>162</v>
      </c>
    </row>
    <row r="93" spans="1:4" x14ac:dyDescent="0.2">
      <c r="A93" s="28" t="s">
        <v>1077</v>
      </c>
      <c r="B93" s="32">
        <v>10</v>
      </c>
      <c r="C93" s="22" t="s">
        <v>1078</v>
      </c>
    </row>
    <row r="94" spans="1:4" x14ac:dyDescent="0.2">
      <c r="A94" s="28" t="s">
        <v>682</v>
      </c>
      <c r="B94" s="32">
        <v>1.5</v>
      </c>
    </row>
    <row r="95" spans="1:4" ht="15.75" thickBot="1" x14ac:dyDescent="0.25">
      <c r="A95" s="28" t="s">
        <v>817</v>
      </c>
      <c r="B95" s="54">
        <v>1</v>
      </c>
    </row>
    <row r="96" spans="1:4" ht="15.75" x14ac:dyDescent="0.25">
      <c r="B96" s="30" t="s">
        <v>199</v>
      </c>
      <c r="C96" s="22" t="s">
        <v>1071</v>
      </c>
    </row>
    <row r="97" spans="1:4" ht="15.75" x14ac:dyDescent="0.25">
      <c r="A97" s="2" t="s">
        <v>674</v>
      </c>
      <c r="B97" s="5" t="s">
        <v>675</v>
      </c>
      <c r="C97" s="1"/>
      <c r="D97" s="4"/>
    </row>
    <row r="98" spans="1:4" ht="15.75" x14ac:dyDescent="0.25">
      <c r="A98" s="26" t="s">
        <v>748</v>
      </c>
      <c r="B98" s="36">
        <f>B90*63000/B91</f>
        <v>2100</v>
      </c>
      <c r="C98" s="1" t="s">
        <v>1075</v>
      </c>
      <c r="D98" s="4"/>
    </row>
    <row r="99" spans="1:4" ht="15.75" x14ac:dyDescent="0.25">
      <c r="A99" s="2" t="s">
        <v>516</v>
      </c>
      <c r="B99" s="5" t="s">
        <v>517</v>
      </c>
      <c r="C99" s="1"/>
      <c r="D99" s="4"/>
    </row>
    <row r="100" spans="1:4" ht="15.75" x14ac:dyDescent="0.25">
      <c r="A100" s="2"/>
      <c r="B100" s="36">
        <f>B92*B93</f>
        <v>0</v>
      </c>
      <c r="C100" s="1" t="s">
        <v>705</v>
      </c>
      <c r="D100" s="4"/>
    </row>
    <row r="101" spans="1:4" ht="15.75" x14ac:dyDescent="0.25">
      <c r="A101" s="2" t="s">
        <v>728</v>
      </c>
      <c r="B101" s="1" t="s">
        <v>732</v>
      </c>
      <c r="C101" s="1"/>
      <c r="D101" s="4"/>
    </row>
    <row r="102" spans="1:4" ht="15.75" x14ac:dyDescent="0.25">
      <c r="A102" s="26" t="s">
        <v>748</v>
      </c>
      <c r="B102" s="6">
        <f>(16 / (3.1416*B89) ) * ( (B94*B100)^2 + ( B95*B98)^2 )^0.5</f>
        <v>1.3659242868167818</v>
      </c>
      <c r="C102" s="1" t="s">
        <v>11</v>
      </c>
      <c r="D102" s="4"/>
    </row>
    <row r="103" spans="1:4" ht="15.75" x14ac:dyDescent="0.25">
      <c r="A103" s="2" t="s">
        <v>518</v>
      </c>
      <c r="B103" s="6">
        <f>B102^0.333</f>
        <v>1.1094227486411341</v>
      </c>
      <c r="C103" s="1" t="s">
        <v>1078</v>
      </c>
    </row>
    <row r="122" spans="6:6" x14ac:dyDescent="0.2">
      <c r="F122" s="49"/>
    </row>
    <row r="123" spans="6:6" x14ac:dyDescent="0.2">
      <c r="F123" s="49"/>
    </row>
    <row r="124" spans="6:6" x14ac:dyDescent="0.2">
      <c r="F124" s="49"/>
    </row>
    <row r="125" spans="6:6" x14ac:dyDescent="0.2">
      <c r="F125" s="49"/>
    </row>
    <row r="126" spans="6:6" x14ac:dyDescent="0.2">
      <c r="F126" s="49"/>
    </row>
    <row r="127" spans="6:6" x14ac:dyDescent="0.2">
      <c r="F127" s="49"/>
    </row>
    <row r="128" spans="6:6" x14ac:dyDescent="0.2">
      <c r="F128" s="49"/>
    </row>
    <row r="129" spans="1:9" x14ac:dyDescent="0.2">
      <c r="F129" s="49"/>
    </row>
    <row r="130" spans="1:9" ht="15.75" x14ac:dyDescent="0.25">
      <c r="A130" s="1" t="s">
        <v>738</v>
      </c>
      <c r="F130" s="49"/>
    </row>
    <row r="131" spans="1:9" ht="16.5" thickBot="1" x14ac:dyDescent="0.3">
      <c r="B131" s="30" t="s">
        <v>107</v>
      </c>
      <c r="F131" s="49"/>
    </row>
    <row r="132" spans="1:9" x14ac:dyDescent="0.2">
      <c r="A132" s="28" t="s">
        <v>680</v>
      </c>
      <c r="B132" s="31">
        <v>70000</v>
      </c>
      <c r="C132" s="22" t="s">
        <v>1154</v>
      </c>
      <c r="F132" s="49"/>
      <c r="G132" s="16"/>
      <c r="H132" s="16"/>
      <c r="I132" s="16"/>
    </row>
    <row r="133" spans="1:9" ht="15.75" thickBot="1" x14ac:dyDescent="0.25">
      <c r="A133" s="28" t="s">
        <v>681</v>
      </c>
      <c r="B133" s="54">
        <v>46000</v>
      </c>
      <c r="C133" s="22" t="s">
        <v>1154</v>
      </c>
      <c r="F133" s="49"/>
      <c r="G133" s="16"/>
      <c r="H133" s="16"/>
      <c r="I133" s="16"/>
    </row>
    <row r="134" spans="1:9" ht="15.75" x14ac:dyDescent="0.25">
      <c r="A134" s="1" t="s">
        <v>737</v>
      </c>
      <c r="B134" s="30" t="s">
        <v>199</v>
      </c>
      <c r="F134" s="49"/>
      <c r="G134" s="16"/>
      <c r="H134" s="16"/>
      <c r="I134" s="16"/>
    </row>
    <row r="135" spans="1:9" x14ac:dyDescent="0.2">
      <c r="A135" s="28" t="s">
        <v>688</v>
      </c>
      <c r="B135" s="27" t="s">
        <v>686</v>
      </c>
      <c r="F135" s="49"/>
      <c r="G135" s="16"/>
      <c r="H135" s="16"/>
      <c r="I135" s="16"/>
    </row>
    <row r="136" spans="1:9" x14ac:dyDescent="0.2">
      <c r="B136" s="27">
        <f>0.18*B132</f>
        <v>12600</v>
      </c>
      <c r="C136" s="22" t="s">
        <v>1154</v>
      </c>
      <c r="F136" s="49"/>
      <c r="G136" s="16"/>
      <c r="H136" s="16"/>
      <c r="I136" s="16"/>
    </row>
    <row r="137" spans="1:9" x14ac:dyDescent="0.2">
      <c r="A137" s="28" t="s">
        <v>689</v>
      </c>
      <c r="B137" s="27" t="s">
        <v>687</v>
      </c>
      <c r="F137" s="49"/>
      <c r="G137" s="16"/>
      <c r="H137" s="16"/>
      <c r="I137" s="16"/>
    </row>
    <row r="138" spans="1:9" x14ac:dyDescent="0.2">
      <c r="B138" s="27">
        <f>0.3*B133</f>
        <v>13800</v>
      </c>
      <c r="C138" s="22" t="s">
        <v>1154</v>
      </c>
      <c r="F138" s="49"/>
      <c r="G138" s="16"/>
      <c r="H138" s="16"/>
      <c r="I138" s="16"/>
    </row>
    <row r="139" spans="1:9" x14ac:dyDescent="0.2">
      <c r="A139" s="28" t="s">
        <v>734</v>
      </c>
      <c r="B139" s="27" t="s">
        <v>735</v>
      </c>
      <c r="F139" s="49"/>
      <c r="G139" s="16"/>
      <c r="H139" s="16"/>
      <c r="I139" s="16"/>
    </row>
    <row r="140" spans="1:9" x14ac:dyDescent="0.2">
      <c r="B140" s="27">
        <f>0.75*B136</f>
        <v>9450</v>
      </c>
      <c r="C140" s="22" t="s">
        <v>1154</v>
      </c>
      <c r="F140" s="49"/>
      <c r="G140" s="16"/>
      <c r="H140" s="16"/>
      <c r="I140" s="16"/>
    </row>
    <row r="141" spans="1:9" x14ac:dyDescent="0.2">
      <c r="A141" s="117"/>
      <c r="B141" s="118"/>
      <c r="C141" s="119"/>
      <c r="D141" s="120"/>
      <c r="E141" s="120"/>
      <c r="F141" s="49"/>
      <c r="G141" s="16"/>
      <c r="H141" s="16"/>
      <c r="I141" s="16"/>
    </row>
    <row r="142" spans="1:9" ht="15.75" x14ac:dyDescent="0.25">
      <c r="A142" s="1" t="s">
        <v>739</v>
      </c>
      <c r="F142" s="49"/>
      <c r="G142" s="16"/>
      <c r="H142" s="16"/>
      <c r="I142" s="16"/>
    </row>
    <row r="143" spans="1:9" ht="16.5" thickBot="1" x14ac:dyDescent="0.3">
      <c r="B143" s="30" t="s">
        <v>107</v>
      </c>
      <c r="F143" s="49"/>
      <c r="G143" s="16"/>
      <c r="H143" s="16"/>
      <c r="I143" s="16"/>
    </row>
    <row r="144" spans="1:9" x14ac:dyDescent="0.2">
      <c r="A144" s="28" t="s">
        <v>736</v>
      </c>
      <c r="B144" s="31">
        <v>9450</v>
      </c>
      <c r="C144" s="22" t="s">
        <v>1154</v>
      </c>
      <c r="F144" s="49"/>
      <c r="G144" s="16"/>
      <c r="H144" s="16"/>
      <c r="I144" s="16"/>
    </row>
    <row r="145" spans="1:9" x14ac:dyDescent="0.2">
      <c r="A145" s="28" t="s">
        <v>673</v>
      </c>
      <c r="B145" s="32">
        <v>20</v>
      </c>
      <c r="C145" s="22" t="s">
        <v>1087</v>
      </c>
      <c r="F145" s="49"/>
      <c r="G145" s="16"/>
      <c r="H145" s="16"/>
      <c r="I145" s="16"/>
    </row>
    <row r="146" spans="1:9" x14ac:dyDescent="0.2">
      <c r="A146" s="28" t="s">
        <v>1085</v>
      </c>
      <c r="B146" s="32">
        <v>600</v>
      </c>
      <c r="C146" s="22" t="s">
        <v>1086</v>
      </c>
      <c r="F146" s="49"/>
      <c r="G146" s="16"/>
      <c r="H146" s="16"/>
      <c r="I146" s="16"/>
    </row>
    <row r="147" spans="1:9" x14ac:dyDescent="0.2">
      <c r="A147" s="28" t="s">
        <v>700</v>
      </c>
      <c r="B147" s="32">
        <v>3</v>
      </c>
      <c r="F147" s="49"/>
      <c r="G147" s="16"/>
      <c r="H147" s="16"/>
      <c r="I147" s="16"/>
    </row>
    <row r="148" spans="1:9" x14ac:dyDescent="0.2">
      <c r="A148" s="28" t="s">
        <v>173</v>
      </c>
      <c r="B148" s="32">
        <v>60</v>
      </c>
      <c r="C148" s="22" t="s">
        <v>385</v>
      </c>
      <c r="F148" s="49"/>
      <c r="G148" s="16"/>
      <c r="H148" s="16"/>
      <c r="I148" s="16"/>
    </row>
    <row r="149" spans="1:9" x14ac:dyDescent="0.2">
      <c r="A149" s="28" t="s">
        <v>670</v>
      </c>
      <c r="B149" s="32">
        <v>10</v>
      </c>
      <c r="C149" s="22" t="s">
        <v>1078</v>
      </c>
      <c r="F149" s="49"/>
      <c r="G149" s="16"/>
      <c r="H149" s="16"/>
      <c r="I149" s="16"/>
    </row>
    <row r="150" spans="1:9" x14ac:dyDescent="0.2">
      <c r="A150" s="28" t="s">
        <v>671</v>
      </c>
      <c r="B150" s="32">
        <v>30</v>
      </c>
      <c r="C150" s="22" t="s">
        <v>1078</v>
      </c>
      <c r="F150" s="49"/>
      <c r="G150" s="16"/>
      <c r="H150" s="16"/>
      <c r="I150" s="16"/>
    </row>
    <row r="151" spans="1:9" x14ac:dyDescent="0.2">
      <c r="A151" s="28" t="s">
        <v>672</v>
      </c>
      <c r="B151" s="32">
        <v>10</v>
      </c>
      <c r="C151" s="22" t="s">
        <v>1078</v>
      </c>
      <c r="F151" s="49"/>
      <c r="G151" s="16"/>
      <c r="H151" s="16"/>
      <c r="I151" s="16"/>
    </row>
    <row r="152" spans="1:9" x14ac:dyDescent="0.2">
      <c r="A152" s="28" t="s">
        <v>677</v>
      </c>
      <c r="B152" s="32">
        <v>8</v>
      </c>
      <c r="C152" s="22" t="s">
        <v>1078</v>
      </c>
      <c r="F152" s="49"/>
      <c r="G152" s="16"/>
      <c r="H152" s="16"/>
      <c r="I152" s="16"/>
    </row>
    <row r="153" spans="1:9" x14ac:dyDescent="0.2">
      <c r="A153" s="28" t="s">
        <v>969</v>
      </c>
      <c r="B153" s="32">
        <v>18</v>
      </c>
      <c r="C153" s="22" t="s">
        <v>1078</v>
      </c>
      <c r="F153" s="49"/>
      <c r="G153" s="16"/>
      <c r="H153" s="16"/>
      <c r="I153" s="16"/>
    </row>
    <row r="154" spans="1:9" x14ac:dyDescent="0.2">
      <c r="A154" s="28" t="s">
        <v>711</v>
      </c>
      <c r="B154" s="32">
        <v>200</v>
      </c>
      <c r="C154" s="22" t="s">
        <v>713</v>
      </c>
      <c r="F154" s="49"/>
      <c r="G154" s="16"/>
      <c r="H154" s="16"/>
      <c r="I154" s="16"/>
    </row>
    <row r="155" spans="1:9" x14ac:dyDescent="0.2">
      <c r="A155" s="28" t="s">
        <v>698</v>
      </c>
      <c r="B155" s="32">
        <v>20</v>
      </c>
      <c r="C155" s="22" t="s">
        <v>385</v>
      </c>
      <c r="F155" s="49"/>
      <c r="G155" s="16"/>
      <c r="H155" s="16"/>
      <c r="I155" s="16"/>
    </row>
    <row r="156" spans="1:9" x14ac:dyDescent="0.2">
      <c r="A156" s="28" t="s">
        <v>682</v>
      </c>
      <c r="B156" s="32">
        <v>1.5</v>
      </c>
      <c r="C156" s="22" t="s">
        <v>1284</v>
      </c>
      <c r="E156" s="12" t="s">
        <v>1071</v>
      </c>
      <c r="F156" s="49"/>
      <c r="G156" s="16"/>
      <c r="H156" s="16"/>
      <c r="I156" s="16"/>
    </row>
    <row r="157" spans="1:9" ht="15.75" thickBot="1" x14ac:dyDescent="0.25">
      <c r="A157" s="28" t="s">
        <v>817</v>
      </c>
      <c r="B157" s="54">
        <v>1</v>
      </c>
      <c r="C157" s="22" t="s">
        <v>1284</v>
      </c>
      <c r="F157" s="49"/>
      <c r="G157" s="16"/>
      <c r="H157" s="16"/>
      <c r="I157" s="16"/>
    </row>
    <row r="158" spans="1:9" ht="15.75" x14ac:dyDescent="0.25">
      <c r="B158" s="30" t="s">
        <v>199</v>
      </c>
      <c r="C158" s="22" t="s">
        <v>1071</v>
      </c>
      <c r="F158" s="49"/>
      <c r="G158" s="16"/>
      <c r="H158" s="16"/>
      <c r="I158" s="16"/>
    </row>
    <row r="159" spans="1:9" x14ac:dyDescent="0.2">
      <c r="A159" s="28" t="s">
        <v>674</v>
      </c>
      <c r="B159" s="27" t="s">
        <v>675</v>
      </c>
      <c r="F159" s="49"/>
      <c r="G159" s="16"/>
      <c r="H159" s="16"/>
      <c r="I159" s="16"/>
    </row>
    <row r="160" spans="1:9" x14ac:dyDescent="0.2">
      <c r="A160" s="25" t="s">
        <v>748</v>
      </c>
      <c r="B160" s="121">
        <f>B145*63000/B146</f>
        <v>2100</v>
      </c>
      <c r="C160" s="22" t="s">
        <v>1075</v>
      </c>
      <c r="F160" s="49"/>
      <c r="G160" s="16"/>
      <c r="H160" s="16"/>
      <c r="I160" s="16"/>
    </row>
    <row r="161" spans="1:9" x14ac:dyDescent="0.2">
      <c r="A161" s="28" t="s">
        <v>679</v>
      </c>
      <c r="B161" s="27">
        <f>B147</f>
        <v>3</v>
      </c>
      <c r="F161" s="49"/>
      <c r="G161" s="16"/>
      <c r="H161" s="16"/>
      <c r="I161" s="16"/>
    </row>
    <row r="162" spans="1:9" x14ac:dyDescent="0.2">
      <c r="A162" s="28" t="s">
        <v>676</v>
      </c>
      <c r="B162" s="27" t="s">
        <v>678</v>
      </c>
      <c r="F162" s="49"/>
      <c r="G162" s="16"/>
      <c r="H162" s="16"/>
      <c r="I162" s="16"/>
    </row>
    <row r="163" spans="1:9" x14ac:dyDescent="0.2">
      <c r="A163" s="28" t="s">
        <v>409</v>
      </c>
      <c r="B163" s="59" t="s">
        <v>697</v>
      </c>
      <c r="F163" s="49"/>
      <c r="G163" s="16"/>
      <c r="H163" s="16"/>
      <c r="I163" s="16"/>
    </row>
    <row r="164" spans="1:9" x14ac:dyDescent="0.2">
      <c r="A164" s="25" t="s">
        <v>748</v>
      </c>
      <c r="B164" s="121">
        <f>-( B160/ (B153 / 2) ) / (1 - B161)</f>
        <v>116.66666666666667</v>
      </c>
      <c r="C164" s="22" t="s">
        <v>1100</v>
      </c>
      <c r="F164" s="49"/>
      <c r="G164" s="16"/>
      <c r="H164" s="16"/>
      <c r="I164" s="16"/>
    </row>
    <row r="165" spans="1:9" x14ac:dyDescent="0.2">
      <c r="A165" s="28" t="s">
        <v>669</v>
      </c>
      <c r="B165" s="27" t="s">
        <v>696</v>
      </c>
      <c r="F165" s="49"/>
      <c r="G165" s="16"/>
      <c r="H165" s="16"/>
      <c r="I165" s="16"/>
    </row>
    <row r="166" spans="1:9" x14ac:dyDescent="0.2">
      <c r="A166" s="25" t="s">
        <v>748</v>
      </c>
      <c r="B166" s="121">
        <f>B161*B164</f>
        <v>350</v>
      </c>
      <c r="C166" s="22" t="s">
        <v>1100</v>
      </c>
      <c r="F166" s="49"/>
      <c r="G166" s="16"/>
      <c r="H166" s="16"/>
      <c r="I166" s="16"/>
    </row>
    <row r="167" spans="1:9" ht="15.75" x14ac:dyDescent="0.25">
      <c r="A167" s="2" t="s">
        <v>692</v>
      </c>
      <c r="F167" s="49"/>
      <c r="G167" s="16"/>
      <c r="H167" s="16"/>
      <c r="I167" s="16"/>
    </row>
    <row r="168" spans="1:9" x14ac:dyDescent="0.2">
      <c r="A168" s="28" t="s">
        <v>694</v>
      </c>
      <c r="B168" s="27" t="s">
        <v>684</v>
      </c>
      <c r="E168" s="12" t="s">
        <v>1071</v>
      </c>
      <c r="F168" s="49"/>
      <c r="G168" s="16"/>
      <c r="H168" s="16"/>
      <c r="I168" s="16"/>
    </row>
    <row r="169" spans="1:9" x14ac:dyDescent="0.2">
      <c r="A169" s="25" t="s">
        <v>748</v>
      </c>
      <c r="B169" s="121">
        <f>B185*TAN(B155/57.3)</f>
        <v>191.06908681197424</v>
      </c>
      <c r="C169" s="22" t="s">
        <v>1100</v>
      </c>
      <c r="F169" s="49"/>
      <c r="G169" s="16"/>
      <c r="H169" s="16"/>
      <c r="I169" s="16"/>
    </row>
    <row r="170" spans="1:9" x14ac:dyDescent="0.2">
      <c r="A170" s="28" t="s">
        <v>691</v>
      </c>
      <c r="B170" s="27" t="s">
        <v>712</v>
      </c>
      <c r="F170" s="49"/>
      <c r="G170" s="16"/>
      <c r="H170" s="16"/>
      <c r="I170" s="16"/>
    </row>
    <row r="171" spans="1:9" x14ac:dyDescent="0.2">
      <c r="A171" s="25" t="s">
        <v>748</v>
      </c>
      <c r="B171" s="121">
        <f>((B164 + B166) * SIN( B148/57.3 ))-B154</f>
        <v>204.12718968257832</v>
      </c>
      <c r="C171" s="22" t="s">
        <v>1100</v>
      </c>
      <c r="F171" s="49"/>
      <c r="G171" s="16"/>
      <c r="H171" s="16"/>
      <c r="I171" s="16"/>
    </row>
    <row r="172" spans="1:9" ht="15.75" x14ac:dyDescent="0.25">
      <c r="A172" s="28" t="s">
        <v>699</v>
      </c>
      <c r="B172" s="22" t="s">
        <v>708</v>
      </c>
      <c r="E172" s="5"/>
      <c r="F172" s="49"/>
      <c r="G172" s="16"/>
      <c r="H172" s="16"/>
      <c r="I172" s="16"/>
    </row>
    <row r="173" spans="1:9" ht="15.75" x14ac:dyDescent="0.25">
      <c r="B173" s="121">
        <f>((B171*(B150+B151))-(B169*B149))/B150</f>
        <v>208.47989063944635</v>
      </c>
      <c r="C173" s="22" t="s">
        <v>1100</v>
      </c>
      <c r="E173" s="5"/>
      <c r="F173" s="49"/>
      <c r="G173" s="16"/>
      <c r="H173" s="16"/>
      <c r="I173" s="16"/>
    </row>
    <row r="174" spans="1:9" ht="15.75" x14ac:dyDescent="0.25">
      <c r="A174" s="28" t="s">
        <v>690</v>
      </c>
      <c r="B174" s="27" t="s">
        <v>701</v>
      </c>
      <c r="E174" s="5"/>
      <c r="F174" s="49"/>
      <c r="G174" s="16"/>
      <c r="H174" s="16"/>
      <c r="I174" s="16"/>
    </row>
    <row r="175" spans="1:9" x14ac:dyDescent="0.2">
      <c r="B175" s="121">
        <f>B169 + B173 - B171</f>
        <v>195.42178776884225</v>
      </c>
      <c r="C175" s="22" t="s">
        <v>1100</v>
      </c>
      <c r="F175" s="49"/>
      <c r="G175" s="16"/>
      <c r="H175" s="16"/>
      <c r="I175" s="16"/>
    </row>
    <row r="176" spans="1:9" x14ac:dyDescent="0.2">
      <c r="F176" s="49"/>
      <c r="G176" s="16"/>
      <c r="H176" s="16"/>
      <c r="I176" s="16"/>
    </row>
    <row r="177" spans="1:9" x14ac:dyDescent="0.2">
      <c r="F177" s="49"/>
      <c r="G177" s="16"/>
      <c r="H177" s="16"/>
      <c r="I177" s="16"/>
    </row>
    <row r="178" spans="1:9" ht="15.75" x14ac:dyDescent="0.25">
      <c r="A178" s="2" t="s">
        <v>702</v>
      </c>
      <c r="F178" s="49"/>
      <c r="G178" s="16"/>
      <c r="H178" s="16"/>
      <c r="I178" s="16"/>
    </row>
    <row r="179" spans="1:9" x14ac:dyDescent="0.2">
      <c r="A179" s="28" t="s">
        <v>703</v>
      </c>
      <c r="B179" s="27" t="s">
        <v>704</v>
      </c>
      <c r="F179" s="49"/>
      <c r="G179" s="16"/>
      <c r="H179" s="16"/>
      <c r="I179" s="16"/>
    </row>
    <row r="180" spans="1:9" x14ac:dyDescent="0.2">
      <c r="B180" s="121">
        <f>B175*$B$149</f>
        <v>1954.2178776884225</v>
      </c>
      <c r="C180" s="22" t="s">
        <v>705</v>
      </c>
      <c r="F180" s="49"/>
      <c r="G180" s="16"/>
      <c r="H180" s="16"/>
      <c r="I180" s="16"/>
    </row>
    <row r="181" spans="1:9" x14ac:dyDescent="0.2">
      <c r="A181" s="28" t="s">
        <v>706</v>
      </c>
      <c r="B181" s="27" t="s">
        <v>707</v>
      </c>
      <c r="F181" s="49"/>
      <c r="G181" s="16"/>
      <c r="H181" s="16"/>
      <c r="I181" s="16"/>
    </row>
    <row r="182" spans="1:9" x14ac:dyDescent="0.2">
      <c r="B182" s="121">
        <f>B171*$B$151</f>
        <v>2041.2718968257832</v>
      </c>
      <c r="C182" s="22" t="s">
        <v>705</v>
      </c>
      <c r="F182" s="49"/>
      <c r="G182" s="16"/>
      <c r="H182" s="16"/>
      <c r="I182" s="16"/>
    </row>
    <row r="183" spans="1:9" ht="15.75" x14ac:dyDescent="0.25">
      <c r="A183" s="2" t="s">
        <v>695</v>
      </c>
      <c r="F183" s="49"/>
      <c r="G183" s="16"/>
      <c r="H183" s="16"/>
      <c r="I183" s="16"/>
    </row>
    <row r="184" spans="1:9" x14ac:dyDescent="0.2">
      <c r="A184" s="28" t="s">
        <v>693</v>
      </c>
      <c r="B184" s="27" t="s">
        <v>683</v>
      </c>
      <c r="F184" s="49"/>
      <c r="G184" s="16"/>
      <c r="H184" s="16"/>
      <c r="I184" s="16"/>
    </row>
    <row r="185" spans="1:9" x14ac:dyDescent="0.2">
      <c r="B185" s="121">
        <f>B160/(B152/2)</f>
        <v>525</v>
      </c>
      <c r="C185" s="22" t="s">
        <v>1100</v>
      </c>
      <c r="F185" s="49"/>
      <c r="G185" s="16"/>
      <c r="H185" s="16"/>
      <c r="I185" s="16"/>
    </row>
    <row r="186" spans="1:9" x14ac:dyDescent="0.2">
      <c r="A186" s="28" t="s">
        <v>709</v>
      </c>
      <c r="B186" s="27" t="s">
        <v>710</v>
      </c>
      <c r="F186" s="49"/>
      <c r="G186" s="16"/>
      <c r="H186" s="16"/>
      <c r="I186" s="16"/>
    </row>
    <row r="187" spans="1:9" x14ac:dyDescent="0.2">
      <c r="B187" s="121">
        <f>(B166 + B164) * COS( B148/57.3 )</f>
        <v>233.36450530669643</v>
      </c>
      <c r="C187" s="22" t="s">
        <v>1100</v>
      </c>
      <c r="F187" s="49"/>
      <c r="G187" s="16"/>
      <c r="H187" s="16"/>
      <c r="I187" s="16"/>
    </row>
    <row r="188" spans="1:9" x14ac:dyDescent="0.2">
      <c r="A188" s="28" t="s">
        <v>714</v>
      </c>
      <c r="B188" s="12" t="s">
        <v>715</v>
      </c>
      <c r="F188" s="49"/>
      <c r="G188" s="16"/>
      <c r="H188" s="16"/>
      <c r="I188" s="16"/>
    </row>
    <row r="189" spans="1:9" x14ac:dyDescent="0.2">
      <c r="B189" s="121">
        <f>((B187*(B150+B151))+(B185*B149))/B150</f>
        <v>486.15267374226192</v>
      </c>
      <c r="F189" s="49"/>
      <c r="G189" s="16"/>
      <c r="H189" s="16"/>
      <c r="I189" s="16"/>
    </row>
    <row r="190" spans="1:9" x14ac:dyDescent="0.2">
      <c r="A190" s="28" t="s">
        <v>716</v>
      </c>
      <c r="B190" s="27" t="s">
        <v>717</v>
      </c>
      <c r="F190" s="49"/>
      <c r="G190" s="16"/>
      <c r="H190" s="16"/>
      <c r="I190" s="16"/>
    </row>
    <row r="191" spans="1:9" x14ac:dyDescent="0.2">
      <c r="B191" s="121">
        <f>B185 - B189 + B187</f>
        <v>272.21183156443453</v>
      </c>
      <c r="F191" s="49"/>
      <c r="G191" s="16"/>
      <c r="H191" s="16"/>
      <c r="I191" s="16"/>
    </row>
    <row r="192" spans="1:9" ht="15.75" x14ac:dyDescent="0.25">
      <c r="A192" s="2" t="s">
        <v>722</v>
      </c>
      <c r="F192" s="49"/>
      <c r="G192" s="16"/>
      <c r="H192" s="16"/>
      <c r="I192" s="16"/>
    </row>
    <row r="193" spans="1:9" x14ac:dyDescent="0.2">
      <c r="A193" s="28" t="s">
        <v>718</v>
      </c>
      <c r="B193" s="27" t="s">
        <v>720</v>
      </c>
      <c r="F193" s="49"/>
      <c r="G193" s="16"/>
      <c r="H193" s="16"/>
      <c r="I193" s="16"/>
    </row>
    <row r="194" spans="1:9" x14ac:dyDescent="0.2">
      <c r="B194" s="121">
        <f>B191*$B$149</f>
        <v>2722.1183156443453</v>
      </c>
      <c r="C194" s="22" t="s">
        <v>705</v>
      </c>
      <c r="F194" s="49"/>
      <c r="G194" s="16"/>
      <c r="H194" s="16"/>
      <c r="I194" s="16"/>
    </row>
    <row r="195" spans="1:9" x14ac:dyDescent="0.2">
      <c r="A195" s="28" t="s">
        <v>719</v>
      </c>
      <c r="B195" s="27" t="s">
        <v>721</v>
      </c>
      <c r="F195" s="49"/>
      <c r="G195" s="16"/>
      <c r="H195" s="16"/>
      <c r="I195" s="16"/>
    </row>
    <row r="196" spans="1:9" x14ac:dyDescent="0.2">
      <c r="B196" s="121">
        <f>B187*$B$151</f>
        <v>2333.6450530669645</v>
      </c>
      <c r="C196" s="22" t="s">
        <v>705</v>
      </c>
      <c r="F196" s="49"/>
      <c r="G196" s="16"/>
      <c r="H196" s="16"/>
      <c r="I196" s="16"/>
    </row>
    <row r="197" spans="1:9" ht="15.75" x14ac:dyDescent="0.25">
      <c r="A197" s="2" t="s">
        <v>723</v>
      </c>
      <c r="F197" s="49"/>
      <c r="G197" s="16"/>
      <c r="H197" s="16"/>
      <c r="I197" s="16"/>
    </row>
    <row r="198" spans="1:9" x14ac:dyDescent="0.2">
      <c r="A198" s="28" t="s">
        <v>724</v>
      </c>
      <c r="B198" s="27" t="s">
        <v>725</v>
      </c>
      <c r="F198" s="49"/>
      <c r="G198" s="16"/>
      <c r="H198" s="16"/>
      <c r="I198" s="16"/>
    </row>
    <row r="199" spans="1:9" x14ac:dyDescent="0.2">
      <c r="B199" s="121">
        <f>(B180^2 + B194^2)^0.5</f>
        <v>3350.9544368498132</v>
      </c>
      <c r="C199" s="22" t="s">
        <v>705</v>
      </c>
      <c r="F199" s="49"/>
      <c r="G199" s="16"/>
      <c r="H199" s="16"/>
      <c r="I199" s="16"/>
    </row>
    <row r="200" spans="1:9" x14ac:dyDescent="0.2">
      <c r="A200" s="28" t="s">
        <v>726</v>
      </c>
      <c r="B200" s="27" t="s">
        <v>727</v>
      </c>
      <c r="F200" s="49"/>
      <c r="G200" s="16"/>
      <c r="H200" s="16"/>
      <c r="I200" s="16"/>
    </row>
    <row r="201" spans="1:9" x14ac:dyDescent="0.2">
      <c r="B201" s="121">
        <f>(B182^2 + B196^2)^0.5</f>
        <v>3100.4338713274706</v>
      </c>
      <c r="C201" s="22" t="s">
        <v>705</v>
      </c>
      <c r="F201" s="49"/>
      <c r="G201" s="16"/>
      <c r="H201" s="16"/>
      <c r="I201" s="16"/>
    </row>
    <row r="202" spans="1:9" ht="16.5" thickBot="1" x14ac:dyDescent="0.3">
      <c r="B202" s="30" t="s">
        <v>107</v>
      </c>
      <c r="F202" s="49"/>
      <c r="G202" s="16"/>
      <c r="H202" s="16"/>
      <c r="I202" s="16"/>
    </row>
    <row r="203" spans="1:9" ht="16.5" thickBot="1" x14ac:dyDescent="0.3">
      <c r="A203" s="2" t="s">
        <v>733</v>
      </c>
      <c r="B203" s="122">
        <v>3351</v>
      </c>
      <c r="C203" s="22" t="s">
        <v>705</v>
      </c>
      <c r="F203" s="49"/>
      <c r="G203" s="16"/>
      <c r="H203" s="16"/>
      <c r="I203" s="16"/>
    </row>
    <row r="204" spans="1:9" ht="15.75" x14ac:dyDescent="0.25">
      <c r="A204" s="1" t="s">
        <v>740</v>
      </c>
      <c r="B204" s="30" t="s">
        <v>199</v>
      </c>
      <c r="F204" s="49"/>
      <c r="G204" s="16"/>
      <c r="H204" s="16"/>
      <c r="I204" s="16"/>
    </row>
    <row r="205" spans="1:9" x14ac:dyDescent="0.2">
      <c r="A205" s="28" t="s">
        <v>728</v>
      </c>
      <c r="B205" s="22" t="s">
        <v>732</v>
      </c>
      <c r="F205" s="49"/>
      <c r="G205" s="16"/>
      <c r="H205" s="16"/>
      <c r="I205" s="16"/>
    </row>
    <row r="206" spans="1:9" x14ac:dyDescent="0.2">
      <c r="A206" s="25" t="s">
        <v>748</v>
      </c>
      <c r="B206" s="123">
        <f>(16 / (3.1416*B144) ) * ( (B156*B203)^2 + ( B157*B160)^2 )^0.5</f>
        <v>2.935876538389341</v>
      </c>
      <c r="C206" s="22" t="s">
        <v>11</v>
      </c>
      <c r="F206" s="49"/>
      <c r="G206" s="16"/>
      <c r="H206" s="16"/>
      <c r="I206" s="16"/>
    </row>
    <row r="207" spans="1:9" ht="15.75" x14ac:dyDescent="0.25">
      <c r="A207" s="2" t="s">
        <v>264</v>
      </c>
      <c r="B207" s="3">
        <f>B206^0.333</f>
        <v>1.4313857308666915</v>
      </c>
      <c r="C207" s="1" t="s">
        <v>1078</v>
      </c>
      <c r="F207" s="49"/>
      <c r="G207" s="16"/>
      <c r="H207" s="16"/>
      <c r="I207" s="16"/>
    </row>
    <row r="208" spans="1:9" x14ac:dyDescent="0.2">
      <c r="F208" s="49"/>
      <c r="G208" s="16"/>
      <c r="H208" s="16"/>
      <c r="I208" s="16"/>
    </row>
    <row r="209" spans="1:9" x14ac:dyDescent="0.2">
      <c r="F209" s="49"/>
      <c r="G209" s="16"/>
      <c r="H209" s="16"/>
      <c r="I209" s="16"/>
    </row>
    <row r="210" spans="1:9" x14ac:dyDescent="0.2">
      <c r="A210" s="124"/>
      <c r="B210" s="125"/>
      <c r="C210" s="126"/>
      <c r="D210" s="23"/>
      <c r="E210" s="23"/>
      <c r="F210" s="49"/>
      <c r="G210" s="16"/>
      <c r="H210" s="16"/>
      <c r="I210" s="16"/>
    </row>
    <row r="211" spans="1:9" x14ac:dyDescent="0.2">
      <c r="F211" s="49"/>
      <c r="G211" s="16"/>
      <c r="H211" s="16"/>
      <c r="I211" s="16"/>
    </row>
    <row r="212" spans="1:9" x14ac:dyDescent="0.2">
      <c r="F212" s="49"/>
      <c r="G212" s="16"/>
      <c r="H212" s="16"/>
      <c r="I212" s="16"/>
    </row>
    <row r="213" spans="1:9" x14ac:dyDescent="0.2">
      <c r="F213" s="49"/>
      <c r="G213" s="16"/>
      <c r="H213" s="16"/>
      <c r="I213" s="16"/>
    </row>
    <row r="214" spans="1:9" ht="15.75" x14ac:dyDescent="0.25">
      <c r="A214" s="2"/>
      <c r="B214" s="36"/>
      <c r="C214" s="1"/>
      <c r="F214" s="49"/>
      <c r="G214" s="16"/>
      <c r="H214" s="16"/>
      <c r="I214" s="16"/>
    </row>
    <row r="215" spans="1:9" x14ac:dyDescent="0.2">
      <c r="F215" s="49"/>
      <c r="G215" s="16"/>
      <c r="H215" s="16"/>
      <c r="I215" s="16"/>
    </row>
    <row r="216" spans="1:9" x14ac:dyDescent="0.2">
      <c r="F216" s="49"/>
      <c r="G216" s="16"/>
      <c r="H216" s="16"/>
      <c r="I216" s="16"/>
    </row>
    <row r="217" spans="1:9" x14ac:dyDescent="0.2">
      <c r="F217" s="49"/>
      <c r="G217" s="16"/>
      <c r="H217" s="16"/>
      <c r="I217" s="16"/>
    </row>
    <row r="218" spans="1:9" x14ac:dyDescent="0.2">
      <c r="F218" s="49"/>
      <c r="G218" s="16"/>
      <c r="H218" s="16"/>
      <c r="I218" s="16"/>
    </row>
    <row r="219" spans="1:9" x14ac:dyDescent="0.2">
      <c r="F219" s="49"/>
      <c r="G219" s="16"/>
      <c r="H219" s="16"/>
      <c r="I219" s="16"/>
    </row>
    <row r="220" spans="1:9" x14ac:dyDescent="0.2">
      <c r="F220" s="49"/>
      <c r="G220" s="16"/>
      <c r="H220" s="16"/>
      <c r="I220" s="16"/>
    </row>
    <row r="221" spans="1:9" x14ac:dyDescent="0.2">
      <c r="F221" s="49"/>
      <c r="G221" s="16"/>
      <c r="H221" s="16"/>
      <c r="I221" s="16"/>
    </row>
    <row r="222" spans="1:9" x14ac:dyDescent="0.2">
      <c r="F222" s="49"/>
      <c r="G222" s="16"/>
      <c r="H222" s="16"/>
      <c r="I222" s="16"/>
    </row>
    <row r="223" spans="1:9" x14ac:dyDescent="0.2">
      <c r="F223" s="49"/>
      <c r="G223" s="16"/>
      <c r="H223" s="16"/>
      <c r="I223" s="16"/>
    </row>
    <row r="224" spans="1:9" x14ac:dyDescent="0.2">
      <c r="F224" s="49"/>
      <c r="G224" s="16"/>
      <c r="H224" s="16"/>
      <c r="I224" s="16"/>
    </row>
    <row r="225" spans="1:9" x14ac:dyDescent="0.2">
      <c r="F225" s="49"/>
      <c r="G225" s="16"/>
      <c r="H225" s="16"/>
      <c r="I225" s="16"/>
    </row>
    <row r="226" spans="1:9" ht="16.5" thickBot="1" x14ac:dyDescent="0.3">
      <c r="A226" s="1" t="s">
        <v>738</v>
      </c>
      <c r="B226" s="30" t="s">
        <v>107</v>
      </c>
      <c r="F226" s="49"/>
      <c r="G226" s="16"/>
      <c r="H226" s="16"/>
      <c r="I226" s="16"/>
    </row>
    <row r="227" spans="1:9" x14ac:dyDescent="0.2">
      <c r="A227" s="28" t="s">
        <v>680</v>
      </c>
      <c r="B227" s="31">
        <v>70000</v>
      </c>
      <c r="C227" s="22" t="s">
        <v>1154</v>
      </c>
      <c r="F227" s="49"/>
      <c r="G227" s="16"/>
      <c r="H227" s="16"/>
      <c r="I227" s="16"/>
    </row>
    <row r="228" spans="1:9" ht="15.75" thickBot="1" x14ac:dyDescent="0.25">
      <c r="A228" s="28" t="s">
        <v>681</v>
      </c>
      <c r="B228" s="54">
        <v>46000</v>
      </c>
      <c r="C228" s="22" t="s">
        <v>1154</v>
      </c>
      <c r="F228" s="49"/>
      <c r="G228" s="16"/>
      <c r="H228" s="16"/>
      <c r="I228" s="16"/>
    </row>
    <row r="229" spans="1:9" ht="15.75" x14ac:dyDescent="0.25">
      <c r="A229" s="1" t="s">
        <v>737</v>
      </c>
      <c r="B229" s="30" t="s">
        <v>199</v>
      </c>
      <c r="F229" s="49"/>
      <c r="G229" s="16"/>
      <c r="H229" s="16"/>
      <c r="I229" s="16"/>
    </row>
    <row r="230" spans="1:9" x14ac:dyDescent="0.2">
      <c r="A230" s="28" t="s">
        <v>688</v>
      </c>
      <c r="B230" s="27" t="s">
        <v>686</v>
      </c>
      <c r="F230" s="49"/>
      <c r="G230" s="16"/>
      <c r="H230" s="16"/>
      <c r="I230" s="16"/>
    </row>
    <row r="231" spans="1:9" x14ac:dyDescent="0.2">
      <c r="B231" s="27">
        <f>0.18*B227</f>
        <v>12600</v>
      </c>
      <c r="C231" s="22" t="s">
        <v>1154</v>
      </c>
      <c r="F231" s="49"/>
      <c r="G231" s="16"/>
      <c r="H231" s="16"/>
      <c r="I231" s="16"/>
    </row>
    <row r="232" spans="1:9" x14ac:dyDescent="0.2">
      <c r="A232" s="28" t="s">
        <v>689</v>
      </c>
      <c r="B232" s="27" t="s">
        <v>687</v>
      </c>
      <c r="F232" s="49"/>
      <c r="G232" s="16"/>
      <c r="H232" s="16"/>
      <c r="I232" s="16"/>
    </row>
    <row r="233" spans="1:9" x14ac:dyDescent="0.2">
      <c r="B233" s="27">
        <f>0.3*B228</f>
        <v>13800</v>
      </c>
      <c r="C233" s="22" t="s">
        <v>1154</v>
      </c>
      <c r="F233" s="49"/>
      <c r="G233" s="16"/>
      <c r="H233" s="16"/>
      <c r="I233" s="16"/>
    </row>
    <row r="234" spans="1:9" x14ac:dyDescent="0.2">
      <c r="A234" s="28" t="s">
        <v>734</v>
      </c>
      <c r="B234" s="27" t="s">
        <v>735</v>
      </c>
      <c r="F234" s="49"/>
      <c r="G234" s="16"/>
      <c r="H234" s="16"/>
      <c r="I234" s="16"/>
    </row>
    <row r="235" spans="1:9" x14ac:dyDescent="0.2">
      <c r="B235" s="27">
        <f>0.75*B231</f>
        <v>9450</v>
      </c>
      <c r="C235" s="22" t="s">
        <v>1154</v>
      </c>
      <c r="F235" s="49"/>
      <c r="G235" s="16"/>
      <c r="H235" s="16"/>
      <c r="I235" s="16"/>
    </row>
    <row r="236" spans="1:9" x14ac:dyDescent="0.2">
      <c r="F236" s="49"/>
      <c r="G236" s="16"/>
      <c r="H236" s="16"/>
      <c r="I236" s="16"/>
    </row>
    <row r="237" spans="1:9" ht="16.5" thickBot="1" x14ac:dyDescent="0.3">
      <c r="A237" s="1" t="s">
        <v>739</v>
      </c>
      <c r="B237" s="30" t="s">
        <v>107</v>
      </c>
      <c r="F237" s="49"/>
      <c r="G237" s="16"/>
      <c r="H237" s="16"/>
      <c r="I237" s="16"/>
    </row>
    <row r="238" spans="1:9" x14ac:dyDescent="0.2">
      <c r="A238" s="28" t="s">
        <v>736</v>
      </c>
      <c r="B238" s="31">
        <v>9450</v>
      </c>
      <c r="C238" s="22" t="s">
        <v>1154</v>
      </c>
      <c r="F238" s="49"/>
      <c r="G238" s="16"/>
      <c r="H238" s="16"/>
      <c r="I238" s="16"/>
    </row>
    <row r="239" spans="1:9" x14ac:dyDescent="0.2">
      <c r="A239" s="28" t="s">
        <v>673</v>
      </c>
      <c r="B239" s="32">
        <v>20</v>
      </c>
      <c r="C239" s="22" t="s">
        <v>1087</v>
      </c>
      <c r="F239" s="49"/>
      <c r="G239" s="16"/>
      <c r="H239" s="16"/>
      <c r="I239" s="16"/>
    </row>
    <row r="240" spans="1:9" x14ac:dyDescent="0.2">
      <c r="A240" s="28" t="s">
        <v>1085</v>
      </c>
      <c r="B240" s="32">
        <v>600</v>
      </c>
      <c r="C240" s="22" t="s">
        <v>1086</v>
      </c>
      <c r="F240" s="49"/>
      <c r="G240" s="16"/>
      <c r="H240" s="16"/>
      <c r="I240" s="16"/>
    </row>
    <row r="241" spans="1:9" x14ac:dyDescent="0.2">
      <c r="A241" s="28" t="s">
        <v>700</v>
      </c>
      <c r="B241" s="32">
        <v>3</v>
      </c>
      <c r="F241" s="49"/>
      <c r="G241" s="16"/>
      <c r="H241" s="16"/>
      <c r="I241" s="16"/>
    </row>
    <row r="242" spans="1:9" x14ac:dyDescent="0.2">
      <c r="A242" s="28" t="s">
        <v>173</v>
      </c>
      <c r="B242" s="32">
        <v>60</v>
      </c>
      <c r="C242" s="22" t="s">
        <v>385</v>
      </c>
      <c r="F242" s="49"/>
      <c r="G242" s="16"/>
      <c r="H242" s="16"/>
      <c r="I242" s="16"/>
    </row>
    <row r="243" spans="1:9" x14ac:dyDescent="0.2">
      <c r="A243" s="28" t="s">
        <v>670</v>
      </c>
      <c r="B243" s="32">
        <v>10</v>
      </c>
      <c r="C243" s="22" t="s">
        <v>1078</v>
      </c>
      <c r="F243" s="49"/>
      <c r="G243" s="16"/>
      <c r="H243" s="16"/>
      <c r="I243" s="16"/>
    </row>
    <row r="244" spans="1:9" x14ac:dyDescent="0.2">
      <c r="A244" s="28" t="s">
        <v>671</v>
      </c>
      <c r="B244" s="32">
        <v>30</v>
      </c>
      <c r="C244" s="22" t="s">
        <v>1078</v>
      </c>
      <c r="F244" s="49"/>
      <c r="G244" s="16"/>
      <c r="H244" s="16"/>
      <c r="I244" s="16"/>
    </row>
    <row r="245" spans="1:9" x14ac:dyDescent="0.2">
      <c r="A245" s="28" t="s">
        <v>672</v>
      </c>
      <c r="B245" s="32">
        <v>10</v>
      </c>
      <c r="C245" s="22" t="s">
        <v>1078</v>
      </c>
      <c r="F245" s="49"/>
      <c r="G245" s="16"/>
      <c r="H245" s="16"/>
      <c r="I245" s="16"/>
    </row>
    <row r="246" spans="1:9" x14ac:dyDescent="0.2">
      <c r="A246" s="28" t="s">
        <v>677</v>
      </c>
      <c r="B246" s="32">
        <v>8</v>
      </c>
      <c r="C246" s="22" t="s">
        <v>1078</v>
      </c>
      <c r="F246" s="49"/>
      <c r="G246" s="16"/>
      <c r="H246" s="16"/>
      <c r="I246" s="16"/>
    </row>
    <row r="247" spans="1:9" x14ac:dyDescent="0.2">
      <c r="A247" s="28" t="s">
        <v>969</v>
      </c>
      <c r="B247" s="32">
        <v>18</v>
      </c>
      <c r="C247" s="22" t="s">
        <v>1078</v>
      </c>
      <c r="F247" s="49"/>
      <c r="G247" s="16"/>
      <c r="H247" s="16"/>
      <c r="I247" s="16"/>
    </row>
    <row r="248" spans="1:9" x14ac:dyDescent="0.2">
      <c r="A248" s="28" t="s">
        <v>711</v>
      </c>
      <c r="B248" s="32">
        <v>200</v>
      </c>
      <c r="C248" s="22" t="s">
        <v>713</v>
      </c>
      <c r="F248" s="49"/>
      <c r="G248" s="16"/>
      <c r="H248" s="16"/>
      <c r="I248" s="16"/>
    </row>
    <row r="249" spans="1:9" x14ac:dyDescent="0.2">
      <c r="A249" s="28" t="s">
        <v>698</v>
      </c>
      <c r="B249" s="32">
        <v>20</v>
      </c>
      <c r="C249" s="22" t="s">
        <v>385</v>
      </c>
      <c r="F249" s="49"/>
      <c r="G249" s="16"/>
      <c r="H249" s="16"/>
      <c r="I249" s="16"/>
    </row>
    <row r="250" spans="1:9" x14ac:dyDescent="0.2">
      <c r="A250" s="28" t="s">
        <v>682</v>
      </c>
      <c r="B250" s="32">
        <v>1.5</v>
      </c>
      <c r="C250" s="22" t="s">
        <v>1284</v>
      </c>
      <c r="E250" s="12" t="s">
        <v>1071</v>
      </c>
      <c r="F250" s="49"/>
      <c r="G250" s="16"/>
      <c r="H250" s="16"/>
      <c r="I250" s="16"/>
    </row>
    <row r="251" spans="1:9" x14ac:dyDescent="0.2">
      <c r="A251" s="28" t="s">
        <v>817</v>
      </c>
      <c r="B251" s="32">
        <v>1</v>
      </c>
      <c r="C251" s="22" t="s">
        <v>1284</v>
      </c>
      <c r="F251" s="49"/>
      <c r="G251" s="16"/>
      <c r="H251" s="16"/>
      <c r="I251" s="16"/>
    </row>
    <row r="252" spans="1:9" x14ac:dyDescent="0.2">
      <c r="A252" s="28" t="s">
        <v>741</v>
      </c>
      <c r="B252" s="52">
        <v>1</v>
      </c>
      <c r="C252" s="22" t="s">
        <v>1078</v>
      </c>
      <c r="F252" s="49"/>
      <c r="G252" s="16"/>
      <c r="H252" s="16"/>
      <c r="I252" s="16"/>
    </row>
    <row r="253" spans="1:9" x14ac:dyDescent="0.2">
      <c r="A253" s="28" t="s">
        <v>743</v>
      </c>
      <c r="B253" s="52">
        <v>3</v>
      </c>
      <c r="C253" s="22" t="s">
        <v>1078</v>
      </c>
      <c r="F253" s="49"/>
      <c r="G253" s="16"/>
      <c r="H253" s="16"/>
      <c r="I253" s="16"/>
    </row>
    <row r="254" spans="1:9" ht="15.75" thickBot="1" x14ac:dyDescent="0.25">
      <c r="A254" s="28" t="s">
        <v>742</v>
      </c>
      <c r="B254" s="65">
        <v>2</v>
      </c>
      <c r="C254" s="22" t="s">
        <v>1078</v>
      </c>
      <c r="F254" s="49"/>
      <c r="G254" s="16"/>
      <c r="H254" s="16"/>
      <c r="I254" s="16"/>
    </row>
    <row r="255" spans="1:9" ht="15.75" x14ac:dyDescent="0.25">
      <c r="B255" s="30" t="s">
        <v>199</v>
      </c>
      <c r="C255" s="22" t="s">
        <v>1071</v>
      </c>
      <c r="F255" s="49"/>
      <c r="G255" s="16"/>
      <c r="H255" s="16"/>
      <c r="I255" s="16"/>
    </row>
    <row r="256" spans="1:9" x14ac:dyDescent="0.2">
      <c r="A256" s="28" t="s">
        <v>674</v>
      </c>
      <c r="B256" s="27" t="s">
        <v>675</v>
      </c>
      <c r="F256" s="49"/>
      <c r="G256" s="16"/>
      <c r="H256" s="16"/>
      <c r="I256" s="16"/>
    </row>
    <row r="257" spans="1:9" x14ac:dyDescent="0.2">
      <c r="A257" s="25" t="s">
        <v>748</v>
      </c>
      <c r="B257" s="121">
        <f>B239*63000/B240</f>
        <v>2100</v>
      </c>
      <c r="C257" s="22" t="s">
        <v>1075</v>
      </c>
      <c r="F257" s="49"/>
      <c r="G257" s="16"/>
      <c r="H257" s="16"/>
      <c r="I257" s="16"/>
    </row>
    <row r="258" spans="1:9" x14ac:dyDescent="0.2">
      <c r="A258" s="28" t="s">
        <v>679</v>
      </c>
      <c r="B258" s="27">
        <f>B241</f>
        <v>3</v>
      </c>
      <c r="F258" s="49"/>
      <c r="G258" s="16"/>
      <c r="H258" s="16"/>
      <c r="I258" s="16"/>
    </row>
    <row r="259" spans="1:9" x14ac:dyDescent="0.2">
      <c r="A259" s="28" t="s">
        <v>676</v>
      </c>
      <c r="B259" s="27" t="s">
        <v>678</v>
      </c>
      <c r="F259" s="49"/>
      <c r="G259" s="16"/>
      <c r="H259" s="16"/>
      <c r="I259" s="16"/>
    </row>
    <row r="260" spans="1:9" x14ac:dyDescent="0.2">
      <c r="A260" s="28" t="s">
        <v>409</v>
      </c>
      <c r="B260" s="59" t="s">
        <v>697</v>
      </c>
      <c r="F260" s="49"/>
      <c r="G260" s="16"/>
      <c r="H260" s="16"/>
      <c r="I260" s="16"/>
    </row>
    <row r="261" spans="1:9" x14ac:dyDescent="0.2">
      <c r="A261" s="25" t="s">
        <v>748</v>
      </c>
      <c r="B261" s="121">
        <f>-( B257/ (B247 / 2) ) / (1 - B258)</f>
        <v>116.66666666666667</v>
      </c>
      <c r="C261" s="22" t="s">
        <v>1100</v>
      </c>
      <c r="F261" s="49"/>
      <c r="G261" s="16"/>
      <c r="H261" s="16"/>
      <c r="I261" s="16"/>
    </row>
    <row r="262" spans="1:9" x14ac:dyDescent="0.2">
      <c r="A262" s="28" t="s">
        <v>669</v>
      </c>
      <c r="B262" s="27" t="s">
        <v>696</v>
      </c>
      <c r="F262" s="49"/>
      <c r="G262" s="16"/>
      <c r="H262" s="16"/>
      <c r="I262" s="16"/>
    </row>
    <row r="263" spans="1:9" x14ac:dyDescent="0.2">
      <c r="A263" s="25" t="s">
        <v>748</v>
      </c>
      <c r="B263" s="121">
        <f>B258*B261</f>
        <v>350</v>
      </c>
      <c r="C263" s="22" t="s">
        <v>1100</v>
      </c>
      <c r="F263" s="49"/>
      <c r="G263" s="16"/>
      <c r="H263" s="16"/>
      <c r="I263" s="16"/>
    </row>
    <row r="264" spans="1:9" ht="15.75" x14ac:dyDescent="0.25">
      <c r="A264" s="2" t="s">
        <v>692</v>
      </c>
      <c r="F264" s="49"/>
      <c r="G264" s="16"/>
      <c r="H264" s="16"/>
      <c r="I264" s="16"/>
    </row>
    <row r="265" spans="1:9" x14ac:dyDescent="0.2">
      <c r="A265" s="28" t="s">
        <v>693</v>
      </c>
      <c r="B265" s="27" t="s">
        <v>683</v>
      </c>
      <c r="E265" s="12" t="s">
        <v>1071</v>
      </c>
      <c r="F265" s="49"/>
      <c r="G265" s="16"/>
      <c r="H265" s="16"/>
      <c r="I265" s="16"/>
    </row>
    <row r="266" spans="1:9" x14ac:dyDescent="0.2">
      <c r="B266" s="121">
        <f>B257/(B246/2)</f>
        <v>525</v>
      </c>
      <c r="C266" s="22" t="s">
        <v>1100</v>
      </c>
      <c r="F266" s="49"/>
      <c r="G266" s="16"/>
      <c r="H266" s="16"/>
      <c r="I266" s="16"/>
    </row>
    <row r="267" spans="1:9" x14ac:dyDescent="0.2">
      <c r="A267" s="28" t="s">
        <v>694</v>
      </c>
      <c r="B267" s="27" t="s">
        <v>684</v>
      </c>
      <c r="F267" s="49"/>
      <c r="G267" s="16"/>
      <c r="H267" s="16"/>
      <c r="I267" s="16"/>
    </row>
    <row r="268" spans="1:9" x14ac:dyDescent="0.2">
      <c r="A268" s="25" t="s">
        <v>748</v>
      </c>
      <c r="B268" s="121">
        <f>B266*TAN(B242/57.3)</f>
        <v>909.16471767853477</v>
      </c>
      <c r="C268" s="22" t="s">
        <v>1100</v>
      </c>
      <c r="F268" s="49"/>
      <c r="G268" s="16"/>
      <c r="H268" s="16"/>
      <c r="I268" s="16"/>
    </row>
    <row r="269" spans="1:9" ht="15.75" x14ac:dyDescent="0.25">
      <c r="A269" s="28" t="s">
        <v>691</v>
      </c>
      <c r="B269" s="27" t="s">
        <v>712</v>
      </c>
      <c r="E269" s="5"/>
      <c r="F269" s="49"/>
      <c r="G269" s="16"/>
      <c r="H269" s="16"/>
      <c r="I269" s="16"/>
    </row>
    <row r="270" spans="1:9" ht="15.75" x14ac:dyDescent="0.25">
      <c r="A270" s="25" t="s">
        <v>748</v>
      </c>
      <c r="B270" s="121">
        <f>((B261 + B263) * SIN( B242/57.3 ))-B248</f>
        <v>204.12718968257832</v>
      </c>
      <c r="C270" s="22" t="s">
        <v>1100</v>
      </c>
      <c r="E270" s="5"/>
      <c r="F270" s="49"/>
      <c r="G270" s="16"/>
      <c r="H270" s="16"/>
      <c r="I270" s="16"/>
    </row>
    <row r="271" spans="1:9" ht="15.75" x14ac:dyDescent="0.25">
      <c r="A271" s="28" t="s">
        <v>699</v>
      </c>
      <c r="B271" s="22" t="s">
        <v>708</v>
      </c>
      <c r="E271" s="5"/>
      <c r="F271" s="49"/>
      <c r="G271" s="16"/>
      <c r="H271" s="16"/>
      <c r="I271" s="16"/>
    </row>
    <row r="272" spans="1:9" x14ac:dyDescent="0.2">
      <c r="B272" s="121">
        <f>((B270*(B244+B245))-(B268*B243))/B244</f>
        <v>-30.885319649407151</v>
      </c>
      <c r="C272" s="22" t="s">
        <v>1100</v>
      </c>
      <c r="F272" s="49"/>
      <c r="G272" s="16"/>
      <c r="H272" s="16"/>
      <c r="I272" s="16"/>
    </row>
    <row r="273" spans="1:9" x14ac:dyDescent="0.2">
      <c r="F273" s="49"/>
      <c r="G273" s="16"/>
      <c r="H273" s="16"/>
      <c r="I273" s="16"/>
    </row>
    <row r="274" spans="1:9" x14ac:dyDescent="0.2">
      <c r="F274" s="49"/>
      <c r="G274" s="16"/>
      <c r="H274" s="16"/>
      <c r="I274" s="16"/>
    </row>
    <row r="275" spans="1:9" x14ac:dyDescent="0.2">
      <c r="A275" s="28" t="s">
        <v>690</v>
      </c>
      <c r="B275" s="27" t="s">
        <v>701</v>
      </c>
      <c r="F275" s="49"/>
      <c r="G275" s="16"/>
      <c r="H275" s="16"/>
      <c r="I275" s="16"/>
    </row>
    <row r="276" spans="1:9" x14ac:dyDescent="0.2">
      <c r="B276" s="121">
        <f>B268 + B272 - B270</f>
        <v>674.15220834654929</v>
      </c>
      <c r="C276" s="22" t="s">
        <v>1100</v>
      </c>
      <c r="F276" s="49"/>
      <c r="G276" s="16"/>
      <c r="H276" s="16"/>
      <c r="I276" s="16"/>
    </row>
    <row r="277" spans="1:9" ht="15.75" x14ac:dyDescent="0.25">
      <c r="A277" s="2" t="s">
        <v>702</v>
      </c>
      <c r="F277" s="49"/>
      <c r="G277" s="16"/>
      <c r="H277" s="16"/>
      <c r="I277" s="16"/>
    </row>
    <row r="278" spans="1:9" x14ac:dyDescent="0.2">
      <c r="A278" s="28" t="s">
        <v>703</v>
      </c>
      <c r="B278" s="27" t="s">
        <v>704</v>
      </c>
      <c r="F278" s="49"/>
      <c r="G278" s="16"/>
      <c r="H278" s="16"/>
      <c r="I278" s="16"/>
    </row>
    <row r="279" spans="1:9" x14ac:dyDescent="0.2">
      <c r="B279" s="121">
        <f>B276*$B$149</f>
        <v>6741.5220834654929</v>
      </c>
      <c r="C279" s="22" t="s">
        <v>705</v>
      </c>
      <c r="F279" s="49"/>
      <c r="G279" s="16"/>
      <c r="H279" s="16"/>
      <c r="I279" s="16"/>
    </row>
    <row r="280" spans="1:9" x14ac:dyDescent="0.2">
      <c r="A280" s="28" t="s">
        <v>706</v>
      </c>
      <c r="B280" s="27" t="s">
        <v>707</v>
      </c>
      <c r="F280" s="49"/>
      <c r="G280" s="16"/>
      <c r="H280" s="16"/>
      <c r="I280" s="16"/>
    </row>
    <row r="281" spans="1:9" x14ac:dyDescent="0.2">
      <c r="B281" s="121">
        <f>B270*$B$151</f>
        <v>2041.2718968257832</v>
      </c>
      <c r="C281" s="22" t="s">
        <v>705</v>
      </c>
      <c r="F281" s="49"/>
      <c r="G281" s="16"/>
      <c r="H281" s="16"/>
      <c r="I281" s="16"/>
    </row>
    <row r="282" spans="1:9" ht="16.5" thickBot="1" x14ac:dyDescent="0.3">
      <c r="B282" s="30" t="s">
        <v>107</v>
      </c>
      <c r="F282" s="49"/>
      <c r="G282" s="16"/>
      <c r="H282" s="16"/>
      <c r="I282" s="16"/>
    </row>
    <row r="283" spans="1:9" ht="16.5" thickBot="1" x14ac:dyDescent="0.3">
      <c r="A283" s="2" t="s">
        <v>733</v>
      </c>
      <c r="B283" s="122">
        <v>6742</v>
      </c>
      <c r="C283" s="22" t="s">
        <v>705</v>
      </c>
      <c r="F283" s="49"/>
      <c r="G283" s="16"/>
      <c r="H283" s="16"/>
      <c r="I283" s="16"/>
    </row>
    <row r="284" spans="1:9" x14ac:dyDescent="0.2">
      <c r="F284" s="49"/>
      <c r="G284" s="16"/>
      <c r="H284" s="16"/>
      <c r="I284" s="16"/>
    </row>
    <row r="285" spans="1:9" ht="15.75" x14ac:dyDescent="0.25">
      <c r="A285" s="1" t="s">
        <v>740</v>
      </c>
      <c r="B285" s="30" t="s">
        <v>199</v>
      </c>
      <c r="F285" s="49"/>
      <c r="G285" s="16"/>
      <c r="H285" s="16"/>
      <c r="I285" s="16"/>
    </row>
    <row r="286" spans="1:9" x14ac:dyDescent="0.2">
      <c r="A286" s="28" t="s">
        <v>728</v>
      </c>
      <c r="B286" s="22" t="s">
        <v>732</v>
      </c>
      <c r="F286" s="49"/>
      <c r="G286" s="16"/>
      <c r="H286" s="16"/>
      <c r="I286" s="16"/>
    </row>
    <row r="287" spans="1:9" x14ac:dyDescent="0.2">
      <c r="A287" s="25" t="s">
        <v>748</v>
      </c>
      <c r="B287" s="123">
        <f>(16 / (3.1416*B238) ) * ( (B250*B283)^2 + ( B251*B257)^2 )^0.5</f>
        <v>5.5665283548188169</v>
      </c>
      <c r="C287" s="22" t="s">
        <v>11</v>
      </c>
      <c r="F287" s="49"/>
      <c r="G287" s="16"/>
      <c r="H287" s="16"/>
      <c r="I287" s="16"/>
    </row>
    <row r="288" spans="1:9" ht="15.75" x14ac:dyDescent="0.25">
      <c r="A288" s="2" t="s">
        <v>264</v>
      </c>
      <c r="B288" s="3">
        <f>B287^0.333</f>
        <v>1.771248982330921</v>
      </c>
      <c r="C288" s="1" t="s">
        <v>1078</v>
      </c>
      <c r="F288" s="49"/>
      <c r="G288" s="16"/>
      <c r="H288" s="16"/>
      <c r="I288" s="16"/>
    </row>
    <row r="289" spans="1:9" x14ac:dyDescent="0.2">
      <c r="F289" s="49"/>
      <c r="G289" s="16"/>
      <c r="H289" s="16"/>
      <c r="I289" s="16"/>
    </row>
    <row r="290" spans="1:9" x14ac:dyDescent="0.2">
      <c r="F290" s="49"/>
      <c r="G290" s="16"/>
      <c r="H290" s="16"/>
      <c r="I290" s="16"/>
    </row>
    <row r="291" spans="1:9" x14ac:dyDescent="0.2">
      <c r="F291" s="49"/>
      <c r="G291" s="16"/>
      <c r="H291" s="16"/>
      <c r="I291" s="16"/>
    </row>
    <row r="292" spans="1:9" x14ac:dyDescent="0.2">
      <c r="A292" s="124"/>
      <c r="B292" s="125"/>
      <c r="C292" s="126"/>
      <c r="D292" s="23"/>
      <c r="E292" s="23"/>
      <c r="F292" s="49"/>
      <c r="G292" s="16"/>
      <c r="H292" s="16"/>
      <c r="I292" s="16"/>
    </row>
    <row r="293" spans="1:9" x14ac:dyDescent="0.2">
      <c r="F293" s="49"/>
      <c r="G293" s="16"/>
      <c r="H293" s="16"/>
      <c r="I293" s="16"/>
    </row>
    <row r="294" spans="1:9" x14ac:dyDescent="0.2">
      <c r="F294" s="49"/>
      <c r="G294" s="16"/>
      <c r="H294" s="16"/>
      <c r="I294" s="16"/>
    </row>
    <row r="295" spans="1:9" x14ac:dyDescent="0.2">
      <c r="F295" s="49"/>
      <c r="G295" s="16"/>
      <c r="H295" s="16"/>
      <c r="I295" s="16"/>
    </row>
    <row r="296" spans="1:9" x14ac:dyDescent="0.2">
      <c r="F296" s="49"/>
      <c r="G296" s="16"/>
      <c r="H296" s="16"/>
      <c r="I296" s="16"/>
    </row>
    <row r="297" spans="1:9" x14ac:dyDescent="0.2">
      <c r="F297" s="49"/>
      <c r="G297" s="16"/>
      <c r="H297" s="16"/>
      <c r="I297" s="16"/>
    </row>
    <row r="298" spans="1:9" x14ac:dyDescent="0.2">
      <c r="F298" s="49"/>
      <c r="G298" s="16"/>
      <c r="H298" s="16"/>
      <c r="I298" s="16"/>
    </row>
    <row r="299" spans="1:9" x14ac:dyDescent="0.2">
      <c r="F299" s="49"/>
      <c r="G299" s="16"/>
      <c r="H299" s="16"/>
      <c r="I299" s="16"/>
    </row>
    <row r="300" spans="1:9" x14ac:dyDescent="0.2">
      <c r="F300" s="49"/>
      <c r="G300" s="16"/>
      <c r="H300" s="16"/>
      <c r="I300" s="16"/>
    </row>
    <row r="301" spans="1:9" x14ac:dyDescent="0.2">
      <c r="F301" s="49"/>
      <c r="G301" s="16"/>
      <c r="H301" s="16"/>
      <c r="I301" s="16"/>
    </row>
    <row r="302" spans="1:9" x14ac:dyDescent="0.2">
      <c r="F302" s="49"/>
      <c r="G302" s="16"/>
      <c r="H302" s="16"/>
      <c r="I302" s="16"/>
    </row>
    <row r="303" spans="1:9" x14ac:dyDescent="0.2">
      <c r="F303" s="49"/>
      <c r="G303" s="16"/>
      <c r="H303" s="16"/>
      <c r="I303" s="16"/>
    </row>
    <row r="304" spans="1:9" x14ac:dyDescent="0.2">
      <c r="A304" s="124"/>
      <c r="B304" s="125"/>
      <c r="C304" s="126"/>
      <c r="D304" s="23"/>
      <c r="E304" s="23"/>
      <c r="F304" s="49"/>
      <c r="G304" s="16"/>
      <c r="H304" s="16"/>
      <c r="I304" s="16"/>
    </row>
    <row r="305" spans="1:9" ht="16.5" thickBot="1" x14ac:dyDescent="0.3">
      <c r="A305" s="1" t="s">
        <v>963</v>
      </c>
      <c r="B305" s="30" t="s">
        <v>109</v>
      </c>
      <c r="F305" s="49"/>
      <c r="G305" s="16"/>
      <c r="H305" s="16"/>
      <c r="I305" s="16"/>
    </row>
    <row r="306" spans="1:9" x14ac:dyDescent="0.2">
      <c r="A306" s="28" t="s">
        <v>1084</v>
      </c>
      <c r="B306" s="127">
        <v>7.5</v>
      </c>
      <c r="C306" s="22" t="s">
        <v>1087</v>
      </c>
      <c r="E306" s="128"/>
      <c r="F306" s="49"/>
      <c r="G306" s="16"/>
      <c r="H306" s="16"/>
      <c r="I306" s="16"/>
    </row>
    <row r="307" spans="1:9" x14ac:dyDescent="0.2">
      <c r="A307" s="28" t="s">
        <v>1085</v>
      </c>
      <c r="B307" s="32">
        <v>1750</v>
      </c>
      <c r="C307" s="22" t="s">
        <v>1086</v>
      </c>
      <c r="E307" s="58"/>
      <c r="F307" s="49"/>
      <c r="G307" s="16"/>
      <c r="H307" s="16"/>
      <c r="I307" s="16"/>
    </row>
    <row r="308" spans="1:9" x14ac:dyDescent="0.2">
      <c r="A308" s="28" t="s">
        <v>316</v>
      </c>
      <c r="B308" s="32">
        <v>3</v>
      </c>
      <c r="E308" s="58"/>
      <c r="F308" s="49"/>
      <c r="G308" s="16"/>
      <c r="H308" s="16"/>
      <c r="I308" s="16"/>
    </row>
    <row r="309" spans="1:9" x14ac:dyDescent="0.2">
      <c r="A309" s="28" t="s">
        <v>1153</v>
      </c>
      <c r="B309" s="52">
        <v>1</v>
      </c>
      <c r="C309" s="22" t="s">
        <v>1074</v>
      </c>
      <c r="E309" s="64"/>
      <c r="F309" s="49"/>
      <c r="G309" s="16"/>
      <c r="H309" s="16"/>
      <c r="I309" s="16"/>
    </row>
    <row r="310" spans="1:9" x14ac:dyDescent="0.2">
      <c r="A310" s="28" t="s">
        <v>1077</v>
      </c>
      <c r="B310" s="32">
        <v>5</v>
      </c>
      <c r="C310" s="22" t="s">
        <v>1078</v>
      </c>
      <c r="E310" s="58"/>
      <c r="F310" s="49"/>
      <c r="G310" s="16"/>
      <c r="H310" s="16"/>
      <c r="I310" s="16"/>
    </row>
    <row r="311" spans="1:9" ht="15.75" thickBot="1" x14ac:dyDescent="0.25">
      <c r="A311" s="28" t="s">
        <v>814</v>
      </c>
      <c r="B311" s="54">
        <v>11500000</v>
      </c>
      <c r="C311" s="22" t="s">
        <v>1079</v>
      </c>
      <c r="E311" s="58"/>
      <c r="F311" s="49"/>
      <c r="G311" s="16"/>
      <c r="H311" s="16"/>
      <c r="I311" s="16"/>
    </row>
    <row r="312" spans="1:9" ht="15.75" x14ac:dyDescent="0.25">
      <c r="B312" s="30" t="s">
        <v>876</v>
      </c>
      <c r="F312" s="49"/>
      <c r="G312" s="16"/>
      <c r="H312" s="16"/>
      <c r="I312" s="16"/>
    </row>
    <row r="313" spans="1:9" ht="15.75" x14ac:dyDescent="0.25">
      <c r="A313" s="2" t="s">
        <v>965</v>
      </c>
      <c r="B313" s="1" t="s">
        <v>685</v>
      </c>
      <c r="F313" s="49"/>
      <c r="G313" s="16"/>
      <c r="H313" s="16"/>
      <c r="I313" s="16"/>
    </row>
    <row r="314" spans="1:9" ht="15.75" x14ac:dyDescent="0.25">
      <c r="A314" s="2" t="s">
        <v>112</v>
      </c>
      <c r="B314" s="36">
        <f>(B308*12*33000*B306)/(2*3.142*B307)</f>
        <v>810.22096935527873</v>
      </c>
      <c r="C314" s="1" t="s">
        <v>1075</v>
      </c>
      <c r="F314" s="49"/>
      <c r="G314" s="16"/>
      <c r="H314" s="16"/>
      <c r="I314" s="16"/>
    </row>
    <row r="315" spans="1:9" x14ac:dyDescent="0.2">
      <c r="F315" s="49"/>
      <c r="G315" s="16"/>
      <c r="H315" s="16"/>
      <c r="I315" s="16"/>
    </row>
    <row r="316" spans="1:9" x14ac:dyDescent="0.2">
      <c r="F316" s="49"/>
      <c r="G316" s="16"/>
      <c r="H316" s="16"/>
      <c r="I316" s="16"/>
    </row>
    <row r="317" spans="1:9" ht="16.5" thickBot="1" x14ac:dyDescent="0.3">
      <c r="A317" s="2" t="s">
        <v>962</v>
      </c>
      <c r="B317" s="30" t="s">
        <v>109</v>
      </c>
      <c r="F317" s="49"/>
      <c r="G317" s="16"/>
      <c r="H317" s="16"/>
      <c r="I317" s="16"/>
    </row>
    <row r="318" spans="1:9" x14ac:dyDescent="0.2">
      <c r="A318" s="28" t="s">
        <v>952</v>
      </c>
      <c r="B318" s="89">
        <v>1080</v>
      </c>
      <c r="C318" s="22" t="s">
        <v>1075</v>
      </c>
      <c r="F318" s="49"/>
      <c r="G318" s="16"/>
      <c r="H318" s="16"/>
      <c r="I318" s="16"/>
    </row>
    <row r="319" spans="1:9" ht="15.75" x14ac:dyDescent="0.25">
      <c r="A319" s="28" t="s">
        <v>1153</v>
      </c>
      <c r="B319" s="52">
        <v>0.88257002706065668</v>
      </c>
      <c r="C319" s="22" t="s">
        <v>1074</v>
      </c>
      <c r="D319" s="4" t="s">
        <v>480</v>
      </c>
      <c r="F319" s="49"/>
      <c r="G319" s="16"/>
      <c r="H319" s="16"/>
      <c r="I319" s="16"/>
    </row>
    <row r="320" spans="1:9" x14ac:dyDescent="0.2">
      <c r="A320" s="28" t="s">
        <v>1077</v>
      </c>
      <c r="B320" s="32">
        <v>10</v>
      </c>
      <c r="C320" s="22" t="s">
        <v>1078</v>
      </c>
      <c r="F320" s="49"/>
      <c r="G320" s="16"/>
      <c r="H320" s="16"/>
      <c r="I320" s="16"/>
    </row>
    <row r="321" spans="1:9" x14ac:dyDescent="0.2">
      <c r="A321" s="28" t="s">
        <v>201</v>
      </c>
      <c r="B321" s="32">
        <v>29000000</v>
      </c>
      <c r="C321" s="22" t="s">
        <v>1079</v>
      </c>
      <c r="F321" s="49"/>
      <c r="G321" s="16"/>
      <c r="H321" s="16"/>
      <c r="I321" s="16"/>
    </row>
    <row r="322" spans="1:9" ht="15.75" thickBot="1" x14ac:dyDescent="0.25">
      <c r="A322" s="28" t="s">
        <v>814</v>
      </c>
      <c r="B322" s="54">
        <v>11500000</v>
      </c>
      <c r="C322" s="22" t="s">
        <v>1079</v>
      </c>
      <c r="F322" s="49"/>
      <c r="G322" s="16"/>
      <c r="H322" s="16"/>
      <c r="I322" s="16"/>
    </row>
    <row r="323" spans="1:9" x14ac:dyDescent="0.2">
      <c r="F323" s="49"/>
      <c r="G323" s="16"/>
      <c r="H323" s="16"/>
      <c r="I323" s="16"/>
    </row>
    <row r="324" spans="1:9" x14ac:dyDescent="0.2">
      <c r="F324" s="49"/>
      <c r="G324" s="16"/>
      <c r="H324" s="16"/>
      <c r="I324" s="16"/>
    </row>
    <row r="325" spans="1:9" x14ac:dyDescent="0.2">
      <c r="F325" s="49"/>
      <c r="G325" s="16"/>
      <c r="H325" s="16"/>
      <c r="I325" s="16"/>
    </row>
    <row r="326" spans="1:9" x14ac:dyDescent="0.2">
      <c r="F326" s="49"/>
      <c r="G326" s="16"/>
      <c r="H326" s="16"/>
      <c r="I326" s="16"/>
    </row>
    <row r="327" spans="1:9" ht="15.75" x14ac:dyDescent="0.25">
      <c r="B327" s="30" t="s">
        <v>876</v>
      </c>
      <c r="F327" s="49"/>
      <c r="G327" s="16"/>
      <c r="H327" s="16"/>
      <c r="I327" s="16"/>
    </row>
    <row r="328" spans="1:9" ht="15.75" x14ac:dyDescent="0.25">
      <c r="A328" s="2" t="s">
        <v>200</v>
      </c>
      <c r="B328" s="5" t="s">
        <v>1180</v>
      </c>
      <c r="C328" s="1"/>
      <c r="F328" s="49"/>
      <c r="G328" s="16"/>
      <c r="H328" s="16"/>
      <c r="I328" s="16"/>
    </row>
    <row r="329" spans="1:9" ht="15.75" x14ac:dyDescent="0.25">
      <c r="A329" s="2" t="s">
        <v>112</v>
      </c>
      <c r="B329" s="3">
        <f>(3.142*B319^4)/32</f>
        <v>5.957347030328855E-2</v>
      </c>
      <c r="C329" s="1" t="s">
        <v>1073</v>
      </c>
      <c r="F329" s="49"/>
      <c r="G329" s="16"/>
      <c r="H329" s="16"/>
      <c r="I329" s="16"/>
    </row>
    <row r="330" spans="1:9" ht="19.5" thickBot="1" x14ac:dyDescent="0.4">
      <c r="A330" s="2" t="s">
        <v>1434</v>
      </c>
      <c r="B330" s="5" t="s">
        <v>256</v>
      </c>
      <c r="C330" s="1" t="s">
        <v>1071</v>
      </c>
      <c r="F330" s="49"/>
      <c r="G330" s="16"/>
      <c r="H330" s="16"/>
      <c r="I330" s="16"/>
    </row>
    <row r="331" spans="1:9" ht="16.5" thickBot="1" x14ac:dyDescent="0.3">
      <c r="A331" s="2" t="s">
        <v>112</v>
      </c>
      <c r="B331" s="129">
        <f>B318*B319/(2*B329)</f>
        <v>8000.0008760014471</v>
      </c>
      <c r="C331" s="1" t="s">
        <v>1154</v>
      </c>
      <c r="D331" s="4" t="s">
        <v>480</v>
      </c>
      <c r="F331" s="49"/>
      <c r="G331" s="16"/>
      <c r="H331" s="16"/>
      <c r="I331" s="16"/>
    </row>
    <row r="332" spans="1:9" ht="15.75" x14ac:dyDescent="0.25">
      <c r="A332" s="2" t="s">
        <v>850</v>
      </c>
      <c r="B332" s="5" t="s">
        <v>1137</v>
      </c>
      <c r="C332" s="1" t="s">
        <v>1071</v>
      </c>
      <c r="F332" s="49"/>
      <c r="G332" s="16"/>
      <c r="H332" s="16"/>
      <c r="I332" s="16"/>
    </row>
    <row r="333" spans="1:9" ht="15.75" x14ac:dyDescent="0.25">
      <c r="A333" s="2" t="s">
        <v>112</v>
      </c>
      <c r="B333" s="51">
        <f>(B318*B320)/(B329*B322)</f>
        <v>1.576423918233226E-2</v>
      </c>
      <c r="C333" s="1" t="s">
        <v>1080</v>
      </c>
      <c r="F333" s="49"/>
      <c r="G333" s="16"/>
      <c r="H333" s="16"/>
      <c r="I333" s="16"/>
    </row>
    <row r="334" spans="1:9" ht="15.75" x14ac:dyDescent="0.25">
      <c r="A334" s="2" t="s">
        <v>112</v>
      </c>
      <c r="B334" s="37">
        <f>B333*57.2975</f>
        <v>0.90325149454968268</v>
      </c>
      <c r="C334" s="1" t="s">
        <v>1083</v>
      </c>
      <c r="F334" s="49"/>
      <c r="G334" s="16"/>
      <c r="H334" s="16"/>
      <c r="I334" s="16"/>
    </row>
    <row r="335" spans="1:9" x14ac:dyDescent="0.2">
      <c r="A335" s="124"/>
      <c r="B335" s="125"/>
      <c r="C335" s="126"/>
      <c r="D335" s="23"/>
      <c r="E335" s="23"/>
      <c r="F335" s="49"/>
      <c r="G335" s="16"/>
      <c r="H335" s="16"/>
      <c r="I335" s="16"/>
    </row>
    <row r="336" spans="1:9" x14ac:dyDescent="0.2">
      <c r="G336" s="16"/>
      <c r="H336" s="16"/>
      <c r="I336" s="16"/>
    </row>
    <row r="337" spans="1:9" ht="15.75" x14ac:dyDescent="0.25">
      <c r="A337" s="1" t="s">
        <v>964</v>
      </c>
      <c r="F337" s="49"/>
      <c r="G337" s="16"/>
      <c r="H337" s="16"/>
      <c r="I337" s="16"/>
    </row>
    <row r="338" spans="1:9" ht="16.5" thickBot="1" x14ac:dyDescent="0.3">
      <c r="B338" s="30" t="s">
        <v>109</v>
      </c>
      <c r="F338" s="49"/>
      <c r="G338" s="16"/>
      <c r="H338" s="16"/>
      <c r="I338" s="16"/>
    </row>
    <row r="339" spans="1:9" x14ac:dyDescent="0.2">
      <c r="A339" s="28" t="s">
        <v>343</v>
      </c>
      <c r="B339" s="31">
        <v>360</v>
      </c>
      <c r="C339" s="22" t="s">
        <v>1075</v>
      </c>
      <c r="F339" s="49"/>
      <c r="G339" s="16"/>
      <c r="H339" s="16"/>
      <c r="I339" s="16"/>
    </row>
    <row r="340" spans="1:9" ht="15.75" thickBot="1" x14ac:dyDescent="0.25">
      <c r="A340" s="28" t="s">
        <v>1090</v>
      </c>
      <c r="B340" s="65">
        <v>2</v>
      </c>
      <c r="C340" s="22" t="s">
        <v>1078</v>
      </c>
      <c r="F340" s="49"/>
      <c r="G340" s="16"/>
      <c r="H340" s="16"/>
      <c r="I340" s="16"/>
    </row>
    <row r="341" spans="1:9" ht="15.75" x14ac:dyDescent="0.25">
      <c r="B341" s="30" t="s">
        <v>876</v>
      </c>
      <c r="F341" s="49"/>
      <c r="G341" s="16"/>
      <c r="H341" s="16"/>
      <c r="I341" s="16"/>
    </row>
    <row r="342" spans="1:9" ht="15.75" x14ac:dyDescent="0.25">
      <c r="A342" s="2" t="s">
        <v>1089</v>
      </c>
      <c r="B342" s="5" t="s">
        <v>1180</v>
      </c>
      <c r="F342" s="49"/>
      <c r="G342" s="16"/>
      <c r="H342" s="16"/>
      <c r="I342" s="16"/>
    </row>
    <row r="343" spans="1:9" ht="15.75" x14ac:dyDescent="0.25">
      <c r="A343" s="26" t="s">
        <v>748</v>
      </c>
      <c r="B343" s="3">
        <f>(3.142*B340^4)/32</f>
        <v>1.571</v>
      </c>
      <c r="C343" s="1" t="s">
        <v>1073</v>
      </c>
      <c r="E343" s="5" t="s">
        <v>1071</v>
      </c>
      <c r="F343" s="49"/>
      <c r="G343" s="16"/>
      <c r="H343" s="16"/>
      <c r="I343" s="16"/>
    </row>
    <row r="344" spans="1:9" ht="16.5" thickBot="1" x14ac:dyDescent="0.3">
      <c r="A344" s="2" t="s">
        <v>326</v>
      </c>
      <c r="B344" s="5" t="s">
        <v>334</v>
      </c>
      <c r="F344" s="49"/>
      <c r="G344" s="16"/>
      <c r="H344" s="16"/>
      <c r="I344" s="16"/>
    </row>
    <row r="345" spans="1:9" ht="16.5" thickBot="1" x14ac:dyDescent="0.3">
      <c r="A345" s="26" t="s">
        <v>748</v>
      </c>
      <c r="B345" s="129">
        <f>B339*(B340/2)/B343</f>
        <v>229.15340547422025</v>
      </c>
      <c r="C345" s="1" t="s">
        <v>1092</v>
      </c>
      <c r="F345" s="49"/>
      <c r="G345" s="16"/>
      <c r="H345" s="16"/>
      <c r="I345" s="16"/>
    </row>
    <row r="346" spans="1:9" x14ac:dyDescent="0.2">
      <c r="A346" s="124"/>
      <c r="B346" s="125"/>
      <c r="C346" s="126"/>
      <c r="D346" s="23"/>
      <c r="E346" s="23"/>
      <c r="F346" s="49"/>
      <c r="G346" s="16"/>
      <c r="H346" s="16"/>
      <c r="I346" s="16"/>
    </row>
    <row r="347" spans="1:9" x14ac:dyDescent="0.2">
      <c r="F347" s="49"/>
      <c r="G347" s="16"/>
      <c r="H347" s="16"/>
      <c r="I347" s="16"/>
    </row>
    <row r="348" spans="1:9" ht="16.5" thickBot="1" x14ac:dyDescent="0.3">
      <c r="B348" s="30" t="s">
        <v>109</v>
      </c>
      <c r="F348" s="49"/>
      <c r="G348" s="16"/>
      <c r="H348" s="16"/>
      <c r="I348" s="16"/>
    </row>
    <row r="349" spans="1:9" x14ac:dyDescent="0.2">
      <c r="A349" s="28" t="s">
        <v>343</v>
      </c>
      <c r="B349" s="31">
        <v>1000</v>
      </c>
      <c r="C349" s="22" t="s">
        <v>1075</v>
      </c>
      <c r="F349" s="49"/>
      <c r="G349" s="16"/>
      <c r="H349" s="16"/>
      <c r="I349" s="16"/>
    </row>
    <row r="350" spans="1:9" x14ac:dyDescent="0.2">
      <c r="A350" s="28" t="s">
        <v>332</v>
      </c>
      <c r="B350" s="52">
        <v>2.25</v>
      </c>
      <c r="C350" s="22" t="s">
        <v>1078</v>
      </c>
      <c r="F350" s="49"/>
      <c r="G350" s="16"/>
      <c r="H350" s="16"/>
      <c r="I350" s="16"/>
    </row>
    <row r="351" spans="1:9" ht="15.75" thickBot="1" x14ac:dyDescent="0.25">
      <c r="A351" s="28" t="s">
        <v>333</v>
      </c>
      <c r="B351" s="65">
        <v>1.125</v>
      </c>
      <c r="C351" s="22" t="s">
        <v>1078</v>
      </c>
      <c r="F351" s="49"/>
      <c r="G351" s="16"/>
      <c r="H351" s="16"/>
      <c r="I351" s="16"/>
    </row>
    <row r="352" spans="1:9" ht="15.75" x14ac:dyDescent="0.25">
      <c r="B352" s="30" t="s">
        <v>876</v>
      </c>
      <c r="F352" s="49"/>
      <c r="G352" s="16"/>
      <c r="H352" s="16"/>
      <c r="I352" s="16"/>
    </row>
    <row r="353" spans="1:9" ht="15.75" x14ac:dyDescent="0.25">
      <c r="A353" s="2" t="s">
        <v>1089</v>
      </c>
      <c r="B353" s="5" t="s">
        <v>1184</v>
      </c>
      <c r="F353" s="49"/>
      <c r="G353" s="16"/>
      <c r="H353" s="16"/>
      <c r="I353" s="16"/>
    </row>
    <row r="354" spans="1:9" ht="15.75" x14ac:dyDescent="0.25">
      <c r="A354" s="26" t="s">
        <v>1091</v>
      </c>
      <c r="B354" s="3">
        <f>(3.142*(B350^4-B351^4))/32</f>
        <v>2.3591608428955078</v>
      </c>
      <c r="C354" s="1" t="s">
        <v>1073</v>
      </c>
      <c r="F354" s="49"/>
      <c r="G354" s="16"/>
      <c r="H354" s="16"/>
      <c r="I354" s="16"/>
    </row>
    <row r="355" spans="1:9" ht="16.5" thickBot="1" x14ac:dyDescent="0.3">
      <c r="A355" s="2" t="s">
        <v>326</v>
      </c>
      <c r="B355" s="5" t="s">
        <v>331</v>
      </c>
      <c r="F355" s="49"/>
      <c r="G355" s="16"/>
      <c r="H355" s="16"/>
      <c r="I355" s="16"/>
    </row>
    <row r="356" spans="1:9" ht="16.5" thickBot="1" x14ac:dyDescent="0.3">
      <c r="A356" s="26" t="s">
        <v>112</v>
      </c>
      <c r="B356" s="129">
        <f>B349*(B350/2)/B354</f>
        <v>476.86447636153338</v>
      </c>
      <c r="C356" s="1" t="s">
        <v>1092</v>
      </c>
      <c r="F356" s="49"/>
      <c r="G356" s="16"/>
      <c r="H356" s="16"/>
      <c r="I356" s="16"/>
    </row>
    <row r="357" spans="1:9" x14ac:dyDescent="0.2">
      <c r="A357" s="124"/>
      <c r="B357" s="125"/>
      <c r="C357" s="126"/>
      <c r="D357" s="23"/>
      <c r="E357" s="23"/>
      <c r="F357" s="49"/>
      <c r="G357" s="16"/>
      <c r="H357" s="16"/>
      <c r="I357" s="16"/>
    </row>
    <row r="358" spans="1:9" x14ac:dyDescent="0.2">
      <c r="F358" s="49"/>
      <c r="G358" s="16"/>
      <c r="H358" s="16"/>
      <c r="I358" s="16"/>
    </row>
    <row r="359" spans="1:9" ht="16.5" thickBot="1" x14ac:dyDescent="0.3">
      <c r="B359" s="30" t="s">
        <v>109</v>
      </c>
      <c r="F359" s="49"/>
      <c r="G359" s="16"/>
      <c r="H359" s="16"/>
      <c r="I359" s="16"/>
    </row>
    <row r="360" spans="1:9" x14ac:dyDescent="0.2">
      <c r="A360" s="28" t="s">
        <v>343</v>
      </c>
      <c r="B360" s="31">
        <v>1000</v>
      </c>
      <c r="C360" s="22" t="s">
        <v>1075</v>
      </c>
      <c r="F360" s="49"/>
      <c r="G360" s="16"/>
      <c r="H360" s="16"/>
      <c r="I360" s="16"/>
    </row>
    <row r="361" spans="1:9" ht="15.75" thickBot="1" x14ac:dyDescent="0.25">
      <c r="A361" s="28" t="s">
        <v>852</v>
      </c>
      <c r="B361" s="65">
        <v>1.75</v>
      </c>
      <c r="C361" s="22" t="s">
        <v>1078</v>
      </c>
      <c r="F361" s="49"/>
      <c r="G361" s="16"/>
      <c r="H361" s="16"/>
      <c r="I361" s="16"/>
    </row>
    <row r="362" spans="1:9" ht="15.75" x14ac:dyDescent="0.25">
      <c r="B362" s="30" t="s">
        <v>876</v>
      </c>
      <c r="F362" s="49"/>
      <c r="G362" s="16"/>
      <c r="H362" s="16"/>
      <c r="I362" s="16"/>
    </row>
    <row r="363" spans="1:9" ht="15.75" x14ac:dyDescent="0.25">
      <c r="A363" s="2" t="s">
        <v>1089</v>
      </c>
      <c r="B363" s="5" t="s">
        <v>853</v>
      </c>
      <c r="F363" s="49"/>
      <c r="G363" s="16"/>
      <c r="H363" s="16"/>
      <c r="I363" s="16"/>
    </row>
    <row r="364" spans="1:9" ht="15.75" x14ac:dyDescent="0.25">
      <c r="A364" s="26" t="s">
        <v>112</v>
      </c>
      <c r="B364" s="3">
        <f>B361^4/6</f>
        <v>1.5631510416666667</v>
      </c>
      <c r="C364" s="1" t="s">
        <v>1073</v>
      </c>
      <c r="F364" s="49"/>
      <c r="G364" s="16"/>
      <c r="H364" s="16"/>
      <c r="I364" s="16"/>
    </row>
    <row r="365" spans="1:9" ht="16.5" thickBot="1" x14ac:dyDescent="0.3">
      <c r="A365" s="2" t="s">
        <v>326</v>
      </c>
      <c r="B365" s="5" t="s">
        <v>330</v>
      </c>
      <c r="F365" s="49"/>
      <c r="G365" s="16"/>
      <c r="H365" s="16"/>
      <c r="I365" s="16"/>
    </row>
    <row r="366" spans="1:9" ht="16.5" thickBot="1" x14ac:dyDescent="0.3">
      <c r="A366" s="26" t="s">
        <v>112</v>
      </c>
      <c r="B366" s="129">
        <f>B360*(B361/2)/B364</f>
        <v>559.76676384839652</v>
      </c>
      <c r="C366" s="1" t="s">
        <v>1092</v>
      </c>
      <c r="G366" s="16"/>
      <c r="H366" s="16"/>
      <c r="I366" s="16"/>
    </row>
    <row r="367" spans="1:9" x14ac:dyDescent="0.2">
      <c r="F367" s="49"/>
      <c r="G367" s="16"/>
      <c r="H367" s="16"/>
      <c r="I367" s="16"/>
    </row>
    <row r="368" spans="1:9" x14ac:dyDescent="0.2">
      <c r="F368" s="49"/>
      <c r="G368" s="16"/>
      <c r="H368" s="16"/>
      <c r="I368" s="16"/>
    </row>
    <row r="369" spans="1:9" x14ac:dyDescent="0.2">
      <c r="F369" s="49"/>
      <c r="G369" s="16"/>
      <c r="H369" s="16"/>
      <c r="I369" s="16"/>
    </row>
    <row r="370" spans="1:9" x14ac:dyDescent="0.2">
      <c r="F370" s="49"/>
      <c r="G370" s="16"/>
      <c r="H370" s="16"/>
      <c r="I370" s="16"/>
    </row>
    <row r="371" spans="1:9" ht="16.5" thickBot="1" x14ac:dyDescent="0.3">
      <c r="B371" s="30" t="s">
        <v>109</v>
      </c>
      <c r="F371" s="49"/>
      <c r="G371" s="16"/>
      <c r="H371" s="16"/>
      <c r="I371" s="16"/>
    </row>
    <row r="372" spans="1:9" x14ac:dyDescent="0.2">
      <c r="A372" s="28" t="s">
        <v>343</v>
      </c>
      <c r="B372" s="31">
        <v>1000</v>
      </c>
      <c r="C372" s="22" t="s">
        <v>1075</v>
      </c>
      <c r="F372" s="49"/>
      <c r="G372" s="16"/>
      <c r="H372" s="16"/>
      <c r="I372" s="16"/>
    </row>
    <row r="373" spans="1:9" x14ac:dyDescent="0.2">
      <c r="A373" s="28" t="s">
        <v>1095</v>
      </c>
      <c r="B373" s="52">
        <v>1</v>
      </c>
      <c r="C373" s="22" t="s">
        <v>1078</v>
      </c>
      <c r="F373" s="49"/>
      <c r="G373" s="16"/>
      <c r="H373" s="16"/>
      <c r="I373" s="16"/>
    </row>
    <row r="374" spans="1:9" ht="15.75" thickBot="1" x14ac:dyDescent="0.25">
      <c r="A374" s="28" t="s">
        <v>1096</v>
      </c>
      <c r="B374" s="65">
        <v>2</v>
      </c>
      <c r="C374" s="22" t="s">
        <v>1078</v>
      </c>
      <c r="F374" s="49"/>
      <c r="G374" s="16"/>
      <c r="H374" s="16"/>
      <c r="I374" s="16"/>
    </row>
    <row r="375" spans="1:9" ht="15.75" x14ac:dyDescent="0.25">
      <c r="B375" s="30" t="s">
        <v>876</v>
      </c>
      <c r="F375" s="49"/>
      <c r="G375" s="16"/>
      <c r="H375" s="16"/>
      <c r="I375" s="16"/>
    </row>
    <row r="376" spans="1:9" ht="15.75" x14ac:dyDescent="0.25">
      <c r="A376" s="2" t="s">
        <v>1089</v>
      </c>
      <c r="B376" s="5" t="s">
        <v>953</v>
      </c>
      <c r="F376" s="49"/>
      <c r="G376" s="16"/>
      <c r="H376" s="16"/>
      <c r="I376" s="16"/>
    </row>
    <row r="377" spans="1:9" ht="15.75" x14ac:dyDescent="0.25">
      <c r="A377" s="26" t="s">
        <v>112</v>
      </c>
      <c r="B377" s="3">
        <f>B373*B374*(B373^2+B374^2)/12</f>
        <v>0.83333333333333337</v>
      </c>
      <c r="C377" s="1" t="s">
        <v>1073</v>
      </c>
      <c r="F377" s="49"/>
      <c r="G377" s="16"/>
      <c r="H377" s="16"/>
      <c r="I377" s="16"/>
    </row>
    <row r="378" spans="1:9" ht="16.5" thickBot="1" x14ac:dyDescent="0.3">
      <c r="A378" s="2" t="s">
        <v>326</v>
      </c>
      <c r="B378" s="5" t="s">
        <v>330</v>
      </c>
      <c r="F378" s="49"/>
      <c r="G378" s="16"/>
      <c r="H378" s="16"/>
      <c r="I378" s="16"/>
    </row>
    <row r="379" spans="1:9" ht="16.5" thickBot="1" x14ac:dyDescent="0.3">
      <c r="A379" s="26" t="s">
        <v>748</v>
      </c>
      <c r="B379" s="129">
        <f>B372*(B373/2)/B377</f>
        <v>600</v>
      </c>
      <c r="C379" s="1" t="s">
        <v>1092</v>
      </c>
      <c r="F379" s="49"/>
      <c r="G379" s="16"/>
      <c r="H379" s="16"/>
      <c r="I379" s="16"/>
    </row>
    <row r="380" spans="1:9" x14ac:dyDescent="0.2">
      <c r="F380" s="49"/>
      <c r="G380" s="16"/>
      <c r="H380" s="16"/>
      <c r="I380" s="16"/>
    </row>
    <row r="381" spans="1:9" x14ac:dyDescent="0.2">
      <c r="A381" s="124"/>
      <c r="B381" s="125"/>
      <c r="C381" s="126"/>
      <c r="D381" s="23"/>
      <c r="E381" s="23"/>
      <c r="F381" s="49"/>
      <c r="G381" s="16"/>
      <c r="H381" s="16"/>
      <c r="I381" s="16"/>
    </row>
    <row r="382" spans="1:9" x14ac:dyDescent="0.2">
      <c r="F382" s="49"/>
      <c r="G382" s="16"/>
      <c r="H382" s="16"/>
      <c r="I382" s="16"/>
    </row>
    <row r="383" spans="1:9" x14ac:dyDescent="0.2">
      <c r="F383" s="49"/>
      <c r="G383" s="16"/>
      <c r="H383" s="16"/>
      <c r="I383" s="16"/>
    </row>
    <row r="384" spans="1:9" x14ac:dyDescent="0.2">
      <c r="F384" s="49"/>
      <c r="G384" s="16"/>
      <c r="H384" s="16"/>
      <c r="I384" s="16"/>
    </row>
    <row r="385" spans="1:9" x14ac:dyDescent="0.2">
      <c r="F385" s="49"/>
      <c r="G385" s="16"/>
      <c r="H385" s="16"/>
      <c r="I385" s="16"/>
    </row>
    <row r="386" spans="1:9" x14ac:dyDescent="0.2">
      <c r="F386" s="49"/>
      <c r="G386" s="16"/>
      <c r="H386" s="16"/>
      <c r="I386" s="16"/>
    </row>
    <row r="387" spans="1:9" x14ac:dyDescent="0.2">
      <c r="F387" s="49"/>
      <c r="G387" s="16"/>
      <c r="H387" s="16"/>
      <c r="I387" s="16"/>
    </row>
    <row r="388" spans="1:9" x14ac:dyDescent="0.2">
      <c r="F388" s="49"/>
      <c r="G388" s="16"/>
      <c r="H388" s="16"/>
      <c r="I388" s="16"/>
    </row>
    <row r="389" spans="1:9" x14ac:dyDescent="0.2">
      <c r="F389" s="49"/>
      <c r="G389" s="16"/>
      <c r="H389" s="16"/>
      <c r="I389" s="16"/>
    </row>
    <row r="390" spans="1:9" x14ac:dyDescent="0.2">
      <c r="F390" s="49"/>
      <c r="G390" s="16"/>
      <c r="H390" s="16"/>
      <c r="I390" s="16"/>
    </row>
    <row r="391" spans="1:9" x14ac:dyDescent="0.2">
      <c r="F391" s="49"/>
      <c r="G391" s="16"/>
      <c r="H391" s="16"/>
      <c r="I391" s="16"/>
    </row>
    <row r="392" spans="1:9" x14ac:dyDescent="0.2">
      <c r="F392" s="49"/>
      <c r="G392" s="16"/>
      <c r="H392" s="16"/>
      <c r="I392" s="16"/>
    </row>
    <row r="393" spans="1:9" ht="15.75" x14ac:dyDescent="0.25">
      <c r="A393" s="1" t="s">
        <v>317</v>
      </c>
      <c r="F393" s="49"/>
      <c r="G393" s="16"/>
      <c r="H393" s="16"/>
      <c r="I393" s="16"/>
    </row>
    <row r="394" spans="1:9" ht="16.5" thickBot="1" x14ac:dyDescent="0.3">
      <c r="B394" s="30" t="s">
        <v>109</v>
      </c>
      <c r="F394" s="49"/>
      <c r="G394" s="16"/>
      <c r="H394" s="16"/>
      <c r="I394" s="16"/>
    </row>
    <row r="395" spans="1:9" x14ac:dyDescent="0.2">
      <c r="A395" s="28" t="s">
        <v>1140</v>
      </c>
      <c r="B395" s="31">
        <v>740</v>
      </c>
      <c r="C395" s="22" t="s">
        <v>1100</v>
      </c>
      <c r="F395" s="49"/>
      <c r="G395" s="16"/>
      <c r="H395" s="16"/>
      <c r="I395" s="16"/>
    </row>
    <row r="396" spans="1:9" x14ac:dyDescent="0.2">
      <c r="A396" s="28" t="s">
        <v>259</v>
      </c>
      <c r="B396" s="32">
        <v>5</v>
      </c>
      <c r="C396" s="22" t="s">
        <v>1078</v>
      </c>
      <c r="F396" s="49"/>
      <c r="G396" s="16"/>
      <c r="H396" s="16"/>
      <c r="I396" s="16"/>
    </row>
    <row r="397" spans="1:9" ht="15.75" x14ac:dyDescent="0.25">
      <c r="A397" s="28" t="s">
        <v>884</v>
      </c>
      <c r="B397" s="32">
        <v>3</v>
      </c>
      <c r="E397" s="5" t="s">
        <v>1071</v>
      </c>
      <c r="F397" s="49"/>
      <c r="G397" s="16"/>
      <c r="H397" s="16"/>
      <c r="I397" s="16"/>
    </row>
    <row r="398" spans="1:9" ht="15.75" thickBot="1" x14ac:dyDescent="0.25">
      <c r="A398" s="28" t="s">
        <v>1153</v>
      </c>
      <c r="B398" s="65">
        <v>1</v>
      </c>
      <c r="C398" s="22" t="s">
        <v>1078</v>
      </c>
      <c r="F398" s="49"/>
      <c r="G398" s="16"/>
      <c r="H398" s="16"/>
      <c r="I398" s="16"/>
    </row>
    <row r="399" spans="1:9" ht="15.75" x14ac:dyDescent="0.25">
      <c r="A399" s="130" t="s">
        <v>1071</v>
      </c>
      <c r="B399" s="30" t="s">
        <v>876</v>
      </c>
      <c r="F399" s="49"/>
      <c r="G399" s="16"/>
      <c r="H399" s="16"/>
      <c r="I399" s="16"/>
    </row>
    <row r="400" spans="1:9" ht="15.75" x14ac:dyDescent="0.25">
      <c r="A400" s="2" t="s">
        <v>1144</v>
      </c>
      <c r="B400" s="5" t="s">
        <v>1146</v>
      </c>
      <c r="C400" s="1" t="s">
        <v>1141</v>
      </c>
      <c r="F400" s="49"/>
      <c r="G400" s="16"/>
      <c r="H400" s="16"/>
      <c r="I400" s="16"/>
    </row>
    <row r="401" spans="1:9" ht="15.75" x14ac:dyDescent="0.25">
      <c r="A401" s="2" t="s">
        <v>1143</v>
      </c>
      <c r="B401" s="5" t="s">
        <v>1145</v>
      </c>
      <c r="C401" s="1"/>
      <c r="F401" s="49"/>
      <c r="G401" s="16"/>
      <c r="H401" s="16"/>
      <c r="I401" s="16"/>
    </row>
    <row r="402" spans="1:9" ht="15.75" x14ac:dyDescent="0.25">
      <c r="A402" s="26" t="s">
        <v>112</v>
      </c>
      <c r="B402" s="5">
        <f>B397*B395*B396</f>
        <v>11100</v>
      </c>
      <c r="C402" s="1" t="s">
        <v>1141</v>
      </c>
      <c r="F402" s="49"/>
      <c r="G402" s="16"/>
      <c r="H402" s="16"/>
      <c r="I402" s="16"/>
    </row>
    <row r="403" spans="1:9" ht="15.75" x14ac:dyDescent="0.25">
      <c r="A403" s="2" t="s">
        <v>1131</v>
      </c>
      <c r="B403" s="5" t="s">
        <v>258</v>
      </c>
      <c r="F403" s="49"/>
      <c r="G403" s="16"/>
      <c r="H403" s="16"/>
      <c r="I403" s="16"/>
    </row>
    <row r="404" spans="1:9" ht="15.75" x14ac:dyDescent="0.25">
      <c r="A404" s="26" t="s">
        <v>748</v>
      </c>
      <c r="B404" s="3">
        <f>(3.142*B398^4)/64</f>
        <v>4.9093749999999999E-2</v>
      </c>
      <c r="C404" s="1" t="s">
        <v>1073</v>
      </c>
      <c r="E404" s="16" t="s">
        <v>1071</v>
      </c>
      <c r="F404" s="49"/>
      <c r="G404" s="16"/>
      <c r="H404" s="16"/>
      <c r="I404" s="16"/>
    </row>
    <row r="405" spans="1:9" ht="16.5" thickBot="1" x14ac:dyDescent="0.3">
      <c r="A405" s="2" t="s">
        <v>260</v>
      </c>
      <c r="B405" s="5" t="s">
        <v>257</v>
      </c>
      <c r="F405" s="49"/>
      <c r="G405" s="16"/>
      <c r="H405" s="16"/>
      <c r="I405" s="16"/>
    </row>
    <row r="406" spans="1:9" ht="16.5" thickBot="1" x14ac:dyDescent="0.3">
      <c r="A406" s="26" t="s">
        <v>112</v>
      </c>
      <c r="B406" s="129">
        <f>B402*B398/(2*B404)</f>
        <v>113049.01336728199</v>
      </c>
      <c r="C406" s="1" t="s">
        <v>1072</v>
      </c>
      <c r="D406" s="4" t="s">
        <v>480</v>
      </c>
      <c r="F406" s="49"/>
      <c r="G406" s="16"/>
      <c r="H406" s="16"/>
      <c r="I406" s="16"/>
    </row>
    <row r="407" spans="1:9" x14ac:dyDescent="0.2">
      <c r="F407" s="49"/>
      <c r="G407" s="16"/>
      <c r="H407" s="16"/>
      <c r="I407" s="16"/>
    </row>
    <row r="408" spans="1:9" x14ac:dyDescent="0.2">
      <c r="A408" s="124"/>
      <c r="B408" s="125"/>
      <c r="C408" s="126"/>
      <c r="D408" s="23"/>
      <c r="E408" s="23"/>
      <c r="F408" s="49"/>
      <c r="G408" s="16"/>
      <c r="H408" s="16"/>
      <c r="I408" s="16"/>
    </row>
    <row r="409" spans="1:9" x14ac:dyDescent="0.2">
      <c r="F409" s="49"/>
      <c r="G409" s="16"/>
      <c r="H409" s="16"/>
      <c r="I409" s="16"/>
    </row>
    <row r="410" spans="1:9" ht="16.5" thickBot="1" x14ac:dyDescent="0.3">
      <c r="A410" s="1" t="s">
        <v>851</v>
      </c>
      <c r="B410" s="30" t="s">
        <v>107</v>
      </c>
      <c r="F410" s="49"/>
      <c r="G410" s="16"/>
      <c r="H410" s="16"/>
      <c r="I410" s="16"/>
    </row>
    <row r="411" spans="1:9" x14ac:dyDescent="0.2">
      <c r="A411" s="28" t="s">
        <v>261</v>
      </c>
      <c r="B411" s="31">
        <v>740</v>
      </c>
      <c r="C411" s="22" t="s">
        <v>1100</v>
      </c>
      <c r="F411" s="49"/>
      <c r="G411" s="16"/>
      <c r="H411" s="16"/>
      <c r="I411" s="16"/>
    </row>
    <row r="412" spans="1:9" x14ac:dyDescent="0.2">
      <c r="A412" s="28" t="s">
        <v>1153</v>
      </c>
      <c r="B412" s="52">
        <v>1</v>
      </c>
      <c r="C412" s="22" t="s">
        <v>1078</v>
      </c>
      <c r="F412" s="49"/>
      <c r="G412" s="16"/>
      <c r="H412" s="16"/>
      <c r="I412" s="16"/>
    </row>
    <row r="413" spans="1:9" x14ac:dyDescent="0.2">
      <c r="A413" s="28" t="s">
        <v>1077</v>
      </c>
      <c r="B413" s="32">
        <v>10</v>
      </c>
      <c r="C413" s="22" t="s">
        <v>1078</v>
      </c>
      <c r="F413" s="49"/>
      <c r="G413" s="16"/>
      <c r="H413" s="16"/>
      <c r="I413" s="16"/>
    </row>
    <row r="414" spans="1:9" x14ac:dyDescent="0.2">
      <c r="A414" s="28" t="s">
        <v>1135</v>
      </c>
      <c r="B414" s="32">
        <v>5</v>
      </c>
      <c r="C414" s="22" t="s">
        <v>1078</v>
      </c>
      <c r="F414" s="49"/>
      <c r="G414" s="16"/>
      <c r="H414" s="16"/>
      <c r="I414" s="16"/>
    </row>
    <row r="415" spans="1:9" x14ac:dyDescent="0.2">
      <c r="A415" s="28" t="s">
        <v>1139</v>
      </c>
      <c r="B415" s="32">
        <v>3</v>
      </c>
      <c r="F415" s="49"/>
      <c r="G415" s="16"/>
      <c r="H415" s="16"/>
      <c r="I415" s="16"/>
    </row>
    <row r="416" spans="1:9" ht="15.75" thickBot="1" x14ac:dyDescent="0.25">
      <c r="A416" s="28" t="s">
        <v>1099</v>
      </c>
      <c r="B416" s="54">
        <v>29000000</v>
      </c>
      <c r="C416" s="22" t="s">
        <v>1079</v>
      </c>
      <c r="F416" s="49"/>
      <c r="G416" s="16"/>
      <c r="H416" s="16"/>
      <c r="I416" s="16"/>
    </row>
    <row r="417" spans="1:9" x14ac:dyDescent="0.2">
      <c r="F417" s="49"/>
      <c r="G417" s="16"/>
      <c r="H417" s="16"/>
      <c r="I417" s="16"/>
    </row>
    <row r="418" spans="1:9" x14ac:dyDescent="0.2">
      <c r="F418" s="49"/>
      <c r="G418" s="16"/>
      <c r="H418" s="16"/>
      <c r="I418" s="16"/>
    </row>
    <row r="419" spans="1:9" x14ac:dyDescent="0.2">
      <c r="F419" s="49"/>
      <c r="G419" s="16"/>
      <c r="H419" s="16"/>
      <c r="I419" s="16"/>
    </row>
    <row r="420" spans="1:9" ht="15.75" x14ac:dyDescent="0.25">
      <c r="B420" s="30" t="s">
        <v>876</v>
      </c>
      <c r="F420" s="49"/>
      <c r="G420" s="16"/>
      <c r="H420" s="16"/>
      <c r="I420" s="16"/>
    </row>
    <row r="421" spans="1:9" ht="15.75" x14ac:dyDescent="0.25">
      <c r="A421" s="2" t="s">
        <v>1131</v>
      </c>
      <c r="B421" s="5" t="s">
        <v>258</v>
      </c>
      <c r="F421" s="49"/>
      <c r="G421" s="16"/>
      <c r="H421" s="16"/>
      <c r="I421" s="16"/>
    </row>
    <row r="422" spans="1:9" ht="15.75" x14ac:dyDescent="0.25">
      <c r="A422" s="25" t="s">
        <v>748</v>
      </c>
      <c r="B422" s="3">
        <f>3.1416*B412^4 / 64</f>
        <v>4.9087499999999999E-2</v>
      </c>
      <c r="C422" s="1" t="s">
        <v>1073</v>
      </c>
      <c r="F422" s="49"/>
      <c r="G422" s="16"/>
      <c r="H422" s="16"/>
      <c r="I422" s="16"/>
    </row>
    <row r="423" spans="1:9" ht="15.75" x14ac:dyDescent="0.25">
      <c r="A423" s="2" t="s">
        <v>1142</v>
      </c>
      <c r="B423" s="5">
        <f>B414</f>
        <v>5</v>
      </c>
      <c r="C423" s="1" t="s">
        <v>1078</v>
      </c>
      <c r="F423" s="49"/>
      <c r="G423" s="16"/>
      <c r="H423" s="16"/>
      <c r="I423" s="16"/>
    </row>
    <row r="424" spans="1:9" ht="15.75" x14ac:dyDescent="0.25">
      <c r="A424" s="2" t="s">
        <v>483</v>
      </c>
      <c r="B424" s="5" t="s">
        <v>263</v>
      </c>
      <c r="F424" s="49"/>
      <c r="G424" s="16"/>
      <c r="H424" s="16"/>
      <c r="I424" s="16"/>
    </row>
    <row r="425" spans="1:9" ht="15.75" x14ac:dyDescent="0.25">
      <c r="A425" s="26" t="s">
        <v>748</v>
      </c>
      <c r="B425" s="5">
        <f>B415*B411*B423</f>
        <v>11100</v>
      </c>
      <c r="C425" s="1" t="s">
        <v>1075</v>
      </c>
      <c r="F425" s="49"/>
      <c r="G425" s="16"/>
      <c r="H425" s="16"/>
      <c r="I425" s="16"/>
    </row>
    <row r="426" spans="1:9" ht="16.5" thickBot="1" x14ac:dyDescent="0.3">
      <c r="A426" s="2" t="s">
        <v>481</v>
      </c>
      <c r="B426" s="5" t="s">
        <v>482</v>
      </c>
      <c r="C426" s="1"/>
      <c r="F426" s="49"/>
      <c r="G426" s="16"/>
      <c r="H426" s="16"/>
      <c r="I426" s="16"/>
    </row>
    <row r="427" spans="1:9" ht="16.5" thickBot="1" x14ac:dyDescent="0.3">
      <c r="B427" s="129">
        <f>B425*(B412/2) / B422</f>
        <v>113063.40718105424</v>
      </c>
      <c r="C427" s="1" t="s">
        <v>1154</v>
      </c>
      <c r="D427" s="4" t="s">
        <v>480</v>
      </c>
      <c r="F427" s="49"/>
      <c r="G427" s="16"/>
      <c r="H427" s="16"/>
      <c r="I427" s="16"/>
    </row>
    <row r="428" spans="1:9" ht="15.75" x14ac:dyDescent="0.25">
      <c r="A428" s="2" t="s">
        <v>1183</v>
      </c>
      <c r="B428" s="61" t="s">
        <v>262</v>
      </c>
      <c r="D428" s="12" t="s">
        <v>1138</v>
      </c>
      <c r="F428" s="49"/>
      <c r="G428" s="16"/>
      <c r="H428" s="16"/>
      <c r="I428" s="16"/>
    </row>
    <row r="429" spans="1:9" ht="15.75" x14ac:dyDescent="0.25">
      <c r="A429" s="26" t="s">
        <v>748</v>
      </c>
      <c r="B429" s="51">
        <f>(-B411*B414^2/(6*B416*B422))*((3*B413)-B414)</f>
        <v>-5.41491413702367E-2</v>
      </c>
      <c r="C429" s="1" t="s">
        <v>1078</v>
      </c>
      <c r="F429" s="49"/>
      <c r="G429" s="16"/>
      <c r="H429" s="16"/>
      <c r="I429" s="16"/>
    </row>
    <row r="430" spans="1:9" ht="15.75" x14ac:dyDescent="0.25">
      <c r="A430" s="2" t="s">
        <v>1182</v>
      </c>
      <c r="B430" s="61" t="s">
        <v>1101</v>
      </c>
      <c r="C430" s="22" t="s">
        <v>1071</v>
      </c>
      <c r="F430" s="49"/>
      <c r="G430" s="16"/>
      <c r="H430" s="16"/>
      <c r="I430" s="16"/>
    </row>
    <row r="431" spans="1:9" ht="15.75" x14ac:dyDescent="0.25">
      <c r="A431" s="26" t="s">
        <v>1217</v>
      </c>
      <c r="B431" s="51">
        <f>(-B411*B413^3)/(3*B416*B422)</f>
        <v>-0.17327725238475747</v>
      </c>
      <c r="C431" s="1" t="s">
        <v>1078</v>
      </c>
      <c r="F431" s="49"/>
      <c r="G431" s="16"/>
      <c r="H431" s="16"/>
      <c r="I431" s="16"/>
    </row>
    <row r="432" spans="1:9" x14ac:dyDescent="0.2">
      <c r="F432" s="49"/>
      <c r="G432" s="16"/>
      <c r="H432" s="16"/>
      <c r="I432" s="16"/>
    </row>
    <row r="433" spans="1:9" x14ac:dyDescent="0.2">
      <c r="A433" s="124"/>
      <c r="B433" s="125"/>
      <c r="C433" s="126"/>
      <c r="D433" s="23"/>
      <c r="E433" s="23"/>
      <c r="F433" s="49"/>
      <c r="G433" s="16"/>
      <c r="H433" s="16"/>
      <c r="I433" s="16"/>
    </row>
    <row r="434" spans="1:9" x14ac:dyDescent="0.2">
      <c r="F434" s="49"/>
      <c r="G434" s="16"/>
      <c r="H434" s="16"/>
      <c r="I434" s="16"/>
    </row>
    <row r="435" spans="1:9" ht="16.5" thickBot="1" x14ac:dyDescent="0.3">
      <c r="A435" s="2" t="s">
        <v>1134</v>
      </c>
      <c r="B435" s="30" t="s">
        <v>109</v>
      </c>
      <c r="F435" s="49"/>
      <c r="G435" s="16"/>
      <c r="H435" s="16"/>
      <c r="I435" s="16"/>
    </row>
    <row r="436" spans="1:9" ht="15.75" thickBot="1" x14ac:dyDescent="0.25">
      <c r="A436" s="28" t="s">
        <v>1090</v>
      </c>
      <c r="B436" s="131">
        <v>1</v>
      </c>
      <c r="C436" s="22" t="s">
        <v>1078</v>
      </c>
      <c r="F436" s="49"/>
      <c r="G436" s="16"/>
      <c r="H436" s="16"/>
      <c r="I436" s="16"/>
    </row>
    <row r="437" spans="1:9" ht="15.75" x14ac:dyDescent="0.25">
      <c r="B437" s="30" t="s">
        <v>125</v>
      </c>
      <c r="F437" s="49"/>
      <c r="G437" s="16"/>
      <c r="H437" s="16"/>
      <c r="I437" s="16"/>
    </row>
    <row r="438" spans="1:9" ht="15.75" x14ac:dyDescent="0.25">
      <c r="A438" s="28" t="s">
        <v>318</v>
      </c>
      <c r="B438" s="5" t="s">
        <v>258</v>
      </c>
      <c r="F438" s="49"/>
      <c r="G438" s="16"/>
      <c r="H438" s="16"/>
      <c r="I438" s="16"/>
    </row>
    <row r="439" spans="1:9" ht="15.75" x14ac:dyDescent="0.25">
      <c r="A439" s="2" t="s">
        <v>319</v>
      </c>
      <c r="B439" s="3">
        <f>(3.142*B436^4)/64</f>
        <v>4.9093749999999999E-2</v>
      </c>
      <c r="C439" s="1" t="s">
        <v>1073</v>
      </c>
      <c r="F439" s="49"/>
      <c r="G439" s="16"/>
      <c r="H439" s="16"/>
      <c r="I439" s="16"/>
    </row>
    <row r="440" spans="1:9" x14ac:dyDescent="0.2">
      <c r="F440" s="49"/>
      <c r="G440" s="16"/>
      <c r="H440" s="16"/>
      <c r="I440" s="16"/>
    </row>
    <row r="441" spans="1:9" ht="16.5" thickBot="1" x14ac:dyDescent="0.3">
      <c r="A441" s="2" t="s">
        <v>1147</v>
      </c>
      <c r="B441" s="30" t="s">
        <v>109</v>
      </c>
      <c r="F441" s="49"/>
      <c r="G441" s="16"/>
      <c r="H441" s="16"/>
      <c r="I441" s="16"/>
    </row>
    <row r="442" spans="1:9" x14ac:dyDescent="0.2">
      <c r="A442" s="28" t="s">
        <v>1093</v>
      </c>
      <c r="B442" s="63">
        <v>1.75</v>
      </c>
      <c r="C442" s="22" t="s">
        <v>1078</v>
      </c>
      <c r="F442" s="49"/>
      <c r="G442" s="16"/>
      <c r="H442" s="16"/>
      <c r="I442" s="16"/>
    </row>
    <row r="443" spans="1:9" ht="15.75" thickBot="1" x14ac:dyDescent="0.25">
      <c r="A443" s="28" t="s">
        <v>1094</v>
      </c>
      <c r="B443" s="54">
        <v>1.5</v>
      </c>
      <c r="C443" s="22" t="s">
        <v>1078</v>
      </c>
      <c r="F443" s="49"/>
      <c r="G443" s="16"/>
      <c r="H443" s="16"/>
      <c r="I443" s="16"/>
    </row>
    <row r="444" spans="1:9" ht="15.75" x14ac:dyDescent="0.25">
      <c r="B444" s="30" t="s">
        <v>876</v>
      </c>
      <c r="F444" s="49"/>
      <c r="G444" s="16"/>
      <c r="H444" s="16"/>
      <c r="I444" s="16"/>
    </row>
    <row r="445" spans="1:9" ht="15.75" x14ac:dyDescent="0.25">
      <c r="A445" s="28" t="s">
        <v>320</v>
      </c>
      <c r="B445" s="5" t="s">
        <v>338</v>
      </c>
      <c r="F445" s="49"/>
      <c r="G445" s="16"/>
      <c r="H445" s="16"/>
      <c r="I445" s="16"/>
    </row>
    <row r="446" spans="1:9" ht="15.75" x14ac:dyDescent="0.25">
      <c r="A446" s="2" t="s">
        <v>319</v>
      </c>
      <c r="B446" s="3">
        <f>(3.142*(B442^4-B443^4))/64</f>
        <v>0.21190856933593749</v>
      </c>
      <c r="C446" s="1" t="s">
        <v>1073</v>
      </c>
      <c r="E446" s="5" t="s">
        <v>1071</v>
      </c>
      <c r="F446" s="49"/>
      <c r="G446" s="16"/>
      <c r="H446" s="16"/>
      <c r="I446" s="16"/>
    </row>
    <row r="447" spans="1:9" x14ac:dyDescent="0.2">
      <c r="F447" s="49"/>
      <c r="G447" s="16"/>
      <c r="H447" s="16"/>
      <c r="I447" s="16"/>
    </row>
    <row r="448" spans="1:9" x14ac:dyDescent="0.2">
      <c r="F448" s="49"/>
      <c r="G448" s="16"/>
      <c r="H448" s="16"/>
      <c r="I448" s="16"/>
    </row>
    <row r="449" spans="1:9" ht="16.5" thickBot="1" x14ac:dyDescent="0.3">
      <c r="A449" s="2" t="s">
        <v>1147</v>
      </c>
      <c r="B449" s="30" t="s">
        <v>109</v>
      </c>
      <c r="F449" s="49"/>
      <c r="G449" s="16"/>
      <c r="H449" s="16"/>
      <c r="I449" s="16"/>
    </row>
    <row r="450" spans="1:9" ht="15.75" thickBot="1" x14ac:dyDescent="0.25">
      <c r="A450" s="28" t="s">
        <v>852</v>
      </c>
      <c r="B450" s="131">
        <v>1.75</v>
      </c>
      <c r="F450" s="49"/>
      <c r="G450" s="16"/>
      <c r="H450" s="16"/>
      <c r="I450" s="16"/>
    </row>
    <row r="451" spans="1:9" ht="15.75" x14ac:dyDescent="0.25">
      <c r="B451" s="30" t="s">
        <v>876</v>
      </c>
      <c r="F451" s="49"/>
      <c r="G451" s="16"/>
      <c r="H451" s="16"/>
      <c r="I451" s="16"/>
    </row>
    <row r="452" spans="1:9" ht="15.75" x14ac:dyDescent="0.25">
      <c r="A452" s="2" t="s">
        <v>318</v>
      </c>
      <c r="B452" s="5" t="s">
        <v>854</v>
      </c>
      <c r="C452" s="22" t="s">
        <v>1071</v>
      </c>
      <c r="F452" s="49"/>
      <c r="G452" s="16"/>
      <c r="H452" s="16"/>
      <c r="I452" s="16"/>
    </row>
    <row r="453" spans="1:9" ht="15.75" x14ac:dyDescent="0.25">
      <c r="A453" s="2" t="s">
        <v>319</v>
      </c>
      <c r="B453" s="3">
        <f>B450^4/12</f>
        <v>0.78157552083333337</v>
      </c>
      <c r="C453" s="1" t="s">
        <v>1073</v>
      </c>
      <c r="F453" s="49"/>
      <c r="G453" s="16"/>
      <c r="H453" s="16"/>
      <c r="I453" s="16"/>
    </row>
    <row r="454" spans="1:9" x14ac:dyDescent="0.2">
      <c r="F454" s="49"/>
      <c r="G454" s="16"/>
      <c r="H454" s="16"/>
      <c r="I454" s="16"/>
    </row>
    <row r="455" spans="1:9" ht="15.75" x14ac:dyDescent="0.25">
      <c r="E455" s="5" t="s">
        <v>1071</v>
      </c>
      <c r="F455" s="49"/>
      <c r="G455" s="16"/>
      <c r="H455" s="16"/>
      <c r="I455" s="16"/>
    </row>
    <row r="456" spans="1:9" x14ac:dyDescent="0.2">
      <c r="A456" s="124"/>
      <c r="B456" s="125"/>
      <c r="C456" s="126"/>
      <c r="D456" s="23"/>
      <c r="E456" s="23"/>
      <c r="F456" s="49"/>
      <c r="G456" s="16"/>
      <c r="H456" s="16"/>
      <c r="I456" s="16"/>
    </row>
    <row r="457" spans="1:9" ht="15.75" x14ac:dyDescent="0.25">
      <c r="A457" s="1" t="s">
        <v>335</v>
      </c>
      <c r="F457" s="49"/>
      <c r="G457" s="16"/>
      <c r="H457" s="16"/>
      <c r="I457" s="16"/>
    </row>
    <row r="458" spans="1:9" x14ac:dyDescent="0.2">
      <c r="A458" s="22" t="s">
        <v>1130</v>
      </c>
      <c r="F458" s="49"/>
      <c r="G458" s="16"/>
      <c r="H458" s="16"/>
      <c r="I458" s="16"/>
    </row>
    <row r="459" spans="1:9" ht="16.5" thickBot="1" x14ac:dyDescent="0.3">
      <c r="B459" s="30" t="s">
        <v>109</v>
      </c>
      <c r="F459" s="49"/>
      <c r="G459" s="16"/>
      <c r="H459" s="16"/>
      <c r="I459" s="16"/>
    </row>
    <row r="460" spans="1:9" x14ac:dyDescent="0.2">
      <c r="A460" s="28" t="s">
        <v>1132</v>
      </c>
      <c r="B460" s="31">
        <v>1000</v>
      </c>
      <c r="C460" s="22" t="s">
        <v>1075</v>
      </c>
      <c r="F460" s="49"/>
      <c r="G460" s="16"/>
      <c r="H460" s="16"/>
      <c r="I460" s="16"/>
    </row>
    <row r="461" spans="1:9" x14ac:dyDescent="0.2">
      <c r="A461" s="28" t="s">
        <v>1148</v>
      </c>
      <c r="B461" s="52">
        <v>1</v>
      </c>
      <c r="C461" s="22" t="s">
        <v>1078</v>
      </c>
      <c r="F461" s="49"/>
      <c r="G461" s="16"/>
      <c r="H461" s="16"/>
      <c r="I461" s="16"/>
    </row>
    <row r="462" spans="1:9" x14ac:dyDescent="0.2">
      <c r="A462" s="28" t="s">
        <v>318</v>
      </c>
      <c r="B462" s="32">
        <v>2.5</v>
      </c>
      <c r="C462" s="22" t="s">
        <v>1073</v>
      </c>
      <c r="F462" s="49"/>
      <c r="G462" s="16"/>
      <c r="H462" s="16"/>
      <c r="I462" s="16"/>
    </row>
    <row r="463" spans="1:9" ht="15.75" thickBot="1" x14ac:dyDescent="0.25">
      <c r="A463" s="28" t="s">
        <v>321</v>
      </c>
      <c r="B463" s="54">
        <v>3</v>
      </c>
      <c r="C463" s="22" t="s">
        <v>1284</v>
      </c>
      <c r="F463" s="49"/>
      <c r="G463" s="16"/>
      <c r="H463" s="16"/>
      <c r="I463" s="16"/>
    </row>
    <row r="464" spans="1:9" ht="15.75" x14ac:dyDescent="0.25">
      <c r="B464" s="30" t="s">
        <v>876</v>
      </c>
      <c r="F464" s="49"/>
      <c r="G464" s="16"/>
      <c r="H464" s="16"/>
      <c r="I464" s="16"/>
    </row>
    <row r="465" spans="1:9" ht="15.75" x14ac:dyDescent="0.25">
      <c r="A465" s="2" t="s">
        <v>1133</v>
      </c>
      <c r="B465" s="5" t="s">
        <v>322</v>
      </c>
      <c r="F465" s="49"/>
      <c r="G465" s="16"/>
      <c r="H465" s="16"/>
      <c r="I465" s="16"/>
    </row>
    <row r="466" spans="1:9" ht="15.75" x14ac:dyDescent="0.25">
      <c r="A466" s="2" t="s">
        <v>1076</v>
      </c>
      <c r="B466" s="36">
        <f>B463*B460*B461/B462</f>
        <v>1200</v>
      </c>
      <c r="C466" s="1" t="s">
        <v>1092</v>
      </c>
      <c r="F466" s="49"/>
      <c r="G466" s="16"/>
      <c r="H466" s="16"/>
      <c r="I466" s="16"/>
    </row>
    <row r="467" spans="1:9" x14ac:dyDescent="0.2">
      <c r="F467" s="49"/>
      <c r="G467" s="16"/>
      <c r="H467" s="16"/>
      <c r="I467" s="16"/>
    </row>
    <row r="468" spans="1:9" x14ac:dyDescent="0.2">
      <c r="A468" s="124"/>
      <c r="B468" s="125"/>
      <c r="C468" s="126"/>
      <c r="D468" s="23"/>
      <c r="E468" s="23"/>
      <c r="F468" s="49"/>
      <c r="G468" s="16"/>
      <c r="H468" s="16"/>
      <c r="I468" s="16"/>
    </row>
    <row r="469" spans="1:9" x14ac:dyDescent="0.2">
      <c r="F469" s="49"/>
      <c r="G469" s="16"/>
      <c r="H469" s="16"/>
      <c r="I469" s="16"/>
    </row>
    <row r="470" spans="1:9" x14ac:dyDescent="0.2">
      <c r="F470" s="49"/>
      <c r="G470" s="16"/>
      <c r="H470" s="16"/>
      <c r="I470" s="16"/>
    </row>
    <row r="471" spans="1:9" x14ac:dyDescent="0.2">
      <c r="F471" s="49"/>
      <c r="G471" s="16"/>
      <c r="H471" s="16"/>
      <c r="I471" s="16"/>
    </row>
    <row r="472" spans="1:9" x14ac:dyDescent="0.2">
      <c r="F472" s="49"/>
      <c r="G472" s="16"/>
      <c r="H472" s="16"/>
      <c r="I472" s="16"/>
    </row>
    <row r="473" spans="1:9" x14ac:dyDescent="0.2">
      <c r="F473" s="49"/>
      <c r="G473" s="16"/>
      <c r="H473" s="16"/>
      <c r="I473" s="16"/>
    </row>
    <row r="474" spans="1:9" x14ac:dyDescent="0.2">
      <c r="F474" s="49"/>
      <c r="G474" s="16"/>
      <c r="H474" s="16"/>
      <c r="I474" s="16"/>
    </row>
    <row r="475" spans="1:9" x14ac:dyDescent="0.2">
      <c r="F475" s="49"/>
      <c r="G475" s="16"/>
      <c r="H475" s="16"/>
      <c r="I475" s="16"/>
    </row>
    <row r="476" spans="1:9" x14ac:dyDescent="0.2">
      <c r="F476" s="49"/>
      <c r="G476" s="16"/>
      <c r="H476" s="16"/>
      <c r="I476" s="16"/>
    </row>
    <row r="477" spans="1:9" x14ac:dyDescent="0.2">
      <c r="F477" s="49"/>
      <c r="G477" s="16"/>
      <c r="H477" s="16"/>
      <c r="I477" s="16"/>
    </row>
    <row r="478" spans="1:9" x14ac:dyDescent="0.2">
      <c r="F478" s="49"/>
      <c r="G478" s="16"/>
      <c r="H478" s="16"/>
      <c r="I478" s="16"/>
    </row>
    <row r="479" spans="1:9" x14ac:dyDescent="0.2">
      <c r="F479" s="49"/>
      <c r="G479" s="16"/>
      <c r="H479" s="16"/>
      <c r="I479" s="16"/>
    </row>
    <row r="480" spans="1:9" x14ac:dyDescent="0.2">
      <c r="F480" s="49"/>
      <c r="G480" s="16"/>
      <c r="H480" s="16"/>
      <c r="I480" s="16"/>
    </row>
    <row r="481" spans="1:9" x14ac:dyDescent="0.2">
      <c r="F481" s="49"/>
      <c r="G481" s="16"/>
      <c r="H481" s="16"/>
      <c r="I481" s="16"/>
    </row>
    <row r="482" spans="1:9" x14ac:dyDescent="0.2">
      <c r="F482" s="49"/>
      <c r="G482" s="16"/>
      <c r="H482" s="16"/>
      <c r="I482" s="16"/>
    </row>
    <row r="483" spans="1:9" x14ac:dyDescent="0.2">
      <c r="F483" s="49"/>
      <c r="G483" s="16"/>
      <c r="H483" s="16"/>
      <c r="I483" s="16"/>
    </row>
    <row r="484" spans="1:9" x14ac:dyDescent="0.2">
      <c r="F484" s="49"/>
      <c r="G484" s="16"/>
      <c r="H484" s="16"/>
      <c r="I484" s="16"/>
    </row>
    <row r="485" spans="1:9" x14ac:dyDescent="0.2">
      <c r="A485" s="12"/>
      <c r="B485" s="12"/>
      <c r="C485" s="12"/>
      <c r="F485" s="49"/>
      <c r="G485" s="16"/>
      <c r="H485" s="16"/>
      <c r="I485" s="16"/>
    </row>
    <row r="486" spans="1:9" x14ac:dyDescent="0.2">
      <c r="F486" s="49"/>
      <c r="G486" s="16"/>
      <c r="H486" s="16"/>
      <c r="I486" s="16"/>
    </row>
    <row r="487" spans="1:9" x14ac:dyDescent="0.2">
      <c r="F487" s="49"/>
      <c r="G487" s="16"/>
      <c r="H487" s="16"/>
      <c r="I487" s="16"/>
    </row>
    <row r="488" spans="1:9" x14ac:dyDescent="0.2">
      <c r="F488" s="49"/>
      <c r="G488" s="16"/>
      <c r="H488" s="16"/>
      <c r="I488" s="16"/>
    </row>
    <row r="489" spans="1:9" x14ac:dyDescent="0.2">
      <c r="F489" s="49"/>
      <c r="G489" s="16"/>
      <c r="H489" s="16"/>
      <c r="I489" s="16"/>
    </row>
    <row r="490" spans="1:9" x14ac:dyDescent="0.2">
      <c r="F490" s="49"/>
      <c r="G490" s="16"/>
      <c r="H490" s="16"/>
      <c r="I490" s="16"/>
    </row>
    <row r="491" spans="1:9" x14ac:dyDescent="0.2">
      <c r="F491" s="49"/>
      <c r="G491" s="16"/>
      <c r="H491" s="16"/>
      <c r="I491" s="16"/>
    </row>
    <row r="492" spans="1:9" x14ac:dyDescent="0.2">
      <c r="F492" s="49"/>
      <c r="G492" s="58"/>
      <c r="H492" s="132"/>
      <c r="I492" s="16"/>
    </row>
    <row r="493" spans="1:9" x14ac:dyDescent="0.2">
      <c r="F493" s="49"/>
      <c r="G493" s="16"/>
      <c r="H493" s="16"/>
      <c r="I493" s="16"/>
    </row>
    <row r="494" spans="1:9" x14ac:dyDescent="0.2">
      <c r="F494" s="49"/>
      <c r="G494" s="16"/>
      <c r="H494" s="16"/>
      <c r="I494" s="16"/>
    </row>
    <row r="495" spans="1:9" x14ac:dyDescent="0.2">
      <c r="F495" s="49"/>
      <c r="G495" s="16"/>
      <c r="H495" s="16"/>
      <c r="I495" s="16"/>
    </row>
    <row r="496" spans="1:9" x14ac:dyDescent="0.2">
      <c r="F496" s="49"/>
      <c r="G496" s="16"/>
      <c r="H496" s="16"/>
      <c r="I496" s="16"/>
    </row>
    <row r="497" spans="6:9" x14ac:dyDescent="0.2">
      <c r="F497" s="49"/>
      <c r="G497" s="16"/>
      <c r="H497" s="16"/>
      <c r="I497" s="16"/>
    </row>
    <row r="498" spans="6:9" x14ac:dyDescent="0.2">
      <c r="F498" s="49"/>
      <c r="G498" s="16"/>
      <c r="H498" s="16"/>
      <c r="I498" s="16"/>
    </row>
    <row r="499" spans="6:9" x14ac:dyDescent="0.2">
      <c r="F499" s="49"/>
      <c r="G499" s="16"/>
      <c r="H499" s="16"/>
      <c r="I499" s="16"/>
    </row>
    <row r="500" spans="6:9" x14ac:dyDescent="0.2">
      <c r="F500" s="49"/>
      <c r="G500" s="16"/>
      <c r="H500" s="16"/>
      <c r="I500" s="16"/>
    </row>
    <row r="501" spans="6:9" x14ac:dyDescent="0.2">
      <c r="F501" s="49"/>
      <c r="G501" s="16"/>
      <c r="H501" s="16"/>
      <c r="I501" s="16"/>
    </row>
    <row r="502" spans="6:9" x14ac:dyDescent="0.2">
      <c r="F502" s="49"/>
      <c r="G502" s="16"/>
      <c r="H502" s="16"/>
      <c r="I502" s="16"/>
    </row>
    <row r="503" spans="6:9" x14ac:dyDescent="0.2">
      <c r="F503" s="49"/>
      <c r="G503" s="16"/>
      <c r="H503" s="16"/>
      <c r="I503" s="16"/>
    </row>
    <row r="504" spans="6:9" x14ac:dyDescent="0.2">
      <c r="F504" s="49"/>
      <c r="G504" s="16"/>
      <c r="H504" s="16"/>
      <c r="I504" s="16"/>
    </row>
    <row r="505" spans="6:9" x14ac:dyDescent="0.2">
      <c r="F505" s="49"/>
      <c r="G505" s="16"/>
      <c r="H505" s="16"/>
      <c r="I505" s="16"/>
    </row>
    <row r="506" spans="6:9" x14ac:dyDescent="0.2">
      <c r="F506" s="49"/>
      <c r="G506" s="16"/>
      <c r="H506" s="16"/>
      <c r="I506" s="16"/>
    </row>
    <row r="507" spans="6:9" x14ac:dyDescent="0.2">
      <c r="F507" s="49"/>
      <c r="G507" s="16"/>
      <c r="H507" s="16"/>
      <c r="I507" s="16"/>
    </row>
    <row r="508" spans="6:9" x14ac:dyDescent="0.2">
      <c r="F508" s="49"/>
      <c r="G508" s="16"/>
      <c r="H508" s="16"/>
      <c r="I508" s="16"/>
    </row>
    <row r="509" spans="6:9" x14ac:dyDescent="0.2">
      <c r="F509" s="49"/>
      <c r="G509" s="16"/>
      <c r="H509" s="16"/>
      <c r="I509" s="16"/>
    </row>
    <row r="510" spans="6:9" x14ac:dyDescent="0.2">
      <c r="F510" s="49"/>
      <c r="G510" s="16"/>
      <c r="H510" s="16"/>
      <c r="I510" s="16"/>
    </row>
    <row r="511" spans="6:9" x14ac:dyDescent="0.2">
      <c r="F511" s="49"/>
      <c r="G511" s="16"/>
      <c r="H511" s="16"/>
      <c r="I511" s="16"/>
    </row>
    <row r="512" spans="6:9" x14ac:dyDescent="0.2">
      <c r="F512" s="49"/>
      <c r="G512" s="16"/>
      <c r="H512" s="16"/>
      <c r="I512" s="16"/>
    </row>
    <row r="513" spans="7:9" x14ac:dyDescent="0.2">
      <c r="G513" s="16"/>
      <c r="H513" s="16"/>
      <c r="I513" s="16"/>
    </row>
    <row r="514" spans="7:9" x14ac:dyDescent="0.2">
      <c r="G514" s="16"/>
      <c r="H514" s="16"/>
      <c r="I514" s="16"/>
    </row>
    <row r="515" spans="7:9" x14ac:dyDescent="0.2">
      <c r="G515" s="16"/>
      <c r="H515" s="16"/>
      <c r="I515" s="16"/>
    </row>
    <row r="516" spans="7:9" x14ac:dyDescent="0.2">
      <c r="G516" s="16"/>
      <c r="H516" s="16"/>
      <c r="I516" s="16"/>
    </row>
    <row r="517" spans="7:9" x14ac:dyDescent="0.2">
      <c r="G517" s="16"/>
      <c r="H517" s="16"/>
      <c r="I517" s="16"/>
    </row>
    <row r="518" spans="7:9" x14ac:dyDescent="0.2">
      <c r="G518" s="16"/>
      <c r="H518" s="16"/>
      <c r="I518" s="16"/>
    </row>
    <row r="519" spans="7:9" x14ac:dyDescent="0.2">
      <c r="G519" s="16"/>
      <c r="H519" s="16"/>
      <c r="I519" s="16"/>
    </row>
    <row r="520" spans="7:9" x14ac:dyDescent="0.2">
      <c r="G520" s="16"/>
      <c r="H520" s="16"/>
      <c r="I520" s="16"/>
    </row>
    <row r="521" spans="7:9" x14ac:dyDescent="0.2">
      <c r="G521" s="16"/>
      <c r="H521" s="16"/>
      <c r="I521" s="16"/>
    </row>
    <row r="522" spans="7:9" x14ac:dyDescent="0.2">
      <c r="G522" s="16"/>
      <c r="H522" s="16"/>
      <c r="I522" s="16"/>
    </row>
    <row r="523" spans="7:9" x14ac:dyDescent="0.2">
      <c r="G523" s="16"/>
      <c r="H523" s="16"/>
      <c r="I523" s="16"/>
    </row>
    <row r="524" spans="7:9" x14ac:dyDescent="0.2">
      <c r="G524" s="16"/>
      <c r="H524" s="16"/>
      <c r="I524" s="16"/>
    </row>
    <row r="525" spans="7:9" x14ac:dyDescent="0.2">
      <c r="G525" s="16"/>
      <c r="H525" s="16"/>
      <c r="I525" s="16"/>
    </row>
    <row r="526" spans="7:9" x14ac:dyDescent="0.2">
      <c r="G526" s="16"/>
      <c r="H526" s="16"/>
      <c r="I526" s="16"/>
    </row>
    <row r="527" spans="7:9" x14ac:dyDescent="0.2">
      <c r="G527" s="16"/>
      <c r="H527" s="16"/>
      <c r="I527" s="16"/>
    </row>
    <row r="528" spans="7:9" x14ac:dyDescent="0.2">
      <c r="G528" s="16"/>
      <c r="H528" s="16"/>
      <c r="I528" s="16"/>
    </row>
    <row r="529" spans="7:9" x14ac:dyDescent="0.2">
      <c r="G529" s="16"/>
      <c r="H529" s="16"/>
      <c r="I529" s="16"/>
    </row>
    <row r="530" spans="7:9" x14ac:dyDescent="0.2">
      <c r="G530" s="16"/>
      <c r="H530" s="16"/>
      <c r="I530" s="16"/>
    </row>
    <row r="531" spans="7:9" x14ac:dyDescent="0.2">
      <c r="G531" s="16"/>
      <c r="H531" s="16"/>
      <c r="I531" s="16"/>
    </row>
    <row r="532" spans="7:9" x14ac:dyDescent="0.2">
      <c r="G532" s="16"/>
      <c r="H532" s="16"/>
      <c r="I532" s="16"/>
    </row>
    <row r="533" spans="7:9" x14ac:dyDescent="0.2">
      <c r="G533" s="16"/>
      <c r="H533" s="16"/>
      <c r="I533" s="16"/>
    </row>
    <row r="534" spans="7:9" x14ac:dyDescent="0.2">
      <c r="G534" s="16"/>
      <c r="H534" s="16"/>
      <c r="I534" s="16"/>
    </row>
    <row r="535" spans="7:9" x14ac:dyDescent="0.2">
      <c r="G535" s="16"/>
      <c r="H535" s="16"/>
      <c r="I535" s="16"/>
    </row>
    <row r="536" spans="7:9" x14ac:dyDescent="0.2">
      <c r="G536" s="16"/>
      <c r="H536" s="16"/>
      <c r="I536" s="16"/>
    </row>
    <row r="537" spans="7:9" x14ac:dyDescent="0.2">
      <c r="G537" s="16"/>
      <c r="H537" s="16"/>
      <c r="I537" s="16"/>
    </row>
    <row r="538" spans="7:9" x14ac:dyDescent="0.2">
      <c r="G538" s="16"/>
      <c r="H538" s="16"/>
      <c r="I538" s="16"/>
    </row>
    <row r="539" spans="7:9" x14ac:dyDescent="0.2">
      <c r="G539" s="16"/>
      <c r="H539" s="16"/>
      <c r="I539" s="16"/>
    </row>
    <row r="540" spans="7:9" x14ac:dyDescent="0.2">
      <c r="G540" s="16"/>
      <c r="H540" s="16"/>
      <c r="I540" s="16"/>
    </row>
    <row r="541" spans="7:9" x14ac:dyDescent="0.2">
      <c r="G541" s="16"/>
      <c r="H541" s="16"/>
      <c r="I541" s="16"/>
    </row>
    <row r="542" spans="7:9" x14ac:dyDescent="0.2">
      <c r="G542" s="16"/>
      <c r="H542" s="16"/>
      <c r="I542" s="16"/>
    </row>
    <row r="543" spans="7:9" x14ac:dyDescent="0.2">
      <c r="G543" s="16"/>
      <c r="H543" s="16"/>
      <c r="I543" s="16"/>
    </row>
    <row r="544" spans="7:9" x14ac:dyDescent="0.2">
      <c r="G544" s="16"/>
      <c r="H544" s="16"/>
      <c r="I544" s="16"/>
    </row>
    <row r="545" spans="1:9" x14ac:dyDescent="0.2">
      <c r="G545" s="16"/>
      <c r="H545" s="16"/>
      <c r="I545" s="16"/>
    </row>
    <row r="546" spans="1:9" x14ac:dyDescent="0.2">
      <c r="G546" s="16"/>
      <c r="H546" s="16"/>
      <c r="I546" s="16"/>
    </row>
    <row r="547" spans="1:9" x14ac:dyDescent="0.2">
      <c r="G547" s="16"/>
      <c r="H547" s="16"/>
      <c r="I547" s="16"/>
    </row>
    <row r="548" spans="1:9" x14ac:dyDescent="0.2">
      <c r="A548" s="124"/>
      <c r="B548" s="125"/>
      <c r="C548" s="126"/>
      <c r="D548" s="23"/>
      <c r="E548" s="23"/>
      <c r="G548" s="16"/>
      <c r="H548" s="16"/>
      <c r="I548" s="16"/>
    </row>
    <row r="549" spans="1:9" x14ac:dyDescent="0.2">
      <c r="G549" s="16"/>
      <c r="H549" s="16"/>
      <c r="I549" s="16"/>
    </row>
    <row r="550" spans="1:9" x14ac:dyDescent="0.2">
      <c r="G550" s="16"/>
      <c r="H550" s="16"/>
      <c r="I550" s="16"/>
    </row>
    <row r="551" spans="1:9" ht="18" x14ac:dyDescent="0.25">
      <c r="B551" s="8" t="s">
        <v>1418</v>
      </c>
      <c r="G551" s="16"/>
      <c r="H551" s="16"/>
      <c r="I551" s="16"/>
    </row>
    <row r="552" spans="1:9" x14ac:dyDescent="0.2">
      <c r="G552" s="16"/>
      <c r="H552" s="16"/>
      <c r="I552" s="16"/>
    </row>
    <row r="553" spans="1:9" x14ac:dyDescent="0.2">
      <c r="G553" s="16"/>
      <c r="H553" s="16"/>
      <c r="I553" s="16"/>
    </row>
    <row r="554" spans="1:9" ht="15.75" x14ac:dyDescent="0.25">
      <c r="A554" s="2"/>
      <c r="G554" s="16"/>
      <c r="H554" s="16"/>
      <c r="I554" s="16"/>
    </row>
    <row r="555" spans="1:9" x14ac:dyDescent="0.2">
      <c r="G555" s="16"/>
      <c r="H555" s="16"/>
      <c r="I555" s="16"/>
    </row>
    <row r="556" spans="1:9" x14ac:dyDescent="0.2">
      <c r="G556" s="16"/>
      <c r="H556" s="16"/>
      <c r="I556" s="16"/>
    </row>
    <row r="557" spans="1:9" x14ac:dyDescent="0.2">
      <c r="G557" s="16"/>
      <c r="H557" s="16"/>
      <c r="I557" s="16"/>
    </row>
    <row r="558" spans="1:9" x14ac:dyDescent="0.2">
      <c r="G558" s="16"/>
      <c r="H558" s="16"/>
      <c r="I558" s="16"/>
    </row>
    <row r="588" s="12" customFormat="1" x14ac:dyDescent="0.2"/>
    <row r="600" s="12" customFormat="1" x14ac:dyDescent="0.2"/>
  </sheetData>
  <sheetProtection sheet="1" objects="1" scenarios="1" selectLockedCells="1"/>
  <protectedRanges>
    <protectedRange sqref="B442:B443" name="Range14"/>
    <protectedRange sqref="B436" name="Range13"/>
    <protectedRange sqref="B411:B416" name="Range12"/>
    <protectedRange sqref="B411:B416" name="Range11"/>
    <protectedRange sqref="B395:B398" name="Range10"/>
    <protectedRange sqref="B380" name="Range9"/>
    <protectedRange sqref="B373:B374" name="Range8"/>
    <protectedRange sqref="B361" name="Range7"/>
    <protectedRange sqref="B350:B351" name="Range6"/>
    <protectedRange sqref="B306:B311 B318:B322 E306:E311" name="Range1"/>
    <protectedRange sqref="B340" name="Range3"/>
    <protectedRange sqref="B350:B351" name="Range4"/>
    <protectedRange sqref="B361" name="Range5"/>
    <protectedRange sqref="B460:B463" name="Range17_1"/>
  </protectedRanges>
  <phoneticPr fontId="1" type="noConversion"/>
  <printOptions gridLines="1"/>
  <pageMargins left="0.75" right="0.75" top="1" bottom="1" header="0.5" footer="0.5"/>
  <pageSetup orientation="portrait" horizontalDpi="429496729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32"/>
  <sheetViews>
    <sheetView workbookViewId="0">
      <selection activeCell="K1" sqref="K1"/>
    </sheetView>
  </sheetViews>
  <sheetFormatPr defaultColWidth="8.7109375" defaultRowHeight="15" x14ac:dyDescent="0.2"/>
  <cols>
    <col min="1" max="1" width="42.42578125" style="12" customWidth="1"/>
    <col min="2" max="2" width="22.5703125" style="12" customWidth="1"/>
    <col min="3" max="3" width="9.28515625" style="12" customWidth="1"/>
    <col min="4" max="4" width="9.85546875" style="12" customWidth="1"/>
    <col min="5" max="5" width="8.85546875" style="12" customWidth="1"/>
    <col min="6" max="16384" width="8.7109375" style="12"/>
  </cols>
  <sheetData>
    <row r="1" spans="1:13" ht="18" x14ac:dyDescent="0.25">
      <c r="A1" s="7" t="s">
        <v>373</v>
      </c>
      <c r="C1" s="1"/>
      <c r="D1" s="15"/>
      <c r="E1" s="16"/>
      <c r="F1" s="16"/>
      <c r="G1" s="16"/>
      <c r="H1" s="16"/>
      <c r="I1" s="16"/>
      <c r="J1" s="16"/>
      <c r="K1" s="16"/>
      <c r="L1" s="16"/>
      <c r="M1" s="16"/>
    </row>
    <row r="2" spans="1:13" x14ac:dyDescent="0.2">
      <c r="A2" s="17"/>
      <c r="E2" s="16"/>
      <c r="F2" s="16"/>
      <c r="G2" s="16"/>
      <c r="H2" s="16"/>
      <c r="I2" s="16"/>
      <c r="J2" s="16"/>
      <c r="K2" s="16"/>
      <c r="L2" s="16"/>
      <c r="M2" s="16"/>
    </row>
    <row r="3" spans="1:13" ht="15.75" x14ac:dyDescent="0.25">
      <c r="E3" s="57"/>
      <c r="F3" s="16"/>
      <c r="G3" s="16"/>
      <c r="H3" s="16"/>
      <c r="I3" s="16"/>
      <c r="J3" s="16"/>
      <c r="K3" s="16"/>
      <c r="L3" s="16"/>
      <c r="M3" s="16"/>
    </row>
    <row r="4" spans="1:13" ht="15.75" x14ac:dyDescent="0.25">
      <c r="E4" s="132"/>
      <c r="F4" s="13"/>
      <c r="G4" s="133"/>
      <c r="H4" s="133"/>
      <c r="I4" s="133"/>
      <c r="J4" s="133"/>
      <c r="K4" s="133"/>
      <c r="L4" s="16"/>
      <c r="M4" s="16"/>
    </row>
    <row r="5" spans="1:13" ht="15.75" x14ac:dyDescent="0.25">
      <c r="A5" s="22"/>
      <c r="E5" s="132"/>
      <c r="F5" s="16"/>
      <c r="G5" s="13"/>
      <c r="H5" s="13"/>
      <c r="I5" s="13"/>
      <c r="J5" s="13"/>
      <c r="K5" s="13"/>
      <c r="L5" s="16"/>
      <c r="M5" s="16"/>
    </row>
    <row r="6" spans="1:13" ht="15.75" x14ac:dyDescent="0.25">
      <c r="E6" s="132"/>
      <c r="F6" s="134"/>
      <c r="G6" s="133"/>
      <c r="H6" s="133"/>
      <c r="I6" s="133"/>
      <c r="J6" s="133"/>
      <c r="K6" s="133"/>
      <c r="L6" s="16"/>
      <c r="M6" s="16"/>
    </row>
    <row r="7" spans="1:13" ht="15.75" x14ac:dyDescent="0.25">
      <c r="E7" s="132"/>
      <c r="F7" s="134"/>
      <c r="G7" s="133"/>
      <c r="H7" s="133"/>
      <c r="I7" s="133"/>
      <c r="J7" s="133"/>
      <c r="K7" s="133"/>
      <c r="L7" s="16"/>
      <c r="M7" s="16"/>
    </row>
    <row r="8" spans="1:13" ht="15.75" x14ac:dyDescent="0.25">
      <c r="A8" s="88"/>
      <c r="E8" s="132"/>
      <c r="F8" s="134"/>
      <c r="G8" s="133"/>
      <c r="H8" s="133"/>
      <c r="I8" s="133"/>
      <c r="J8" s="133"/>
      <c r="K8" s="133"/>
      <c r="L8" s="16"/>
      <c r="M8" s="16"/>
    </row>
    <row r="9" spans="1:13" ht="15.75" x14ac:dyDescent="0.25">
      <c r="A9" s="88"/>
      <c r="E9" s="132"/>
      <c r="F9" s="134"/>
      <c r="G9" s="133"/>
      <c r="H9" s="133"/>
      <c r="I9" s="133"/>
      <c r="J9" s="133"/>
      <c r="K9" s="133"/>
      <c r="L9" s="16"/>
      <c r="M9" s="16"/>
    </row>
    <row r="10" spans="1:13" ht="15.75" x14ac:dyDescent="0.25">
      <c r="A10" s="88"/>
      <c r="E10" s="16"/>
      <c r="F10" s="134"/>
      <c r="G10" s="133"/>
      <c r="H10" s="133"/>
      <c r="I10" s="133"/>
      <c r="J10" s="133"/>
      <c r="K10" s="133"/>
      <c r="L10" s="16"/>
      <c r="M10" s="16"/>
    </row>
    <row r="11" spans="1:13" x14ac:dyDescent="0.2">
      <c r="A11" s="17"/>
      <c r="E11" s="16"/>
      <c r="F11" s="135"/>
      <c r="G11" s="58"/>
      <c r="H11" s="58"/>
      <c r="I11" s="58"/>
      <c r="J11" s="58"/>
      <c r="K11" s="58"/>
      <c r="L11" s="16"/>
      <c r="M11" s="16"/>
    </row>
    <row r="12" spans="1:13" x14ac:dyDescent="0.2">
      <c r="A12" s="17"/>
      <c r="E12" s="16"/>
      <c r="F12" s="16"/>
      <c r="G12" s="16"/>
      <c r="H12" s="16"/>
      <c r="I12" s="16"/>
      <c r="J12" s="16"/>
      <c r="K12" s="16"/>
      <c r="L12" s="16"/>
      <c r="M12" s="16"/>
    </row>
    <row r="13" spans="1:13" x14ac:dyDescent="0.2">
      <c r="E13" s="16"/>
      <c r="F13" s="16"/>
      <c r="G13" s="16"/>
      <c r="H13" s="16"/>
      <c r="I13" s="16"/>
      <c r="J13" s="16"/>
      <c r="K13" s="16"/>
      <c r="L13" s="16"/>
      <c r="M13" s="16"/>
    </row>
    <row r="14" spans="1:13" x14ac:dyDescent="0.2">
      <c r="E14" s="16"/>
      <c r="F14" s="16"/>
      <c r="G14" s="16"/>
      <c r="H14" s="16"/>
      <c r="I14" s="16"/>
      <c r="J14" s="16"/>
      <c r="K14" s="16"/>
      <c r="L14" s="16"/>
      <c r="M14" s="16"/>
    </row>
    <row r="15" spans="1:13" x14ac:dyDescent="0.2">
      <c r="E15" s="16"/>
      <c r="F15" s="16"/>
      <c r="G15" s="16"/>
      <c r="H15" s="16"/>
      <c r="I15" s="16"/>
      <c r="J15" s="16"/>
      <c r="K15" s="16"/>
      <c r="L15" s="16"/>
      <c r="M15" s="16"/>
    </row>
    <row r="16" spans="1:13" x14ac:dyDescent="0.2">
      <c r="E16" s="16"/>
      <c r="F16" s="16"/>
      <c r="G16" s="16"/>
      <c r="H16" s="16"/>
      <c r="I16" s="16"/>
      <c r="J16" s="16"/>
      <c r="K16" s="16"/>
      <c r="L16" s="16"/>
      <c r="M16" s="16"/>
    </row>
    <row r="17" spans="1:13" x14ac:dyDescent="0.2">
      <c r="E17" s="16"/>
      <c r="F17" s="16"/>
      <c r="G17" s="16"/>
      <c r="H17" s="16"/>
      <c r="I17" s="16"/>
      <c r="J17" s="16"/>
      <c r="K17" s="16"/>
      <c r="L17" s="16"/>
      <c r="M17" s="16"/>
    </row>
    <row r="18" spans="1:13" ht="15.75" x14ac:dyDescent="0.25">
      <c r="A18" s="1"/>
      <c r="B18" s="27"/>
      <c r="C18" s="27"/>
      <c r="E18" s="16"/>
      <c r="F18" s="16"/>
      <c r="G18" s="16"/>
      <c r="H18" s="16"/>
      <c r="I18" s="16"/>
      <c r="J18" s="16"/>
      <c r="K18" s="16"/>
      <c r="L18" s="16"/>
      <c r="M18" s="16"/>
    </row>
    <row r="19" spans="1:13" x14ac:dyDescent="0.2">
      <c r="A19" s="22"/>
      <c r="B19" s="27"/>
      <c r="C19" s="27"/>
      <c r="E19" s="16"/>
      <c r="F19" s="16"/>
      <c r="G19" s="16"/>
      <c r="H19" s="16"/>
      <c r="I19" s="16"/>
      <c r="J19" s="16"/>
      <c r="K19" s="16"/>
      <c r="L19" s="16"/>
      <c r="M19" s="16"/>
    </row>
    <row r="20" spans="1:13" x14ac:dyDescent="0.2">
      <c r="A20" s="22"/>
      <c r="B20" s="27"/>
      <c r="C20" s="27"/>
      <c r="E20" s="16"/>
      <c r="F20" s="16"/>
      <c r="G20" s="16"/>
      <c r="H20" s="16"/>
      <c r="I20" s="16"/>
      <c r="J20" s="16"/>
      <c r="K20" s="16"/>
      <c r="L20" s="16"/>
      <c r="M20" s="16"/>
    </row>
    <row r="21" spans="1:13" x14ac:dyDescent="0.2">
      <c r="A21" s="22"/>
      <c r="B21" s="27"/>
      <c r="C21" s="27"/>
      <c r="E21" s="16"/>
      <c r="F21" s="16"/>
      <c r="G21" s="16"/>
      <c r="H21" s="16"/>
      <c r="I21" s="16"/>
      <c r="J21" s="16"/>
      <c r="K21" s="16"/>
      <c r="L21" s="16"/>
      <c r="M21" s="16"/>
    </row>
    <row r="22" spans="1:13" x14ac:dyDescent="0.2">
      <c r="A22" s="28"/>
      <c r="B22" s="27"/>
      <c r="C22" s="27"/>
      <c r="E22" s="16"/>
      <c r="F22" s="16"/>
      <c r="G22" s="16"/>
      <c r="H22" s="16"/>
      <c r="I22" s="16"/>
      <c r="J22" s="16"/>
      <c r="K22" s="16"/>
      <c r="L22" s="16"/>
      <c r="M22" s="16"/>
    </row>
    <row r="23" spans="1:13" x14ac:dyDescent="0.2">
      <c r="E23" s="16"/>
      <c r="F23" s="16"/>
      <c r="G23" s="16"/>
      <c r="H23" s="16"/>
      <c r="I23" s="16"/>
      <c r="J23" s="16"/>
      <c r="K23" s="16"/>
      <c r="L23" s="16"/>
      <c r="M23" s="16"/>
    </row>
    <row r="24" spans="1:13" x14ac:dyDescent="0.2">
      <c r="E24" s="16"/>
      <c r="F24" s="16"/>
      <c r="G24" s="16"/>
      <c r="H24" s="16"/>
      <c r="I24" s="16"/>
      <c r="J24" s="16"/>
      <c r="K24" s="16"/>
      <c r="L24" s="16"/>
      <c r="M24" s="16"/>
    </row>
    <row r="25" spans="1:13" x14ac:dyDescent="0.2">
      <c r="E25" s="16"/>
      <c r="F25" s="16"/>
      <c r="G25" s="16"/>
      <c r="H25" s="16"/>
      <c r="I25" s="16"/>
      <c r="J25" s="16"/>
      <c r="K25" s="16"/>
      <c r="L25" s="16"/>
      <c r="M25" s="16"/>
    </row>
    <row r="26" spans="1:13" x14ac:dyDescent="0.2">
      <c r="E26" s="16"/>
      <c r="F26" s="16"/>
      <c r="G26" s="16"/>
      <c r="H26" s="16"/>
      <c r="I26" s="16"/>
      <c r="J26" s="16"/>
      <c r="K26" s="16"/>
      <c r="L26" s="16"/>
      <c r="M26" s="16"/>
    </row>
    <row r="27" spans="1:13" x14ac:dyDescent="0.2">
      <c r="E27" s="16"/>
      <c r="F27" s="16"/>
      <c r="G27" s="16"/>
      <c r="H27" s="16"/>
      <c r="I27" s="16"/>
      <c r="J27" s="16"/>
      <c r="K27" s="16"/>
      <c r="L27" s="16"/>
      <c r="M27" s="16"/>
    </row>
    <row r="28" spans="1:13" x14ac:dyDescent="0.2">
      <c r="E28" s="16"/>
      <c r="F28" s="16"/>
      <c r="G28" s="16"/>
      <c r="H28" s="16"/>
      <c r="I28" s="16"/>
      <c r="J28" s="16"/>
      <c r="K28" s="16"/>
      <c r="L28" s="16"/>
      <c r="M28" s="16"/>
    </row>
    <row r="29" spans="1:13" x14ac:dyDescent="0.2">
      <c r="E29" s="16"/>
      <c r="F29" s="16"/>
      <c r="G29" s="16"/>
      <c r="H29" s="16"/>
      <c r="I29" s="16"/>
      <c r="J29" s="16"/>
      <c r="K29" s="16"/>
      <c r="L29" s="16"/>
      <c r="M29" s="16"/>
    </row>
    <row r="30" spans="1:13" x14ac:dyDescent="0.2">
      <c r="E30" s="16"/>
      <c r="F30" s="16"/>
      <c r="G30" s="16"/>
      <c r="H30" s="16"/>
      <c r="I30" s="16"/>
      <c r="J30" s="16"/>
      <c r="K30" s="16"/>
      <c r="L30" s="16"/>
      <c r="M30" s="16"/>
    </row>
    <row r="31" spans="1:13" x14ac:dyDescent="0.2">
      <c r="E31" s="16"/>
      <c r="F31" s="16"/>
      <c r="G31" s="16"/>
      <c r="H31" s="16"/>
      <c r="I31" s="16"/>
      <c r="J31" s="16"/>
      <c r="K31" s="16"/>
      <c r="L31" s="16"/>
      <c r="M31" s="16"/>
    </row>
    <row r="32" spans="1:13" x14ac:dyDescent="0.2">
      <c r="E32" s="16"/>
      <c r="F32" s="16"/>
      <c r="G32" s="16"/>
      <c r="H32" s="16"/>
      <c r="I32" s="16"/>
      <c r="J32" s="16"/>
      <c r="K32" s="16"/>
      <c r="L32" s="16"/>
      <c r="M32" s="16"/>
    </row>
    <row r="33" spans="3:13" x14ac:dyDescent="0.2">
      <c r="E33" s="16"/>
      <c r="F33" s="16"/>
      <c r="G33" s="16"/>
      <c r="H33" s="16"/>
      <c r="I33" s="16"/>
      <c r="J33" s="16"/>
      <c r="K33" s="16"/>
      <c r="L33" s="16"/>
      <c r="M33" s="16"/>
    </row>
    <row r="34" spans="3:13" ht="15.75" thickBot="1" x14ac:dyDescent="0.25">
      <c r="E34" s="16"/>
      <c r="F34" s="16"/>
      <c r="G34" s="16"/>
      <c r="H34" s="16"/>
      <c r="I34" s="16"/>
      <c r="J34" s="16"/>
      <c r="K34" s="16"/>
      <c r="L34" s="16"/>
      <c r="M34" s="16"/>
    </row>
    <row r="35" spans="3:13" ht="16.5" thickBot="1" x14ac:dyDescent="0.3">
      <c r="C35" s="39" t="s">
        <v>141</v>
      </c>
      <c r="D35" s="39" t="s">
        <v>142</v>
      </c>
    </row>
    <row r="36" spans="3:13" x14ac:dyDescent="0.2">
      <c r="C36" s="136" t="s">
        <v>135</v>
      </c>
      <c r="D36" s="136">
        <v>0.2</v>
      </c>
    </row>
    <row r="37" spans="3:13" x14ac:dyDescent="0.2">
      <c r="C37" s="136" t="s">
        <v>1150</v>
      </c>
      <c r="D37" s="136">
        <v>0.3</v>
      </c>
    </row>
    <row r="38" spans="3:13" x14ac:dyDescent="0.2">
      <c r="C38" s="136" t="s">
        <v>136</v>
      </c>
      <c r="D38" s="136">
        <v>0.4</v>
      </c>
    </row>
    <row r="39" spans="3:13" ht="15.75" thickBot="1" x14ac:dyDescent="0.25">
      <c r="C39" s="137" t="s">
        <v>137</v>
      </c>
      <c r="D39" s="137">
        <v>0.5</v>
      </c>
    </row>
    <row r="41" spans="3:13" ht="15.75" x14ac:dyDescent="0.25">
      <c r="C41" s="138" t="s">
        <v>134</v>
      </c>
      <c r="D41" s="139">
        <v>0.4</v>
      </c>
      <c r="E41" s="139">
        <v>0.6</v>
      </c>
      <c r="F41" s="139">
        <v>0.8</v>
      </c>
      <c r="G41" s="139">
        <v>1</v>
      </c>
    </row>
    <row r="42" spans="3:13" ht="15.75" x14ac:dyDescent="0.25">
      <c r="C42" s="140"/>
      <c r="D42" s="138" t="s">
        <v>135</v>
      </c>
      <c r="E42" s="138" t="s">
        <v>1150</v>
      </c>
      <c r="F42" s="138" t="s">
        <v>136</v>
      </c>
      <c r="G42" s="138" t="s">
        <v>137</v>
      </c>
      <c r="H42" s="16"/>
      <c r="I42" s="16"/>
      <c r="J42" s="16"/>
      <c r="K42" s="16"/>
      <c r="L42" s="16"/>
      <c r="M42" s="16"/>
    </row>
    <row r="43" spans="3:13" ht="15.75" x14ac:dyDescent="0.25">
      <c r="C43" s="141">
        <v>0.2</v>
      </c>
      <c r="D43" s="142">
        <v>2.0099999999999998</v>
      </c>
      <c r="E43" s="142">
        <v>1.91</v>
      </c>
      <c r="F43" s="142">
        <v>1.77</v>
      </c>
      <c r="G43" s="142">
        <v>1.62</v>
      </c>
      <c r="H43" s="16"/>
      <c r="I43" s="16"/>
      <c r="J43" s="16"/>
      <c r="K43" s="16"/>
      <c r="L43" s="16"/>
      <c r="M43" s="16"/>
    </row>
    <row r="44" spans="3:13" ht="15.75" x14ac:dyDescent="0.25">
      <c r="C44" s="141">
        <v>0.4</v>
      </c>
      <c r="D44" s="142">
        <v>1.59</v>
      </c>
      <c r="E44" s="142">
        <v>1.5</v>
      </c>
      <c r="F44" s="142">
        <v>1.4</v>
      </c>
      <c r="G44" s="142">
        <v>1.3</v>
      </c>
      <c r="H44" s="16"/>
      <c r="I44" s="16"/>
      <c r="J44" s="16"/>
      <c r="K44" s="16"/>
      <c r="L44" s="16"/>
      <c r="M44" s="16"/>
    </row>
    <row r="45" spans="3:13" ht="15.75" x14ac:dyDescent="0.25">
      <c r="C45" s="141">
        <v>0.6</v>
      </c>
      <c r="D45" s="142">
        <v>1.41</v>
      </c>
      <c r="E45" s="142">
        <v>1.32</v>
      </c>
      <c r="F45" s="142">
        <v>1.25</v>
      </c>
      <c r="G45" s="142">
        <v>1.18</v>
      </c>
      <c r="H45" s="16"/>
      <c r="I45" s="16"/>
      <c r="J45" s="16"/>
      <c r="K45" s="16"/>
      <c r="L45" s="16"/>
      <c r="M45" s="16"/>
    </row>
    <row r="46" spans="3:13" ht="15.75" x14ac:dyDescent="0.25">
      <c r="C46" s="141">
        <v>0.8</v>
      </c>
      <c r="D46" s="142">
        <v>1.37</v>
      </c>
      <c r="E46" s="142">
        <v>1.28</v>
      </c>
      <c r="F46" s="142">
        <v>1.19</v>
      </c>
      <c r="G46" s="142">
        <v>1.1000000000000001</v>
      </c>
      <c r="H46" s="16"/>
      <c r="I46" s="16"/>
      <c r="J46" s="16"/>
      <c r="K46" s="16"/>
      <c r="L46" s="16"/>
      <c r="M46" s="16"/>
    </row>
    <row r="47" spans="3:13" ht="15.75" x14ac:dyDescent="0.25">
      <c r="C47" s="141">
        <v>1</v>
      </c>
      <c r="D47" s="142">
        <v>1.35</v>
      </c>
      <c r="E47" s="142">
        <v>1.25</v>
      </c>
      <c r="F47" s="142">
        <v>1.17</v>
      </c>
      <c r="G47" s="142">
        <v>1.07</v>
      </c>
      <c r="H47" s="16"/>
      <c r="I47" s="16"/>
      <c r="J47" s="16"/>
      <c r="K47" s="16"/>
      <c r="L47" s="16"/>
      <c r="M47" s="16"/>
    </row>
    <row r="48" spans="3:13" ht="15.75" x14ac:dyDescent="0.25">
      <c r="C48" s="141"/>
      <c r="D48" s="142"/>
      <c r="E48" s="142"/>
      <c r="F48" s="142"/>
      <c r="G48" s="142"/>
      <c r="H48" s="16"/>
      <c r="I48" s="16"/>
      <c r="J48" s="16"/>
      <c r="K48" s="16"/>
      <c r="L48" s="16"/>
      <c r="M48" s="16"/>
    </row>
    <row r="49" spans="1:13" ht="15.75" x14ac:dyDescent="0.25">
      <c r="B49" s="5"/>
      <c r="C49" s="141"/>
      <c r="D49" s="142"/>
      <c r="E49" s="142"/>
      <c r="F49" s="142"/>
      <c r="G49" s="142"/>
      <c r="H49" s="16"/>
      <c r="I49" s="16"/>
      <c r="J49" s="16"/>
      <c r="K49" s="16"/>
      <c r="L49" s="16"/>
      <c r="M49" s="16"/>
    </row>
    <row r="50" spans="1:13" ht="15.75" x14ac:dyDescent="0.25">
      <c r="B50" s="5"/>
      <c r="C50" s="16"/>
      <c r="D50" s="16"/>
      <c r="E50" s="16"/>
      <c r="F50" s="16"/>
      <c r="G50" s="16"/>
      <c r="H50" s="16"/>
      <c r="I50" s="16"/>
      <c r="J50" s="16"/>
      <c r="K50" s="16"/>
      <c r="L50" s="16"/>
      <c r="M50" s="16"/>
    </row>
    <row r="51" spans="1:13" x14ac:dyDescent="0.2">
      <c r="E51" s="16"/>
      <c r="F51" s="16"/>
      <c r="G51" s="16"/>
      <c r="H51" s="16"/>
      <c r="I51" s="16"/>
      <c r="J51" s="16"/>
      <c r="K51" s="16"/>
      <c r="L51" s="16"/>
      <c r="M51" s="16"/>
    </row>
    <row r="52" spans="1:13" x14ac:dyDescent="0.2">
      <c r="E52" s="16"/>
      <c r="F52" s="16"/>
      <c r="G52" s="16"/>
      <c r="H52" s="16"/>
      <c r="I52" s="16"/>
      <c r="J52" s="16"/>
      <c r="K52" s="16"/>
      <c r="L52" s="16"/>
      <c r="M52" s="16"/>
    </row>
    <row r="53" spans="1:13" x14ac:dyDescent="0.2">
      <c r="A53" s="23"/>
      <c r="B53" s="23"/>
      <c r="C53" s="23"/>
      <c r="D53" s="23"/>
      <c r="E53" s="16"/>
      <c r="F53" s="16"/>
      <c r="G53" s="16"/>
      <c r="H53" s="16"/>
      <c r="I53" s="16"/>
      <c r="J53" s="16"/>
      <c r="K53" s="16"/>
      <c r="L53" s="16"/>
      <c r="M53" s="16"/>
    </row>
    <row r="54" spans="1:13" ht="15.75" x14ac:dyDescent="0.25">
      <c r="A54" s="4" t="s">
        <v>1102</v>
      </c>
      <c r="E54" s="13" t="s">
        <v>1071</v>
      </c>
      <c r="F54" s="16"/>
      <c r="G54" s="16"/>
      <c r="H54" s="16"/>
      <c r="I54" s="16"/>
      <c r="J54" s="16"/>
      <c r="K54" s="16"/>
      <c r="L54" s="16"/>
      <c r="M54" s="16"/>
    </row>
    <row r="55" spans="1:13" ht="15.75" x14ac:dyDescent="0.25">
      <c r="A55" s="2" t="s">
        <v>866</v>
      </c>
      <c r="B55" s="1" t="s">
        <v>268</v>
      </c>
      <c r="C55" s="27"/>
      <c r="E55" s="16"/>
      <c r="F55" s="16"/>
      <c r="G55" s="143" t="s">
        <v>1071</v>
      </c>
      <c r="H55" s="16"/>
      <c r="I55" s="16"/>
      <c r="J55" s="16"/>
      <c r="K55" s="16"/>
      <c r="L55" s="16"/>
      <c r="M55" s="16"/>
    </row>
    <row r="56" spans="1:13" ht="16.5" thickBot="1" x14ac:dyDescent="0.3">
      <c r="B56" s="30" t="s">
        <v>109</v>
      </c>
      <c r="C56" s="27"/>
      <c r="E56" s="16"/>
      <c r="F56" s="16"/>
      <c r="G56" s="16"/>
      <c r="H56" s="16"/>
      <c r="I56" s="16"/>
      <c r="J56" s="16"/>
      <c r="K56" s="16"/>
      <c r="L56" s="16"/>
      <c r="M56" s="16"/>
    </row>
    <row r="57" spans="1:13" x14ac:dyDescent="0.2">
      <c r="A57" s="28" t="s">
        <v>269</v>
      </c>
      <c r="B57" s="89">
        <v>85000</v>
      </c>
      <c r="C57" s="27" t="s">
        <v>1154</v>
      </c>
      <c r="E57" s="16"/>
      <c r="F57" s="16"/>
      <c r="G57" s="16"/>
      <c r="H57" s="16"/>
      <c r="I57" s="16"/>
      <c r="J57" s="16"/>
      <c r="K57" s="16"/>
      <c r="L57" s="16"/>
      <c r="M57" s="16"/>
    </row>
    <row r="58" spans="1:13" ht="15.75" thickBot="1" x14ac:dyDescent="0.25">
      <c r="A58" s="28" t="s">
        <v>867</v>
      </c>
      <c r="B58" s="48">
        <v>45000</v>
      </c>
      <c r="C58" s="27" t="s">
        <v>1154</v>
      </c>
      <c r="E58" s="16"/>
      <c r="F58" s="16"/>
      <c r="G58" s="16"/>
      <c r="H58" s="16"/>
      <c r="I58" s="16"/>
      <c r="J58" s="16"/>
      <c r="K58" s="16"/>
      <c r="L58" s="16"/>
      <c r="M58" s="16"/>
    </row>
    <row r="59" spans="1:13" ht="15.75" x14ac:dyDescent="0.25">
      <c r="B59" s="30" t="s">
        <v>876</v>
      </c>
      <c r="E59" s="16"/>
      <c r="F59" s="16"/>
      <c r="G59" s="16"/>
      <c r="H59" s="16"/>
      <c r="I59" s="16"/>
      <c r="J59" s="16"/>
      <c r="K59" s="58"/>
      <c r="L59" s="16"/>
      <c r="M59" s="16"/>
    </row>
    <row r="60" spans="1:13" ht="15.75" x14ac:dyDescent="0.25">
      <c r="A60" s="2" t="s">
        <v>856</v>
      </c>
      <c r="B60" s="5">
        <v>0.18</v>
      </c>
      <c r="C60" s="5" t="s">
        <v>1284</v>
      </c>
      <c r="E60" s="16"/>
      <c r="F60" s="16"/>
      <c r="G60" s="16"/>
      <c r="H60" s="16"/>
      <c r="I60" s="16"/>
      <c r="J60" s="16"/>
      <c r="K60" s="16"/>
      <c r="L60" s="16"/>
      <c r="M60" s="16"/>
    </row>
    <row r="61" spans="1:13" ht="15.75" x14ac:dyDescent="0.25">
      <c r="A61" s="2" t="s">
        <v>139</v>
      </c>
      <c r="B61" s="5" t="s">
        <v>265</v>
      </c>
      <c r="C61" s="5" t="s">
        <v>1284</v>
      </c>
      <c r="E61" s="16"/>
      <c r="F61" s="16"/>
      <c r="G61" s="16"/>
      <c r="H61" s="16"/>
      <c r="I61" s="16"/>
      <c r="J61" s="16"/>
      <c r="K61" s="16"/>
      <c r="L61" s="16"/>
      <c r="M61" s="16"/>
    </row>
    <row r="62" spans="1:13" ht="15.75" x14ac:dyDescent="0.25">
      <c r="A62" s="26" t="s">
        <v>112</v>
      </c>
      <c r="B62" s="5">
        <f>B60*B57</f>
        <v>15300</v>
      </c>
      <c r="C62" s="5" t="s">
        <v>1154</v>
      </c>
      <c r="E62" s="16"/>
      <c r="F62" s="16"/>
      <c r="G62" s="16"/>
      <c r="H62" s="16"/>
      <c r="I62" s="16"/>
      <c r="J62" s="16"/>
      <c r="K62" s="16"/>
      <c r="L62" s="16"/>
      <c r="M62" s="16"/>
    </row>
    <row r="63" spans="1:13" ht="15.75" x14ac:dyDescent="0.25">
      <c r="A63" s="2" t="s">
        <v>267</v>
      </c>
      <c r="B63" s="5">
        <v>0.3</v>
      </c>
      <c r="C63" s="5" t="s">
        <v>1284</v>
      </c>
      <c r="E63" s="16"/>
      <c r="F63" s="16"/>
      <c r="G63" s="16"/>
      <c r="H63" s="16"/>
      <c r="I63" s="16"/>
      <c r="J63" s="16"/>
      <c r="K63" s="16"/>
      <c r="L63" s="16"/>
      <c r="M63" s="16"/>
    </row>
    <row r="64" spans="1:13" ht="15.75" x14ac:dyDescent="0.25">
      <c r="A64" s="2" t="s">
        <v>140</v>
      </c>
      <c r="B64" s="5" t="s">
        <v>266</v>
      </c>
      <c r="C64" s="5" t="s">
        <v>1284</v>
      </c>
      <c r="E64" s="16"/>
      <c r="F64" s="16"/>
      <c r="G64" s="16"/>
      <c r="H64" s="16"/>
      <c r="I64" s="16"/>
      <c r="J64" s="16"/>
      <c r="K64" s="16"/>
      <c r="L64" s="16"/>
      <c r="M64" s="16"/>
    </row>
    <row r="65" spans="1:13" ht="15.75" x14ac:dyDescent="0.25">
      <c r="A65" s="26" t="s">
        <v>748</v>
      </c>
      <c r="B65" s="5">
        <f>B63*B58</f>
        <v>13500</v>
      </c>
      <c r="C65" s="5" t="s">
        <v>1154</v>
      </c>
      <c r="E65" s="16"/>
      <c r="F65" s="16"/>
      <c r="G65" s="16"/>
      <c r="H65" s="16"/>
      <c r="I65" s="16"/>
      <c r="J65" s="16"/>
      <c r="K65" s="16"/>
      <c r="L65" s="16"/>
      <c r="M65" s="16"/>
    </row>
    <row r="66" spans="1:13" ht="15.75" x14ac:dyDescent="0.25">
      <c r="A66" s="1" t="s">
        <v>145</v>
      </c>
      <c r="B66" s="27"/>
      <c r="C66" s="27"/>
      <c r="E66" s="16"/>
      <c r="F66" s="16"/>
      <c r="G66" s="16"/>
      <c r="H66" s="16"/>
      <c r="I66" s="16"/>
      <c r="J66" s="16"/>
      <c r="K66" s="16"/>
      <c r="L66" s="16"/>
      <c r="M66" s="16"/>
    </row>
    <row r="67" spans="1:13" x14ac:dyDescent="0.2">
      <c r="A67" s="23"/>
      <c r="B67" s="23"/>
      <c r="C67" s="23"/>
      <c r="D67" s="23"/>
      <c r="E67" s="16"/>
      <c r="F67" s="16"/>
      <c r="G67" s="16"/>
      <c r="H67" s="16"/>
      <c r="I67" s="16"/>
      <c r="J67" s="16"/>
      <c r="K67" s="16"/>
      <c r="L67" s="16"/>
      <c r="M67" s="16"/>
    </row>
    <row r="68" spans="1:13" x14ac:dyDescent="0.2">
      <c r="E68" s="16"/>
      <c r="F68" s="16"/>
      <c r="G68" s="16"/>
      <c r="H68" s="16"/>
      <c r="I68" s="16"/>
      <c r="J68" s="16"/>
      <c r="K68" s="16"/>
      <c r="L68" s="16"/>
      <c r="M68" s="16"/>
    </row>
    <row r="69" spans="1:13" ht="16.5" thickBot="1" x14ac:dyDescent="0.3">
      <c r="A69" s="1" t="s">
        <v>868</v>
      </c>
      <c r="B69" s="30" t="s">
        <v>109</v>
      </c>
      <c r="C69" s="27"/>
      <c r="E69" s="16"/>
      <c r="F69" s="16"/>
      <c r="G69" s="16"/>
      <c r="H69" s="16"/>
      <c r="I69" s="16"/>
      <c r="J69" s="16"/>
      <c r="K69" s="16"/>
      <c r="L69" s="16"/>
      <c r="M69" s="16"/>
    </row>
    <row r="70" spans="1:13" x14ac:dyDescent="0.2">
      <c r="A70" s="28" t="s">
        <v>1153</v>
      </c>
      <c r="B70" s="63">
        <v>2</v>
      </c>
      <c r="C70" s="27" t="s">
        <v>1078</v>
      </c>
      <c r="D70" s="12" t="s">
        <v>1071</v>
      </c>
      <c r="E70" s="16"/>
      <c r="F70" s="16"/>
      <c r="G70" s="16"/>
      <c r="H70" s="16"/>
      <c r="I70" s="16"/>
      <c r="J70" s="16"/>
      <c r="K70" s="16"/>
      <c r="L70" s="16"/>
      <c r="M70" s="16"/>
    </row>
    <row r="71" spans="1:13" x14ac:dyDescent="0.2">
      <c r="A71" s="28" t="s">
        <v>146</v>
      </c>
      <c r="B71" s="32">
        <v>0.375</v>
      </c>
      <c r="C71" s="12" t="s">
        <v>1078</v>
      </c>
      <c r="E71" s="16"/>
      <c r="F71" s="16"/>
      <c r="G71" s="16"/>
      <c r="H71" s="16"/>
      <c r="I71" s="16"/>
      <c r="J71" s="16"/>
      <c r="K71" s="16"/>
      <c r="L71" s="16"/>
      <c r="M71" s="16"/>
    </row>
    <row r="72" spans="1:13" ht="15.75" thickBot="1" x14ac:dyDescent="0.25">
      <c r="A72" s="28" t="s">
        <v>143</v>
      </c>
      <c r="B72" s="54">
        <v>0.25</v>
      </c>
      <c r="C72" s="12" t="s">
        <v>1078</v>
      </c>
      <c r="E72" s="16"/>
      <c r="F72" s="16"/>
      <c r="G72" s="16"/>
      <c r="H72" s="16"/>
      <c r="I72" s="16"/>
      <c r="J72" s="16"/>
      <c r="K72" s="16"/>
      <c r="L72" s="16"/>
      <c r="M72" s="16"/>
    </row>
    <row r="73" spans="1:13" ht="15.75" x14ac:dyDescent="0.25">
      <c r="B73" s="30" t="s">
        <v>876</v>
      </c>
      <c r="E73" s="16"/>
      <c r="F73" s="16"/>
      <c r="G73" s="16"/>
      <c r="H73" s="16"/>
      <c r="I73" s="16"/>
      <c r="J73" s="16"/>
      <c r="K73" s="16"/>
      <c r="L73" s="16"/>
      <c r="M73" s="16"/>
    </row>
    <row r="74" spans="1:13" x14ac:dyDescent="0.2">
      <c r="A74" s="28" t="s">
        <v>144</v>
      </c>
      <c r="B74" s="123">
        <f>B71/2</f>
        <v>0.1875</v>
      </c>
      <c r="E74" s="16"/>
      <c r="F74" s="16"/>
      <c r="G74" s="16"/>
      <c r="H74" s="16"/>
      <c r="I74" s="16"/>
      <c r="J74" s="16"/>
      <c r="K74" s="16"/>
      <c r="L74" s="16"/>
      <c r="M74" s="16"/>
    </row>
    <row r="75" spans="1:13" ht="15.75" x14ac:dyDescent="0.25">
      <c r="A75" s="28" t="s">
        <v>1435</v>
      </c>
      <c r="B75" s="37">
        <f>B74/B72</f>
        <v>0.75</v>
      </c>
      <c r="E75" s="16"/>
      <c r="F75" s="16"/>
      <c r="G75" s="16"/>
      <c r="H75" s="16"/>
      <c r="I75" s="16"/>
      <c r="J75" s="16"/>
      <c r="K75" s="16"/>
      <c r="L75" s="16"/>
      <c r="M75" s="16"/>
    </row>
    <row r="76" spans="1:13" ht="15.75" x14ac:dyDescent="0.25">
      <c r="A76" s="28" t="s">
        <v>1436</v>
      </c>
      <c r="B76" s="37">
        <f>B72/(B70/2)</f>
        <v>0.25</v>
      </c>
      <c r="E76" s="16"/>
      <c r="F76" s="16"/>
      <c r="G76" s="16"/>
      <c r="H76" s="16"/>
      <c r="I76" s="16"/>
      <c r="J76" s="16"/>
      <c r="K76" s="16"/>
      <c r="L76" s="16"/>
      <c r="M76" s="16"/>
    </row>
    <row r="77" spans="1:13" ht="16.5" thickBot="1" x14ac:dyDescent="0.3">
      <c r="B77" s="30" t="s">
        <v>109</v>
      </c>
      <c r="E77" s="16"/>
      <c r="F77" s="16"/>
      <c r="G77" s="16"/>
      <c r="H77" s="16"/>
      <c r="I77" s="16"/>
      <c r="J77" s="16"/>
      <c r="K77" s="16"/>
      <c r="L77" s="16"/>
      <c r="M77" s="16"/>
    </row>
    <row r="78" spans="1:13" x14ac:dyDescent="0.2">
      <c r="A78" s="28" t="s">
        <v>1084</v>
      </c>
      <c r="B78" s="31">
        <v>60</v>
      </c>
      <c r="C78" s="27" t="s">
        <v>1087</v>
      </c>
      <c r="E78" s="16"/>
      <c r="F78" s="16"/>
      <c r="G78" s="16"/>
      <c r="H78" s="16"/>
      <c r="I78" s="16"/>
      <c r="J78" s="16"/>
      <c r="K78" s="16"/>
      <c r="L78" s="16"/>
      <c r="M78" s="16"/>
    </row>
    <row r="79" spans="1:13" x14ac:dyDescent="0.2">
      <c r="A79" s="28" t="s">
        <v>1085</v>
      </c>
      <c r="B79" s="32">
        <v>300</v>
      </c>
      <c r="C79" s="27" t="s">
        <v>1086</v>
      </c>
      <c r="E79" s="16"/>
      <c r="F79" s="16"/>
      <c r="G79" s="16"/>
      <c r="H79" s="16"/>
      <c r="I79" s="16"/>
      <c r="J79" s="16"/>
      <c r="K79" s="16"/>
      <c r="L79" s="16"/>
      <c r="M79" s="16"/>
    </row>
    <row r="80" spans="1:13" x14ac:dyDescent="0.2">
      <c r="A80" s="28" t="s">
        <v>138</v>
      </c>
      <c r="B80" s="53">
        <v>13500</v>
      </c>
      <c r="C80" s="27" t="s">
        <v>1154</v>
      </c>
      <c r="E80" s="16"/>
      <c r="F80" s="16"/>
      <c r="G80" s="16"/>
      <c r="H80" s="16"/>
      <c r="I80" s="16"/>
      <c r="J80" s="16"/>
      <c r="K80" s="16"/>
      <c r="L80" s="16"/>
      <c r="M80" s="16"/>
    </row>
    <row r="81" spans="1:13" x14ac:dyDescent="0.2">
      <c r="A81" s="28" t="s">
        <v>1136</v>
      </c>
      <c r="B81" s="47">
        <v>3</v>
      </c>
      <c r="C81" s="27" t="s">
        <v>1284</v>
      </c>
      <c r="E81" s="16"/>
      <c r="F81" s="16"/>
      <c r="G81" s="16"/>
      <c r="H81" s="16"/>
      <c r="I81" s="16"/>
      <c r="J81" s="16"/>
      <c r="K81" s="16"/>
      <c r="L81" s="16"/>
      <c r="M81" s="16"/>
    </row>
    <row r="82" spans="1:13" ht="15.75" thickBot="1" x14ac:dyDescent="0.25">
      <c r="A82" s="28" t="s">
        <v>147</v>
      </c>
      <c r="B82" s="90">
        <v>1.38</v>
      </c>
      <c r="C82" s="27" t="s">
        <v>1071</v>
      </c>
      <c r="E82" s="16"/>
      <c r="F82" s="16"/>
      <c r="G82" s="16"/>
      <c r="H82" s="16"/>
      <c r="I82" s="16"/>
      <c r="J82" s="16"/>
      <c r="K82" s="16"/>
      <c r="L82" s="16"/>
      <c r="M82" s="16"/>
    </row>
    <row r="83" spans="1:13" ht="15.75" x14ac:dyDescent="0.25">
      <c r="B83" s="30" t="s">
        <v>876</v>
      </c>
      <c r="E83" s="16"/>
      <c r="F83" s="135"/>
      <c r="G83" s="58"/>
      <c r="H83" s="58"/>
      <c r="I83" s="58"/>
      <c r="J83" s="58"/>
      <c r="K83" s="58"/>
      <c r="L83" s="16"/>
      <c r="M83" s="16"/>
    </row>
    <row r="84" spans="1:13" ht="15.75" x14ac:dyDescent="0.25">
      <c r="A84" s="2" t="s">
        <v>1081</v>
      </c>
      <c r="B84" s="5" t="s">
        <v>1185</v>
      </c>
      <c r="C84" s="27"/>
      <c r="E84" s="16"/>
      <c r="F84" s="135"/>
      <c r="G84" s="58"/>
      <c r="H84" s="58"/>
      <c r="I84" s="58"/>
      <c r="J84" s="58"/>
      <c r="K84" s="58"/>
      <c r="L84" s="16"/>
      <c r="M84" s="16"/>
    </row>
    <row r="85" spans="1:13" ht="15.75" x14ac:dyDescent="0.25">
      <c r="A85" s="26" t="s">
        <v>112</v>
      </c>
      <c r="B85" s="36">
        <f>(12*33000*B78)/(2*3.142*B79)</f>
        <v>12603.437301082113</v>
      </c>
      <c r="C85" s="5" t="s">
        <v>1075</v>
      </c>
      <c r="E85" s="16"/>
      <c r="F85" s="16"/>
      <c r="G85" s="16"/>
      <c r="H85" s="16"/>
      <c r="I85" s="16"/>
      <c r="J85" s="16"/>
      <c r="K85" s="16"/>
      <c r="L85" s="16"/>
      <c r="M85" s="16"/>
    </row>
    <row r="86" spans="1:13" ht="15.75" x14ac:dyDescent="0.25">
      <c r="A86" s="2" t="s">
        <v>1089</v>
      </c>
      <c r="B86" s="5" t="s">
        <v>1180</v>
      </c>
      <c r="C86" s="5"/>
      <c r="E86" s="16"/>
      <c r="F86" s="16"/>
      <c r="G86" s="16"/>
      <c r="H86" s="16"/>
      <c r="I86" s="16"/>
      <c r="J86" s="16"/>
      <c r="K86" s="16"/>
      <c r="L86" s="16"/>
      <c r="M86" s="16"/>
    </row>
    <row r="87" spans="1:13" ht="15.75" x14ac:dyDescent="0.25">
      <c r="A87" s="26" t="s">
        <v>112</v>
      </c>
      <c r="B87" s="51">
        <f>(3.142*B70^4)/32</f>
        <v>1.571</v>
      </c>
      <c r="C87" s="5" t="s">
        <v>1073</v>
      </c>
      <c r="E87" s="16"/>
      <c r="F87" s="16"/>
      <c r="G87" s="16"/>
      <c r="H87" s="16"/>
      <c r="I87" s="16"/>
      <c r="J87" s="16"/>
      <c r="K87" s="16"/>
      <c r="L87" s="16"/>
      <c r="M87" s="16"/>
    </row>
    <row r="88" spans="1:13" ht="15.75" x14ac:dyDescent="0.25">
      <c r="A88" s="2" t="s">
        <v>855</v>
      </c>
      <c r="B88" s="5" t="s">
        <v>148</v>
      </c>
      <c r="C88" s="27"/>
      <c r="E88" s="16"/>
      <c r="F88" s="16"/>
      <c r="G88" s="16"/>
      <c r="H88" s="16"/>
      <c r="I88" s="16"/>
      <c r="J88" s="16"/>
      <c r="K88" s="16"/>
      <c r="L88" s="16"/>
      <c r="M88" s="16"/>
    </row>
    <row r="89" spans="1:13" ht="15.75" x14ac:dyDescent="0.25">
      <c r="A89" s="26" t="s">
        <v>112</v>
      </c>
      <c r="B89" s="36">
        <f>(B80*B87)/(B81*B82*B70/2)</f>
        <v>5122.826086956522</v>
      </c>
      <c r="C89" s="5" t="s">
        <v>1075</v>
      </c>
      <c r="E89" s="16"/>
      <c r="F89" s="16"/>
      <c r="G89" s="16"/>
      <c r="H89" s="16"/>
      <c r="I89" s="16"/>
      <c r="J89" s="16"/>
      <c r="K89" s="16"/>
      <c r="L89" s="16"/>
      <c r="M89" s="16"/>
    </row>
    <row r="90" spans="1:13" x14ac:dyDescent="0.2">
      <c r="E90" s="16"/>
      <c r="F90" s="16"/>
      <c r="G90" s="16"/>
      <c r="H90" s="16"/>
      <c r="I90" s="16"/>
      <c r="J90" s="16"/>
      <c r="K90" s="16"/>
      <c r="L90" s="16"/>
      <c r="M90" s="16"/>
    </row>
    <row r="91" spans="1:13" x14ac:dyDescent="0.2">
      <c r="E91" s="16"/>
      <c r="F91" s="16"/>
      <c r="G91" s="16"/>
      <c r="H91" s="16"/>
      <c r="I91" s="16"/>
      <c r="J91" s="16"/>
      <c r="K91" s="16"/>
      <c r="L91" s="16"/>
      <c r="M91" s="16"/>
    </row>
    <row r="92" spans="1:13" x14ac:dyDescent="0.2">
      <c r="E92" s="16"/>
      <c r="F92" s="16"/>
      <c r="G92" s="16"/>
      <c r="H92" s="16"/>
      <c r="I92" s="16"/>
      <c r="J92" s="16"/>
      <c r="K92" s="16"/>
      <c r="L92" s="16"/>
      <c r="M92" s="16"/>
    </row>
    <row r="93" spans="1:13" ht="15.75" x14ac:dyDescent="0.25">
      <c r="D93" s="5" t="s">
        <v>1071</v>
      </c>
      <c r="E93" s="16"/>
      <c r="F93" s="16"/>
      <c r="G93" s="16"/>
      <c r="H93" s="16"/>
      <c r="I93" s="16"/>
      <c r="J93" s="16"/>
      <c r="K93" s="16"/>
      <c r="L93" s="16"/>
      <c r="M93" s="16"/>
    </row>
    <row r="94" spans="1:13" x14ac:dyDescent="0.2">
      <c r="E94" s="16"/>
      <c r="F94" s="16"/>
      <c r="G94" s="16"/>
      <c r="H94" s="16"/>
      <c r="I94" s="16"/>
      <c r="J94" s="16"/>
      <c r="K94" s="16"/>
      <c r="L94" s="16"/>
      <c r="M94" s="16"/>
    </row>
    <row r="95" spans="1:13" x14ac:dyDescent="0.2">
      <c r="E95" s="16"/>
      <c r="F95" s="16"/>
      <c r="G95" s="16"/>
      <c r="H95" s="16"/>
      <c r="I95" s="16"/>
      <c r="J95" s="16"/>
      <c r="K95" s="16"/>
      <c r="L95" s="16"/>
      <c r="M95" s="16"/>
    </row>
    <row r="96" spans="1:13" x14ac:dyDescent="0.2">
      <c r="E96" s="16"/>
      <c r="F96" s="16"/>
      <c r="G96" s="16"/>
      <c r="H96" s="16"/>
      <c r="I96" s="16"/>
      <c r="J96" s="16"/>
      <c r="K96" s="16"/>
      <c r="L96" s="16"/>
      <c r="M96" s="16"/>
    </row>
    <row r="97" spans="1:13" x14ac:dyDescent="0.2">
      <c r="E97" s="16"/>
      <c r="F97" s="16"/>
      <c r="G97" s="16"/>
      <c r="H97" s="16"/>
      <c r="I97" s="16"/>
      <c r="J97" s="16"/>
      <c r="K97" s="16"/>
      <c r="L97" s="16"/>
      <c r="M97" s="16"/>
    </row>
    <row r="98" spans="1:13" x14ac:dyDescent="0.2">
      <c r="E98" s="16"/>
      <c r="F98" s="16"/>
      <c r="G98" s="16"/>
      <c r="H98" s="16"/>
      <c r="I98" s="16"/>
      <c r="J98" s="16"/>
      <c r="K98" s="16"/>
      <c r="L98" s="16"/>
      <c r="M98" s="16"/>
    </row>
    <row r="99" spans="1:13" x14ac:dyDescent="0.2">
      <c r="E99" s="16"/>
      <c r="F99" s="16"/>
      <c r="G99" s="16"/>
      <c r="H99" s="16"/>
      <c r="I99" s="16"/>
      <c r="J99" s="16"/>
      <c r="K99" s="16"/>
      <c r="L99" s="16"/>
      <c r="M99" s="16"/>
    </row>
    <row r="100" spans="1:13" x14ac:dyDescent="0.2">
      <c r="E100" s="16"/>
      <c r="F100" s="16"/>
      <c r="G100" s="16"/>
      <c r="H100" s="16"/>
      <c r="I100" s="16"/>
      <c r="J100" s="16"/>
      <c r="K100" s="16"/>
      <c r="L100" s="16"/>
      <c r="M100" s="16"/>
    </row>
    <row r="101" spans="1:13" x14ac:dyDescent="0.2">
      <c r="E101" s="16"/>
      <c r="F101" s="16"/>
      <c r="G101" s="16"/>
      <c r="H101" s="16"/>
      <c r="I101" s="16"/>
      <c r="J101" s="16"/>
      <c r="K101" s="16"/>
      <c r="L101" s="16"/>
      <c r="M101" s="16"/>
    </row>
    <row r="102" spans="1:13" x14ac:dyDescent="0.2">
      <c r="E102" s="16"/>
      <c r="F102" s="16"/>
      <c r="G102" s="16"/>
      <c r="H102" s="16"/>
      <c r="I102" s="16"/>
      <c r="J102" s="16"/>
      <c r="K102" s="16"/>
      <c r="L102" s="16"/>
      <c r="M102" s="16"/>
    </row>
    <row r="103" spans="1:13" x14ac:dyDescent="0.2">
      <c r="A103" s="28"/>
      <c r="B103" s="27"/>
      <c r="C103" s="27"/>
      <c r="E103" s="16"/>
      <c r="F103" s="16"/>
      <c r="G103" s="16"/>
      <c r="H103" s="16"/>
      <c r="I103" s="16"/>
      <c r="J103" s="16"/>
      <c r="K103" s="16"/>
      <c r="L103" s="16"/>
      <c r="M103" s="16"/>
    </row>
    <row r="104" spans="1:13" x14ac:dyDescent="0.2">
      <c r="E104" s="16"/>
      <c r="F104" s="16"/>
      <c r="G104" s="16"/>
      <c r="H104" s="16"/>
      <c r="I104" s="16"/>
      <c r="J104" s="16"/>
      <c r="K104" s="16"/>
      <c r="L104" s="16"/>
      <c r="M104" s="16"/>
    </row>
    <row r="105" spans="1:13" x14ac:dyDescent="0.2">
      <c r="E105" s="16"/>
      <c r="F105" s="16"/>
      <c r="G105" s="16"/>
      <c r="H105" s="16"/>
      <c r="I105" s="16"/>
      <c r="J105" s="16"/>
      <c r="K105" s="16"/>
      <c r="L105" s="16"/>
      <c r="M105" s="16"/>
    </row>
    <row r="106" spans="1:13" x14ac:dyDescent="0.2">
      <c r="E106" s="16"/>
      <c r="F106" s="16"/>
      <c r="G106" s="16"/>
      <c r="H106" s="16"/>
      <c r="I106" s="16"/>
      <c r="J106" s="16"/>
      <c r="K106" s="16"/>
      <c r="L106" s="16"/>
      <c r="M106" s="16"/>
    </row>
    <row r="107" spans="1:13" x14ac:dyDescent="0.2">
      <c r="E107" s="16"/>
      <c r="F107" s="16"/>
      <c r="G107" s="16"/>
      <c r="H107" s="16"/>
      <c r="I107" s="16"/>
      <c r="J107" s="16"/>
      <c r="K107" s="16"/>
      <c r="L107" s="16"/>
      <c r="M107" s="16"/>
    </row>
    <row r="108" spans="1:13" x14ac:dyDescent="0.2">
      <c r="E108" s="16"/>
      <c r="F108" s="16"/>
      <c r="G108" s="16"/>
      <c r="H108" s="16"/>
      <c r="I108" s="16"/>
      <c r="J108" s="16"/>
      <c r="K108" s="16"/>
      <c r="L108" s="16"/>
      <c r="M108" s="16"/>
    </row>
    <row r="109" spans="1:13" x14ac:dyDescent="0.2">
      <c r="E109" s="16"/>
      <c r="F109" s="16"/>
      <c r="G109" s="16"/>
      <c r="H109" s="16"/>
      <c r="I109" s="16"/>
      <c r="J109" s="16"/>
      <c r="K109" s="16"/>
      <c r="L109" s="16"/>
      <c r="M109" s="16"/>
    </row>
    <row r="110" spans="1:13" x14ac:dyDescent="0.2">
      <c r="E110" s="16"/>
      <c r="F110" s="16"/>
      <c r="G110" s="16"/>
      <c r="H110" s="16"/>
      <c r="I110" s="16"/>
      <c r="J110" s="16"/>
      <c r="K110" s="16"/>
      <c r="L110" s="16"/>
      <c r="M110" s="16"/>
    </row>
    <row r="111" spans="1:13" x14ac:dyDescent="0.2">
      <c r="E111" s="16"/>
      <c r="F111" s="16"/>
      <c r="G111" s="16"/>
      <c r="H111" s="16"/>
      <c r="I111" s="16"/>
      <c r="J111" s="16"/>
      <c r="K111" s="16"/>
      <c r="L111" s="16"/>
      <c r="M111" s="16"/>
    </row>
    <row r="112" spans="1:13" x14ac:dyDescent="0.2">
      <c r="E112" s="16"/>
      <c r="F112" s="16"/>
      <c r="G112" s="16"/>
      <c r="H112" s="16"/>
      <c r="I112" s="16"/>
      <c r="J112" s="16"/>
      <c r="K112" s="16"/>
      <c r="L112" s="16"/>
      <c r="M112" s="16"/>
    </row>
    <row r="113" spans="1:13" x14ac:dyDescent="0.2">
      <c r="E113" s="16"/>
      <c r="F113" s="16"/>
      <c r="G113" s="16"/>
      <c r="H113" s="16"/>
      <c r="I113" s="16"/>
      <c r="J113" s="16"/>
      <c r="K113" s="16"/>
      <c r="L113" s="16"/>
      <c r="M113" s="16"/>
    </row>
    <row r="114" spans="1:13" x14ac:dyDescent="0.2">
      <c r="E114" s="16"/>
      <c r="F114" s="16"/>
      <c r="G114" s="16"/>
      <c r="H114" s="16"/>
      <c r="I114" s="16"/>
      <c r="J114" s="16"/>
      <c r="K114" s="16"/>
      <c r="L114" s="16"/>
      <c r="M114" s="16"/>
    </row>
    <row r="115" spans="1:13" x14ac:dyDescent="0.2">
      <c r="E115" s="16"/>
      <c r="F115" s="16"/>
      <c r="G115" s="16"/>
      <c r="H115" s="16"/>
      <c r="I115" s="16"/>
      <c r="J115" s="16"/>
      <c r="K115" s="16"/>
      <c r="L115" s="16"/>
      <c r="M115" s="16"/>
    </row>
    <row r="116" spans="1:13" x14ac:dyDescent="0.2">
      <c r="E116" s="16"/>
      <c r="F116" s="16"/>
      <c r="G116" s="16"/>
      <c r="H116" s="16"/>
      <c r="I116" s="16"/>
      <c r="J116" s="16"/>
      <c r="K116" s="16"/>
      <c r="L116" s="16"/>
      <c r="M116" s="16"/>
    </row>
    <row r="117" spans="1:13" x14ac:dyDescent="0.2">
      <c r="E117" s="16"/>
      <c r="F117" s="16"/>
      <c r="G117" s="16"/>
      <c r="H117" s="16"/>
      <c r="I117" s="16"/>
      <c r="J117" s="16"/>
      <c r="K117" s="16"/>
      <c r="L117" s="16"/>
      <c r="M117" s="16"/>
    </row>
    <row r="118" spans="1:13" x14ac:dyDescent="0.2">
      <c r="E118" s="16"/>
      <c r="F118" s="16"/>
      <c r="G118" s="16"/>
      <c r="H118" s="16"/>
      <c r="I118" s="16"/>
      <c r="J118" s="16"/>
      <c r="K118" s="16"/>
      <c r="L118" s="16"/>
      <c r="M118" s="16"/>
    </row>
    <row r="119" spans="1:13" x14ac:dyDescent="0.2">
      <c r="A119" s="23"/>
      <c r="B119" s="23"/>
      <c r="C119" s="23"/>
      <c r="D119" s="23"/>
      <c r="E119" s="16"/>
      <c r="F119" s="16"/>
      <c r="G119" s="16"/>
      <c r="H119" s="16"/>
      <c r="I119" s="16"/>
      <c r="J119" s="16"/>
      <c r="K119" s="16"/>
      <c r="L119" s="16"/>
      <c r="M119" s="16"/>
    </row>
    <row r="120" spans="1:13" x14ac:dyDescent="0.2">
      <c r="F120" s="16"/>
      <c r="G120" s="16"/>
      <c r="H120" s="16"/>
      <c r="I120" s="16"/>
      <c r="J120" s="16"/>
      <c r="K120" s="16"/>
      <c r="L120" s="16"/>
      <c r="M120" s="16"/>
    </row>
    <row r="121" spans="1:13" ht="16.5" thickBot="1" x14ac:dyDescent="0.3">
      <c r="A121" s="1" t="s">
        <v>869</v>
      </c>
      <c r="B121" s="30" t="s">
        <v>109</v>
      </c>
      <c r="C121" s="27"/>
      <c r="E121" s="16"/>
      <c r="F121" s="16"/>
      <c r="G121" s="16"/>
      <c r="H121" s="16"/>
      <c r="I121" s="16"/>
      <c r="J121" s="16"/>
      <c r="K121" s="16"/>
      <c r="L121" s="16"/>
      <c r="M121" s="16"/>
    </row>
    <row r="122" spans="1:13" x14ac:dyDescent="0.2">
      <c r="A122" s="28" t="s">
        <v>374</v>
      </c>
      <c r="B122" s="63">
        <v>0.375</v>
      </c>
      <c r="C122" s="27" t="s">
        <v>1078</v>
      </c>
      <c r="E122" s="16"/>
      <c r="F122" s="16"/>
      <c r="G122" s="16"/>
      <c r="H122" s="16"/>
      <c r="I122" s="16"/>
      <c r="J122" s="16"/>
      <c r="K122" s="16"/>
      <c r="L122" s="16"/>
      <c r="M122" s="16"/>
    </row>
    <row r="123" spans="1:13" x14ac:dyDescent="0.2">
      <c r="A123" s="28" t="s">
        <v>274</v>
      </c>
      <c r="B123" s="47">
        <v>3</v>
      </c>
      <c r="C123" s="27" t="s">
        <v>1078</v>
      </c>
      <c r="E123" s="16"/>
      <c r="F123" s="16"/>
      <c r="G123" s="16"/>
      <c r="H123" s="16"/>
      <c r="I123" s="16"/>
      <c r="J123" s="16"/>
      <c r="K123" s="16"/>
      <c r="L123" s="16"/>
      <c r="M123" s="16"/>
    </row>
    <row r="124" spans="1:13" x14ac:dyDescent="0.2">
      <c r="A124" s="28" t="s">
        <v>1178</v>
      </c>
      <c r="B124" s="52">
        <v>2</v>
      </c>
      <c r="C124" s="27" t="s">
        <v>1078</v>
      </c>
      <c r="E124" s="16"/>
      <c r="F124" s="16"/>
      <c r="G124" s="16"/>
      <c r="H124" s="16"/>
      <c r="I124" s="16"/>
      <c r="J124" s="16"/>
      <c r="K124" s="16"/>
      <c r="L124" s="16"/>
      <c r="M124" s="16"/>
    </row>
    <row r="125" spans="1:13" x14ac:dyDescent="0.2">
      <c r="A125" s="28" t="s">
        <v>138</v>
      </c>
      <c r="B125" s="32">
        <v>13500</v>
      </c>
      <c r="C125" s="27" t="s">
        <v>1154</v>
      </c>
      <c r="E125" s="16"/>
      <c r="F125" s="16"/>
      <c r="G125" s="16"/>
      <c r="H125" s="16"/>
      <c r="I125" s="16"/>
      <c r="J125" s="16"/>
      <c r="K125" s="16"/>
      <c r="L125" s="16"/>
      <c r="M125" s="16"/>
    </row>
    <row r="126" spans="1:13" ht="15.75" thickBot="1" x14ac:dyDescent="0.25">
      <c r="A126" s="28" t="s">
        <v>430</v>
      </c>
      <c r="B126" s="54">
        <v>80000</v>
      </c>
      <c r="C126" s="27" t="s">
        <v>1154</v>
      </c>
      <c r="E126" s="16"/>
      <c r="F126" s="16"/>
      <c r="G126" s="16"/>
      <c r="H126" s="16"/>
      <c r="I126" s="16"/>
      <c r="J126" s="16"/>
      <c r="K126" s="16"/>
      <c r="L126" s="16"/>
      <c r="M126" s="16"/>
    </row>
    <row r="127" spans="1:13" ht="15.75" x14ac:dyDescent="0.25">
      <c r="B127" s="30" t="s">
        <v>876</v>
      </c>
      <c r="E127" s="16"/>
      <c r="F127" s="16"/>
      <c r="G127" s="16"/>
      <c r="H127" s="16"/>
      <c r="I127" s="16"/>
      <c r="J127" s="16"/>
      <c r="K127" s="16"/>
      <c r="L127" s="16"/>
      <c r="M127" s="16"/>
    </row>
    <row r="128" spans="1:13" ht="15.75" x14ac:dyDescent="0.25">
      <c r="A128" s="2" t="s">
        <v>271</v>
      </c>
      <c r="B128" s="5" t="s">
        <v>375</v>
      </c>
      <c r="E128" s="16"/>
      <c r="F128" s="16"/>
      <c r="G128" s="16"/>
      <c r="H128" s="16"/>
      <c r="I128" s="16"/>
      <c r="J128" s="16"/>
      <c r="K128" s="16"/>
      <c r="L128" s="16"/>
      <c r="M128" s="16"/>
    </row>
    <row r="129" spans="1:13" ht="15.75" x14ac:dyDescent="0.25">
      <c r="A129" s="26" t="s">
        <v>748</v>
      </c>
      <c r="B129" s="5">
        <f>B122*B123</f>
        <v>1.125</v>
      </c>
      <c r="C129" s="5" t="s">
        <v>221</v>
      </c>
      <c r="E129" s="16"/>
      <c r="F129" s="16"/>
      <c r="G129" s="16"/>
      <c r="H129" s="16"/>
      <c r="I129" s="16"/>
      <c r="J129" s="16"/>
      <c r="K129" s="16"/>
      <c r="L129" s="16"/>
      <c r="M129" s="16"/>
    </row>
    <row r="130" spans="1:13" ht="15.75" x14ac:dyDescent="0.25">
      <c r="A130" s="2" t="s">
        <v>270</v>
      </c>
      <c r="B130" s="5">
        <v>0.75</v>
      </c>
      <c r="C130" s="5" t="s">
        <v>1071</v>
      </c>
      <c r="E130" s="16" t="s">
        <v>1071</v>
      </c>
      <c r="F130" s="16"/>
      <c r="G130" s="16"/>
      <c r="H130" s="16"/>
      <c r="I130" s="16"/>
      <c r="J130" s="16"/>
      <c r="K130" s="16"/>
      <c r="L130" s="16"/>
      <c r="M130" s="16"/>
    </row>
    <row r="131" spans="1:13" ht="15.75" x14ac:dyDescent="0.25">
      <c r="A131" s="2" t="s">
        <v>1181</v>
      </c>
      <c r="B131" s="5" t="s">
        <v>272</v>
      </c>
      <c r="C131" s="27"/>
      <c r="E131" s="16"/>
      <c r="F131" s="16"/>
      <c r="G131" s="16"/>
      <c r="H131" s="16"/>
      <c r="I131" s="16"/>
      <c r="J131" s="16"/>
      <c r="K131" s="16"/>
      <c r="L131" s="16"/>
      <c r="M131" s="16"/>
    </row>
    <row r="132" spans="1:13" ht="15.75" x14ac:dyDescent="0.25">
      <c r="A132" s="26" t="s">
        <v>112</v>
      </c>
      <c r="B132" s="5">
        <f>B130*B125*B122*B123</f>
        <v>11390.625</v>
      </c>
      <c r="C132" s="5" t="s">
        <v>1154</v>
      </c>
      <c r="E132" s="16"/>
      <c r="F132" s="16"/>
      <c r="G132" s="16"/>
      <c r="H132" s="16"/>
      <c r="I132" s="16"/>
      <c r="J132" s="16"/>
      <c r="K132" s="16"/>
      <c r="L132" s="16"/>
      <c r="M132" s="16"/>
    </row>
    <row r="133" spans="1:13" ht="15.75" x14ac:dyDescent="0.25">
      <c r="A133" s="2" t="s">
        <v>429</v>
      </c>
      <c r="B133" s="5" t="s">
        <v>273</v>
      </c>
      <c r="C133" s="27"/>
      <c r="E133" s="16"/>
      <c r="F133" s="16"/>
      <c r="G133" s="16"/>
      <c r="H133" s="16"/>
      <c r="I133" s="16"/>
      <c r="J133" s="16"/>
      <c r="K133" s="16"/>
      <c r="L133" s="16"/>
      <c r="M133" s="16"/>
    </row>
    <row r="134" spans="1:13" ht="15.75" x14ac:dyDescent="0.25">
      <c r="A134" s="26" t="s">
        <v>748</v>
      </c>
      <c r="B134" s="36">
        <f>B132*B124/2</f>
        <v>11390.625</v>
      </c>
      <c r="C134" s="5" t="s">
        <v>1075</v>
      </c>
      <c r="E134" s="16"/>
      <c r="F134" s="16"/>
      <c r="G134" s="16"/>
      <c r="H134" s="16"/>
      <c r="I134" s="16"/>
      <c r="J134" s="16"/>
      <c r="K134" s="16"/>
      <c r="L134" s="16"/>
      <c r="M134" s="16"/>
    </row>
    <row r="135" spans="1:13" ht="15.75" x14ac:dyDescent="0.25">
      <c r="A135" s="2" t="s">
        <v>149</v>
      </c>
      <c r="B135" s="5" t="s">
        <v>431</v>
      </c>
      <c r="E135" s="16"/>
      <c r="F135" s="16"/>
      <c r="G135" s="16"/>
      <c r="H135" s="16"/>
      <c r="I135" s="16"/>
      <c r="J135" s="16"/>
      <c r="K135" s="16"/>
      <c r="L135" s="16"/>
      <c r="M135" s="16"/>
    </row>
    <row r="136" spans="1:13" ht="15.75" x14ac:dyDescent="0.25">
      <c r="A136" s="26" t="s">
        <v>748</v>
      </c>
      <c r="B136" s="36">
        <f>B126*B123*(B124/2 - B122/4)*(B122/2)</f>
        <v>40781.25</v>
      </c>
      <c r="C136" s="5" t="s">
        <v>1075</v>
      </c>
      <c r="E136" s="16"/>
      <c r="F136" s="16"/>
      <c r="G136" s="16"/>
      <c r="H136" s="16"/>
      <c r="I136" s="16"/>
      <c r="J136" s="16"/>
      <c r="K136" s="16"/>
      <c r="L136" s="16"/>
      <c r="M136" s="16"/>
    </row>
    <row r="137" spans="1:13" x14ac:dyDescent="0.2">
      <c r="E137" s="16"/>
      <c r="F137" s="16"/>
      <c r="G137" s="16"/>
      <c r="H137" s="16"/>
      <c r="I137" s="16"/>
      <c r="J137" s="16"/>
      <c r="K137" s="16"/>
      <c r="L137" s="16"/>
      <c r="M137" s="16"/>
    </row>
    <row r="138" spans="1:13" x14ac:dyDescent="0.2">
      <c r="A138" s="23"/>
      <c r="B138" s="23"/>
      <c r="C138" s="23"/>
      <c r="D138" s="23"/>
      <c r="E138" s="16"/>
      <c r="F138" s="16"/>
      <c r="G138" s="16"/>
      <c r="H138" s="16"/>
      <c r="I138" s="16"/>
      <c r="J138" s="16"/>
      <c r="K138" s="16"/>
      <c r="L138" s="16"/>
      <c r="M138" s="16"/>
    </row>
    <row r="139" spans="1:13" x14ac:dyDescent="0.2">
      <c r="F139" s="16"/>
      <c r="G139" s="16"/>
      <c r="H139" s="16"/>
      <c r="I139" s="16"/>
      <c r="J139" s="16"/>
      <c r="K139" s="16"/>
      <c r="L139" s="16"/>
      <c r="M139" s="16"/>
    </row>
    <row r="140" spans="1:13" ht="16.5" thickBot="1" x14ac:dyDescent="0.3">
      <c r="A140" s="1" t="s">
        <v>376</v>
      </c>
      <c r="B140" s="30" t="s">
        <v>109</v>
      </c>
      <c r="C140" s="27"/>
      <c r="E140" s="16"/>
      <c r="F140" s="16"/>
      <c r="G140" s="16"/>
      <c r="H140" s="16"/>
      <c r="I140" s="16"/>
      <c r="J140" s="16"/>
      <c r="K140" s="16"/>
      <c r="L140" s="16"/>
      <c r="M140" s="16"/>
    </row>
    <row r="141" spans="1:13" x14ac:dyDescent="0.2">
      <c r="A141" s="28" t="s">
        <v>1156</v>
      </c>
      <c r="B141" s="144">
        <v>10</v>
      </c>
      <c r="C141" s="27" t="s">
        <v>1078</v>
      </c>
      <c r="E141" s="16"/>
      <c r="F141" s="16"/>
      <c r="G141" s="16"/>
      <c r="H141" s="16"/>
      <c r="I141" s="16"/>
      <c r="J141" s="16"/>
      <c r="K141" s="16"/>
      <c r="L141" s="16"/>
      <c r="M141" s="16"/>
    </row>
    <row r="142" spans="1:13" x14ac:dyDescent="0.2">
      <c r="A142" s="28" t="s">
        <v>1157</v>
      </c>
      <c r="B142" s="47">
        <v>9</v>
      </c>
      <c r="C142" s="27" t="s">
        <v>1078</v>
      </c>
      <c r="E142" s="16"/>
      <c r="F142" s="16"/>
      <c r="G142" s="16"/>
      <c r="H142" s="16"/>
      <c r="I142" s="16"/>
      <c r="J142" s="16"/>
      <c r="K142" s="16"/>
      <c r="L142" s="16"/>
      <c r="M142" s="16"/>
    </row>
    <row r="143" spans="1:13" x14ac:dyDescent="0.2">
      <c r="A143" s="28" t="s">
        <v>1155</v>
      </c>
      <c r="B143" s="32">
        <v>500</v>
      </c>
      <c r="C143" s="27" t="s">
        <v>1100</v>
      </c>
      <c r="E143" s="16"/>
      <c r="F143" s="16"/>
      <c r="G143" s="16"/>
      <c r="H143" s="16"/>
      <c r="I143" s="16"/>
      <c r="J143" s="16"/>
      <c r="K143" s="16"/>
      <c r="L143" s="16"/>
      <c r="M143" s="16"/>
    </row>
    <row r="144" spans="1:13" x14ac:dyDescent="0.2">
      <c r="A144" s="28" t="s">
        <v>1161</v>
      </c>
      <c r="B144" s="32">
        <v>6</v>
      </c>
      <c r="C144" s="27" t="s">
        <v>1284</v>
      </c>
      <c r="E144" s="16"/>
      <c r="F144" s="16"/>
      <c r="G144" s="16"/>
      <c r="H144" s="16"/>
      <c r="I144" s="16"/>
      <c r="J144" s="16"/>
      <c r="K144" s="16"/>
      <c r="L144" s="16"/>
      <c r="M144" s="16"/>
    </row>
    <row r="145" spans="1:13" x14ac:dyDescent="0.2">
      <c r="A145" s="28" t="s">
        <v>1158</v>
      </c>
      <c r="B145" s="32">
        <v>0.2</v>
      </c>
      <c r="C145" s="27" t="s">
        <v>1284</v>
      </c>
      <c r="D145" s="27"/>
      <c r="E145" s="16"/>
      <c r="F145" s="16"/>
      <c r="G145" s="16"/>
      <c r="H145" s="16"/>
      <c r="I145" s="16"/>
      <c r="J145" s="16"/>
      <c r="K145" s="16"/>
      <c r="L145" s="16"/>
      <c r="M145" s="16"/>
    </row>
    <row r="146" spans="1:13" ht="15.75" thickBot="1" x14ac:dyDescent="0.25">
      <c r="A146" s="28" t="s">
        <v>1168</v>
      </c>
      <c r="B146" s="54">
        <v>1</v>
      </c>
      <c r="C146" s="27" t="s">
        <v>1284</v>
      </c>
      <c r="D146" s="27"/>
      <c r="E146" s="16"/>
      <c r="F146" s="16"/>
      <c r="G146" s="16"/>
      <c r="H146" s="16"/>
      <c r="I146" s="16"/>
      <c r="J146" s="16"/>
      <c r="K146" s="16"/>
      <c r="L146" s="16"/>
      <c r="M146" s="16"/>
    </row>
    <row r="147" spans="1:13" ht="15.75" x14ac:dyDescent="0.25">
      <c r="B147" s="30" t="s">
        <v>876</v>
      </c>
      <c r="E147" s="16"/>
      <c r="F147" s="16"/>
      <c r="G147" s="16"/>
      <c r="H147" s="16"/>
      <c r="I147" s="16"/>
      <c r="J147" s="16"/>
      <c r="K147" s="16"/>
      <c r="L147" s="16"/>
      <c r="M147" s="16"/>
    </row>
    <row r="148" spans="1:13" ht="15.75" x14ac:dyDescent="0.25">
      <c r="A148" s="2" t="s">
        <v>1169</v>
      </c>
      <c r="B148" s="1" t="s">
        <v>1159</v>
      </c>
      <c r="C148" s="5"/>
      <c r="E148" s="16"/>
      <c r="F148" s="16"/>
      <c r="G148" s="16"/>
      <c r="H148" s="16"/>
      <c r="I148" s="16"/>
      <c r="J148" s="16"/>
      <c r="K148" s="16"/>
      <c r="L148" s="16"/>
      <c r="M148" s="16"/>
    </row>
    <row r="149" spans="1:13" ht="15.75" x14ac:dyDescent="0.25">
      <c r="A149" s="2" t="s">
        <v>1179</v>
      </c>
      <c r="B149" s="37">
        <f>(2/3)*((B141/2)^3-(B142/2)^3)/((B141/2)^2-(B142/2)^2)</f>
        <v>4.7543859649122808</v>
      </c>
      <c r="C149" s="5" t="s">
        <v>1078</v>
      </c>
      <c r="E149" s="16"/>
      <c r="F149" s="16"/>
      <c r="G149" s="16"/>
      <c r="H149" s="16"/>
      <c r="I149" s="16"/>
      <c r="J149" s="16"/>
      <c r="K149" s="16"/>
      <c r="L149" s="16"/>
      <c r="M149" s="16"/>
    </row>
    <row r="150" spans="1:13" ht="15.75" x14ac:dyDescent="0.25">
      <c r="A150" s="2" t="s">
        <v>1160</v>
      </c>
      <c r="B150" s="5" t="s">
        <v>1164</v>
      </c>
      <c r="C150" s="5"/>
      <c r="E150" s="16"/>
      <c r="F150" s="16"/>
      <c r="G150" s="16"/>
      <c r="H150" s="16"/>
      <c r="I150" s="16"/>
      <c r="J150" s="16"/>
      <c r="K150" s="16"/>
      <c r="L150" s="16"/>
      <c r="M150" s="16"/>
    </row>
    <row r="151" spans="1:13" ht="15.75" x14ac:dyDescent="0.25">
      <c r="A151" s="2" t="s">
        <v>1165</v>
      </c>
      <c r="B151" s="5">
        <f>B143*B144</f>
        <v>3000</v>
      </c>
      <c r="C151" s="5" t="s">
        <v>1100</v>
      </c>
      <c r="E151" s="16"/>
      <c r="F151" s="16"/>
      <c r="G151" s="16"/>
      <c r="H151" s="16"/>
      <c r="I151" s="16"/>
      <c r="J151" s="16"/>
      <c r="K151" s="16"/>
      <c r="L151" s="16"/>
      <c r="M151" s="16"/>
    </row>
    <row r="152" spans="1:13" ht="15.75" x14ac:dyDescent="0.25">
      <c r="A152" s="2" t="s">
        <v>1166</v>
      </c>
      <c r="B152" s="5" t="s">
        <v>1167</v>
      </c>
      <c r="C152" s="27"/>
      <c r="E152" s="16"/>
      <c r="F152" s="16"/>
      <c r="G152" s="16"/>
      <c r="H152" s="16"/>
      <c r="I152" s="16"/>
      <c r="J152" s="16"/>
      <c r="K152" s="16"/>
      <c r="L152" s="16"/>
      <c r="M152" s="16"/>
    </row>
    <row r="153" spans="1:13" ht="15.75" x14ac:dyDescent="0.25">
      <c r="A153" s="2" t="s">
        <v>1170</v>
      </c>
      <c r="B153" s="36">
        <f>B151*B145*B149*B146</f>
        <v>2852.6315789473683</v>
      </c>
      <c r="C153" s="5" t="s">
        <v>1075</v>
      </c>
      <c r="E153" s="16"/>
      <c r="F153" s="16"/>
      <c r="G153" s="16"/>
      <c r="H153" s="16"/>
      <c r="I153" s="16"/>
      <c r="J153" s="16"/>
      <c r="K153" s="16"/>
      <c r="L153" s="16"/>
      <c r="M153" s="16"/>
    </row>
    <row r="154" spans="1:13" x14ac:dyDescent="0.2">
      <c r="E154" s="16"/>
      <c r="F154" s="16"/>
      <c r="G154" s="16"/>
      <c r="H154" s="16"/>
      <c r="I154" s="16"/>
      <c r="J154" s="16"/>
      <c r="K154" s="16"/>
      <c r="L154" s="16"/>
      <c r="M154" s="16"/>
    </row>
    <row r="155" spans="1:13" x14ac:dyDescent="0.2">
      <c r="A155" s="23"/>
      <c r="B155" s="23"/>
      <c r="C155" s="23"/>
      <c r="D155" s="23"/>
      <c r="E155" s="16"/>
      <c r="F155" s="16"/>
      <c r="G155" s="16"/>
      <c r="H155" s="16"/>
      <c r="I155" s="16"/>
      <c r="J155" s="16"/>
      <c r="K155" s="16"/>
      <c r="L155" s="16"/>
      <c r="M155" s="16"/>
    </row>
    <row r="156" spans="1:13" x14ac:dyDescent="0.2">
      <c r="E156" s="16"/>
      <c r="F156" s="16"/>
      <c r="G156" s="16"/>
      <c r="H156" s="16"/>
      <c r="I156" s="16"/>
      <c r="J156" s="16"/>
      <c r="K156" s="16"/>
      <c r="L156" s="16"/>
      <c r="M156" s="16"/>
    </row>
    <row r="157" spans="1:13" x14ac:dyDescent="0.2">
      <c r="A157" s="28"/>
      <c r="B157" s="27"/>
      <c r="C157" s="27"/>
      <c r="E157" s="16"/>
      <c r="F157" s="16"/>
      <c r="G157" s="16"/>
      <c r="H157" s="16"/>
      <c r="I157" s="16"/>
      <c r="J157" s="16"/>
      <c r="K157" s="16"/>
      <c r="L157" s="16"/>
      <c r="M157" s="16"/>
    </row>
    <row r="158" spans="1:13" ht="15.75" x14ac:dyDescent="0.25">
      <c r="A158" s="1" t="s">
        <v>377</v>
      </c>
      <c r="B158" s="27"/>
      <c r="C158" s="27"/>
      <c r="E158" s="16"/>
      <c r="F158" s="16"/>
      <c r="G158" s="16"/>
      <c r="H158" s="16"/>
      <c r="I158" s="16"/>
      <c r="J158" s="16"/>
      <c r="K158" s="16"/>
      <c r="L158" s="16"/>
      <c r="M158" s="16"/>
    </row>
    <row r="159" spans="1:13" x14ac:dyDescent="0.2">
      <c r="A159" s="22" t="s">
        <v>1171</v>
      </c>
      <c r="B159" s="27"/>
      <c r="C159" s="27"/>
      <c r="E159" s="16"/>
      <c r="F159" s="16"/>
      <c r="G159" s="16"/>
      <c r="H159" s="16"/>
      <c r="I159" s="16"/>
      <c r="J159" s="16"/>
      <c r="K159" s="16"/>
      <c r="L159" s="16"/>
      <c r="M159" s="16"/>
    </row>
    <row r="160" spans="1:13" ht="16.5" thickBot="1" x14ac:dyDescent="0.3">
      <c r="A160" s="28"/>
      <c r="B160" s="30" t="s">
        <v>109</v>
      </c>
      <c r="C160" s="27"/>
      <c r="E160" s="16"/>
      <c r="F160" s="16"/>
      <c r="G160" s="16"/>
      <c r="H160" s="16"/>
      <c r="I160" s="16"/>
      <c r="J160" s="16"/>
      <c r="K160" s="16"/>
      <c r="L160" s="16"/>
      <c r="M160" s="16"/>
    </row>
    <row r="161" spans="1:13" x14ac:dyDescent="0.2">
      <c r="A161" s="28" t="s">
        <v>1136</v>
      </c>
      <c r="B161" s="31">
        <v>3</v>
      </c>
      <c r="C161" s="27" t="s">
        <v>1284</v>
      </c>
      <c r="E161" s="16"/>
      <c r="F161" s="16"/>
      <c r="G161" s="16"/>
      <c r="H161" s="16"/>
      <c r="I161" s="16"/>
      <c r="J161" s="16"/>
      <c r="K161" s="16"/>
      <c r="L161" s="16"/>
      <c r="M161" s="16"/>
    </row>
    <row r="162" spans="1:13" x14ac:dyDescent="0.2">
      <c r="A162" s="28" t="s">
        <v>1173</v>
      </c>
      <c r="B162" s="32">
        <v>6000</v>
      </c>
      <c r="C162" s="27" t="s">
        <v>1154</v>
      </c>
      <c r="E162" s="16"/>
      <c r="F162" s="16"/>
      <c r="G162" s="16"/>
      <c r="H162" s="16"/>
      <c r="I162" s="16"/>
      <c r="J162" s="16"/>
      <c r="K162" s="16"/>
      <c r="L162" s="16"/>
      <c r="M162" s="16"/>
    </row>
    <row r="163" spans="1:13" x14ac:dyDescent="0.2">
      <c r="A163" s="28" t="s">
        <v>1161</v>
      </c>
      <c r="B163" s="32">
        <v>4</v>
      </c>
      <c r="C163" s="27" t="s">
        <v>1284</v>
      </c>
      <c r="E163" s="16"/>
      <c r="F163" s="16"/>
      <c r="G163" s="16"/>
      <c r="H163" s="16"/>
      <c r="I163" s="16"/>
      <c r="J163" s="16"/>
      <c r="K163" s="16"/>
      <c r="L163" s="16"/>
      <c r="M163" s="16"/>
    </row>
    <row r="164" spans="1:13" x14ac:dyDescent="0.2">
      <c r="A164" s="28" t="s">
        <v>1174</v>
      </c>
      <c r="B164" s="32">
        <v>6.5</v>
      </c>
      <c r="C164" s="27" t="s">
        <v>1078</v>
      </c>
      <c r="E164" s="16"/>
      <c r="F164" s="16"/>
      <c r="G164" s="16"/>
      <c r="H164" s="16"/>
      <c r="I164" s="16"/>
      <c r="J164" s="16"/>
      <c r="K164" s="16"/>
      <c r="L164" s="16"/>
      <c r="M164" s="16"/>
    </row>
    <row r="165" spans="1:13" ht="16.5" thickBot="1" x14ac:dyDescent="0.3">
      <c r="A165" s="28" t="s">
        <v>276</v>
      </c>
      <c r="B165" s="65">
        <v>0.5</v>
      </c>
      <c r="C165" s="27" t="s">
        <v>1078</v>
      </c>
      <c r="D165" s="5" t="s">
        <v>1071</v>
      </c>
      <c r="E165" s="16"/>
      <c r="F165" s="16"/>
      <c r="G165" s="16"/>
      <c r="H165" s="16"/>
      <c r="I165" s="16"/>
      <c r="J165" s="16"/>
      <c r="K165" s="16"/>
      <c r="L165" s="16"/>
      <c r="M165" s="16"/>
    </row>
    <row r="166" spans="1:13" ht="15.75" x14ac:dyDescent="0.25">
      <c r="B166" s="30" t="s">
        <v>876</v>
      </c>
      <c r="E166" s="16"/>
      <c r="F166" s="16"/>
      <c r="G166" s="16"/>
      <c r="H166" s="16"/>
      <c r="I166" s="16"/>
      <c r="J166" s="16"/>
      <c r="K166" s="16"/>
      <c r="L166" s="16"/>
      <c r="M166" s="16"/>
    </row>
    <row r="167" spans="1:13" ht="15.75" x14ac:dyDescent="0.25">
      <c r="A167" s="2" t="s">
        <v>275</v>
      </c>
      <c r="B167" s="5" t="s">
        <v>277</v>
      </c>
      <c r="C167" s="5"/>
      <c r="E167" s="16"/>
      <c r="F167" s="16"/>
      <c r="G167" s="16"/>
      <c r="H167" s="16"/>
      <c r="I167" s="16"/>
      <c r="J167" s="16"/>
      <c r="K167" s="16"/>
      <c r="L167" s="16"/>
      <c r="M167" s="16"/>
    </row>
    <row r="168" spans="1:13" ht="15.75" x14ac:dyDescent="0.25">
      <c r="A168" s="2" t="s">
        <v>173</v>
      </c>
      <c r="B168" s="3">
        <f>3.142*B165^2/4</f>
        <v>0.19637499999999999</v>
      </c>
      <c r="C168" s="5" t="s">
        <v>1078</v>
      </c>
      <c r="E168" s="16"/>
      <c r="F168" s="16"/>
      <c r="G168" s="16"/>
      <c r="H168" s="16"/>
      <c r="I168" s="16"/>
      <c r="J168" s="16"/>
      <c r="K168" s="16"/>
      <c r="L168" s="16"/>
      <c r="M168" s="16"/>
    </row>
    <row r="169" spans="1:13" ht="15.75" x14ac:dyDescent="0.25">
      <c r="A169" s="2" t="s">
        <v>871</v>
      </c>
      <c r="B169" s="5">
        <v>1.33</v>
      </c>
      <c r="C169" s="27" t="s">
        <v>1284</v>
      </c>
      <c r="E169" s="16"/>
      <c r="F169" s="16"/>
      <c r="G169" s="16"/>
      <c r="H169" s="16"/>
      <c r="I169" s="16"/>
      <c r="J169" s="16"/>
      <c r="K169" s="16"/>
      <c r="L169" s="16"/>
      <c r="M169" s="16"/>
    </row>
    <row r="170" spans="1:13" ht="15.75" x14ac:dyDescent="0.25">
      <c r="A170" s="2" t="s">
        <v>1172</v>
      </c>
      <c r="B170" s="5" t="s">
        <v>872</v>
      </c>
      <c r="C170" s="27"/>
      <c r="E170" s="16"/>
      <c r="F170" s="16"/>
      <c r="G170" s="16"/>
      <c r="H170" s="16"/>
      <c r="I170" s="16"/>
      <c r="J170" s="16"/>
      <c r="K170" s="16"/>
      <c r="L170" s="16"/>
      <c r="M170" s="16"/>
    </row>
    <row r="171" spans="1:13" ht="15.75" x14ac:dyDescent="0.25">
      <c r="A171" s="2" t="s">
        <v>1175</v>
      </c>
      <c r="B171" s="36">
        <f>(B162*B168)/(B161*B169)</f>
        <v>295.30075187969925</v>
      </c>
      <c r="C171" s="5" t="s">
        <v>1100</v>
      </c>
      <c r="E171" s="16"/>
      <c r="F171" s="16"/>
      <c r="G171" s="16"/>
      <c r="H171" s="16"/>
      <c r="I171" s="16"/>
      <c r="J171" s="16"/>
      <c r="K171" s="16"/>
      <c r="L171" s="16"/>
      <c r="M171" s="16"/>
    </row>
    <row r="172" spans="1:13" x14ac:dyDescent="0.2">
      <c r="A172" s="28"/>
      <c r="B172" s="27"/>
      <c r="C172" s="27"/>
      <c r="E172" s="16"/>
      <c r="F172" s="16"/>
      <c r="G172" s="16"/>
      <c r="H172" s="16"/>
      <c r="I172" s="16"/>
      <c r="J172" s="16"/>
      <c r="K172" s="16"/>
      <c r="L172" s="16"/>
      <c r="M172" s="16"/>
    </row>
    <row r="173" spans="1:13" ht="15.75" x14ac:dyDescent="0.25">
      <c r="A173" s="2" t="s">
        <v>873</v>
      </c>
      <c r="B173" s="5" t="s">
        <v>1176</v>
      </c>
      <c r="C173" s="27"/>
      <c r="E173" s="16"/>
      <c r="F173" s="16"/>
      <c r="G173" s="16"/>
      <c r="H173" s="16"/>
      <c r="I173" s="16"/>
      <c r="J173" s="16"/>
      <c r="K173" s="16"/>
      <c r="L173" s="16"/>
      <c r="M173" s="16"/>
    </row>
    <row r="174" spans="1:13" ht="15.75" x14ac:dyDescent="0.25">
      <c r="A174" s="2" t="s">
        <v>1177</v>
      </c>
      <c r="B174" s="36">
        <f>(B171*(B164/2))*(B163/2)</f>
        <v>1919.4548872180451</v>
      </c>
      <c r="C174" s="5" t="s">
        <v>1075</v>
      </c>
      <c r="E174" s="16"/>
      <c r="F174" s="16"/>
      <c r="G174" s="16"/>
      <c r="H174" s="16"/>
      <c r="I174" s="16"/>
      <c r="J174" s="16"/>
      <c r="K174" s="16"/>
      <c r="L174" s="16"/>
      <c r="M174" s="16"/>
    </row>
    <row r="175" spans="1:13" x14ac:dyDescent="0.2">
      <c r="A175" s="23"/>
      <c r="B175" s="23"/>
      <c r="C175" s="23"/>
      <c r="D175" s="23"/>
      <c r="E175" s="16"/>
      <c r="F175" s="16"/>
      <c r="G175" s="16"/>
      <c r="H175" s="16"/>
      <c r="I175" s="16"/>
      <c r="J175" s="16"/>
      <c r="K175" s="16"/>
      <c r="L175" s="16"/>
      <c r="M175" s="16"/>
    </row>
    <row r="176" spans="1:13" x14ac:dyDescent="0.2">
      <c r="E176" s="16"/>
      <c r="F176" s="16"/>
      <c r="G176" s="16"/>
      <c r="H176" s="16"/>
      <c r="I176" s="16"/>
      <c r="J176" s="16"/>
      <c r="K176" s="16"/>
      <c r="L176" s="16"/>
      <c r="M176" s="16"/>
    </row>
    <row r="177" spans="1:13" x14ac:dyDescent="0.2">
      <c r="A177" s="27"/>
      <c r="E177" s="16"/>
      <c r="F177" s="16"/>
      <c r="G177" s="16"/>
      <c r="H177" s="16"/>
      <c r="I177" s="16"/>
      <c r="J177" s="16"/>
      <c r="K177" s="16"/>
      <c r="L177" s="16"/>
      <c r="M177" s="16"/>
    </row>
    <row r="178" spans="1:13" x14ac:dyDescent="0.2">
      <c r="A178" s="27"/>
      <c r="E178" s="16"/>
      <c r="F178" s="16"/>
      <c r="G178" s="16"/>
      <c r="H178" s="16"/>
      <c r="I178" s="16"/>
      <c r="J178" s="16"/>
      <c r="K178" s="16"/>
      <c r="L178" s="16"/>
      <c r="M178" s="16"/>
    </row>
    <row r="179" spans="1:13" x14ac:dyDescent="0.2">
      <c r="A179" s="27"/>
      <c r="E179" s="16"/>
      <c r="F179" s="16"/>
      <c r="G179" s="16"/>
      <c r="H179" s="16"/>
      <c r="I179" s="16"/>
      <c r="J179" s="16"/>
      <c r="K179" s="16"/>
      <c r="L179" s="16"/>
      <c r="M179" s="16"/>
    </row>
    <row r="180" spans="1:13" x14ac:dyDescent="0.2">
      <c r="A180" s="27"/>
      <c r="E180" s="16"/>
      <c r="F180" s="16"/>
      <c r="G180" s="16"/>
      <c r="H180" s="16"/>
      <c r="I180" s="16"/>
      <c r="J180" s="16"/>
      <c r="K180" s="16"/>
      <c r="L180" s="16"/>
      <c r="M180" s="16"/>
    </row>
    <row r="181" spans="1:13" x14ac:dyDescent="0.2">
      <c r="A181" s="27"/>
      <c r="E181" s="16"/>
      <c r="F181" s="16"/>
      <c r="G181" s="16"/>
      <c r="H181" s="16"/>
      <c r="I181" s="16"/>
      <c r="J181" s="16"/>
      <c r="K181" s="16"/>
      <c r="L181" s="16"/>
      <c r="M181" s="16"/>
    </row>
    <row r="182" spans="1:13" x14ac:dyDescent="0.2">
      <c r="A182" s="27"/>
      <c r="E182" s="16"/>
      <c r="F182" s="16"/>
      <c r="G182" s="16"/>
      <c r="H182" s="16"/>
      <c r="I182" s="16"/>
      <c r="J182" s="16"/>
      <c r="K182" s="16"/>
      <c r="L182" s="16"/>
      <c r="M182" s="16"/>
    </row>
    <row r="183" spans="1:13" x14ac:dyDescent="0.2">
      <c r="A183" s="27"/>
      <c r="E183" s="16"/>
      <c r="F183" s="16"/>
      <c r="G183" s="16"/>
      <c r="H183" s="16"/>
      <c r="I183" s="16"/>
      <c r="J183" s="16"/>
      <c r="K183" s="16"/>
      <c r="L183" s="16"/>
      <c r="M183" s="16"/>
    </row>
    <row r="184" spans="1:13" ht="15.75" x14ac:dyDescent="0.25">
      <c r="A184" s="5"/>
      <c r="E184" s="16"/>
      <c r="F184" s="16"/>
      <c r="G184" s="16"/>
      <c r="H184" s="16"/>
      <c r="I184" s="16"/>
      <c r="J184" s="16"/>
      <c r="K184" s="16"/>
      <c r="L184" s="16"/>
      <c r="M184" s="16"/>
    </row>
    <row r="185" spans="1:13" ht="15.75" x14ac:dyDescent="0.25">
      <c r="A185" s="36"/>
      <c r="D185" s="12" t="s">
        <v>336</v>
      </c>
      <c r="E185" s="16"/>
      <c r="F185" s="16"/>
      <c r="G185" s="16"/>
      <c r="H185" s="16"/>
      <c r="I185" s="16"/>
      <c r="J185" s="16"/>
      <c r="K185" s="16"/>
      <c r="L185" s="16"/>
      <c r="M185" s="16"/>
    </row>
    <row r="186" spans="1:13" x14ac:dyDescent="0.2">
      <c r="B186" s="22"/>
      <c r="C186" s="27"/>
      <c r="E186" s="16"/>
      <c r="F186" s="16"/>
      <c r="G186" s="16"/>
      <c r="H186" s="16"/>
      <c r="I186" s="16"/>
      <c r="J186" s="16"/>
      <c r="K186" s="16"/>
      <c r="L186" s="16"/>
      <c r="M186" s="16"/>
    </row>
    <row r="187" spans="1:13" x14ac:dyDescent="0.2">
      <c r="B187" s="12" t="s">
        <v>1103</v>
      </c>
      <c r="C187" s="27"/>
      <c r="E187" s="16"/>
      <c r="F187" s="16"/>
      <c r="G187" s="16"/>
      <c r="H187" s="16"/>
      <c r="I187" s="16"/>
      <c r="J187" s="16"/>
      <c r="K187" s="16"/>
      <c r="L187" s="16"/>
      <c r="M187" s="16"/>
    </row>
    <row r="188" spans="1:13" x14ac:dyDescent="0.2">
      <c r="E188" s="16"/>
      <c r="F188" s="16"/>
      <c r="G188" s="16"/>
      <c r="H188" s="16"/>
      <c r="I188" s="16"/>
      <c r="J188" s="16"/>
      <c r="K188" s="16"/>
      <c r="L188" s="16"/>
      <c r="M188" s="16"/>
    </row>
    <row r="189" spans="1:13" x14ac:dyDescent="0.2">
      <c r="E189" s="16"/>
      <c r="F189" s="16"/>
      <c r="G189" s="16"/>
      <c r="H189" s="16"/>
      <c r="I189" s="16"/>
      <c r="J189" s="16"/>
      <c r="K189" s="16"/>
      <c r="L189" s="16"/>
      <c r="M189" s="16"/>
    </row>
    <row r="190" spans="1:13" x14ac:dyDescent="0.2">
      <c r="E190" s="16"/>
      <c r="F190" s="16"/>
      <c r="G190" s="16"/>
      <c r="H190" s="16"/>
      <c r="I190" s="16"/>
      <c r="J190" s="16"/>
      <c r="K190" s="16"/>
      <c r="L190" s="16"/>
      <c r="M190" s="16"/>
    </row>
    <row r="191" spans="1:13" x14ac:dyDescent="0.2">
      <c r="E191" s="16"/>
      <c r="F191" s="16"/>
      <c r="G191" s="16"/>
      <c r="H191" s="16"/>
      <c r="I191" s="16"/>
      <c r="J191" s="16"/>
      <c r="K191" s="16"/>
      <c r="L191" s="16"/>
      <c r="M191" s="16"/>
    </row>
    <row r="192" spans="1:13" ht="16.5" thickBot="1" x14ac:dyDescent="0.3">
      <c r="A192" s="27"/>
      <c r="B192" s="30" t="s">
        <v>109</v>
      </c>
      <c r="E192" s="16"/>
      <c r="F192" s="16"/>
      <c r="G192" s="16"/>
      <c r="H192" s="16"/>
      <c r="I192" s="16"/>
      <c r="J192" s="16"/>
      <c r="K192" s="16"/>
      <c r="L192" s="16"/>
      <c r="M192" s="16"/>
    </row>
    <row r="193" spans="1:13" x14ac:dyDescent="0.2">
      <c r="A193" s="28" t="s">
        <v>310</v>
      </c>
      <c r="B193" s="63">
        <v>14</v>
      </c>
      <c r="C193" s="27" t="s">
        <v>1078</v>
      </c>
      <c r="E193" s="16"/>
      <c r="F193" s="16"/>
      <c r="G193" s="16"/>
      <c r="H193" s="16"/>
      <c r="I193" s="16"/>
      <c r="J193" s="16"/>
      <c r="K193" s="16"/>
      <c r="L193" s="16"/>
      <c r="M193" s="16"/>
    </row>
    <row r="194" spans="1:13" x14ac:dyDescent="0.2">
      <c r="A194" s="28" t="s">
        <v>301</v>
      </c>
      <c r="B194" s="52">
        <v>4</v>
      </c>
      <c r="C194" s="27" t="s">
        <v>1078</v>
      </c>
      <c r="E194" s="16"/>
      <c r="F194" s="16"/>
      <c r="G194" s="16"/>
      <c r="H194" s="16"/>
      <c r="I194" s="16"/>
      <c r="J194" s="16"/>
      <c r="K194" s="16"/>
      <c r="L194" s="16"/>
      <c r="M194" s="16"/>
    </row>
    <row r="195" spans="1:13" x14ac:dyDescent="0.2">
      <c r="A195" s="28" t="s">
        <v>302</v>
      </c>
      <c r="B195" s="52">
        <v>0</v>
      </c>
      <c r="C195" s="27" t="s">
        <v>1078</v>
      </c>
      <c r="E195" s="16"/>
      <c r="F195" s="16"/>
      <c r="G195" s="16"/>
      <c r="H195" s="16"/>
      <c r="I195" s="16"/>
      <c r="J195" s="16"/>
      <c r="K195" s="16"/>
      <c r="L195" s="16"/>
      <c r="M195" s="16"/>
    </row>
    <row r="196" spans="1:13" x14ac:dyDescent="0.2">
      <c r="A196" s="28" t="s">
        <v>278</v>
      </c>
      <c r="B196" s="32">
        <v>8</v>
      </c>
      <c r="C196" s="27" t="s">
        <v>1078</v>
      </c>
      <c r="E196" s="16"/>
      <c r="F196" s="16"/>
      <c r="G196" s="16"/>
      <c r="H196" s="16"/>
      <c r="I196" s="16"/>
      <c r="J196" s="16"/>
      <c r="K196" s="16"/>
      <c r="L196" s="16"/>
      <c r="M196" s="16"/>
    </row>
    <row r="197" spans="1:13" x14ac:dyDescent="0.2">
      <c r="A197" s="28" t="s">
        <v>279</v>
      </c>
      <c r="B197" s="32">
        <v>5000</v>
      </c>
      <c r="C197" s="27" t="s">
        <v>1154</v>
      </c>
      <c r="E197" s="16"/>
      <c r="F197" s="16"/>
      <c r="G197" s="16"/>
      <c r="H197" s="16"/>
      <c r="I197" s="16"/>
      <c r="J197" s="16"/>
      <c r="K197" s="16"/>
      <c r="L197" s="16"/>
      <c r="M197" s="16"/>
    </row>
    <row r="198" spans="1:13" x14ac:dyDescent="0.2">
      <c r="A198" s="28" t="s">
        <v>303</v>
      </c>
      <c r="B198" s="56">
        <v>15000000</v>
      </c>
      <c r="C198" s="27" t="s">
        <v>1154</v>
      </c>
      <c r="E198" s="16"/>
      <c r="F198" s="16"/>
      <c r="G198" s="16"/>
      <c r="H198" s="16"/>
      <c r="I198" s="16"/>
      <c r="J198" s="16"/>
      <c r="K198" s="16"/>
      <c r="L198" s="16"/>
      <c r="M198" s="16"/>
    </row>
    <row r="199" spans="1:13" x14ac:dyDescent="0.2">
      <c r="A199" s="28" t="s">
        <v>304</v>
      </c>
      <c r="B199" s="56">
        <v>30000000</v>
      </c>
      <c r="C199" s="27" t="s">
        <v>1154</v>
      </c>
      <c r="E199" s="16"/>
      <c r="F199" s="16"/>
      <c r="G199" s="16"/>
      <c r="H199" s="16"/>
      <c r="I199" s="16"/>
      <c r="J199" s="16"/>
      <c r="K199" s="16"/>
      <c r="L199" s="16"/>
      <c r="M199" s="16"/>
    </row>
    <row r="200" spans="1:13" x14ac:dyDescent="0.2">
      <c r="A200" s="28" t="s">
        <v>280</v>
      </c>
      <c r="B200" s="32">
        <v>0.12</v>
      </c>
      <c r="C200" s="27" t="s">
        <v>1284</v>
      </c>
      <c r="E200" s="16"/>
      <c r="F200" s="16"/>
      <c r="G200" s="16"/>
      <c r="H200" s="16"/>
      <c r="I200" s="16"/>
      <c r="J200" s="16"/>
      <c r="K200" s="16"/>
      <c r="L200" s="16"/>
      <c r="M200" s="16"/>
    </row>
    <row r="201" spans="1:13" x14ac:dyDescent="0.2">
      <c r="A201" s="28" t="s">
        <v>1437</v>
      </c>
      <c r="B201" s="32">
        <v>0.3</v>
      </c>
      <c r="C201" s="27" t="s">
        <v>1284</v>
      </c>
      <c r="E201" s="16"/>
      <c r="F201" s="16"/>
      <c r="G201" s="16"/>
      <c r="H201" s="16"/>
      <c r="I201" s="16"/>
      <c r="J201" s="16"/>
      <c r="K201" s="16"/>
      <c r="L201" s="16"/>
      <c r="M201" s="16"/>
    </row>
    <row r="202" spans="1:13" ht="15.75" thickBot="1" x14ac:dyDescent="0.25">
      <c r="A202" s="28" t="s">
        <v>1438</v>
      </c>
      <c r="B202" s="54">
        <v>0.3</v>
      </c>
      <c r="C202" s="27" t="s">
        <v>1284</v>
      </c>
      <c r="E202" s="16"/>
      <c r="F202" s="16"/>
      <c r="G202" s="16"/>
      <c r="H202" s="16"/>
      <c r="I202" s="16"/>
      <c r="J202" s="16"/>
      <c r="K202" s="16"/>
      <c r="L202" s="16"/>
      <c r="M202" s="16"/>
    </row>
    <row r="203" spans="1:13" x14ac:dyDescent="0.2">
      <c r="E203" s="16"/>
      <c r="F203" s="16"/>
      <c r="G203" s="16"/>
      <c r="H203" s="16"/>
      <c r="I203" s="16"/>
      <c r="J203" s="16"/>
      <c r="K203" s="16"/>
      <c r="L203" s="16"/>
      <c r="M203" s="16"/>
    </row>
    <row r="204" spans="1:13" x14ac:dyDescent="0.2">
      <c r="E204" s="16"/>
      <c r="F204" s="16"/>
      <c r="G204" s="16"/>
      <c r="H204" s="16"/>
      <c r="I204" s="16"/>
      <c r="J204" s="16"/>
      <c r="K204" s="16"/>
      <c r="L204" s="16"/>
      <c r="M204" s="16"/>
    </row>
    <row r="205" spans="1:13" x14ac:dyDescent="0.2">
      <c r="E205" s="16"/>
      <c r="F205" s="16"/>
      <c r="G205" s="16"/>
      <c r="H205" s="16"/>
      <c r="I205" s="16"/>
      <c r="J205" s="16"/>
      <c r="K205" s="16"/>
      <c r="L205" s="16"/>
      <c r="M205" s="16"/>
    </row>
    <row r="206" spans="1:13" ht="15.75" x14ac:dyDescent="0.25">
      <c r="A206" s="1" t="s">
        <v>1104</v>
      </c>
      <c r="B206" s="30" t="s">
        <v>876</v>
      </c>
      <c r="C206" s="27"/>
      <c r="E206" s="16"/>
      <c r="F206" s="16"/>
      <c r="G206" s="16"/>
      <c r="H206" s="16"/>
      <c r="I206" s="16"/>
      <c r="J206" s="16"/>
      <c r="K206" s="16"/>
      <c r="L206" s="16"/>
      <c r="M206" s="16"/>
    </row>
    <row r="207" spans="1:13" ht="15.75" x14ac:dyDescent="0.25">
      <c r="A207" s="2" t="s">
        <v>281</v>
      </c>
      <c r="B207" s="1" t="s">
        <v>315</v>
      </c>
      <c r="C207" s="5"/>
      <c r="E207" s="16"/>
      <c r="F207" s="16"/>
      <c r="G207" s="16"/>
      <c r="H207" s="16"/>
      <c r="I207" s="16"/>
      <c r="J207" s="16"/>
      <c r="K207" s="16"/>
      <c r="L207" s="16"/>
      <c r="M207" s="16"/>
    </row>
    <row r="208" spans="1:13" ht="15.75" x14ac:dyDescent="0.25">
      <c r="A208" s="2" t="s">
        <v>180</v>
      </c>
      <c r="B208" s="60">
        <f>B197*((B193^2-B194^2)/(B193^2+B194^2))</f>
        <v>4245.2830188679245</v>
      </c>
      <c r="C208" s="5"/>
      <c r="E208" s="16"/>
      <c r="F208" s="16"/>
      <c r="G208" s="16"/>
      <c r="H208" s="16"/>
      <c r="I208" s="16"/>
      <c r="J208" s="16"/>
      <c r="K208" s="16"/>
      <c r="L208" s="16"/>
      <c r="M208" s="16"/>
    </row>
    <row r="209" spans="1:13" ht="15.75" x14ac:dyDescent="0.25">
      <c r="A209" s="2" t="s">
        <v>283</v>
      </c>
      <c r="B209" s="1" t="s">
        <v>307</v>
      </c>
      <c r="C209" s="5"/>
      <c r="E209" s="16"/>
      <c r="F209" s="16"/>
      <c r="G209" s="16"/>
      <c r="H209" s="16"/>
      <c r="I209" s="16"/>
      <c r="J209" s="16"/>
      <c r="K209" s="16"/>
      <c r="L209" s="16"/>
      <c r="M209" s="16"/>
    </row>
    <row r="210" spans="1:13" ht="15.75" x14ac:dyDescent="0.25">
      <c r="A210" s="2" t="s">
        <v>283</v>
      </c>
      <c r="B210" s="5">
        <f>(B194^2+B195^2)/(B199*(B194^2-B195^2))</f>
        <v>3.3333333333333334E-8</v>
      </c>
      <c r="C210" s="5"/>
      <c r="E210" s="16"/>
      <c r="F210" s="16"/>
      <c r="G210" s="16"/>
      <c r="H210" s="16"/>
      <c r="I210" s="16"/>
      <c r="J210" s="16"/>
      <c r="K210" s="16"/>
      <c r="L210" s="16"/>
      <c r="M210" s="16"/>
    </row>
    <row r="211" spans="1:13" ht="15.75" x14ac:dyDescent="0.25">
      <c r="A211" s="2" t="s">
        <v>284</v>
      </c>
      <c r="B211" s="1" t="s">
        <v>308</v>
      </c>
      <c r="C211" s="5"/>
      <c r="E211" s="16"/>
      <c r="F211" s="16"/>
      <c r="G211" s="16"/>
      <c r="H211" s="16"/>
      <c r="I211" s="16"/>
      <c r="J211" s="16"/>
      <c r="K211" s="16"/>
      <c r="L211" s="16"/>
      <c r="M211" s="16"/>
    </row>
    <row r="212" spans="1:13" ht="15.75" x14ac:dyDescent="0.25">
      <c r="A212" s="2" t="s">
        <v>284</v>
      </c>
      <c r="B212" s="5">
        <f>(B193^2+B194^2)/(B198*(B193^2-B194^2))</f>
        <v>7.8518518518518513E-8</v>
      </c>
      <c r="C212" s="5"/>
      <c r="E212" s="16"/>
      <c r="F212" s="16"/>
      <c r="G212" s="16"/>
      <c r="H212" s="16"/>
      <c r="I212" s="16"/>
      <c r="J212" s="16"/>
      <c r="K212" s="16"/>
      <c r="L212" s="16"/>
      <c r="M212" s="16"/>
    </row>
    <row r="213" spans="1:13" ht="15.75" x14ac:dyDescent="0.25">
      <c r="A213" s="2" t="s">
        <v>285</v>
      </c>
      <c r="B213" s="5" t="s">
        <v>305</v>
      </c>
      <c r="C213" s="5"/>
      <c r="E213" s="16"/>
      <c r="F213" s="16"/>
      <c r="G213" s="16"/>
      <c r="H213" s="16"/>
      <c r="I213" s="16"/>
      <c r="J213" s="16"/>
      <c r="K213" s="16"/>
      <c r="L213" s="16"/>
      <c r="M213" s="16"/>
    </row>
    <row r="214" spans="1:13" ht="15.75" x14ac:dyDescent="0.25">
      <c r="A214" s="2" t="s">
        <v>285</v>
      </c>
      <c r="B214" s="145">
        <f>B202/B199</f>
        <v>1E-8</v>
      </c>
      <c r="C214" s="5"/>
      <c r="E214" s="16"/>
      <c r="F214" s="16"/>
      <c r="G214" s="16"/>
      <c r="H214" s="16"/>
      <c r="I214" s="16"/>
      <c r="J214" s="16"/>
      <c r="K214" s="16"/>
      <c r="L214" s="16"/>
      <c r="M214" s="16"/>
    </row>
    <row r="215" spans="1:13" ht="15.75" x14ac:dyDescent="0.25">
      <c r="A215" s="2" t="s">
        <v>286</v>
      </c>
      <c r="B215" s="5" t="s">
        <v>306</v>
      </c>
      <c r="C215" s="4"/>
      <c r="E215" s="16"/>
      <c r="F215" s="16"/>
      <c r="G215" s="16"/>
      <c r="H215" s="16"/>
      <c r="I215" s="16"/>
      <c r="J215" s="16"/>
      <c r="K215" s="16"/>
      <c r="L215" s="16"/>
      <c r="M215" s="16"/>
    </row>
    <row r="216" spans="1:13" ht="15.75" x14ac:dyDescent="0.25">
      <c r="A216" s="2" t="s">
        <v>286</v>
      </c>
      <c r="B216" s="145">
        <f>B201/B198</f>
        <v>2E-8</v>
      </c>
      <c r="C216" s="4"/>
      <c r="E216" s="16"/>
      <c r="F216" s="16"/>
      <c r="G216" s="16"/>
      <c r="H216" s="16"/>
      <c r="I216" s="16"/>
      <c r="J216" s="16"/>
      <c r="K216" s="16"/>
      <c r="L216" s="16"/>
      <c r="M216" s="16"/>
    </row>
    <row r="217" spans="1:13" ht="15.75" x14ac:dyDescent="0.25">
      <c r="A217" s="2" t="s">
        <v>870</v>
      </c>
      <c r="B217" s="1" t="s">
        <v>282</v>
      </c>
      <c r="C217" s="5"/>
      <c r="E217" s="16"/>
      <c r="F217" s="16"/>
      <c r="G217" s="16"/>
      <c r="H217" s="16"/>
      <c r="I217" s="16"/>
      <c r="J217" s="16"/>
      <c r="K217" s="16"/>
      <c r="L217" s="16"/>
      <c r="M217" s="16"/>
    </row>
    <row r="218" spans="1:13" ht="15.75" x14ac:dyDescent="0.25">
      <c r="A218" s="2" t="s">
        <v>300</v>
      </c>
      <c r="B218" s="50">
        <f>B208*B194*(B210+B212-B214+B216)</f>
        <v>2.069182389937107E-3</v>
      </c>
      <c r="C218" s="4" t="s">
        <v>1078</v>
      </c>
      <c r="E218" s="16"/>
      <c r="F218" s="16"/>
      <c r="G218" s="16"/>
      <c r="H218" s="16"/>
      <c r="I218" s="16"/>
      <c r="J218" s="16"/>
      <c r="K218" s="16"/>
      <c r="L218" s="16"/>
      <c r="M218" s="16"/>
    </row>
    <row r="219" spans="1:13" ht="15.75" x14ac:dyDescent="0.25">
      <c r="A219" s="5"/>
      <c r="B219" s="4"/>
      <c r="C219" s="4"/>
      <c r="D219" s="5" t="s">
        <v>1071</v>
      </c>
      <c r="E219" s="16"/>
      <c r="F219" s="16"/>
      <c r="G219" s="16"/>
      <c r="H219" s="16"/>
      <c r="I219" s="16"/>
      <c r="J219" s="16"/>
      <c r="K219" s="16"/>
      <c r="L219" s="16"/>
      <c r="M219" s="16"/>
    </row>
    <row r="220" spans="1:13" ht="15.75" x14ac:dyDescent="0.25">
      <c r="A220" s="2" t="s">
        <v>309</v>
      </c>
      <c r="B220" s="1" t="s">
        <v>313</v>
      </c>
      <c r="C220" s="5"/>
      <c r="E220" s="16"/>
      <c r="F220" s="16"/>
      <c r="G220" s="16"/>
      <c r="H220" s="16"/>
      <c r="I220" s="16"/>
      <c r="J220" s="16"/>
      <c r="K220" s="16"/>
      <c r="L220" s="16"/>
      <c r="M220" s="16"/>
    </row>
    <row r="221" spans="1:13" ht="15.75" x14ac:dyDescent="0.25">
      <c r="A221" s="2" t="s">
        <v>1165</v>
      </c>
      <c r="B221" s="36">
        <f>B200*3.142*B194*B196*B208</f>
        <v>51220.528301886792</v>
      </c>
      <c r="C221" s="5" t="s">
        <v>1100</v>
      </c>
      <c r="E221" s="16"/>
      <c r="F221" s="16"/>
      <c r="G221" s="16"/>
      <c r="H221" s="16"/>
      <c r="I221" s="16"/>
      <c r="J221" s="16"/>
      <c r="K221" s="16"/>
      <c r="L221" s="16"/>
      <c r="M221" s="16"/>
    </row>
    <row r="222" spans="1:13" ht="15.75" x14ac:dyDescent="0.25">
      <c r="A222" s="2"/>
      <c r="B222" s="1"/>
      <c r="C222" s="5"/>
      <c r="E222" s="16"/>
      <c r="F222" s="16"/>
      <c r="G222" s="16"/>
      <c r="H222" s="16"/>
      <c r="I222" s="16"/>
      <c r="J222" s="16"/>
      <c r="K222" s="16"/>
      <c r="L222" s="16"/>
      <c r="M222" s="16"/>
    </row>
    <row r="223" spans="1:13" ht="15.75" x14ac:dyDescent="0.25">
      <c r="A223" s="2" t="s">
        <v>311</v>
      </c>
      <c r="B223" s="1" t="s">
        <v>314</v>
      </c>
      <c r="C223" s="5"/>
      <c r="E223" s="16"/>
      <c r="F223" s="16"/>
      <c r="G223" s="16"/>
      <c r="H223" s="16"/>
      <c r="I223" s="16"/>
      <c r="J223" s="16"/>
      <c r="K223" s="16"/>
      <c r="L223" s="16"/>
      <c r="M223" s="16"/>
    </row>
    <row r="224" spans="1:13" ht="15.75" x14ac:dyDescent="0.25">
      <c r="A224" s="2" t="s">
        <v>312</v>
      </c>
      <c r="B224" s="36">
        <f>B200*B208*3.142*B194^2*B196/2</f>
        <v>102441.05660377358</v>
      </c>
      <c r="C224" s="5" t="s">
        <v>1075</v>
      </c>
      <c r="E224" s="16"/>
      <c r="F224" s="16"/>
      <c r="G224" s="16"/>
      <c r="H224" s="16"/>
      <c r="I224" s="16"/>
      <c r="J224" s="16"/>
      <c r="K224" s="16"/>
      <c r="L224" s="16"/>
      <c r="M224" s="16"/>
    </row>
    <row r="225" spans="1:13" x14ac:dyDescent="0.2">
      <c r="E225" s="16"/>
      <c r="F225" s="16"/>
      <c r="G225" s="16"/>
      <c r="H225" s="16"/>
      <c r="I225" s="16"/>
      <c r="J225" s="16"/>
      <c r="K225" s="16"/>
      <c r="L225" s="16"/>
      <c r="M225" s="16"/>
    </row>
    <row r="226" spans="1:13" x14ac:dyDescent="0.2">
      <c r="A226" s="23"/>
      <c r="B226" s="23"/>
      <c r="C226" s="23"/>
      <c r="D226" s="23"/>
      <c r="E226" s="16"/>
      <c r="F226" s="16"/>
      <c r="G226" s="16"/>
      <c r="H226" s="16"/>
      <c r="I226" s="16"/>
      <c r="J226" s="16"/>
      <c r="K226" s="16"/>
      <c r="L226" s="16"/>
      <c r="M226" s="16"/>
    </row>
    <row r="227" spans="1:13" ht="15.75" x14ac:dyDescent="0.25">
      <c r="A227" s="2"/>
      <c r="E227" s="16"/>
      <c r="F227" s="16"/>
      <c r="G227" s="16"/>
      <c r="H227" s="16"/>
      <c r="I227" s="16"/>
      <c r="J227" s="16"/>
      <c r="K227" s="16"/>
      <c r="L227" s="16"/>
      <c r="M227" s="16"/>
    </row>
    <row r="228" spans="1:13" x14ac:dyDescent="0.2">
      <c r="B228" s="12" t="s">
        <v>1418</v>
      </c>
      <c r="E228" s="16"/>
      <c r="F228" s="16"/>
      <c r="G228" s="16"/>
      <c r="H228" s="16"/>
      <c r="I228" s="16"/>
      <c r="J228" s="16"/>
      <c r="K228" s="16"/>
      <c r="L228" s="16"/>
      <c r="M228" s="16"/>
    </row>
    <row r="229" spans="1:13" x14ac:dyDescent="0.2">
      <c r="E229" s="16"/>
      <c r="F229" s="16"/>
      <c r="G229" s="16"/>
      <c r="H229" s="16"/>
      <c r="I229" s="16"/>
      <c r="J229" s="16"/>
      <c r="K229" s="16"/>
      <c r="L229" s="16"/>
      <c r="M229" s="16"/>
    </row>
    <row r="230" spans="1:13" x14ac:dyDescent="0.2">
      <c r="E230" s="16"/>
      <c r="F230" s="16"/>
      <c r="G230" s="16"/>
      <c r="H230" s="16"/>
      <c r="I230" s="16"/>
      <c r="J230" s="16"/>
      <c r="K230" s="16"/>
      <c r="L230" s="16"/>
      <c r="M230" s="16"/>
    </row>
    <row r="231" spans="1:13" x14ac:dyDescent="0.2">
      <c r="E231" s="16"/>
      <c r="F231" s="16"/>
      <c r="G231" s="16"/>
      <c r="H231" s="16"/>
      <c r="I231" s="16"/>
      <c r="J231" s="16"/>
      <c r="K231" s="16"/>
      <c r="L231" s="16"/>
      <c r="M231" s="16"/>
    </row>
    <row r="232" spans="1:13" x14ac:dyDescent="0.2">
      <c r="E232" s="16"/>
      <c r="F232" s="16"/>
      <c r="G232" s="16"/>
      <c r="H232" s="16"/>
      <c r="I232" s="16"/>
      <c r="J232" s="16"/>
      <c r="K232" s="16"/>
      <c r="L232" s="16"/>
      <c r="M232" s="16"/>
    </row>
  </sheetData>
  <sheetProtection sheet="1" objects="1" scenarios="1" selectLockedCells="1"/>
  <phoneticPr fontId="1" type="noConversion"/>
  <printOptions gridLines="1"/>
  <pageMargins left="0.75" right="0.75" top="1" bottom="1" header="0.5" footer="0.5"/>
  <pageSetup orientation="portrait" horizont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04"/>
  <sheetViews>
    <sheetView workbookViewId="0">
      <selection activeCell="J1" sqref="J1"/>
    </sheetView>
  </sheetViews>
  <sheetFormatPr defaultColWidth="8.7109375" defaultRowHeight="15" x14ac:dyDescent="0.2"/>
  <cols>
    <col min="1" max="1" width="42.42578125" style="12" customWidth="1"/>
    <col min="2" max="2" width="20.42578125" style="12" customWidth="1"/>
    <col min="3" max="3" width="10.7109375" style="22" customWidth="1"/>
    <col min="4" max="4" width="7.5703125" style="12" customWidth="1"/>
    <col min="5" max="16384" width="8.7109375" style="12"/>
  </cols>
  <sheetData>
    <row r="1" spans="1:14" ht="18" x14ac:dyDescent="0.25">
      <c r="A1" s="7" t="s">
        <v>1407</v>
      </c>
      <c r="C1" s="1"/>
      <c r="D1" s="15"/>
      <c r="E1" s="5" t="s">
        <v>1071</v>
      </c>
      <c r="F1" s="16"/>
      <c r="G1" s="16"/>
      <c r="H1" s="16"/>
      <c r="I1" s="16"/>
      <c r="J1" s="16"/>
      <c r="K1" s="16"/>
      <c r="L1" s="16"/>
      <c r="M1" s="16"/>
      <c r="N1" s="16"/>
    </row>
    <row r="2" spans="1:14" x14ac:dyDescent="0.2">
      <c r="A2" s="17"/>
      <c r="F2" s="16"/>
      <c r="G2" s="16"/>
      <c r="H2" s="16"/>
      <c r="I2" s="16"/>
      <c r="J2" s="16"/>
      <c r="K2" s="16"/>
      <c r="L2" s="16"/>
      <c r="M2" s="16"/>
      <c r="N2" s="16"/>
    </row>
    <row r="3" spans="1:14" ht="15.75" x14ac:dyDescent="0.25">
      <c r="B3" s="27"/>
      <c r="E3" s="5" t="s">
        <v>1071</v>
      </c>
      <c r="F3" s="16"/>
      <c r="G3" s="16"/>
      <c r="H3" s="16"/>
      <c r="I3" s="16"/>
      <c r="J3" s="16"/>
      <c r="K3" s="16"/>
      <c r="L3" s="16"/>
      <c r="M3" s="16"/>
      <c r="N3" s="16"/>
    </row>
    <row r="4" spans="1:14" ht="15.75" x14ac:dyDescent="0.25">
      <c r="A4" s="1"/>
      <c r="B4" s="27"/>
      <c r="F4" s="16"/>
      <c r="G4" s="16"/>
      <c r="H4" s="16"/>
      <c r="I4" s="16"/>
      <c r="J4" s="16"/>
      <c r="K4" s="16"/>
      <c r="L4" s="16"/>
      <c r="M4" s="16"/>
      <c r="N4" s="16"/>
    </row>
    <row r="5" spans="1:14" x14ac:dyDescent="0.2">
      <c r="A5" s="22"/>
      <c r="B5" s="27"/>
      <c r="F5" s="16"/>
      <c r="G5" s="16"/>
      <c r="H5" s="16"/>
      <c r="I5" s="16"/>
      <c r="J5" s="16"/>
      <c r="K5" s="16"/>
      <c r="L5" s="16"/>
      <c r="M5" s="16"/>
      <c r="N5" s="16"/>
    </row>
    <row r="6" spans="1:14" x14ac:dyDescent="0.2">
      <c r="B6" s="27"/>
      <c r="F6" s="16"/>
      <c r="G6" s="16"/>
      <c r="H6" s="16"/>
      <c r="I6" s="16"/>
      <c r="J6" s="16"/>
      <c r="K6" s="16"/>
      <c r="L6" s="16"/>
      <c r="M6" s="16"/>
      <c r="N6" s="16"/>
    </row>
    <row r="7" spans="1:14" x14ac:dyDescent="0.2">
      <c r="A7" s="22"/>
      <c r="B7" s="27"/>
      <c r="F7" s="16"/>
      <c r="G7" s="16"/>
      <c r="H7" s="16"/>
      <c r="I7" s="16"/>
      <c r="J7" s="16"/>
      <c r="K7" s="16"/>
      <c r="L7" s="16"/>
      <c r="M7" s="16"/>
      <c r="N7" s="16"/>
    </row>
    <row r="8" spans="1:14" x14ac:dyDescent="0.2">
      <c r="B8" s="27"/>
      <c r="F8" s="16"/>
      <c r="G8" s="16"/>
      <c r="H8" s="16"/>
      <c r="I8" s="16"/>
      <c r="J8" s="16"/>
      <c r="K8" s="16"/>
      <c r="L8" s="16"/>
      <c r="M8" s="16"/>
      <c r="N8" s="16"/>
    </row>
    <row r="9" spans="1:14" x14ac:dyDescent="0.2">
      <c r="A9" s="22"/>
      <c r="B9" s="27"/>
      <c r="F9" s="16"/>
      <c r="G9" s="16"/>
      <c r="H9" s="16"/>
      <c r="I9" s="16"/>
      <c r="J9" s="16"/>
      <c r="K9" s="16"/>
      <c r="L9" s="16"/>
      <c r="M9" s="16"/>
      <c r="N9" s="16"/>
    </row>
    <row r="10" spans="1:14" x14ac:dyDescent="0.2">
      <c r="B10" s="27"/>
      <c r="F10" s="16"/>
      <c r="G10" s="16"/>
      <c r="H10" s="16"/>
      <c r="I10" s="16"/>
      <c r="J10" s="16"/>
      <c r="K10" s="16"/>
      <c r="L10" s="16"/>
      <c r="M10" s="16"/>
      <c r="N10" s="16"/>
    </row>
    <row r="11" spans="1:14" x14ac:dyDescent="0.2">
      <c r="A11" s="22"/>
      <c r="B11" s="27"/>
      <c r="F11" s="16"/>
      <c r="G11" s="16"/>
      <c r="H11" s="16"/>
      <c r="I11" s="16"/>
      <c r="J11" s="16"/>
      <c r="K11" s="16"/>
      <c r="L11" s="16"/>
      <c r="M11" s="16"/>
      <c r="N11" s="16"/>
    </row>
    <row r="12" spans="1:14" x14ac:dyDescent="0.2">
      <c r="A12" s="28"/>
      <c r="B12" s="27"/>
      <c r="F12" s="16"/>
      <c r="G12" s="16"/>
      <c r="H12" s="16"/>
      <c r="I12" s="16"/>
      <c r="J12" s="16"/>
      <c r="K12" s="16"/>
      <c r="L12" s="16"/>
      <c r="M12" s="16"/>
      <c r="N12" s="16"/>
    </row>
    <row r="13" spans="1:14" x14ac:dyDescent="0.2">
      <c r="A13" s="28"/>
      <c r="B13" s="27"/>
      <c r="F13" s="16"/>
      <c r="G13" s="16"/>
      <c r="H13" s="16"/>
      <c r="I13" s="16"/>
      <c r="J13" s="16"/>
      <c r="K13" s="16"/>
      <c r="L13" s="16"/>
      <c r="M13" s="16"/>
      <c r="N13" s="16"/>
    </row>
    <row r="14" spans="1:14" x14ac:dyDescent="0.2">
      <c r="A14" s="28"/>
      <c r="B14" s="27"/>
      <c r="F14" s="16"/>
      <c r="G14" s="16"/>
      <c r="H14" s="16"/>
      <c r="I14" s="16"/>
      <c r="J14" s="16"/>
      <c r="K14" s="16"/>
      <c r="L14" s="16"/>
      <c r="M14" s="16"/>
      <c r="N14" s="16"/>
    </row>
    <row r="15" spans="1:14" x14ac:dyDescent="0.2">
      <c r="A15" s="28"/>
      <c r="B15" s="27"/>
      <c r="F15" s="16"/>
      <c r="G15" s="16"/>
      <c r="H15" s="16"/>
      <c r="I15" s="16"/>
      <c r="J15" s="16"/>
      <c r="K15" s="16"/>
      <c r="L15" s="16"/>
      <c r="M15" s="16"/>
      <c r="N15" s="16"/>
    </row>
    <row r="16" spans="1:14" x14ac:dyDescent="0.2">
      <c r="A16" s="28"/>
      <c r="B16" s="27"/>
      <c r="F16" s="16"/>
      <c r="G16" s="16"/>
      <c r="H16" s="16"/>
      <c r="I16" s="16"/>
      <c r="J16" s="16"/>
      <c r="K16" s="16"/>
      <c r="L16" s="16"/>
      <c r="M16" s="16"/>
      <c r="N16" s="16"/>
    </row>
    <row r="17" spans="1:14" x14ac:dyDescent="0.2">
      <c r="A17" s="28"/>
      <c r="B17" s="27"/>
      <c r="F17" s="16"/>
      <c r="G17" s="16"/>
      <c r="H17" s="16"/>
      <c r="I17" s="16"/>
      <c r="J17" s="16"/>
      <c r="K17" s="16"/>
      <c r="L17" s="16"/>
      <c r="M17" s="16"/>
      <c r="N17" s="16"/>
    </row>
    <row r="18" spans="1:14" x14ac:dyDescent="0.2">
      <c r="A18" s="28"/>
      <c r="B18" s="27"/>
      <c r="F18" s="16"/>
      <c r="G18" s="16"/>
      <c r="H18" s="16"/>
      <c r="I18" s="16"/>
      <c r="J18" s="16"/>
      <c r="K18" s="16"/>
      <c r="L18" s="16"/>
      <c r="M18" s="16"/>
      <c r="N18" s="16"/>
    </row>
    <row r="19" spans="1:14" x14ac:dyDescent="0.2">
      <c r="A19" s="28"/>
      <c r="B19" s="27"/>
      <c r="F19" s="16"/>
      <c r="G19" s="16"/>
      <c r="H19" s="16"/>
      <c r="I19" s="16"/>
      <c r="J19" s="16"/>
      <c r="K19" s="16"/>
      <c r="L19" s="16"/>
      <c r="M19" s="16"/>
      <c r="N19" s="16"/>
    </row>
    <row r="20" spans="1:14" x14ac:dyDescent="0.2">
      <c r="A20" s="28"/>
      <c r="B20" s="27"/>
      <c r="F20" s="16"/>
      <c r="G20" s="16"/>
      <c r="H20" s="16"/>
      <c r="I20" s="16"/>
      <c r="J20" s="16"/>
      <c r="K20" s="16"/>
      <c r="L20" s="16"/>
      <c r="M20" s="16"/>
      <c r="N20" s="16"/>
    </row>
    <row r="21" spans="1:14" x14ac:dyDescent="0.2">
      <c r="A21" s="28"/>
      <c r="B21" s="27"/>
      <c r="F21" s="16"/>
      <c r="G21" s="16"/>
      <c r="H21" s="16"/>
      <c r="I21" s="16"/>
      <c r="J21" s="16"/>
      <c r="K21" s="16"/>
      <c r="L21" s="16"/>
      <c r="M21" s="16"/>
      <c r="N21" s="16"/>
    </row>
    <row r="22" spans="1:14" x14ac:dyDescent="0.2">
      <c r="A22" s="28"/>
      <c r="B22" s="27"/>
      <c r="F22" s="16"/>
      <c r="G22" s="16"/>
      <c r="H22" s="16"/>
      <c r="I22" s="16"/>
      <c r="J22" s="16"/>
      <c r="K22" s="16"/>
      <c r="L22" s="16"/>
      <c r="M22" s="16"/>
      <c r="N22" s="16"/>
    </row>
    <row r="23" spans="1:14" x14ac:dyDescent="0.2">
      <c r="A23" s="28"/>
      <c r="B23" s="27"/>
      <c r="F23" s="16"/>
      <c r="G23" s="16"/>
      <c r="H23" s="16"/>
      <c r="I23" s="16"/>
      <c r="J23" s="16"/>
      <c r="K23" s="16"/>
      <c r="L23" s="16"/>
      <c r="M23" s="16"/>
      <c r="N23" s="16"/>
    </row>
    <row r="24" spans="1:14" x14ac:dyDescent="0.2">
      <c r="A24" s="28"/>
      <c r="B24" s="27"/>
      <c r="F24" s="16"/>
      <c r="G24" s="16"/>
      <c r="H24" s="16"/>
      <c r="I24" s="16"/>
      <c r="J24" s="16"/>
      <c r="K24" s="16"/>
      <c r="L24" s="16"/>
      <c r="M24" s="16"/>
      <c r="N24" s="16"/>
    </row>
    <row r="25" spans="1:14" x14ac:dyDescent="0.2">
      <c r="A25" s="22"/>
      <c r="B25" s="27"/>
      <c r="F25" s="16"/>
      <c r="G25" s="16"/>
      <c r="H25" s="16"/>
      <c r="I25" s="16"/>
      <c r="J25" s="16"/>
      <c r="K25" s="16"/>
      <c r="L25" s="16"/>
      <c r="M25" s="16"/>
      <c r="N25" s="16"/>
    </row>
    <row r="26" spans="1:14" x14ac:dyDescent="0.2">
      <c r="B26" s="27"/>
      <c r="F26" s="16"/>
      <c r="G26" s="16"/>
      <c r="H26" s="16"/>
      <c r="I26" s="16"/>
      <c r="J26" s="16"/>
      <c r="K26" s="16"/>
      <c r="L26" s="16"/>
      <c r="M26" s="16"/>
      <c r="N26" s="16"/>
    </row>
    <row r="27" spans="1:14" x14ac:dyDescent="0.2">
      <c r="B27" s="27"/>
      <c r="F27" s="16"/>
      <c r="G27" s="16"/>
      <c r="H27" s="16"/>
      <c r="I27" s="16"/>
      <c r="J27" s="16"/>
      <c r="K27" s="16"/>
      <c r="L27" s="16"/>
      <c r="M27" s="16"/>
      <c r="N27" s="16"/>
    </row>
    <row r="28" spans="1:14" ht="15.75" x14ac:dyDescent="0.25">
      <c r="A28" s="1" t="s">
        <v>1439</v>
      </c>
      <c r="B28" s="27"/>
      <c r="F28" s="16"/>
      <c r="G28" s="16"/>
      <c r="H28" s="16"/>
      <c r="I28" s="16"/>
      <c r="J28" s="16"/>
      <c r="K28" s="16"/>
      <c r="L28" s="16"/>
      <c r="M28" s="16"/>
      <c r="N28" s="16"/>
    </row>
    <row r="29" spans="1:14" x14ac:dyDescent="0.2">
      <c r="B29" s="27"/>
      <c r="F29" s="16"/>
      <c r="G29" s="16"/>
      <c r="H29" s="16"/>
      <c r="I29" s="16"/>
      <c r="J29" s="16"/>
      <c r="K29" s="16"/>
      <c r="L29" s="16"/>
      <c r="M29" s="16"/>
      <c r="N29" s="16"/>
    </row>
    <row r="30" spans="1:14" ht="15.75" x14ac:dyDescent="0.25">
      <c r="A30" s="1" t="s">
        <v>1440</v>
      </c>
      <c r="B30" s="27"/>
      <c r="F30" s="16"/>
      <c r="G30" s="16"/>
      <c r="H30" s="16"/>
      <c r="I30" s="16"/>
      <c r="J30" s="16"/>
      <c r="K30" s="16"/>
      <c r="L30" s="16"/>
      <c r="M30" s="16"/>
      <c r="N30" s="16"/>
    </row>
    <row r="31" spans="1:14" x14ac:dyDescent="0.2">
      <c r="B31" s="27"/>
      <c r="F31" s="16"/>
      <c r="G31" s="16"/>
      <c r="H31" s="16"/>
      <c r="I31" s="16"/>
      <c r="J31" s="16"/>
      <c r="K31" s="16"/>
      <c r="L31" s="16"/>
      <c r="M31" s="16"/>
      <c r="N31" s="16"/>
    </row>
    <row r="32" spans="1:14" x14ac:dyDescent="0.2">
      <c r="A32" s="22" t="s">
        <v>874</v>
      </c>
      <c r="B32" s="27"/>
      <c r="F32" s="16"/>
      <c r="G32" s="16"/>
      <c r="H32" s="16"/>
      <c r="I32" s="16"/>
      <c r="J32" s="16"/>
      <c r="K32" s="16"/>
      <c r="L32" s="16"/>
      <c r="M32" s="16"/>
      <c r="N32" s="16"/>
    </row>
    <row r="33" spans="1:14" x14ac:dyDescent="0.2">
      <c r="A33" s="28"/>
      <c r="B33" s="27"/>
      <c r="F33" s="16"/>
      <c r="G33" s="16"/>
      <c r="H33" s="16"/>
      <c r="I33" s="16"/>
      <c r="J33" s="16"/>
      <c r="K33" s="16"/>
      <c r="L33" s="16"/>
      <c r="M33" s="16"/>
      <c r="N33" s="16"/>
    </row>
    <row r="34" spans="1:14" x14ac:dyDescent="0.2">
      <c r="A34" s="28"/>
      <c r="B34" s="27"/>
      <c r="F34" s="16"/>
      <c r="G34" s="16"/>
      <c r="H34" s="16"/>
      <c r="I34" s="16"/>
      <c r="J34" s="16"/>
      <c r="K34" s="16"/>
      <c r="L34" s="16"/>
      <c r="M34" s="16"/>
      <c r="N34" s="16"/>
    </row>
    <row r="35" spans="1:14" x14ac:dyDescent="0.2">
      <c r="A35" s="28"/>
      <c r="B35" s="27"/>
      <c r="F35" s="16"/>
      <c r="G35" s="16"/>
      <c r="H35" s="16"/>
      <c r="I35" s="16"/>
      <c r="J35" s="16"/>
      <c r="K35" s="16"/>
      <c r="L35" s="16"/>
      <c r="M35" s="16"/>
      <c r="N35" s="16"/>
    </row>
    <row r="36" spans="1:14" x14ac:dyDescent="0.2">
      <c r="A36" s="28"/>
      <c r="B36" s="27"/>
      <c r="F36" s="16"/>
      <c r="G36" s="16"/>
      <c r="H36" s="16"/>
      <c r="I36" s="16"/>
      <c r="J36" s="16"/>
      <c r="K36" s="16"/>
      <c r="L36" s="16"/>
      <c r="M36" s="16"/>
      <c r="N36" s="16"/>
    </row>
    <row r="37" spans="1:14" x14ac:dyDescent="0.2">
      <c r="A37" s="28"/>
      <c r="B37" s="27"/>
      <c r="F37" s="16"/>
      <c r="G37" s="16"/>
      <c r="H37" s="16"/>
      <c r="I37" s="16"/>
      <c r="J37" s="16"/>
      <c r="K37" s="16"/>
      <c r="L37" s="16"/>
      <c r="M37" s="16"/>
      <c r="N37" s="16"/>
    </row>
    <row r="38" spans="1:14" x14ac:dyDescent="0.2">
      <c r="A38" s="28"/>
      <c r="B38" s="27"/>
      <c r="F38" s="16"/>
      <c r="G38" s="16"/>
      <c r="H38" s="16"/>
      <c r="I38" s="16"/>
      <c r="J38" s="16"/>
      <c r="K38" s="16"/>
      <c r="L38" s="16"/>
      <c r="M38" s="16"/>
      <c r="N38" s="16"/>
    </row>
    <row r="39" spans="1:14" x14ac:dyDescent="0.2">
      <c r="A39" s="28"/>
      <c r="B39" s="27"/>
      <c r="F39" s="16"/>
      <c r="G39" s="16"/>
      <c r="H39" s="16"/>
      <c r="I39" s="16"/>
      <c r="J39" s="16"/>
      <c r="K39" s="16"/>
      <c r="L39" s="16"/>
      <c r="M39" s="16"/>
      <c r="N39" s="16"/>
    </row>
    <row r="40" spans="1:14" x14ac:dyDescent="0.2">
      <c r="A40" s="28"/>
      <c r="B40" s="27"/>
      <c r="F40" s="16"/>
      <c r="G40" s="16"/>
      <c r="H40" s="16"/>
      <c r="I40" s="16"/>
      <c r="J40" s="16"/>
      <c r="K40" s="16"/>
      <c r="L40" s="16"/>
      <c r="M40" s="16"/>
      <c r="N40" s="16"/>
    </row>
    <row r="41" spans="1:14" x14ac:dyDescent="0.2">
      <c r="A41" s="28"/>
      <c r="B41" s="27"/>
      <c r="F41" s="16"/>
      <c r="G41" s="16"/>
      <c r="H41" s="16"/>
      <c r="I41" s="16"/>
      <c r="J41" s="16"/>
      <c r="K41" s="16"/>
      <c r="L41" s="16"/>
      <c r="M41" s="16"/>
      <c r="N41" s="16"/>
    </row>
    <row r="42" spans="1:14" x14ac:dyDescent="0.2">
      <c r="A42" s="28"/>
      <c r="B42" s="27"/>
      <c r="F42" s="16"/>
      <c r="G42" s="16"/>
      <c r="H42" s="16"/>
      <c r="I42" s="16"/>
      <c r="J42" s="16"/>
      <c r="K42" s="16"/>
      <c r="L42" s="16"/>
      <c r="M42" s="16"/>
      <c r="N42" s="16"/>
    </row>
    <row r="43" spans="1:14" ht="16.5" thickBot="1" x14ac:dyDescent="0.3">
      <c r="A43" s="1" t="s">
        <v>1082</v>
      </c>
      <c r="B43" s="30" t="s">
        <v>109</v>
      </c>
      <c r="F43" s="16"/>
      <c r="G43" s="16"/>
      <c r="H43" s="16"/>
      <c r="I43" s="16"/>
      <c r="J43" s="16"/>
      <c r="K43" s="16"/>
      <c r="L43" s="16"/>
      <c r="M43" s="16"/>
      <c r="N43" s="16"/>
    </row>
    <row r="44" spans="1:14" x14ac:dyDescent="0.2">
      <c r="A44" s="28" t="s">
        <v>1084</v>
      </c>
      <c r="B44" s="31">
        <v>30</v>
      </c>
      <c r="C44" s="22" t="s">
        <v>1087</v>
      </c>
      <c r="F44" s="16"/>
      <c r="G44" s="16"/>
      <c r="H44" s="16"/>
      <c r="I44" s="16"/>
      <c r="J44" s="16"/>
      <c r="K44" s="16"/>
      <c r="L44" s="16"/>
      <c r="M44" s="16"/>
      <c r="N44" s="16"/>
    </row>
    <row r="45" spans="1:14" ht="15.75" thickBot="1" x14ac:dyDescent="0.25">
      <c r="A45" s="28" t="s">
        <v>1085</v>
      </c>
      <c r="B45" s="54">
        <v>1750</v>
      </c>
      <c r="C45" s="22" t="s">
        <v>1086</v>
      </c>
      <c r="F45" s="16"/>
      <c r="G45" s="16"/>
      <c r="H45" s="16"/>
      <c r="I45" s="16"/>
      <c r="J45" s="16"/>
      <c r="K45" s="16"/>
      <c r="L45" s="16"/>
      <c r="M45" s="16"/>
      <c r="N45" s="16"/>
    </row>
    <row r="46" spans="1:14" ht="15.75" x14ac:dyDescent="0.25">
      <c r="B46" s="30" t="s">
        <v>876</v>
      </c>
      <c r="F46" s="16"/>
      <c r="G46" s="16"/>
      <c r="H46" s="16"/>
      <c r="I46" s="16"/>
      <c r="J46" s="16"/>
      <c r="K46" s="16"/>
      <c r="L46" s="16"/>
      <c r="M46" s="16"/>
      <c r="N46" s="16"/>
    </row>
    <row r="47" spans="1:14" ht="15.75" x14ac:dyDescent="0.25">
      <c r="A47" s="2" t="s">
        <v>1081</v>
      </c>
      <c r="B47" s="5" t="s">
        <v>1185</v>
      </c>
      <c r="F47" s="16"/>
      <c r="G47" s="16"/>
      <c r="H47" s="16"/>
      <c r="I47" s="16"/>
      <c r="J47" s="16"/>
      <c r="K47" s="16"/>
      <c r="L47" s="16"/>
      <c r="M47" s="16"/>
      <c r="N47" s="16"/>
    </row>
    <row r="48" spans="1:14" ht="15.75" x14ac:dyDescent="0.25">
      <c r="A48" s="2" t="s">
        <v>1088</v>
      </c>
      <c r="B48" s="36">
        <f>(12*33000*B44)/(2*3.142*B45)</f>
        <v>1080.2946258070383</v>
      </c>
      <c r="C48" s="1" t="s">
        <v>1075</v>
      </c>
      <c r="F48" s="16"/>
      <c r="G48" s="16"/>
      <c r="H48" s="16"/>
      <c r="I48" s="16"/>
      <c r="J48" s="16"/>
      <c r="K48" s="16"/>
      <c r="L48" s="16"/>
      <c r="M48" s="16"/>
      <c r="N48" s="16"/>
    </row>
    <row r="49" spans="1:14" x14ac:dyDescent="0.2">
      <c r="C49" s="12"/>
      <c r="F49" s="16"/>
      <c r="G49" s="16"/>
      <c r="H49" s="16"/>
      <c r="I49" s="16"/>
      <c r="J49" s="16"/>
      <c r="K49" s="16"/>
      <c r="L49" s="16"/>
      <c r="M49" s="16"/>
      <c r="N49" s="16"/>
    </row>
    <row r="50" spans="1:14" x14ac:dyDescent="0.2">
      <c r="A50" s="23"/>
      <c r="B50" s="23"/>
      <c r="C50" s="126"/>
      <c r="D50" s="23"/>
      <c r="E50" s="23"/>
      <c r="F50" s="16"/>
      <c r="G50" s="16"/>
      <c r="H50" s="16"/>
      <c r="I50" s="16"/>
      <c r="J50" s="16"/>
      <c r="K50" s="16"/>
      <c r="L50" s="16"/>
      <c r="M50" s="16"/>
      <c r="N50" s="16"/>
    </row>
    <row r="51" spans="1:14" x14ac:dyDescent="0.2">
      <c r="F51" s="16"/>
      <c r="G51" s="16"/>
      <c r="H51" s="16"/>
      <c r="I51" s="16"/>
      <c r="J51" s="16"/>
      <c r="K51" s="16"/>
      <c r="L51" s="16"/>
      <c r="M51" s="16"/>
      <c r="N51" s="16"/>
    </row>
    <row r="52" spans="1:14" ht="16.5" thickBot="1" x14ac:dyDescent="0.3">
      <c r="A52" s="4" t="s">
        <v>1105</v>
      </c>
      <c r="B52" s="30" t="s">
        <v>109</v>
      </c>
      <c r="E52" s="5" t="s">
        <v>1071</v>
      </c>
      <c r="F52" s="16"/>
      <c r="G52" s="16"/>
      <c r="H52" s="16"/>
      <c r="I52" s="16"/>
      <c r="J52" s="16"/>
      <c r="K52" s="16"/>
      <c r="L52" s="16"/>
      <c r="M52" s="16"/>
      <c r="N52" s="16"/>
    </row>
    <row r="53" spans="1:14" ht="15.75" x14ac:dyDescent="0.25">
      <c r="A53" s="28" t="s">
        <v>1192</v>
      </c>
      <c r="B53" s="63">
        <v>3</v>
      </c>
      <c r="C53" s="22" t="s">
        <v>1078</v>
      </c>
      <c r="E53" s="5" t="s">
        <v>336</v>
      </c>
      <c r="F53" s="16"/>
      <c r="G53" s="16"/>
      <c r="H53" s="16"/>
      <c r="I53" s="16"/>
      <c r="J53" s="16"/>
      <c r="K53" s="16"/>
      <c r="L53" s="16"/>
      <c r="M53" s="16"/>
      <c r="N53" s="16"/>
    </row>
    <row r="54" spans="1:14" x14ac:dyDescent="0.2">
      <c r="A54" s="28" t="s">
        <v>1209</v>
      </c>
      <c r="B54" s="32">
        <v>3</v>
      </c>
      <c r="C54" s="22" t="s">
        <v>1193</v>
      </c>
      <c r="F54" s="16"/>
      <c r="G54" s="16"/>
      <c r="H54" s="16"/>
      <c r="I54" s="16"/>
      <c r="J54" s="16"/>
      <c r="K54" s="16"/>
      <c r="L54" s="16"/>
      <c r="M54" s="16"/>
      <c r="N54" s="16"/>
    </row>
    <row r="55" spans="1:14" x14ac:dyDescent="0.2">
      <c r="A55" s="28" t="s">
        <v>1210</v>
      </c>
      <c r="B55" s="32">
        <v>5.86</v>
      </c>
      <c r="C55" s="22" t="s">
        <v>1083</v>
      </c>
      <c r="F55" s="16"/>
      <c r="G55" s="16"/>
      <c r="H55" s="16"/>
      <c r="I55" s="16"/>
      <c r="J55" s="16"/>
      <c r="K55" s="16"/>
      <c r="L55" s="16"/>
      <c r="M55" s="16"/>
      <c r="N55" s="16"/>
    </row>
    <row r="56" spans="1:14" x14ac:dyDescent="0.2">
      <c r="A56" s="28" t="s">
        <v>1213</v>
      </c>
      <c r="B56" s="32">
        <v>2</v>
      </c>
      <c r="F56" s="16"/>
      <c r="G56" s="16"/>
      <c r="H56" s="16"/>
      <c r="I56" s="16"/>
      <c r="J56" s="16"/>
      <c r="K56" s="16"/>
      <c r="L56" s="16"/>
      <c r="M56" s="16"/>
      <c r="N56" s="16"/>
    </row>
    <row r="57" spans="1:14" x14ac:dyDescent="0.2">
      <c r="A57" s="28" t="s">
        <v>1191</v>
      </c>
      <c r="B57" s="32">
        <v>0.15</v>
      </c>
      <c r="F57" s="16"/>
      <c r="G57" s="16"/>
      <c r="H57" s="16"/>
      <c r="I57" s="16"/>
      <c r="J57" s="16"/>
      <c r="K57" s="16"/>
      <c r="L57" s="16"/>
      <c r="M57" s="16"/>
      <c r="N57" s="16"/>
    </row>
    <row r="58" spans="1:14" x14ac:dyDescent="0.2">
      <c r="A58" s="28" t="s">
        <v>1194</v>
      </c>
      <c r="B58" s="32">
        <v>0</v>
      </c>
      <c r="F58" s="16"/>
      <c r="G58" s="16"/>
      <c r="H58" s="16"/>
      <c r="I58" s="16"/>
      <c r="J58" s="16"/>
      <c r="K58" s="16"/>
      <c r="L58" s="16"/>
      <c r="M58" s="16"/>
      <c r="N58" s="16"/>
    </row>
    <row r="59" spans="1:14" x14ac:dyDescent="0.2">
      <c r="A59" s="28" t="s">
        <v>1219</v>
      </c>
      <c r="B59" s="32">
        <v>2</v>
      </c>
      <c r="C59" s="22" t="s">
        <v>1078</v>
      </c>
      <c r="F59" s="16"/>
      <c r="G59" s="16"/>
      <c r="H59" s="16"/>
      <c r="I59" s="16"/>
      <c r="J59" s="16"/>
      <c r="K59" s="16"/>
      <c r="L59" s="16"/>
      <c r="M59" s="16"/>
      <c r="N59" s="16"/>
    </row>
    <row r="60" spans="1:14" ht="15.75" thickBot="1" x14ac:dyDescent="0.25">
      <c r="A60" s="28" t="s">
        <v>1215</v>
      </c>
      <c r="B60" s="54">
        <v>500</v>
      </c>
      <c r="C60" s="22" t="s">
        <v>1100</v>
      </c>
      <c r="F60" s="16"/>
      <c r="G60" s="16"/>
      <c r="H60" s="16"/>
      <c r="I60" s="16"/>
      <c r="J60" s="16"/>
      <c r="K60" s="16"/>
      <c r="L60" s="16"/>
      <c r="M60" s="16"/>
      <c r="N60" s="16"/>
    </row>
    <row r="61" spans="1:14" ht="15.75" x14ac:dyDescent="0.25">
      <c r="B61" s="30" t="s">
        <v>876</v>
      </c>
      <c r="F61" s="16"/>
      <c r="G61" s="16"/>
      <c r="H61" s="16"/>
      <c r="I61" s="16"/>
      <c r="J61" s="16"/>
      <c r="K61" s="16"/>
      <c r="L61" s="16"/>
      <c r="M61" s="16"/>
      <c r="N61" s="16"/>
    </row>
    <row r="62" spans="1:14" ht="15.75" x14ac:dyDescent="0.25">
      <c r="A62" s="2" t="s">
        <v>1195</v>
      </c>
      <c r="B62" s="5" t="s">
        <v>1196</v>
      </c>
      <c r="F62" s="16"/>
      <c r="G62" s="16"/>
      <c r="H62" s="16"/>
      <c r="I62" s="16"/>
      <c r="J62" s="16"/>
      <c r="K62" s="16"/>
      <c r="L62" s="16"/>
      <c r="M62" s="16"/>
      <c r="N62" s="16"/>
    </row>
    <row r="63" spans="1:14" ht="15.75" x14ac:dyDescent="0.25">
      <c r="A63" s="2" t="s">
        <v>1200</v>
      </c>
      <c r="B63" s="3">
        <f>(0.5*(1/B54))+0.01</f>
        <v>0.17666666666666667</v>
      </c>
      <c r="C63" s="1" t="s">
        <v>1078</v>
      </c>
      <c r="E63" s="12" t="s">
        <v>1071</v>
      </c>
      <c r="F63" s="16"/>
      <c r="G63" s="16"/>
      <c r="H63" s="16"/>
      <c r="I63" s="16"/>
      <c r="J63" s="16"/>
      <c r="K63" s="16"/>
      <c r="L63" s="16"/>
      <c r="M63" s="16"/>
      <c r="N63" s="16"/>
    </row>
    <row r="64" spans="1:14" ht="15.75" x14ac:dyDescent="0.25">
      <c r="A64" s="2" t="s">
        <v>1197</v>
      </c>
      <c r="B64" s="5" t="s">
        <v>1198</v>
      </c>
      <c r="C64" s="1"/>
      <c r="F64" s="16"/>
      <c r="G64" s="16"/>
      <c r="H64" s="16"/>
      <c r="I64" s="16"/>
      <c r="J64" s="16"/>
      <c r="K64" s="16"/>
      <c r="L64" s="16"/>
      <c r="M64" s="16"/>
      <c r="N64" s="16"/>
    </row>
    <row r="65" spans="1:14" ht="15.75" x14ac:dyDescent="0.25">
      <c r="A65" s="2" t="s">
        <v>1199</v>
      </c>
      <c r="B65" s="3">
        <f>(B53-B63)/2</f>
        <v>1.4116666666666666</v>
      </c>
      <c r="C65" s="1" t="s">
        <v>1078</v>
      </c>
      <c r="F65" s="16"/>
      <c r="G65" s="16"/>
      <c r="H65" s="16"/>
      <c r="I65" s="16"/>
      <c r="J65" s="16"/>
      <c r="K65" s="16"/>
      <c r="L65" s="16"/>
      <c r="M65" s="16"/>
      <c r="N65" s="16"/>
    </row>
    <row r="66" spans="1:14" x14ac:dyDescent="0.2">
      <c r="A66" s="28"/>
      <c r="B66" s="27"/>
      <c r="F66" s="16"/>
      <c r="G66" s="16"/>
      <c r="H66" s="16"/>
      <c r="I66" s="16"/>
      <c r="J66" s="16"/>
      <c r="K66" s="16"/>
      <c r="L66" s="16"/>
      <c r="M66" s="16"/>
      <c r="N66" s="16"/>
    </row>
    <row r="67" spans="1:14" ht="15.75" x14ac:dyDescent="0.25">
      <c r="A67" s="2" t="s">
        <v>1208</v>
      </c>
      <c r="B67" s="5" t="s">
        <v>1201</v>
      </c>
      <c r="F67" s="16"/>
      <c r="G67" s="16"/>
      <c r="H67" s="16"/>
      <c r="I67" s="16"/>
      <c r="J67" s="16"/>
      <c r="K67" s="16"/>
      <c r="L67" s="16"/>
      <c r="M67" s="16"/>
      <c r="N67" s="16"/>
    </row>
    <row r="68" spans="1:14" ht="15.75" x14ac:dyDescent="0.25">
      <c r="A68" s="2" t="s">
        <v>1202</v>
      </c>
      <c r="B68" s="51">
        <f>(B56*(1/B54))/(2*3.142*B65)</f>
        <v>7.5151976083635136E-2</v>
      </c>
      <c r="F68" s="16"/>
      <c r="G68" s="16"/>
      <c r="H68" s="16"/>
      <c r="I68" s="16"/>
      <c r="J68" s="16"/>
      <c r="K68" s="16"/>
      <c r="L68" s="16"/>
      <c r="M68" s="16"/>
      <c r="N68" s="16"/>
    </row>
    <row r="69" spans="1:14" ht="15.75" x14ac:dyDescent="0.25">
      <c r="A69" s="2" t="s">
        <v>1203</v>
      </c>
      <c r="B69" s="37">
        <f>57.2975*B68</f>
        <v>4.3060203496520844</v>
      </c>
      <c r="C69" s="1" t="s">
        <v>1083</v>
      </c>
      <c r="F69" s="16"/>
      <c r="G69" s="16"/>
      <c r="H69" s="16"/>
      <c r="I69" s="16"/>
      <c r="J69" s="16"/>
      <c r="K69" s="16"/>
      <c r="L69" s="16"/>
      <c r="M69" s="16"/>
      <c r="N69" s="16"/>
    </row>
    <row r="70" spans="1:14" x14ac:dyDescent="0.2">
      <c r="A70" s="28"/>
      <c r="B70" s="27"/>
      <c r="F70" s="16"/>
      <c r="G70" s="16"/>
      <c r="H70" s="16"/>
      <c r="I70" s="16"/>
      <c r="J70" s="16"/>
      <c r="K70" s="16"/>
      <c r="L70" s="16"/>
      <c r="M70" s="16"/>
      <c r="N70" s="16"/>
    </row>
    <row r="71" spans="1:14" ht="15.75" x14ac:dyDescent="0.25">
      <c r="A71" s="2" t="s">
        <v>1204</v>
      </c>
      <c r="B71" s="5" t="s">
        <v>1205</v>
      </c>
      <c r="C71" s="1"/>
      <c r="F71" s="16"/>
      <c r="G71" s="16"/>
      <c r="H71" s="16"/>
      <c r="I71" s="16"/>
      <c r="J71" s="16"/>
      <c r="K71" s="16"/>
      <c r="L71" s="16"/>
      <c r="M71" s="16"/>
      <c r="N71" s="16"/>
    </row>
    <row r="72" spans="1:14" ht="15.75" x14ac:dyDescent="0.25">
      <c r="A72" s="2" t="s">
        <v>1206</v>
      </c>
      <c r="B72" s="51">
        <f>B68*COS(B69/57.2884)</f>
        <v>7.4939786186300802E-2</v>
      </c>
      <c r="C72" s="1"/>
      <c r="F72" s="16"/>
      <c r="G72" s="16"/>
      <c r="H72" s="16"/>
      <c r="I72" s="16"/>
      <c r="J72" s="16"/>
      <c r="K72" s="16"/>
      <c r="L72" s="16"/>
      <c r="M72" s="16"/>
      <c r="N72" s="16"/>
    </row>
    <row r="73" spans="1:14" ht="15.75" x14ac:dyDescent="0.25">
      <c r="A73" s="2" t="s">
        <v>1207</v>
      </c>
      <c r="B73" s="37">
        <f>57.2975*B72</f>
        <v>4.2938623990095701</v>
      </c>
      <c r="C73" s="1" t="s">
        <v>1083</v>
      </c>
      <c r="F73" s="16"/>
      <c r="G73" s="16"/>
      <c r="H73" s="16"/>
      <c r="I73" s="16"/>
      <c r="J73" s="16"/>
      <c r="K73" s="16"/>
      <c r="L73" s="16"/>
      <c r="M73" s="16"/>
      <c r="N73" s="16"/>
    </row>
    <row r="74" spans="1:14" x14ac:dyDescent="0.2">
      <c r="A74" s="28"/>
      <c r="B74" s="27"/>
      <c r="F74" s="16"/>
      <c r="G74" s="16"/>
      <c r="H74" s="16"/>
      <c r="I74" s="16"/>
      <c r="J74" s="16"/>
      <c r="K74" s="16"/>
      <c r="L74" s="16"/>
      <c r="M74" s="16"/>
      <c r="N74" s="16"/>
    </row>
    <row r="75" spans="1:14" ht="15.75" x14ac:dyDescent="0.25">
      <c r="A75" s="2" t="s">
        <v>1216</v>
      </c>
      <c r="B75" s="1" t="s">
        <v>1220</v>
      </c>
      <c r="C75" s="1"/>
      <c r="F75" s="16"/>
      <c r="G75" s="16"/>
      <c r="H75" s="16"/>
      <c r="I75" s="16"/>
      <c r="J75" s="16"/>
      <c r="K75" s="16"/>
      <c r="L75" s="16"/>
      <c r="M75" s="16"/>
      <c r="N75" s="16"/>
    </row>
    <row r="76" spans="1:14" ht="15.75" x14ac:dyDescent="0.25">
      <c r="A76" s="2"/>
      <c r="B76" s="51">
        <f>(TAN($B$69/57.2975))+($B$57/COS($B$73/57.2975))</f>
        <v>0.22571596376050287</v>
      </c>
      <c r="C76" s="1"/>
      <c r="F76" s="16"/>
      <c r="G76" s="16"/>
      <c r="H76" s="16"/>
      <c r="I76" s="16"/>
      <c r="J76" s="16"/>
      <c r="K76" s="16"/>
      <c r="L76" s="16"/>
      <c r="M76" s="16"/>
      <c r="N76" s="16"/>
    </row>
    <row r="77" spans="1:14" ht="15.75" x14ac:dyDescent="0.25">
      <c r="A77" s="2" t="s">
        <v>1217</v>
      </c>
      <c r="B77" s="51" t="s">
        <v>1221</v>
      </c>
      <c r="C77" s="1"/>
      <c r="F77" s="16"/>
      <c r="G77" s="16"/>
      <c r="H77" s="16"/>
      <c r="I77" s="16"/>
      <c r="J77" s="16"/>
      <c r="K77" s="16"/>
      <c r="L77" s="16"/>
      <c r="M77" s="16"/>
      <c r="N77" s="16"/>
    </row>
    <row r="78" spans="1:14" ht="15.75" x14ac:dyDescent="0.25">
      <c r="A78" s="2"/>
      <c r="B78" s="51">
        <f>1-(B57*TAN(B69/57.2975))/COS(B73/57.2975)</f>
        <v>0.988674145336077</v>
      </c>
      <c r="C78" s="1"/>
      <c r="F78" s="16"/>
      <c r="G78" s="16"/>
      <c r="H78" s="16"/>
      <c r="I78" s="16"/>
      <c r="J78" s="16"/>
      <c r="K78" s="16"/>
      <c r="L78" s="16"/>
      <c r="M78" s="16"/>
      <c r="N78" s="16"/>
    </row>
    <row r="79" spans="1:14" ht="15.75" x14ac:dyDescent="0.25">
      <c r="A79" s="2" t="s">
        <v>1214</v>
      </c>
      <c r="B79" s="1" t="s">
        <v>1218</v>
      </c>
      <c r="C79" s="1"/>
      <c r="F79" s="16"/>
      <c r="G79" s="16"/>
      <c r="H79" s="16"/>
      <c r="I79" s="16"/>
      <c r="J79" s="16"/>
      <c r="K79" s="16"/>
      <c r="L79" s="16"/>
      <c r="M79" s="16"/>
      <c r="N79" s="16"/>
    </row>
    <row r="80" spans="1:14" ht="15.75" x14ac:dyDescent="0.25">
      <c r="A80" s="2" t="s">
        <v>1222</v>
      </c>
      <c r="B80" s="36">
        <f>B60*(B65*(B76/B78)+B58*B59)</f>
        <v>161.1429325214782</v>
      </c>
      <c r="C80" s="1" t="s">
        <v>1075</v>
      </c>
      <c r="F80" s="16"/>
      <c r="G80" s="16"/>
      <c r="H80" s="16"/>
      <c r="I80" s="16"/>
      <c r="J80" s="16"/>
      <c r="K80" s="16"/>
      <c r="L80" s="16"/>
      <c r="M80" s="16"/>
      <c r="N80" s="16"/>
    </row>
    <row r="81" spans="1:14" x14ac:dyDescent="0.2">
      <c r="A81" s="28"/>
      <c r="B81" s="27"/>
      <c r="F81" s="16"/>
      <c r="G81" s="16"/>
      <c r="H81" s="16"/>
      <c r="I81" s="16"/>
      <c r="J81" s="16"/>
      <c r="K81" s="16"/>
      <c r="L81" s="16"/>
      <c r="M81" s="16"/>
      <c r="N81" s="16"/>
    </row>
    <row r="82" spans="1:14" ht="15.75" x14ac:dyDescent="0.25">
      <c r="A82" s="1" t="s">
        <v>875</v>
      </c>
      <c r="B82" s="5"/>
      <c r="F82" s="16"/>
      <c r="G82" s="16"/>
      <c r="H82" s="16"/>
      <c r="I82" s="16"/>
      <c r="J82" s="16"/>
      <c r="K82" s="16"/>
      <c r="L82" s="16"/>
      <c r="M82" s="16"/>
      <c r="N82" s="16"/>
    </row>
    <row r="83" spans="1:14" ht="15.75" x14ac:dyDescent="0.25">
      <c r="A83" s="2" t="s">
        <v>1246</v>
      </c>
      <c r="B83" s="51">
        <f>(-TAN($B$69/57.2975))+($B$57/COS($B$73/57.2975))</f>
        <v>7.5128407680722625E-2</v>
      </c>
      <c r="F83" s="16"/>
      <c r="G83" s="16"/>
      <c r="H83" s="16"/>
      <c r="I83" s="16"/>
      <c r="J83" s="16"/>
      <c r="K83" s="16"/>
      <c r="L83" s="16"/>
      <c r="M83" s="16"/>
      <c r="N83" s="16"/>
    </row>
    <row r="84" spans="1:14" x14ac:dyDescent="0.2">
      <c r="C84" s="12"/>
      <c r="F84" s="16"/>
      <c r="G84" s="16"/>
      <c r="H84" s="16"/>
      <c r="I84" s="16"/>
      <c r="J84" s="16"/>
      <c r="K84" s="16"/>
      <c r="L84" s="16"/>
      <c r="M84" s="16"/>
      <c r="N84" s="16"/>
    </row>
    <row r="85" spans="1:14" x14ac:dyDescent="0.2">
      <c r="A85" s="23"/>
      <c r="B85" s="23"/>
      <c r="C85" s="126"/>
      <c r="D85" s="23"/>
      <c r="E85" s="23"/>
      <c r="F85" s="16"/>
      <c r="G85" s="16"/>
      <c r="H85" s="16"/>
      <c r="I85" s="16"/>
      <c r="J85" s="16"/>
      <c r="K85" s="16"/>
      <c r="L85" s="16"/>
      <c r="M85" s="16"/>
      <c r="N85" s="16"/>
    </row>
    <row r="86" spans="1:14" x14ac:dyDescent="0.2">
      <c r="A86" s="28"/>
      <c r="B86" s="27"/>
      <c r="F86" s="16"/>
      <c r="G86" s="16"/>
      <c r="H86" s="16"/>
      <c r="I86" s="16"/>
      <c r="J86" s="16"/>
      <c r="K86" s="16"/>
      <c r="L86" s="16"/>
      <c r="M86" s="16"/>
      <c r="N86" s="16"/>
    </row>
    <row r="87" spans="1:14" ht="15.75" x14ac:dyDescent="0.25">
      <c r="A87" s="1" t="s">
        <v>1247</v>
      </c>
      <c r="B87" s="27"/>
      <c r="F87" s="16"/>
      <c r="G87" s="16"/>
      <c r="H87" s="16"/>
      <c r="I87" s="16"/>
      <c r="J87" s="16"/>
      <c r="K87" s="16"/>
      <c r="L87" s="16"/>
      <c r="M87" s="16"/>
      <c r="N87" s="16"/>
    </row>
    <row r="88" spans="1:14" x14ac:dyDescent="0.2">
      <c r="B88" s="27"/>
      <c r="F88" s="16"/>
      <c r="G88" s="16"/>
      <c r="H88" s="16"/>
      <c r="I88" s="16"/>
      <c r="J88" s="16"/>
      <c r="K88" s="16"/>
      <c r="L88" s="16"/>
      <c r="M88" s="16"/>
      <c r="N88" s="16"/>
    </row>
    <row r="89" spans="1:14" ht="16.5" thickBot="1" x14ac:dyDescent="0.3">
      <c r="B89" s="30" t="s">
        <v>109</v>
      </c>
      <c r="F89" s="16"/>
      <c r="G89" s="16"/>
      <c r="H89" s="16"/>
      <c r="I89" s="16"/>
      <c r="J89" s="16"/>
      <c r="K89" s="16"/>
      <c r="L89" s="16"/>
      <c r="M89" s="16"/>
      <c r="N89" s="16"/>
    </row>
    <row r="90" spans="1:14" x14ac:dyDescent="0.2">
      <c r="A90" s="28" t="s">
        <v>1215</v>
      </c>
      <c r="B90" s="31">
        <v>2000</v>
      </c>
      <c r="C90" s="22" t="s">
        <v>1100</v>
      </c>
      <c r="F90" s="16"/>
      <c r="G90" s="16"/>
      <c r="H90" s="16"/>
      <c r="I90" s="16"/>
      <c r="J90" s="16"/>
      <c r="K90" s="16"/>
      <c r="L90" s="16"/>
      <c r="M90" s="16"/>
      <c r="N90" s="16"/>
    </row>
    <row r="91" spans="1:14" x14ac:dyDescent="0.2">
      <c r="A91" s="28" t="s">
        <v>877</v>
      </c>
      <c r="B91" s="32">
        <v>4</v>
      </c>
      <c r="C91" s="22" t="s">
        <v>1078</v>
      </c>
      <c r="F91" s="16"/>
      <c r="G91" s="16"/>
      <c r="H91" s="16"/>
      <c r="I91" s="16"/>
      <c r="J91" s="16"/>
      <c r="K91" s="16"/>
      <c r="L91" s="16"/>
      <c r="M91" s="16"/>
      <c r="N91" s="16"/>
    </row>
    <row r="92" spans="1:14" x14ac:dyDescent="0.2">
      <c r="A92" s="28" t="s">
        <v>1209</v>
      </c>
      <c r="B92" s="32">
        <v>3</v>
      </c>
      <c r="C92" s="22" t="s">
        <v>1193</v>
      </c>
      <c r="F92" s="16"/>
      <c r="G92" s="16"/>
      <c r="H92" s="16"/>
      <c r="I92" s="16"/>
      <c r="J92" s="16"/>
      <c r="K92" s="16"/>
      <c r="L92" s="16"/>
      <c r="M92" s="16"/>
      <c r="N92" s="16"/>
    </row>
    <row r="93" spans="1:14" x14ac:dyDescent="0.2">
      <c r="A93" s="28" t="s">
        <v>1248</v>
      </c>
      <c r="B93" s="32">
        <v>0.18</v>
      </c>
      <c r="C93" s="22" t="s">
        <v>1078</v>
      </c>
      <c r="F93" s="16"/>
      <c r="G93" s="16"/>
      <c r="H93" s="16"/>
      <c r="I93" s="16"/>
      <c r="J93" s="16"/>
      <c r="K93" s="16"/>
      <c r="L93" s="16"/>
      <c r="M93" s="16"/>
      <c r="N93" s="16"/>
    </row>
    <row r="94" spans="1:14" ht="15.75" thickBot="1" x14ac:dyDescent="0.25">
      <c r="A94" s="28" t="s">
        <v>1197</v>
      </c>
      <c r="B94" s="54">
        <v>0.9</v>
      </c>
      <c r="F94" s="16"/>
      <c r="G94" s="16"/>
      <c r="H94" s="16"/>
      <c r="I94" s="16"/>
      <c r="J94" s="16"/>
      <c r="K94" s="16"/>
      <c r="L94" s="16"/>
      <c r="M94" s="16"/>
      <c r="N94" s="16"/>
    </row>
    <row r="95" spans="1:14" ht="15.75" x14ac:dyDescent="0.25">
      <c r="A95" s="28"/>
      <c r="B95" s="30" t="s">
        <v>876</v>
      </c>
      <c r="F95" s="16"/>
      <c r="G95" s="16"/>
      <c r="H95" s="16"/>
      <c r="I95" s="16"/>
      <c r="J95" s="16"/>
      <c r="K95" s="16"/>
      <c r="L95" s="16"/>
      <c r="M95" s="16"/>
      <c r="N95" s="16"/>
    </row>
    <row r="96" spans="1:14" ht="15.75" x14ac:dyDescent="0.25">
      <c r="A96" s="2" t="s">
        <v>1249</v>
      </c>
      <c r="B96" s="5" t="s">
        <v>878</v>
      </c>
      <c r="C96" s="1"/>
      <c r="F96" s="16"/>
      <c r="G96" s="16"/>
      <c r="H96" s="16"/>
      <c r="I96" s="16"/>
      <c r="J96" s="16"/>
      <c r="K96" s="16"/>
      <c r="L96" s="16"/>
      <c r="M96" s="16"/>
      <c r="N96" s="16"/>
    </row>
    <row r="97" spans="1:14" ht="15.75" x14ac:dyDescent="0.25">
      <c r="A97" s="2" t="s">
        <v>1250</v>
      </c>
      <c r="B97" s="36">
        <f>B90/(2*3.142*B91*B94*B93*B92)</f>
        <v>163.71842526450348</v>
      </c>
      <c r="C97" s="1" t="s">
        <v>1154</v>
      </c>
      <c r="F97" s="16"/>
      <c r="G97" s="16"/>
      <c r="H97" s="16"/>
      <c r="I97" s="16"/>
      <c r="J97" s="16"/>
      <c r="K97" s="16"/>
      <c r="L97" s="16"/>
      <c r="M97" s="16"/>
      <c r="N97" s="16"/>
    </row>
    <row r="98" spans="1:14" x14ac:dyDescent="0.2">
      <c r="C98" s="12"/>
      <c r="G98" s="16"/>
      <c r="H98" s="16"/>
      <c r="I98" s="16"/>
      <c r="J98" s="16"/>
      <c r="K98" s="16"/>
      <c r="L98" s="16"/>
      <c r="M98" s="16"/>
      <c r="N98" s="16"/>
    </row>
    <row r="99" spans="1:14" x14ac:dyDescent="0.2">
      <c r="A99" s="23"/>
      <c r="B99" s="23"/>
      <c r="C99" s="126"/>
      <c r="D99" s="23"/>
      <c r="E99" s="23"/>
      <c r="F99" s="16"/>
      <c r="G99" s="16"/>
      <c r="H99" s="16"/>
      <c r="I99" s="16"/>
      <c r="J99" s="16"/>
      <c r="K99" s="16"/>
      <c r="L99" s="16"/>
      <c r="M99" s="16"/>
      <c r="N99" s="16"/>
    </row>
    <row r="100" spans="1:14" x14ac:dyDescent="0.2">
      <c r="F100" s="16"/>
      <c r="G100" s="16"/>
      <c r="H100" s="16"/>
      <c r="I100" s="16"/>
      <c r="J100" s="16"/>
      <c r="K100" s="16"/>
      <c r="L100" s="16"/>
      <c r="M100" s="16"/>
      <c r="N100" s="16"/>
    </row>
    <row r="101" spans="1:14" ht="15.75" x14ac:dyDescent="0.25">
      <c r="A101" s="2"/>
      <c r="B101" s="12" t="s">
        <v>1418</v>
      </c>
      <c r="F101" s="16"/>
      <c r="G101" s="16"/>
      <c r="H101" s="16"/>
      <c r="I101" s="16"/>
      <c r="J101" s="16"/>
      <c r="K101" s="16"/>
      <c r="L101" s="16"/>
      <c r="M101" s="16"/>
      <c r="N101" s="16"/>
    </row>
    <row r="102" spans="1:14" x14ac:dyDescent="0.2">
      <c r="F102" s="16"/>
      <c r="G102" s="16"/>
      <c r="H102" s="16"/>
      <c r="I102" s="16"/>
      <c r="J102" s="16"/>
      <c r="K102" s="16"/>
      <c r="L102" s="16"/>
      <c r="M102" s="16"/>
      <c r="N102" s="16"/>
    </row>
    <row r="103" spans="1:14" x14ac:dyDescent="0.2">
      <c r="B103" s="27"/>
    </row>
    <row r="104" spans="1:14" x14ac:dyDescent="0.2">
      <c r="A104" s="28"/>
      <c r="B104" s="27" t="s">
        <v>1138</v>
      </c>
    </row>
  </sheetData>
  <sheetProtection sheet="1" objects="1" scenarios="1" selectLockedCells="1"/>
  <phoneticPr fontId="1" type="noConversion"/>
  <printOptions gridLines="1"/>
  <pageMargins left="0.75" right="0.75" top="1" bottom="1" header="0.5" footer="0.5"/>
  <pageSetup orientation="portrait" horizont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02"/>
  <sheetViews>
    <sheetView workbookViewId="0">
      <selection activeCell="G3" sqref="G3"/>
    </sheetView>
  </sheetViews>
  <sheetFormatPr defaultColWidth="8.7109375" defaultRowHeight="15" x14ac:dyDescent="0.2"/>
  <cols>
    <col min="1" max="1" width="39.85546875" style="12" customWidth="1"/>
    <col min="2" max="2" width="20" style="12" customWidth="1"/>
    <col min="3" max="3" width="8.7109375" style="12"/>
    <col min="4" max="4" width="10" style="12" customWidth="1"/>
    <col min="5" max="5" width="11.7109375" style="12" customWidth="1"/>
    <col min="6" max="6" width="32.28515625" style="12" customWidth="1"/>
    <col min="7" max="7" width="14.42578125" style="12" customWidth="1"/>
    <col min="8" max="16384" width="8.7109375" style="12"/>
  </cols>
  <sheetData>
    <row r="1" spans="1:11" ht="18" x14ac:dyDescent="0.25">
      <c r="A1" s="7" t="s">
        <v>805</v>
      </c>
      <c r="C1" s="1"/>
      <c r="D1" s="15"/>
      <c r="E1" s="5"/>
      <c r="F1" s="16"/>
      <c r="G1" s="16"/>
      <c r="H1" s="16"/>
      <c r="I1" s="16"/>
      <c r="J1" s="16"/>
      <c r="K1" s="16"/>
    </row>
    <row r="2" spans="1:11" x14ac:dyDescent="0.2">
      <c r="A2" s="17"/>
      <c r="F2" s="16"/>
      <c r="G2" s="16"/>
      <c r="H2" s="16"/>
      <c r="I2" s="16"/>
      <c r="J2" s="16"/>
      <c r="K2" s="16"/>
    </row>
    <row r="3" spans="1:11" ht="15.75" thickBot="1" x14ac:dyDescent="0.25">
      <c r="F3" s="16"/>
      <c r="G3" s="16"/>
      <c r="H3" s="16"/>
      <c r="I3" s="16"/>
      <c r="J3" s="16"/>
      <c r="K3" s="16"/>
    </row>
    <row r="4" spans="1:11" ht="15.75" x14ac:dyDescent="0.25">
      <c r="A4" s="102" t="s">
        <v>1068</v>
      </c>
      <c r="F4" s="16"/>
      <c r="G4" s="16"/>
      <c r="H4" s="16"/>
      <c r="I4" s="16"/>
      <c r="J4" s="16"/>
      <c r="K4" s="16"/>
    </row>
    <row r="5" spans="1:11" ht="15.75" x14ac:dyDescent="0.25">
      <c r="A5" s="103" t="s">
        <v>1069</v>
      </c>
      <c r="F5" s="16"/>
      <c r="G5" s="16"/>
      <c r="H5" s="16"/>
      <c r="I5" s="16"/>
      <c r="J5" s="16"/>
      <c r="K5" s="16"/>
    </row>
    <row r="6" spans="1:11" ht="15.75" x14ac:dyDescent="0.25">
      <c r="A6" s="103" t="s">
        <v>1070</v>
      </c>
      <c r="F6" s="16"/>
      <c r="G6" s="16"/>
      <c r="H6" s="16"/>
      <c r="I6" s="16"/>
      <c r="J6" s="16"/>
      <c r="K6" s="16"/>
    </row>
    <row r="7" spans="1:11" ht="15.75" x14ac:dyDescent="0.25">
      <c r="A7" s="104" t="s">
        <v>1422</v>
      </c>
      <c r="F7" s="16"/>
      <c r="G7" s="16"/>
      <c r="H7" s="16"/>
      <c r="I7" s="16"/>
      <c r="J7" s="16"/>
      <c r="K7" s="16"/>
    </row>
    <row r="8" spans="1:11" ht="16.5" thickBot="1" x14ac:dyDescent="0.3">
      <c r="A8" s="116" t="s">
        <v>1441</v>
      </c>
      <c r="F8" s="16"/>
      <c r="G8" s="16"/>
      <c r="H8" s="16"/>
      <c r="I8" s="16"/>
      <c r="J8" s="16"/>
      <c r="K8" s="16"/>
    </row>
    <row r="9" spans="1:11" x14ac:dyDescent="0.2">
      <c r="F9" s="16"/>
      <c r="G9" s="16"/>
      <c r="H9" s="16"/>
      <c r="I9" s="16"/>
      <c r="J9" s="16"/>
      <c r="K9" s="16"/>
    </row>
    <row r="10" spans="1:11" x14ac:dyDescent="0.2">
      <c r="F10" s="16"/>
      <c r="G10" s="16"/>
      <c r="H10" s="16"/>
      <c r="I10" s="16"/>
      <c r="J10" s="16"/>
      <c r="K10" s="16"/>
    </row>
    <row r="11" spans="1:11" x14ac:dyDescent="0.2">
      <c r="F11" s="16"/>
      <c r="G11" s="16"/>
      <c r="H11" s="16"/>
      <c r="I11" s="16"/>
      <c r="J11" s="16"/>
      <c r="K11" s="16"/>
    </row>
    <row r="12" spans="1:11" x14ac:dyDescent="0.2">
      <c r="F12" s="16"/>
      <c r="G12" s="16"/>
      <c r="H12" s="16"/>
      <c r="I12" s="16"/>
      <c r="J12" s="16"/>
      <c r="K12" s="16"/>
    </row>
    <row r="13" spans="1:11" x14ac:dyDescent="0.2">
      <c r="F13" s="16"/>
      <c r="G13" s="16"/>
      <c r="H13" s="16"/>
      <c r="I13" s="16"/>
      <c r="J13" s="16"/>
      <c r="K13" s="16"/>
    </row>
    <row r="14" spans="1:11" x14ac:dyDescent="0.2">
      <c r="F14" s="16"/>
      <c r="G14" s="16"/>
      <c r="H14" s="16"/>
      <c r="I14" s="16"/>
      <c r="J14" s="16"/>
      <c r="K14" s="16"/>
    </row>
    <row r="15" spans="1:11" x14ac:dyDescent="0.2">
      <c r="F15" s="16"/>
      <c r="G15" s="16"/>
      <c r="H15" s="16"/>
      <c r="I15" s="16"/>
      <c r="J15" s="16"/>
      <c r="K15" s="16"/>
    </row>
    <row r="16" spans="1:11" x14ac:dyDescent="0.2">
      <c r="F16" s="16"/>
      <c r="G16" s="16"/>
      <c r="H16" s="16"/>
      <c r="I16" s="16"/>
      <c r="J16" s="16"/>
      <c r="K16" s="16"/>
    </row>
    <row r="17" spans="1:11" x14ac:dyDescent="0.2">
      <c r="F17" s="16"/>
      <c r="G17" s="16"/>
      <c r="H17" s="16"/>
      <c r="I17" s="16"/>
      <c r="J17" s="16"/>
      <c r="K17" s="16"/>
    </row>
    <row r="18" spans="1:11" x14ac:dyDescent="0.2">
      <c r="F18" s="16"/>
      <c r="G18" s="16"/>
      <c r="H18" s="16"/>
      <c r="I18" s="16"/>
      <c r="J18" s="16"/>
      <c r="K18" s="16"/>
    </row>
    <row r="19" spans="1:11" x14ac:dyDescent="0.2">
      <c r="F19" s="16"/>
      <c r="G19" s="16"/>
      <c r="H19" s="16"/>
      <c r="I19" s="16"/>
      <c r="J19" s="16"/>
      <c r="K19" s="16"/>
    </row>
    <row r="20" spans="1:11" ht="16.5" thickBot="1" x14ac:dyDescent="0.3">
      <c r="A20" s="1" t="s">
        <v>1258</v>
      </c>
      <c r="B20" s="30" t="s">
        <v>109</v>
      </c>
      <c r="C20" s="27"/>
      <c r="F20" s="16"/>
      <c r="G20" s="16"/>
      <c r="H20" s="16"/>
      <c r="I20" s="16"/>
      <c r="J20" s="16"/>
      <c r="K20" s="16"/>
    </row>
    <row r="21" spans="1:11" x14ac:dyDescent="0.2">
      <c r="A21" s="28" t="s">
        <v>960</v>
      </c>
      <c r="B21" s="31">
        <v>50</v>
      </c>
      <c r="C21" s="22" t="s">
        <v>1100</v>
      </c>
      <c r="F21" s="16"/>
      <c r="G21" s="16"/>
      <c r="H21" s="16"/>
      <c r="I21" s="16"/>
      <c r="J21" s="16"/>
      <c r="K21" s="16"/>
    </row>
    <row r="22" spans="1:11" x14ac:dyDescent="0.2">
      <c r="A22" s="28" t="s">
        <v>1442</v>
      </c>
      <c r="B22" s="32">
        <v>0.2</v>
      </c>
      <c r="C22" s="34" t="s">
        <v>1284</v>
      </c>
      <c r="F22" s="16"/>
      <c r="G22" s="16"/>
      <c r="H22" s="16"/>
      <c r="I22" s="16"/>
      <c r="J22" s="16"/>
      <c r="K22" s="16"/>
    </row>
    <row r="23" spans="1:11" x14ac:dyDescent="0.2">
      <c r="A23" s="28" t="s">
        <v>958</v>
      </c>
      <c r="B23" s="47">
        <v>7</v>
      </c>
      <c r="C23" s="22" t="s">
        <v>1078</v>
      </c>
      <c r="F23" s="16"/>
      <c r="G23" s="16"/>
      <c r="H23" s="16"/>
      <c r="I23" s="16"/>
      <c r="J23" s="16"/>
      <c r="K23" s="16"/>
    </row>
    <row r="24" spans="1:11" ht="15.75" thickBot="1" x14ac:dyDescent="0.25">
      <c r="A24" s="28" t="s">
        <v>959</v>
      </c>
      <c r="B24" s="48">
        <v>1</v>
      </c>
      <c r="C24" s="34" t="s">
        <v>1284</v>
      </c>
      <c r="F24" s="16"/>
      <c r="G24" s="16"/>
      <c r="H24" s="16"/>
      <c r="I24" s="16"/>
      <c r="J24" s="16"/>
      <c r="K24" s="16"/>
    </row>
    <row r="25" spans="1:11" x14ac:dyDescent="0.2">
      <c r="C25" s="22"/>
      <c r="F25" s="16"/>
      <c r="G25" s="16"/>
      <c r="H25" s="16"/>
      <c r="I25" s="16"/>
      <c r="J25" s="16"/>
      <c r="K25" s="16"/>
    </row>
    <row r="26" spans="1:11" ht="15.75" x14ac:dyDescent="0.25">
      <c r="B26" s="30" t="s">
        <v>876</v>
      </c>
      <c r="C26" s="22"/>
      <c r="F26" s="16"/>
      <c r="G26" s="16"/>
      <c r="H26" s="16"/>
      <c r="I26" s="16"/>
      <c r="J26" s="16"/>
      <c r="K26" s="16"/>
    </row>
    <row r="27" spans="1:11" ht="15.75" x14ac:dyDescent="0.25">
      <c r="A27" s="2" t="s">
        <v>476</v>
      </c>
      <c r="B27" s="5" t="s">
        <v>961</v>
      </c>
      <c r="C27" s="1"/>
      <c r="F27" s="16"/>
      <c r="G27" s="16"/>
      <c r="H27" s="16"/>
      <c r="I27" s="16"/>
      <c r="J27" s="16"/>
      <c r="K27" s="16"/>
    </row>
    <row r="28" spans="1:11" ht="15.75" x14ac:dyDescent="0.25">
      <c r="A28" s="4"/>
      <c r="B28" s="36">
        <f>2*B22*B21*B24*B23</f>
        <v>140</v>
      </c>
      <c r="C28" s="4" t="s">
        <v>1075</v>
      </c>
      <c r="F28" s="16"/>
      <c r="G28" s="16"/>
      <c r="H28" s="16"/>
      <c r="I28" s="16"/>
      <c r="J28" s="16"/>
      <c r="K28" s="16"/>
    </row>
    <row r="29" spans="1:11" x14ac:dyDescent="0.2">
      <c r="F29" s="16"/>
      <c r="G29" s="16"/>
      <c r="H29" s="16"/>
      <c r="I29" s="16"/>
      <c r="J29" s="16"/>
      <c r="K29" s="16"/>
    </row>
    <row r="30" spans="1:11" ht="15.75" x14ac:dyDescent="0.25">
      <c r="A30" s="23"/>
      <c r="B30" s="125"/>
      <c r="C30" s="125"/>
      <c r="D30" s="23"/>
      <c r="E30" s="146" t="s">
        <v>1071</v>
      </c>
      <c r="F30" s="16"/>
      <c r="G30" s="16"/>
      <c r="H30" s="16"/>
      <c r="I30" s="16"/>
      <c r="J30" s="16"/>
      <c r="K30" s="16"/>
    </row>
    <row r="31" spans="1:11" x14ac:dyDescent="0.2">
      <c r="B31" s="27"/>
      <c r="C31" s="27"/>
      <c r="F31" s="16"/>
      <c r="G31" s="16"/>
      <c r="H31" s="16"/>
      <c r="I31" s="16"/>
      <c r="J31" s="16"/>
      <c r="K31" s="16"/>
    </row>
    <row r="32" spans="1:11" x14ac:dyDescent="0.2">
      <c r="B32" s="27"/>
      <c r="C32" s="27"/>
      <c r="F32" s="16"/>
      <c r="G32" s="16"/>
      <c r="H32" s="16"/>
      <c r="I32" s="16"/>
      <c r="J32" s="16"/>
      <c r="K32" s="16"/>
    </row>
    <row r="33" spans="1:11" x14ac:dyDescent="0.2">
      <c r="B33" s="27"/>
      <c r="C33" s="27"/>
      <c r="F33" s="16"/>
      <c r="G33" s="16"/>
      <c r="H33" s="16"/>
      <c r="I33" s="16"/>
      <c r="J33" s="16"/>
      <c r="K33" s="16"/>
    </row>
    <row r="34" spans="1:11" x14ac:dyDescent="0.2">
      <c r="B34" s="27"/>
      <c r="C34" s="27"/>
      <c r="F34" s="16"/>
      <c r="G34" s="16"/>
      <c r="H34" s="16"/>
      <c r="I34" s="16"/>
      <c r="J34" s="16"/>
      <c r="K34" s="16"/>
    </row>
    <row r="35" spans="1:11" x14ac:dyDescent="0.2">
      <c r="B35" s="27"/>
      <c r="C35" s="27"/>
      <c r="F35" s="16"/>
      <c r="G35" s="16"/>
      <c r="H35" s="16"/>
      <c r="I35" s="16"/>
      <c r="J35" s="16"/>
      <c r="K35" s="16"/>
    </row>
    <row r="36" spans="1:11" x14ac:dyDescent="0.2">
      <c r="A36" s="22"/>
      <c r="B36" s="27"/>
      <c r="C36" s="27"/>
      <c r="F36" s="16"/>
      <c r="G36" s="16"/>
      <c r="H36" s="16"/>
      <c r="I36" s="16"/>
      <c r="J36" s="16"/>
      <c r="K36" s="16"/>
    </row>
    <row r="37" spans="1:11" x14ac:dyDescent="0.2">
      <c r="A37" s="22"/>
      <c r="B37" s="27"/>
      <c r="C37" s="27"/>
      <c r="F37" s="16"/>
      <c r="G37" s="16"/>
      <c r="H37" s="16"/>
      <c r="I37" s="16"/>
      <c r="J37" s="16"/>
      <c r="K37" s="16"/>
    </row>
    <row r="38" spans="1:11" ht="15.75" x14ac:dyDescent="0.25">
      <c r="A38" s="1"/>
      <c r="B38" s="27"/>
      <c r="C38" s="27"/>
      <c r="F38" s="16"/>
      <c r="G38" s="16"/>
      <c r="H38" s="16"/>
      <c r="I38" s="16"/>
      <c r="J38" s="16"/>
      <c r="K38" s="16"/>
    </row>
    <row r="39" spans="1:11" x14ac:dyDescent="0.2">
      <c r="A39" s="22"/>
      <c r="B39" s="27"/>
      <c r="C39" s="27"/>
      <c r="F39" s="16"/>
      <c r="G39" s="16"/>
      <c r="H39" s="16"/>
      <c r="I39" s="16"/>
      <c r="J39" s="16"/>
      <c r="K39" s="16"/>
    </row>
    <row r="40" spans="1:11" x14ac:dyDescent="0.2">
      <c r="A40" s="22"/>
      <c r="B40" s="27"/>
      <c r="C40" s="27"/>
      <c r="F40" s="16"/>
      <c r="G40" s="16"/>
      <c r="H40" s="16"/>
      <c r="I40" s="16"/>
      <c r="J40" s="16"/>
      <c r="K40" s="16"/>
    </row>
    <row r="41" spans="1:11" x14ac:dyDescent="0.2">
      <c r="A41" s="22"/>
      <c r="B41" s="27"/>
      <c r="C41" s="27"/>
      <c r="F41" s="16"/>
      <c r="G41" s="16"/>
      <c r="H41" s="16"/>
      <c r="I41" s="16"/>
      <c r="J41" s="16"/>
      <c r="K41" s="16"/>
    </row>
    <row r="42" spans="1:11" x14ac:dyDescent="0.2">
      <c r="A42" s="22"/>
      <c r="B42" s="27"/>
      <c r="C42" s="27"/>
      <c r="F42" s="16"/>
      <c r="G42" s="16"/>
      <c r="H42" s="16"/>
      <c r="I42" s="16"/>
      <c r="J42" s="16"/>
      <c r="K42" s="16"/>
    </row>
    <row r="43" spans="1:11" x14ac:dyDescent="0.2">
      <c r="A43" s="22"/>
      <c r="B43" s="27"/>
      <c r="C43" s="27"/>
      <c r="F43" s="16"/>
      <c r="G43" s="16"/>
      <c r="H43" s="16"/>
      <c r="I43" s="16"/>
      <c r="J43" s="16"/>
      <c r="K43" s="16"/>
    </row>
    <row r="44" spans="1:11" x14ac:dyDescent="0.2">
      <c r="A44" s="22"/>
      <c r="B44" s="27"/>
      <c r="C44" s="27"/>
      <c r="F44" s="16"/>
      <c r="G44" s="16"/>
      <c r="H44" s="16"/>
      <c r="I44" s="16"/>
      <c r="J44" s="16"/>
      <c r="K44" s="16"/>
    </row>
    <row r="45" spans="1:11" x14ac:dyDescent="0.2">
      <c r="A45" s="28"/>
      <c r="B45" s="27"/>
      <c r="C45" s="27"/>
      <c r="F45" s="16"/>
      <c r="G45" s="16"/>
      <c r="H45" s="16"/>
      <c r="I45" s="16"/>
      <c r="J45" s="16"/>
      <c r="K45" s="16"/>
    </row>
    <row r="46" spans="1:11" x14ac:dyDescent="0.2">
      <c r="A46" s="28"/>
      <c r="B46" s="27"/>
      <c r="C46" s="27"/>
      <c r="F46" s="16"/>
      <c r="G46" s="16"/>
      <c r="H46" s="16"/>
      <c r="I46" s="16"/>
      <c r="J46" s="16"/>
      <c r="K46" s="16"/>
    </row>
    <row r="47" spans="1:11" ht="16.5" thickBot="1" x14ac:dyDescent="0.3">
      <c r="A47" s="1" t="s">
        <v>1258</v>
      </c>
      <c r="B47" s="30" t="s">
        <v>109</v>
      </c>
      <c r="C47" s="27"/>
      <c r="F47" s="16"/>
      <c r="G47" s="16"/>
      <c r="H47" s="16"/>
      <c r="I47" s="16"/>
      <c r="J47" s="16"/>
      <c r="K47" s="16"/>
    </row>
    <row r="48" spans="1:11" x14ac:dyDescent="0.2">
      <c r="A48" s="28" t="s">
        <v>1158</v>
      </c>
      <c r="B48" s="31">
        <v>0.2</v>
      </c>
      <c r="C48" s="27"/>
      <c r="F48" s="16"/>
      <c r="G48" s="16"/>
      <c r="H48" s="16"/>
      <c r="I48" s="16"/>
      <c r="J48" s="16"/>
      <c r="K48" s="16"/>
    </row>
    <row r="49" spans="1:11" x14ac:dyDescent="0.2">
      <c r="A49" s="28" t="s">
        <v>1251</v>
      </c>
      <c r="B49" s="32">
        <v>2</v>
      </c>
      <c r="C49" s="27" t="s">
        <v>1078</v>
      </c>
      <c r="F49" s="16"/>
      <c r="G49" s="16"/>
      <c r="H49" s="16"/>
      <c r="I49" s="16"/>
      <c r="J49" s="16"/>
      <c r="K49" s="16"/>
    </row>
    <row r="50" spans="1:11" x14ac:dyDescent="0.2">
      <c r="A50" s="28" t="s">
        <v>1252</v>
      </c>
      <c r="B50" s="32">
        <v>6</v>
      </c>
      <c r="C50" s="27" t="s">
        <v>1078</v>
      </c>
      <c r="F50" s="16"/>
      <c r="G50" s="16"/>
      <c r="H50" s="16"/>
      <c r="I50" s="16"/>
      <c r="J50" s="16"/>
      <c r="K50" s="16"/>
    </row>
    <row r="51" spans="1:11" x14ac:dyDescent="0.2">
      <c r="A51" s="28" t="s">
        <v>1257</v>
      </c>
      <c r="B51" s="32">
        <v>5</v>
      </c>
      <c r="C51" s="27" t="s">
        <v>1078</v>
      </c>
      <c r="F51" s="16"/>
      <c r="G51" s="16"/>
      <c r="H51" s="16"/>
      <c r="I51" s="16"/>
      <c r="J51" s="16"/>
      <c r="K51" s="16"/>
    </row>
    <row r="52" spans="1:11" x14ac:dyDescent="0.2">
      <c r="A52" s="28" t="s">
        <v>1253</v>
      </c>
      <c r="B52" s="32">
        <v>0</v>
      </c>
      <c r="C52" s="27" t="s">
        <v>1083</v>
      </c>
      <c r="F52" s="16"/>
      <c r="G52" s="16"/>
      <c r="H52" s="16"/>
      <c r="I52" s="16"/>
      <c r="J52" s="16"/>
      <c r="K52" s="16"/>
    </row>
    <row r="53" spans="1:11" x14ac:dyDescent="0.2">
      <c r="A53" s="28" t="s">
        <v>1254</v>
      </c>
      <c r="B53" s="32">
        <v>130</v>
      </c>
      <c r="C53" s="27" t="s">
        <v>1083</v>
      </c>
      <c r="F53" s="16"/>
      <c r="G53" s="16"/>
      <c r="H53" s="16"/>
      <c r="I53" s="16"/>
      <c r="J53" s="16"/>
      <c r="K53" s="16"/>
    </row>
    <row r="54" spans="1:11" x14ac:dyDescent="0.2">
      <c r="A54" s="28" t="s">
        <v>1255</v>
      </c>
      <c r="B54" s="32">
        <v>90</v>
      </c>
      <c r="C54" s="27" t="s">
        <v>1083</v>
      </c>
      <c r="F54" s="16"/>
      <c r="G54" s="16"/>
      <c r="H54" s="16"/>
      <c r="I54" s="16"/>
      <c r="J54" s="16"/>
      <c r="K54" s="16"/>
    </row>
    <row r="55" spans="1:11" x14ac:dyDescent="0.2">
      <c r="A55" s="28" t="s">
        <v>879</v>
      </c>
      <c r="B55" s="32">
        <v>150</v>
      </c>
      <c r="C55" s="27" t="s">
        <v>1154</v>
      </c>
      <c r="F55" s="16"/>
      <c r="G55" s="16"/>
      <c r="H55" s="16"/>
      <c r="I55" s="16"/>
      <c r="J55" s="16"/>
      <c r="K55" s="16"/>
    </row>
    <row r="56" spans="1:11" x14ac:dyDescent="0.2">
      <c r="A56" s="28" t="s">
        <v>880</v>
      </c>
      <c r="B56" s="32">
        <v>150</v>
      </c>
      <c r="C56" s="27" t="s">
        <v>1154</v>
      </c>
      <c r="F56" s="16"/>
      <c r="G56" s="16"/>
      <c r="H56" s="16"/>
      <c r="I56" s="16"/>
      <c r="J56" s="16"/>
      <c r="K56" s="16"/>
    </row>
    <row r="57" spans="1:11" ht="15.75" thickBot="1" x14ac:dyDescent="0.25">
      <c r="A57" s="28" t="s">
        <v>1256</v>
      </c>
      <c r="B57" s="54">
        <v>9</v>
      </c>
      <c r="C57" s="27" t="s">
        <v>1078</v>
      </c>
      <c r="F57" s="16"/>
      <c r="G57" s="16"/>
      <c r="H57" s="16"/>
      <c r="I57" s="16"/>
      <c r="J57" s="16"/>
      <c r="K57" s="16"/>
    </row>
    <row r="58" spans="1:11" x14ac:dyDescent="0.2">
      <c r="A58" s="28"/>
      <c r="B58" s="27"/>
      <c r="C58" s="27"/>
      <c r="F58" s="16"/>
      <c r="G58" s="16"/>
      <c r="H58" s="16"/>
      <c r="I58" s="16"/>
      <c r="J58" s="16"/>
      <c r="K58" s="16"/>
    </row>
    <row r="59" spans="1:11" ht="15.75" x14ac:dyDescent="0.25">
      <c r="A59" s="28"/>
      <c r="B59" s="30" t="s">
        <v>876</v>
      </c>
      <c r="C59" s="27"/>
      <c r="F59" s="16"/>
      <c r="G59" s="16"/>
      <c r="H59" s="16"/>
      <c r="I59" s="16"/>
      <c r="J59" s="16"/>
      <c r="K59" s="16"/>
    </row>
    <row r="60" spans="1:11" ht="15.75" x14ac:dyDescent="0.25">
      <c r="A60" s="2" t="s">
        <v>1216</v>
      </c>
      <c r="B60" s="1" t="s">
        <v>1259</v>
      </c>
      <c r="C60" s="5"/>
      <c r="F60" s="16"/>
      <c r="G60" s="16"/>
      <c r="H60" s="16"/>
      <c r="I60" s="16"/>
      <c r="J60" s="16"/>
      <c r="K60" s="16"/>
    </row>
    <row r="61" spans="1:11" ht="15.75" x14ac:dyDescent="0.25">
      <c r="A61" s="2" t="s">
        <v>1216</v>
      </c>
      <c r="B61" s="51">
        <f>(B50)-(B50*COS(B53/57.2975))-((B51/2)*(SIN(B53/57.2975))^2)</f>
        <v>8.3891845502513149</v>
      </c>
      <c r="C61" s="5"/>
      <c r="F61" s="16"/>
      <c r="G61" s="16"/>
      <c r="H61" s="16"/>
      <c r="I61" s="16"/>
      <c r="J61" s="16"/>
      <c r="K61" s="16"/>
    </row>
    <row r="62" spans="1:11" ht="15.75" x14ac:dyDescent="0.25">
      <c r="A62" s="2" t="s">
        <v>1260</v>
      </c>
      <c r="B62" s="1" t="s">
        <v>1262</v>
      </c>
      <c r="C62" s="5"/>
      <c r="F62" s="16"/>
      <c r="G62" s="16"/>
      <c r="H62" s="16"/>
      <c r="I62" s="16"/>
      <c r="J62" s="16"/>
      <c r="K62" s="16"/>
    </row>
    <row r="63" spans="1:11" ht="15.75" x14ac:dyDescent="0.25">
      <c r="A63" s="2" t="s">
        <v>1261</v>
      </c>
      <c r="B63" s="36">
        <f>((B48*B55*B49*B50)/SIN(B54/57.2975))*(B61)</f>
        <v>3020.1064414498865</v>
      </c>
      <c r="C63" s="5" t="s">
        <v>1075</v>
      </c>
      <c r="F63" s="16"/>
      <c r="G63" s="16"/>
      <c r="H63" s="16"/>
      <c r="I63" s="16"/>
      <c r="J63" s="16"/>
      <c r="K63" s="16"/>
    </row>
    <row r="64" spans="1:11" ht="15.75" x14ac:dyDescent="0.25">
      <c r="A64" s="2"/>
      <c r="B64" s="5"/>
      <c r="C64" s="5"/>
      <c r="F64" s="16"/>
      <c r="G64" s="16"/>
      <c r="H64" s="16"/>
      <c r="I64" s="16"/>
      <c r="J64" s="16"/>
      <c r="K64" s="16"/>
    </row>
    <row r="65" spans="1:11" ht="15.75" x14ac:dyDescent="0.25">
      <c r="A65" s="2" t="s">
        <v>1217</v>
      </c>
      <c r="B65" s="1" t="s">
        <v>1269</v>
      </c>
      <c r="C65" s="5"/>
      <c r="F65" s="16"/>
      <c r="G65" s="16"/>
      <c r="H65" s="16"/>
      <c r="I65" s="16"/>
      <c r="J65" s="16"/>
      <c r="K65" s="16"/>
    </row>
    <row r="66" spans="1:11" ht="15.75" x14ac:dyDescent="0.25">
      <c r="A66" s="2" t="s">
        <v>1217</v>
      </c>
      <c r="B66" s="51">
        <f>(0.5*B53/57.2975)-(0.25*SIN(2*B53/57.2975))</f>
        <v>1.3806259696197822</v>
      </c>
      <c r="C66" s="5"/>
      <c r="F66" s="16"/>
      <c r="G66" s="16"/>
      <c r="H66" s="16"/>
      <c r="I66" s="16"/>
      <c r="J66" s="16"/>
      <c r="K66" s="16"/>
    </row>
    <row r="67" spans="1:11" ht="15.75" x14ac:dyDescent="0.25">
      <c r="A67" s="2" t="s">
        <v>1270</v>
      </c>
      <c r="B67" s="1" t="s">
        <v>1263</v>
      </c>
      <c r="C67" s="5"/>
      <c r="F67" s="16"/>
      <c r="G67" s="16"/>
      <c r="H67" s="16"/>
      <c r="I67" s="16"/>
      <c r="J67" s="16"/>
      <c r="K67" s="16"/>
    </row>
    <row r="68" spans="1:11" ht="15.75" x14ac:dyDescent="0.25">
      <c r="A68" s="2" t="s">
        <v>1271</v>
      </c>
      <c r="B68" s="36">
        <f>((B55*B49*B50*B51)/SIN(B54/57.2975))*(B66)</f>
        <v>12425.633740399684</v>
      </c>
      <c r="C68" s="5" t="s">
        <v>1075</v>
      </c>
      <c r="F68" s="16"/>
      <c r="G68" s="16"/>
      <c r="H68" s="16"/>
      <c r="I68" s="16"/>
      <c r="J68" s="16"/>
      <c r="K68" s="16"/>
    </row>
    <row r="69" spans="1:11" ht="15.75" x14ac:dyDescent="0.25">
      <c r="A69" s="2"/>
      <c r="B69" s="5"/>
      <c r="C69" s="5"/>
      <c r="F69" s="16"/>
      <c r="G69" s="16"/>
      <c r="H69" s="16"/>
      <c r="I69" s="16"/>
      <c r="J69" s="16"/>
      <c r="K69" s="16"/>
    </row>
    <row r="70" spans="1:11" ht="15.75" x14ac:dyDescent="0.25">
      <c r="A70" s="2" t="s">
        <v>1273</v>
      </c>
      <c r="B70" s="5" t="s">
        <v>1272</v>
      </c>
      <c r="C70" s="5"/>
      <c r="E70" s="5"/>
      <c r="F70" s="16"/>
      <c r="G70" s="16"/>
      <c r="H70" s="16"/>
      <c r="I70" s="16"/>
      <c r="J70" s="16"/>
      <c r="K70" s="16"/>
    </row>
    <row r="71" spans="1:11" ht="15.75" x14ac:dyDescent="0.25">
      <c r="A71" s="2" t="s">
        <v>1250</v>
      </c>
      <c r="B71" s="36">
        <f>(B68-B63)/B57</f>
        <v>1045.0585887721998</v>
      </c>
      <c r="C71" s="5" t="s">
        <v>1100</v>
      </c>
      <c r="F71" s="16"/>
      <c r="G71" s="16"/>
      <c r="H71" s="16"/>
      <c r="I71" s="16"/>
      <c r="J71" s="16"/>
      <c r="K71" s="16"/>
    </row>
    <row r="72" spans="1:11" ht="15.75" x14ac:dyDescent="0.25">
      <c r="A72" s="28"/>
      <c r="B72" s="27"/>
      <c r="C72" s="27"/>
      <c r="E72" s="5" t="s">
        <v>1071</v>
      </c>
      <c r="F72" s="16"/>
      <c r="G72" s="16"/>
      <c r="H72" s="16"/>
      <c r="I72" s="16"/>
      <c r="J72" s="16"/>
      <c r="K72" s="16"/>
    </row>
    <row r="73" spans="1:11" ht="15.75" x14ac:dyDescent="0.25">
      <c r="A73" s="2" t="s">
        <v>1265</v>
      </c>
      <c r="B73" s="1" t="s">
        <v>1266</v>
      </c>
      <c r="C73" s="5"/>
      <c r="F73" s="16"/>
      <c r="G73" s="16"/>
      <c r="H73" s="16"/>
      <c r="I73" s="16"/>
      <c r="J73" s="16"/>
      <c r="K73" s="16"/>
    </row>
    <row r="74" spans="1:11" ht="15.75" x14ac:dyDescent="0.25">
      <c r="A74" s="2" t="s">
        <v>1265</v>
      </c>
      <c r="B74" s="51">
        <f>((COS(B52/57.2975)-COS(B53/57.2975))/(SIN(B54/57.2975)))</f>
        <v>1.6427354196506261</v>
      </c>
      <c r="C74" s="5"/>
      <c r="F74" s="16"/>
      <c r="G74" s="16"/>
      <c r="H74" s="16"/>
      <c r="I74" s="16"/>
      <c r="J74" s="16"/>
      <c r="K74" s="16"/>
    </row>
    <row r="75" spans="1:11" ht="15.75" x14ac:dyDescent="0.25">
      <c r="A75" s="2" t="s">
        <v>1264</v>
      </c>
      <c r="B75" s="5" t="s">
        <v>1268</v>
      </c>
      <c r="C75" s="5"/>
      <c r="F75" s="16"/>
      <c r="G75" s="16"/>
      <c r="H75" s="16"/>
      <c r="I75" s="16"/>
      <c r="J75" s="16"/>
      <c r="K75" s="16"/>
    </row>
    <row r="76" spans="1:11" ht="15.75" x14ac:dyDescent="0.25">
      <c r="A76" s="2" t="s">
        <v>1267</v>
      </c>
      <c r="B76" s="36">
        <f>B48*B55*B49*B50^2*B74</f>
        <v>3548.3085064453521</v>
      </c>
      <c r="C76" s="5" t="s">
        <v>1075</v>
      </c>
      <c r="F76" s="16"/>
      <c r="G76" s="16"/>
      <c r="H76" s="16"/>
      <c r="I76" s="16"/>
      <c r="J76" s="16"/>
      <c r="K76" s="16"/>
    </row>
    <row r="77" spans="1:11" x14ac:dyDescent="0.2">
      <c r="F77" s="16"/>
      <c r="G77" s="16"/>
      <c r="H77" s="16"/>
      <c r="I77" s="16"/>
      <c r="J77" s="16"/>
      <c r="K77" s="16"/>
    </row>
    <row r="78" spans="1:11" x14ac:dyDescent="0.2">
      <c r="A78" s="23"/>
      <c r="B78" s="125"/>
      <c r="C78" s="125"/>
      <c r="D78" s="23"/>
      <c r="E78" s="23"/>
      <c r="F78" s="16"/>
      <c r="G78" s="16"/>
      <c r="H78" s="16"/>
      <c r="I78" s="16"/>
      <c r="J78" s="16"/>
      <c r="K78" s="16"/>
    </row>
    <row r="79" spans="1:11" x14ac:dyDescent="0.2">
      <c r="F79" s="16"/>
      <c r="G79" s="16"/>
      <c r="H79" s="16"/>
      <c r="I79" s="16"/>
      <c r="J79" s="16"/>
      <c r="K79" s="16"/>
    </row>
    <row r="80" spans="1:11" ht="15.75" x14ac:dyDescent="0.25">
      <c r="A80" s="1"/>
      <c r="B80" s="12" t="s">
        <v>1418</v>
      </c>
      <c r="F80" s="16"/>
      <c r="G80" s="16"/>
      <c r="H80" s="16"/>
      <c r="I80" s="16"/>
      <c r="J80" s="16"/>
      <c r="K80" s="16"/>
    </row>
    <row r="81" spans="6:11" x14ac:dyDescent="0.2">
      <c r="F81" s="16"/>
      <c r="G81" s="16"/>
      <c r="H81" s="16"/>
      <c r="I81" s="16"/>
      <c r="J81" s="16"/>
      <c r="K81" s="16"/>
    </row>
    <row r="82" spans="6:11" x14ac:dyDescent="0.2">
      <c r="F82" s="16"/>
      <c r="G82" s="16"/>
      <c r="H82" s="16"/>
      <c r="I82" s="16"/>
      <c r="J82" s="16"/>
      <c r="K82" s="16"/>
    </row>
    <row r="83" spans="6:11" x14ac:dyDescent="0.2">
      <c r="G83" s="16"/>
      <c r="H83" s="16"/>
      <c r="I83" s="16"/>
      <c r="J83" s="16"/>
      <c r="K83" s="16"/>
    </row>
    <row r="84" spans="6:11" x14ac:dyDescent="0.2">
      <c r="G84" s="16"/>
      <c r="H84" s="16"/>
      <c r="I84" s="16"/>
      <c r="J84" s="16"/>
      <c r="K84" s="16"/>
    </row>
    <row r="85" spans="6:11" x14ac:dyDescent="0.2">
      <c r="G85" s="16"/>
      <c r="H85" s="16"/>
      <c r="I85" s="16"/>
      <c r="J85" s="16"/>
      <c r="K85" s="16"/>
    </row>
    <row r="86" spans="6:11" x14ac:dyDescent="0.2">
      <c r="G86" s="16"/>
      <c r="H86" s="16"/>
      <c r="I86" s="16"/>
      <c r="J86" s="16"/>
      <c r="K86" s="16"/>
    </row>
    <row r="87" spans="6:11" x14ac:dyDescent="0.2">
      <c r="G87" s="16"/>
      <c r="H87" s="16"/>
      <c r="I87" s="16"/>
      <c r="J87" s="16"/>
      <c r="K87" s="16"/>
    </row>
    <row r="88" spans="6:11" x14ac:dyDescent="0.2">
      <c r="G88" s="16"/>
      <c r="H88" s="16"/>
      <c r="I88" s="16"/>
      <c r="J88" s="16"/>
      <c r="K88" s="16"/>
    </row>
    <row r="89" spans="6:11" x14ac:dyDescent="0.2">
      <c r="F89" s="16"/>
      <c r="G89" s="16"/>
      <c r="H89" s="16"/>
      <c r="I89" s="16"/>
      <c r="J89" s="16"/>
      <c r="K89" s="16"/>
    </row>
    <row r="90" spans="6:11" x14ac:dyDescent="0.2">
      <c r="F90" s="16"/>
      <c r="G90" s="16"/>
      <c r="H90" s="16"/>
      <c r="I90" s="16"/>
      <c r="J90" s="16"/>
      <c r="K90" s="16"/>
    </row>
    <row r="91" spans="6:11" x14ac:dyDescent="0.2">
      <c r="F91" s="16"/>
      <c r="G91" s="16"/>
      <c r="H91" s="16"/>
      <c r="I91" s="16"/>
      <c r="J91" s="16"/>
      <c r="K91" s="16"/>
    </row>
    <row r="92" spans="6:11" x14ac:dyDescent="0.2">
      <c r="F92" s="16"/>
      <c r="G92" s="16"/>
      <c r="H92" s="16"/>
      <c r="I92" s="16"/>
      <c r="J92" s="16"/>
      <c r="K92" s="16"/>
    </row>
    <row r="93" spans="6:11" x14ac:dyDescent="0.2">
      <c r="F93" s="16"/>
      <c r="G93" s="16"/>
      <c r="H93" s="16"/>
      <c r="I93" s="16"/>
      <c r="J93" s="16"/>
      <c r="K93" s="16"/>
    </row>
    <row r="94" spans="6:11" x14ac:dyDescent="0.2">
      <c r="F94" s="16"/>
      <c r="G94" s="16"/>
      <c r="H94" s="16"/>
      <c r="I94" s="16"/>
      <c r="J94" s="16"/>
      <c r="K94" s="16"/>
    </row>
    <row r="95" spans="6:11" x14ac:dyDescent="0.2">
      <c r="F95" s="16"/>
      <c r="G95" s="16"/>
      <c r="H95" s="16"/>
      <c r="I95" s="16"/>
      <c r="J95" s="16"/>
      <c r="K95" s="16"/>
    </row>
    <row r="96" spans="6:11" x14ac:dyDescent="0.2">
      <c r="F96" s="16"/>
      <c r="G96" s="16"/>
      <c r="H96" s="16"/>
      <c r="I96" s="16"/>
      <c r="J96" s="16"/>
      <c r="K96" s="16"/>
    </row>
    <row r="97" spans="6:11" x14ac:dyDescent="0.2">
      <c r="F97" s="16"/>
      <c r="G97" s="16"/>
      <c r="H97" s="16"/>
      <c r="I97" s="16"/>
      <c r="J97" s="16"/>
      <c r="K97" s="16"/>
    </row>
    <row r="98" spans="6:11" x14ac:dyDescent="0.2">
      <c r="F98" s="16"/>
      <c r="G98" s="16"/>
      <c r="H98" s="16"/>
      <c r="I98" s="16"/>
      <c r="J98" s="16"/>
      <c r="K98" s="16"/>
    </row>
    <row r="99" spans="6:11" x14ac:dyDescent="0.2">
      <c r="F99" s="16"/>
      <c r="G99" s="16"/>
      <c r="H99" s="16"/>
      <c r="I99" s="16"/>
      <c r="J99" s="16"/>
      <c r="K99" s="16"/>
    </row>
    <row r="100" spans="6:11" x14ac:dyDescent="0.2">
      <c r="F100" s="16"/>
      <c r="G100" s="16"/>
      <c r="H100" s="16"/>
      <c r="I100" s="16"/>
      <c r="J100" s="16"/>
      <c r="K100" s="16"/>
    </row>
    <row r="101" spans="6:11" x14ac:dyDescent="0.2">
      <c r="F101" s="16"/>
      <c r="G101" s="16"/>
      <c r="H101" s="16"/>
      <c r="I101" s="16"/>
      <c r="J101" s="16"/>
      <c r="K101" s="16"/>
    </row>
    <row r="102" spans="6:11" x14ac:dyDescent="0.2">
      <c r="F102" s="16"/>
      <c r="G102" s="16"/>
      <c r="H102" s="16"/>
      <c r="I102" s="16"/>
      <c r="J102" s="16"/>
      <c r="K102" s="16"/>
    </row>
  </sheetData>
  <sheetProtection sheet="1" objects="1" scenarios="1" selectLockedCells="1"/>
  <phoneticPr fontId="1" type="noConversion"/>
  <printOptions gridLines="1"/>
  <pageMargins left="0.75" right="0.75" top="1" bottom="1" header="0.5" footer="0.5"/>
  <pageSetup orientation="portrait" horizont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27"/>
  <sheetViews>
    <sheetView workbookViewId="0">
      <selection activeCell="I1" sqref="I1"/>
    </sheetView>
  </sheetViews>
  <sheetFormatPr defaultColWidth="8.7109375" defaultRowHeight="15" x14ac:dyDescent="0.2"/>
  <cols>
    <col min="1" max="1" width="41.28515625" style="28" customWidth="1"/>
    <col min="2" max="2" width="25" style="27" customWidth="1"/>
    <col min="3" max="3" width="9.140625" style="27"/>
    <col min="4" max="9" width="8.7109375" style="12"/>
    <col min="10" max="10" width="9.5703125" style="12" customWidth="1"/>
    <col min="11" max="11" width="9" style="12" bestFit="1" customWidth="1"/>
    <col min="12" max="12" width="8.7109375" style="12"/>
    <col min="13" max="13" width="19" style="12" customWidth="1"/>
    <col min="14" max="16" width="8.7109375" style="12"/>
    <col min="17" max="17" width="8.85546875" style="12" bestFit="1" customWidth="1"/>
    <col min="18" max="18" width="5" style="12" customWidth="1"/>
    <col min="19" max="19" width="17.28515625" style="12" customWidth="1"/>
    <col min="20" max="16384" width="8.7109375" style="12"/>
  </cols>
  <sheetData>
    <row r="1" spans="1:21" ht="18" x14ac:dyDescent="0.25">
      <c r="A1" s="7" t="s">
        <v>805</v>
      </c>
      <c r="B1" s="12"/>
      <c r="C1" s="1"/>
      <c r="D1" s="15"/>
      <c r="E1" s="5" t="s">
        <v>1071</v>
      </c>
      <c r="F1" s="16"/>
      <c r="G1" s="16"/>
      <c r="H1" s="16"/>
      <c r="I1" s="16"/>
      <c r="J1" s="16"/>
      <c r="K1" s="16"/>
      <c r="L1" s="16"/>
      <c r="M1" s="16"/>
      <c r="N1" s="16"/>
      <c r="O1" s="16"/>
      <c r="P1" s="16"/>
      <c r="Q1" s="16"/>
      <c r="R1" s="16"/>
      <c r="S1" s="16"/>
      <c r="T1" s="16"/>
      <c r="U1" s="16"/>
    </row>
    <row r="2" spans="1:21" x14ac:dyDescent="0.2">
      <c r="A2" s="17"/>
      <c r="B2" s="12"/>
      <c r="C2" s="12"/>
      <c r="F2" s="16"/>
      <c r="G2" s="16"/>
      <c r="H2" s="16"/>
      <c r="I2" s="16"/>
      <c r="J2" s="16"/>
      <c r="K2" s="16"/>
      <c r="L2" s="16"/>
      <c r="M2" s="16"/>
      <c r="N2" s="16"/>
      <c r="O2" s="16"/>
      <c r="P2" s="16"/>
      <c r="Q2" s="16"/>
      <c r="R2" s="16"/>
      <c r="S2" s="16"/>
      <c r="T2" s="16"/>
      <c r="U2" s="16"/>
    </row>
    <row r="3" spans="1:21" ht="15.75" thickBot="1" x14ac:dyDescent="0.25">
      <c r="F3" s="16"/>
      <c r="G3" s="16"/>
      <c r="H3" s="16"/>
      <c r="I3" s="16"/>
      <c r="J3" s="16"/>
      <c r="K3" s="16"/>
      <c r="L3" s="16"/>
      <c r="M3" s="16"/>
      <c r="N3" s="16"/>
      <c r="O3" s="16"/>
      <c r="P3" s="16"/>
      <c r="Q3" s="16"/>
      <c r="R3" s="16"/>
      <c r="S3" s="16"/>
    </row>
    <row r="4" spans="1:21" ht="15.75" x14ac:dyDescent="0.25">
      <c r="A4" s="102" t="s">
        <v>1068</v>
      </c>
      <c r="F4" s="16"/>
      <c r="G4" s="16"/>
      <c r="H4" s="16"/>
      <c r="I4" s="16"/>
      <c r="J4" s="16"/>
      <c r="K4" s="16"/>
      <c r="L4" s="16"/>
      <c r="M4" s="16"/>
      <c r="N4" s="16"/>
      <c r="O4" s="16"/>
      <c r="P4" s="16"/>
      <c r="Q4" s="16"/>
      <c r="R4" s="16"/>
      <c r="S4" s="16"/>
    </row>
    <row r="5" spans="1:21" ht="15.75" x14ac:dyDescent="0.25">
      <c r="A5" s="103" t="s">
        <v>1069</v>
      </c>
      <c r="F5" s="16"/>
      <c r="G5" s="16"/>
      <c r="H5" s="16"/>
      <c r="I5" s="16"/>
      <c r="J5" s="16"/>
      <c r="K5" s="16"/>
      <c r="L5" s="16"/>
      <c r="M5" s="16"/>
      <c r="N5" s="16"/>
      <c r="O5" s="16"/>
      <c r="P5" s="16"/>
      <c r="Q5" s="16"/>
      <c r="R5" s="16"/>
      <c r="S5" s="16"/>
    </row>
    <row r="6" spans="1:21" ht="15.75" x14ac:dyDescent="0.25">
      <c r="A6" s="103" t="s">
        <v>1070</v>
      </c>
      <c r="F6" s="16"/>
      <c r="G6" s="16"/>
      <c r="H6" s="16"/>
      <c r="I6" s="16"/>
      <c r="J6" s="16"/>
      <c r="K6" s="16"/>
      <c r="L6" s="16"/>
      <c r="Q6" s="16"/>
      <c r="R6" s="16"/>
      <c r="S6" s="16"/>
    </row>
    <row r="7" spans="1:21" ht="15.75" x14ac:dyDescent="0.25">
      <c r="A7" s="104" t="s">
        <v>1422</v>
      </c>
      <c r="F7" s="16"/>
      <c r="G7" s="16"/>
      <c r="H7" s="16"/>
      <c r="I7" s="16"/>
      <c r="J7" s="16"/>
      <c r="K7" s="16"/>
      <c r="L7" s="16"/>
      <c r="Q7" s="16"/>
      <c r="R7" s="16"/>
    </row>
    <row r="8" spans="1:21" ht="16.5" thickBot="1" x14ac:dyDescent="0.3">
      <c r="A8" s="105" t="s">
        <v>1424</v>
      </c>
      <c r="F8" s="16"/>
      <c r="G8" s="16"/>
      <c r="H8" s="16"/>
      <c r="I8" s="16"/>
      <c r="J8" s="16"/>
      <c r="K8" s="16"/>
      <c r="L8" s="16"/>
      <c r="Q8" s="16"/>
      <c r="R8" s="16"/>
    </row>
    <row r="9" spans="1:21" x14ac:dyDescent="0.2">
      <c r="F9" s="16"/>
      <c r="G9" s="16"/>
      <c r="H9" s="16"/>
      <c r="I9" s="16"/>
      <c r="J9" s="16"/>
      <c r="K9" s="16"/>
      <c r="L9" s="16"/>
      <c r="Q9" s="16"/>
      <c r="R9" s="16"/>
    </row>
    <row r="10" spans="1:21" ht="15.75" x14ac:dyDescent="0.25">
      <c r="A10" s="1" t="s">
        <v>1071</v>
      </c>
      <c r="F10" s="16"/>
      <c r="G10" s="16"/>
      <c r="H10" s="16"/>
      <c r="I10" s="16"/>
      <c r="J10" s="16"/>
      <c r="K10" s="16"/>
      <c r="L10" s="16"/>
      <c r="Q10" s="16"/>
      <c r="R10" s="16"/>
    </row>
    <row r="11" spans="1:21" x14ac:dyDescent="0.2">
      <c r="A11" s="22"/>
      <c r="F11" s="16"/>
      <c r="G11" s="16"/>
      <c r="H11" s="16"/>
      <c r="I11" s="16"/>
      <c r="J11" s="16"/>
      <c r="K11" s="16"/>
      <c r="L11" s="16"/>
      <c r="Q11" s="16"/>
      <c r="R11" s="16"/>
    </row>
    <row r="12" spans="1:21" x14ac:dyDescent="0.2">
      <c r="A12" s="22"/>
      <c r="F12" s="16"/>
      <c r="G12" s="16"/>
      <c r="H12" s="16"/>
      <c r="I12" s="16"/>
      <c r="J12" s="16"/>
      <c r="K12" s="16"/>
      <c r="L12" s="16"/>
      <c r="Q12" s="16"/>
      <c r="R12" s="16"/>
    </row>
    <row r="13" spans="1:21" x14ac:dyDescent="0.2">
      <c r="A13" s="22"/>
      <c r="F13" s="16"/>
      <c r="G13" s="16"/>
      <c r="H13" s="16"/>
      <c r="I13" s="16"/>
      <c r="J13" s="16"/>
      <c r="K13" s="16"/>
      <c r="L13" s="16"/>
      <c r="Q13" s="16"/>
      <c r="R13" s="16"/>
    </row>
    <row r="14" spans="1:21" x14ac:dyDescent="0.2">
      <c r="A14" s="22"/>
      <c r="F14" s="16"/>
      <c r="G14" s="16"/>
      <c r="H14" s="16"/>
      <c r="I14" s="16"/>
      <c r="J14" s="16"/>
      <c r="K14" s="16"/>
      <c r="L14" s="16"/>
      <c r="Q14" s="16"/>
      <c r="R14" s="16"/>
    </row>
    <row r="15" spans="1:21" x14ac:dyDescent="0.2">
      <c r="A15" s="22"/>
      <c r="F15" s="16"/>
      <c r="G15" s="16"/>
      <c r="H15" s="16"/>
      <c r="I15" s="16"/>
      <c r="J15" s="16"/>
      <c r="K15" s="16"/>
      <c r="L15" s="16"/>
      <c r="Q15" s="16"/>
      <c r="R15" s="16"/>
    </row>
    <row r="16" spans="1:21" x14ac:dyDescent="0.2">
      <c r="A16" s="22"/>
      <c r="F16" s="16"/>
      <c r="G16" s="16"/>
      <c r="H16" s="16"/>
      <c r="I16" s="16"/>
      <c r="J16" s="16"/>
      <c r="K16" s="16"/>
      <c r="L16" s="16"/>
      <c r="Q16" s="16"/>
      <c r="R16" s="16"/>
    </row>
    <row r="17" spans="1:18" x14ac:dyDescent="0.2">
      <c r="A17" s="22"/>
      <c r="F17" s="16"/>
      <c r="G17" s="16"/>
      <c r="H17" s="16"/>
      <c r="I17" s="16"/>
      <c r="J17" s="16"/>
      <c r="K17" s="16"/>
      <c r="L17" s="16"/>
      <c r="Q17" s="16"/>
      <c r="R17" s="16"/>
    </row>
    <row r="18" spans="1:18" x14ac:dyDescent="0.2">
      <c r="A18" s="22"/>
      <c r="F18" s="16"/>
      <c r="G18" s="16"/>
      <c r="H18" s="16"/>
      <c r="I18" s="16"/>
      <c r="J18" s="16"/>
      <c r="K18" s="16"/>
      <c r="L18" s="16"/>
      <c r="Q18" s="16"/>
      <c r="R18" s="16"/>
    </row>
    <row r="19" spans="1:18" x14ac:dyDescent="0.2">
      <c r="F19" s="16"/>
      <c r="G19" s="16"/>
      <c r="H19" s="16"/>
      <c r="I19" s="16"/>
      <c r="J19" s="16"/>
      <c r="K19" s="16"/>
      <c r="L19" s="16"/>
      <c r="Q19" s="16"/>
      <c r="R19" s="16"/>
    </row>
    <row r="20" spans="1:18" x14ac:dyDescent="0.2">
      <c r="F20" s="16"/>
      <c r="G20" s="16"/>
      <c r="H20" s="16"/>
      <c r="I20" s="16"/>
      <c r="J20" s="16"/>
      <c r="K20" s="16"/>
      <c r="L20" s="16"/>
      <c r="Q20" s="16"/>
      <c r="R20" s="16"/>
    </row>
    <row r="21" spans="1:18" x14ac:dyDescent="0.2">
      <c r="F21" s="16"/>
      <c r="G21" s="16"/>
      <c r="H21" s="16"/>
      <c r="I21" s="16"/>
      <c r="J21" s="16"/>
      <c r="K21" s="16"/>
      <c r="L21" s="16"/>
      <c r="Q21" s="16"/>
      <c r="R21" s="16"/>
    </row>
    <row r="22" spans="1:18" ht="16.5" thickBot="1" x14ac:dyDescent="0.3">
      <c r="A22" s="1" t="s">
        <v>1108</v>
      </c>
      <c r="B22" s="30" t="s">
        <v>109</v>
      </c>
      <c r="F22" s="16"/>
      <c r="G22" s="1" t="s">
        <v>1108</v>
      </c>
      <c r="K22" s="30" t="s">
        <v>109</v>
      </c>
      <c r="L22" s="27"/>
      <c r="Q22" s="16"/>
      <c r="R22" s="16"/>
    </row>
    <row r="23" spans="1:18" x14ac:dyDescent="0.2">
      <c r="A23" s="28" t="s">
        <v>970</v>
      </c>
      <c r="B23" s="31">
        <v>4</v>
      </c>
      <c r="C23" s="22" t="s">
        <v>1078</v>
      </c>
      <c r="F23" s="16"/>
      <c r="J23" s="28" t="s">
        <v>1377</v>
      </c>
      <c r="K23" s="31">
        <v>4.1479999999999997</v>
      </c>
      <c r="L23" s="22" t="s">
        <v>1078</v>
      </c>
      <c r="Q23" s="16"/>
      <c r="R23" s="16"/>
    </row>
    <row r="24" spans="1:18" x14ac:dyDescent="0.2">
      <c r="A24" s="28" t="s">
        <v>971</v>
      </c>
      <c r="B24" s="32">
        <v>6</v>
      </c>
      <c r="C24" s="22" t="s">
        <v>1078</v>
      </c>
      <c r="F24" s="16"/>
      <c r="J24" s="28" t="s">
        <v>1378</v>
      </c>
      <c r="K24" s="32">
        <v>12.099</v>
      </c>
      <c r="L24" s="22" t="s">
        <v>1078</v>
      </c>
      <c r="Q24" s="16"/>
      <c r="R24" s="16"/>
    </row>
    <row r="25" spans="1:18" ht="15.75" thickBot="1" x14ac:dyDescent="0.25">
      <c r="A25" s="28" t="s">
        <v>382</v>
      </c>
      <c r="B25" s="54">
        <v>14</v>
      </c>
      <c r="C25" s="22" t="s">
        <v>1078</v>
      </c>
      <c r="F25" s="16"/>
      <c r="J25" s="28" t="s">
        <v>382</v>
      </c>
      <c r="K25" s="54">
        <v>13</v>
      </c>
      <c r="L25" s="22" t="s">
        <v>1078</v>
      </c>
      <c r="Q25" s="16"/>
      <c r="R25" s="16"/>
    </row>
    <row r="26" spans="1:18" ht="15.75" x14ac:dyDescent="0.25">
      <c r="B26" s="30" t="s">
        <v>876</v>
      </c>
      <c r="F26" s="16"/>
      <c r="J26" s="28"/>
      <c r="K26" s="30" t="s">
        <v>876</v>
      </c>
      <c r="L26" s="27"/>
      <c r="Q26" s="16"/>
      <c r="R26" s="16"/>
    </row>
    <row r="27" spans="1:18" ht="15.75" x14ac:dyDescent="0.25">
      <c r="A27" s="2" t="s">
        <v>378</v>
      </c>
      <c r="B27" s="5" t="s">
        <v>379</v>
      </c>
      <c r="C27" s="5"/>
      <c r="F27" s="16"/>
      <c r="J27" s="2" t="s">
        <v>378</v>
      </c>
      <c r="K27" s="5" t="s">
        <v>379</v>
      </c>
      <c r="L27" s="5"/>
      <c r="Q27" s="16"/>
      <c r="R27" s="16"/>
    </row>
    <row r="28" spans="1:18" ht="15.75" x14ac:dyDescent="0.25">
      <c r="A28" s="2" t="s">
        <v>378</v>
      </c>
      <c r="B28" s="51">
        <f>(B24-B23)/B25</f>
        <v>0.14285714285714285</v>
      </c>
      <c r="C28" s="5"/>
      <c r="F28" s="16"/>
      <c r="J28" s="2" t="s">
        <v>378</v>
      </c>
      <c r="K28" s="51">
        <f>(K24-K23)/K25</f>
        <v>0.61161538461538467</v>
      </c>
      <c r="L28" s="5"/>
      <c r="Q28" s="16"/>
      <c r="R28" s="16"/>
    </row>
    <row r="29" spans="1:18" ht="15.75" x14ac:dyDescent="0.25">
      <c r="A29" s="2" t="s">
        <v>380</v>
      </c>
      <c r="B29" s="51">
        <f>ASIN(B28)</f>
        <v>0.14334756890536535</v>
      </c>
      <c r="C29" s="1" t="s">
        <v>381</v>
      </c>
      <c r="F29" s="16"/>
      <c r="J29" s="2" t="s">
        <v>380</v>
      </c>
      <c r="K29" s="51">
        <f>ASIN(K28)</f>
        <v>0.65810078828283347</v>
      </c>
      <c r="L29" s="1" t="s">
        <v>381</v>
      </c>
      <c r="Q29" s="16"/>
      <c r="R29" s="16"/>
    </row>
    <row r="30" spans="1:18" ht="15.75" x14ac:dyDescent="0.25">
      <c r="A30" s="2" t="s">
        <v>380</v>
      </c>
      <c r="B30" s="37">
        <f>B29*57.2958</f>
        <v>8.2132136384880319</v>
      </c>
      <c r="C30" s="1" t="s">
        <v>1083</v>
      </c>
      <c r="F30" s="16"/>
      <c r="J30" s="2" t="s">
        <v>380</v>
      </c>
      <c r="K30" s="37">
        <f>K29*57.2958</f>
        <v>37.706411145295569</v>
      </c>
      <c r="L30" s="1" t="s">
        <v>1083</v>
      </c>
      <c r="Q30" s="16"/>
      <c r="R30" s="16"/>
    </row>
    <row r="31" spans="1:18" x14ac:dyDescent="0.2">
      <c r="Q31" s="16"/>
      <c r="R31" s="16"/>
    </row>
    <row r="32" spans="1:18" x14ac:dyDescent="0.2">
      <c r="A32" s="124"/>
      <c r="B32" s="125"/>
      <c r="C32" s="125"/>
      <c r="D32" s="23"/>
      <c r="E32" s="23"/>
      <c r="F32" s="16"/>
      <c r="G32" s="124"/>
      <c r="H32" s="125"/>
      <c r="I32" s="125"/>
      <c r="J32" s="23"/>
      <c r="K32" s="23"/>
      <c r="L32" s="124"/>
      <c r="M32" s="125"/>
      <c r="N32" s="125"/>
      <c r="O32" s="23"/>
      <c r="P32" s="23"/>
      <c r="Q32" s="16"/>
      <c r="R32" s="16"/>
    </row>
    <row r="33" spans="5:18" x14ac:dyDescent="0.2">
      <c r="F33" s="16"/>
      <c r="G33" s="16"/>
      <c r="H33" s="16"/>
      <c r="I33" s="16"/>
      <c r="J33" s="16"/>
      <c r="K33" s="16"/>
      <c r="L33" s="16"/>
      <c r="Q33" s="16"/>
      <c r="R33" s="16"/>
    </row>
    <row r="34" spans="5:18" x14ac:dyDescent="0.2">
      <c r="E34" s="16"/>
      <c r="F34" s="16"/>
      <c r="G34" s="16"/>
      <c r="H34" s="16"/>
      <c r="I34" s="16"/>
      <c r="J34" s="16"/>
      <c r="K34" s="16"/>
      <c r="L34" s="16"/>
      <c r="Q34" s="16"/>
      <c r="R34" s="16"/>
    </row>
    <row r="35" spans="5:18" x14ac:dyDescent="0.2">
      <c r="E35" s="16"/>
      <c r="F35" s="16"/>
      <c r="G35" s="16"/>
      <c r="H35" s="16"/>
      <c r="I35" s="16"/>
      <c r="J35" s="16"/>
      <c r="K35" s="16"/>
      <c r="L35" s="16"/>
      <c r="Q35" s="16"/>
      <c r="R35" s="16"/>
    </row>
    <row r="36" spans="5:18" x14ac:dyDescent="0.2">
      <c r="E36" s="16"/>
      <c r="F36" s="16"/>
      <c r="G36" s="16"/>
      <c r="H36" s="16"/>
      <c r="I36" s="16"/>
      <c r="J36" s="16"/>
      <c r="K36" s="16"/>
      <c r="L36" s="16"/>
      <c r="Q36" s="16"/>
      <c r="R36" s="16"/>
    </row>
    <row r="37" spans="5:18" x14ac:dyDescent="0.2">
      <c r="E37" s="16"/>
      <c r="F37" s="16"/>
      <c r="G37" s="16"/>
      <c r="H37" s="16"/>
      <c r="I37" s="16"/>
      <c r="J37" s="16"/>
      <c r="K37" s="16"/>
      <c r="L37" s="16"/>
      <c r="Q37" s="16"/>
      <c r="R37" s="16"/>
    </row>
    <row r="38" spans="5:18" x14ac:dyDescent="0.2">
      <c r="E38" s="16"/>
      <c r="F38" s="16"/>
      <c r="G38" s="16"/>
      <c r="H38" s="16"/>
      <c r="I38" s="16"/>
      <c r="J38" s="16"/>
      <c r="K38" s="16"/>
      <c r="L38" s="16"/>
      <c r="Q38" s="16"/>
      <c r="R38" s="16"/>
    </row>
    <row r="39" spans="5:18" x14ac:dyDescent="0.2">
      <c r="E39" s="16"/>
      <c r="F39" s="16"/>
      <c r="G39" s="16"/>
      <c r="H39" s="16"/>
      <c r="I39" s="16"/>
      <c r="J39" s="16"/>
      <c r="K39" s="16"/>
      <c r="L39" s="16"/>
      <c r="Q39" s="16"/>
      <c r="R39" s="16"/>
    </row>
    <row r="40" spans="5:18" x14ac:dyDescent="0.2">
      <c r="E40" s="16"/>
      <c r="F40" s="16"/>
      <c r="G40" s="16"/>
      <c r="H40" s="16"/>
      <c r="I40" s="16"/>
      <c r="J40" s="16"/>
      <c r="K40" s="16"/>
      <c r="L40" s="16"/>
      <c r="Q40" s="16"/>
      <c r="R40" s="16"/>
    </row>
    <row r="41" spans="5:18" x14ac:dyDescent="0.2">
      <c r="E41" s="16"/>
      <c r="F41" s="16"/>
      <c r="G41" s="16"/>
      <c r="H41" s="16"/>
      <c r="I41" s="16"/>
      <c r="J41" s="16"/>
      <c r="K41" s="16"/>
      <c r="L41" s="16"/>
      <c r="Q41" s="16"/>
      <c r="R41" s="16"/>
    </row>
    <row r="42" spans="5:18" x14ac:dyDescent="0.2">
      <c r="E42" s="16"/>
      <c r="F42" s="16"/>
      <c r="G42" s="16"/>
      <c r="H42" s="16"/>
      <c r="I42" s="16"/>
      <c r="J42" s="16"/>
      <c r="K42" s="16"/>
      <c r="L42" s="16"/>
      <c r="Q42" s="16"/>
      <c r="R42" s="16"/>
    </row>
    <row r="43" spans="5:18" x14ac:dyDescent="0.2">
      <c r="E43" s="16"/>
      <c r="F43" s="16"/>
      <c r="G43" s="16"/>
      <c r="H43" s="16"/>
      <c r="I43" s="16"/>
      <c r="J43" s="16"/>
      <c r="K43" s="16"/>
      <c r="L43" s="16"/>
      <c r="Q43" s="16"/>
      <c r="R43" s="16"/>
    </row>
    <row r="44" spans="5:18" x14ac:dyDescent="0.2">
      <c r="E44" s="16"/>
      <c r="F44" s="16"/>
      <c r="G44" s="16"/>
      <c r="H44" s="16"/>
      <c r="I44" s="16"/>
      <c r="J44" s="16"/>
      <c r="K44" s="16"/>
      <c r="L44" s="16"/>
      <c r="Q44" s="16"/>
      <c r="R44" s="16"/>
    </row>
    <row r="45" spans="5:18" x14ac:dyDescent="0.2">
      <c r="E45" s="16"/>
      <c r="F45" s="16"/>
      <c r="G45" s="16"/>
      <c r="H45" s="16"/>
      <c r="I45" s="16"/>
      <c r="J45" s="16"/>
      <c r="K45" s="16"/>
      <c r="L45" s="16"/>
      <c r="Q45" s="16"/>
      <c r="R45" s="16"/>
    </row>
    <row r="46" spans="5:18" x14ac:dyDescent="0.2">
      <c r="E46" s="16"/>
      <c r="F46" s="16"/>
      <c r="G46" s="16"/>
      <c r="H46" s="16"/>
      <c r="I46" s="16"/>
      <c r="J46" s="16"/>
      <c r="K46" s="16"/>
      <c r="L46" s="16"/>
      <c r="Q46" s="16"/>
      <c r="R46" s="16"/>
    </row>
    <row r="47" spans="5:18" x14ac:dyDescent="0.2">
      <c r="E47" s="16"/>
      <c r="F47" s="16"/>
      <c r="G47" s="16"/>
      <c r="H47" s="16"/>
      <c r="I47" s="16"/>
      <c r="J47" s="16"/>
      <c r="K47" s="16"/>
      <c r="L47" s="16"/>
      <c r="Q47" s="16"/>
      <c r="R47" s="16"/>
    </row>
    <row r="48" spans="5:18" x14ac:dyDescent="0.2">
      <c r="E48" s="16"/>
      <c r="F48" s="16"/>
      <c r="I48" s="16"/>
      <c r="J48" s="16"/>
      <c r="K48" s="16"/>
      <c r="L48" s="16"/>
      <c r="Q48" s="16"/>
      <c r="R48" s="16"/>
    </row>
    <row r="49" spans="1:18" x14ac:dyDescent="0.2">
      <c r="E49" s="16"/>
      <c r="F49" s="16"/>
      <c r="G49" s="16"/>
      <c r="H49" s="16"/>
      <c r="I49" s="16"/>
      <c r="J49" s="16"/>
      <c r="K49" s="16"/>
      <c r="L49" s="16"/>
      <c r="Q49" s="16"/>
      <c r="R49" s="16"/>
    </row>
    <row r="50" spans="1:18" x14ac:dyDescent="0.2">
      <c r="E50" s="16"/>
      <c r="F50" s="16"/>
      <c r="G50" s="16"/>
      <c r="H50" s="16"/>
      <c r="I50" s="16"/>
      <c r="J50" s="16"/>
      <c r="K50" s="16"/>
      <c r="L50" s="16"/>
      <c r="Q50" s="16"/>
      <c r="R50" s="16"/>
    </row>
    <row r="51" spans="1:18" x14ac:dyDescent="0.2">
      <c r="E51" s="16"/>
      <c r="F51" s="16"/>
      <c r="G51" s="16"/>
      <c r="H51" s="16"/>
      <c r="I51" s="16"/>
      <c r="J51" s="16"/>
      <c r="K51" s="16"/>
      <c r="L51" s="16"/>
      <c r="Q51" s="16"/>
      <c r="R51" s="16"/>
    </row>
    <row r="52" spans="1:18" x14ac:dyDescent="0.2">
      <c r="A52" s="49" t="s">
        <v>1362</v>
      </c>
      <c r="B52" s="16" t="s">
        <v>1363</v>
      </c>
      <c r="C52" s="16"/>
      <c r="D52" s="16"/>
      <c r="E52" s="16"/>
      <c r="G52" s="16"/>
      <c r="H52" s="16"/>
      <c r="I52" s="16"/>
      <c r="J52" s="49" t="s">
        <v>1362</v>
      </c>
      <c r="K52" s="16" t="s">
        <v>1363</v>
      </c>
      <c r="L52" s="16"/>
      <c r="M52" s="16"/>
      <c r="N52" s="16"/>
      <c r="Q52" s="16"/>
      <c r="R52" s="16"/>
    </row>
    <row r="53" spans="1:18" x14ac:dyDescent="0.2">
      <c r="E53" s="16"/>
      <c r="F53" s="16"/>
      <c r="G53" s="16"/>
      <c r="H53" s="16"/>
      <c r="I53" s="16"/>
      <c r="J53" s="16"/>
      <c r="K53" s="16"/>
      <c r="L53" s="16"/>
      <c r="Q53" s="16"/>
      <c r="R53" s="16"/>
    </row>
    <row r="54" spans="1:18" ht="16.5" thickBot="1" x14ac:dyDescent="0.3">
      <c r="A54" s="1" t="s">
        <v>1107</v>
      </c>
      <c r="B54" s="30" t="s">
        <v>109</v>
      </c>
      <c r="E54" s="16"/>
      <c r="F54" s="16"/>
      <c r="G54" s="1" t="s">
        <v>1369</v>
      </c>
      <c r="K54" s="30" t="s">
        <v>109</v>
      </c>
      <c r="L54" s="27"/>
      <c r="Q54" s="16"/>
      <c r="R54" s="16"/>
    </row>
    <row r="55" spans="1:18" x14ac:dyDescent="0.2">
      <c r="A55" s="28" t="s">
        <v>383</v>
      </c>
      <c r="B55" s="31">
        <v>30</v>
      </c>
      <c r="C55" s="27" t="s">
        <v>1087</v>
      </c>
      <c r="E55" s="16"/>
      <c r="F55" s="16"/>
      <c r="J55" s="28" t="s">
        <v>383</v>
      </c>
      <c r="K55" s="31">
        <v>10</v>
      </c>
      <c r="L55" s="27" t="s">
        <v>1087</v>
      </c>
      <c r="Q55" s="16"/>
      <c r="R55" s="16"/>
    </row>
    <row r="56" spans="1:18" x14ac:dyDescent="0.2">
      <c r="A56" s="28" t="s">
        <v>411</v>
      </c>
      <c r="B56" s="32">
        <v>1750</v>
      </c>
      <c r="C56" s="27" t="s">
        <v>1086</v>
      </c>
      <c r="E56" s="16"/>
      <c r="F56" s="16"/>
      <c r="J56" s="28" t="s">
        <v>411</v>
      </c>
      <c r="K56" s="32">
        <v>1750</v>
      </c>
      <c r="L56" s="27" t="s">
        <v>1086</v>
      </c>
      <c r="Q56" s="16"/>
      <c r="R56" s="16"/>
    </row>
    <row r="57" spans="1:18" ht="15.75" x14ac:dyDescent="0.25">
      <c r="A57" s="28" t="s">
        <v>384</v>
      </c>
      <c r="B57" s="32">
        <v>4</v>
      </c>
      <c r="C57" s="27" t="s">
        <v>1078</v>
      </c>
      <c r="E57" s="13" t="s">
        <v>1071</v>
      </c>
      <c r="F57" s="16"/>
      <c r="J57" s="28" t="s">
        <v>1360</v>
      </c>
      <c r="K57" s="32">
        <v>4.1479999999999997</v>
      </c>
      <c r="L57" s="27" t="s">
        <v>1078</v>
      </c>
      <c r="Q57" s="16"/>
      <c r="R57" s="16"/>
    </row>
    <row r="58" spans="1:18" x14ac:dyDescent="0.2">
      <c r="A58" s="28" t="s">
        <v>966</v>
      </c>
      <c r="B58" s="32">
        <v>6</v>
      </c>
      <c r="C58" s="27" t="s">
        <v>1078</v>
      </c>
      <c r="E58" s="16"/>
      <c r="F58" s="16"/>
      <c r="J58" s="28" t="s">
        <v>1361</v>
      </c>
      <c r="K58" s="32">
        <v>12.099</v>
      </c>
      <c r="L58" s="27" t="s">
        <v>1078</v>
      </c>
      <c r="Q58" s="16"/>
      <c r="R58" s="16"/>
    </row>
    <row r="59" spans="1:18" ht="15.75" thickBot="1" x14ac:dyDescent="0.25">
      <c r="A59" s="28" t="s">
        <v>382</v>
      </c>
      <c r="B59" s="32">
        <v>24</v>
      </c>
      <c r="C59" s="27" t="s">
        <v>1078</v>
      </c>
      <c r="E59" s="16"/>
      <c r="F59" s="16"/>
      <c r="J59" s="28" t="s">
        <v>382</v>
      </c>
      <c r="K59" s="54">
        <v>13</v>
      </c>
      <c r="L59" s="27" t="s">
        <v>1078</v>
      </c>
      <c r="Q59" s="16"/>
      <c r="R59" s="16"/>
    </row>
    <row r="60" spans="1:18" ht="15.75" x14ac:dyDescent="0.25">
      <c r="A60" s="28" t="s">
        <v>881</v>
      </c>
      <c r="B60" s="32">
        <v>40</v>
      </c>
      <c r="C60" s="27" t="s">
        <v>385</v>
      </c>
      <c r="E60" s="16"/>
      <c r="F60" s="16"/>
      <c r="J60" s="28"/>
      <c r="K60" s="30" t="s">
        <v>876</v>
      </c>
      <c r="L60" s="27"/>
      <c r="Q60" s="16"/>
      <c r="R60" s="16"/>
    </row>
    <row r="61" spans="1:18" x14ac:dyDescent="0.2">
      <c r="A61" s="28" t="s">
        <v>386</v>
      </c>
      <c r="B61" s="32">
        <v>0.2</v>
      </c>
      <c r="C61" s="27" t="s">
        <v>1284</v>
      </c>
      <c r="E61" s="16"/>
      <c r="F61" s="16"/>
      <c r="J61" s="28" t="s">
        <v>1367</v>
      </c>
      <c r="K61" s="58" t="s">
        <v>1380</v>
      </c>
      <c r="L61" s="27"/>
      <c r="Q61" s="16"/>
      <c r="R61" s="16"/>
    </row>
    <row r="62" spans="1:18" x14ac:dyDescent="0.2">
      <c r="A62" s="28" t="s">
        <v>387</v>
      </c>
      <c r="B62" s="32">
        <v>0.2</v>
      </c>
      <c r="C62" s="27" t="s">
        <v>1284</v>
      </c>
      <c r="E62" s="16"/>
      <c r="F62" s="16"/>
      <c r="J62" s="28" t="s">
        <v>748</v>
      </c>
      <c r="K62" s="128">
        <f>0.65*K55*5252/K56</f>
        <v>19.507428571428573</v>
      </c>
      <c r="L62" s="27" t="s">
        <v>1364</v>
      </c>
      <c r="Q62" s="16"/>
      <c r="R62" s="16"/>
    </row>
    <row r="63" spans="1:18" x14ac:dyDescent="0.2">
      <c r="A63" s="28" t="s">
        <v>389</v>
      </c>
      <c r="B63" s="32">
        <v>0.75</v>
      </c>
      <c r="C63" s="27" t="s">
        <v>1078</v>
      </c>
      <c r="E63" s="16"/>
      <c r="F63" s="16"/>
      <c r="J63" s="28" t="s">
        <v>1366</v>
      </c>
      <c r="K63" s="58" t="s">
        <v>1376</v>
      </c>
      <c r="L63" s="27"/>
      <c r="Q63" s="16"/>
      <c r="R63" s="16"/>
    </row>
    <row r="64" spans="1:18" x14ac:dyDescent="0.2">
      <c r="A64" s="28" t="s">
        <v>388</v>
      </c>
      <c r="B64" s="32">
        <v>1.5</v>
      </c>
      <c r="C64" s="27" t="s">
        <v>1078</v>
      </c>
      <c r="E64" s="16"/>
      <c r="F64" s="16"/>
      <c r="J64" s="28" t="s">
        <v>748</v>
      </c>
      <c r="K64" s="64">
        <f>(K57/12)/2</f>
        <v>0.17283333333333331</v>
      </c>
      <c r="L64" s="27" t="s">
        <v>1379</v>
      </c>
      <c r="Q64" s="16"/>
      <c r="R64" s="16"/>
    </row>
    <row r="65" spans="1:18" ht="15.75" thickBot="1" x14ac:dyDescent="0.25">
      <c r="A65" s="28" t="s">
        <v>390</v>
      </c>
      <c r="B65" s="32">
        <v>1</v>
      </c>
      <c r="C65" s="27" t="s">
        <v>1078</v>
      </c>
      <c r="E65" s="16"/>
      <c r="F65" s="16"/>
      <c r="J65" s="28" t="s">
        <v>1365</v>
      </c>
      <c r="K65" s="58" t="s">
        <v>1368</v>
      </c>
      <c r="L65" s="27"/>
      <c r="Q65" s="16"/>
      <c r="R65" s="16"/>
    </row>
    <row r="66" spans="1:18" ht="15.75" thickBot="1" x14ac:dyDescent="0.25">
      <c r="A66" s="28" t="s">
        <v>391</v>
      </c>
      <c r="B66" s="32">
        <v>0.04</v>
      </c>
      <c r="C66" s="27" t="s">
        <v>392</v>
      </c>
      <c r="E66" s="16"/>
      <c r="F66" s="16"/>
      <c r="J66" s="28" t="s">
        <v>748</v>
      </c>
      <c r="K66" s="147">
        <f>K62/K64</f>
        <v>112.8684391789503</v>
      </c>
      <c r="L66" s="27" t="s">
        <v>436</v>
      </c>
      <c r="Q66" s="16"/>
      <c r="R66" s="16"/>
    </row>
    <row r="67" spans="1:18" ht="15.75" thickBot="1" x14ac:dyDescent="0.25">
      <c r="A67" s="28" t="s">
        <v>967</v>
      </c>
      <c r="B67" s="54">
        <v>200</v>
      </c>
      <c r="C67" s="27" t="s">
        <v>1100</v>
      </c>
      <c r="E67" s="16"/>
      <c r="F67" s="16"/>
      <c r="J67" s="28" t="s">
        <v>1385</v>
      </c>
      <c r="K67" s="27">
        <v>0.65</v>
      </c>
      <c r="L67" s="27"/>
      <c r="Q67" s="16"/>
      <c r="R67" s="16"/>
    </row>
    <row r="68" spans="1:18" ht="15.75" x14ac:dyDescent="0.25">
      <c r="B68" s="30" t="s">
        <v>876</v>
      </c>
      <c r="E68" s="16"/>
      <c r="F68" s="16"/>
      <c r="J68" s="28" t="s">
        <v>1386</v>
      </c>
      <c r="K68" s="12" t="s">
        <v>1387</v>
      </c>
      <c r="L68" s="27"/>
      <c r="Q68" s="16"/>
      <c r="R68" s="16"/>
    </row>
    <row r="69" spans="1:18" ht="15.75" x14ac:dyDescent="0.25">
      <c r="A69" s="2" t="s">
        <v>394</v>
      </c>
      <c r="B69" s="5" t="s">
        <v>393</v>
      </c>
      <c r="C69" s="5"/>
      <c r="E69" s="16"/>
      <c r="F69" s="16"/>
      <c r="J69" s="2" t="s">
        <v>748</v>
      </c>
      <c r="K69" s="60">
        <f xml:space="preserve"> 0.65*K66</f>
        <v>73.364485466317689</v>
      </c>
      <c r="L69" s="5" t="s">
        <v>436</v>
      </c>
      <c r="M69" s="4"/>
      <c r="Q69" s="16"/>
      <c r="R69" s="16"/>
    </row>
    <row r="70" spans="1:18" ht="15.75" x14ac:dyDescent="0.25">
      <c r="A70" s="26" t="s">
        <v>748</v>
      </c>
      <c r="B70" s="3">
        <f>(B65*(B63+2*B64))/(3*(B63+B64))</f>
        <v>0.55555555555555558</v>
      </c>
      <c r="C70" s="5" t="s">
        <v>1078</v>
      </c>
      <c r="E70" s="16"/>
      <c r="F70" s="16"/>
      <c r="G70" s="16"/>
      <c r="H70" s="16"/>
      <c r="I70" s="16"/>
      <c r="J70" s="18" t="s">
        <v>1388</v>
      </c>
      <c r="K70" s="57">
        <v>80</v>
      </c>
      <c r="L70" s="19" t="s">
        <v>1389</v>
      </c>
      <c r="Q70" s="16"/>
      <c r="R70" s="16"/>
    </row>
    <row r="71" spans="1:18" ht="15.75" x14ac:dyDescent="0.25">
      <c r="A71" s="2" t="s">
        <v>968</v>
      </c>
      <c r="B71" s="5" t="s">
        <v>395</v>
      </c>
      <c r="C71" s="5" t="s">
        <v>1071</v>
      </c>
      <c r="E71" s="16"/>
      <c r="F71" s="16"/>
      <c r="G71" s="16"/>
      <c r="H71" s="16"/>
      <c r="I71" s="16"/>
      <c r="J71" s="16"/>
      <c r="K71" s="16"/>
      <c r="L71" s="16"/>
      <c r="Q71" s="16"/>
      <c r="R71" s="16"/>
    </row>
    <row r="72" spans="1:18" ht="15.75" x14ac:dyDescent="0.25">
      <c r="A72" s="26" t="s">
        <v>748</v>
      </c>
      <c r="B72" s="37">
        <f>B58+(2*B70)</f>
        <v>7.1111111111111107</v>
      </c>
      <c r="C72" s="5" t="s">
        <v>1078</v>
      </c>
      <c r="E72" s="16"/>
      <c r="F72" s="16"/>
      <c r="G72" s="16"/>
      <c r="H72" s="16"/>
      <c r="I72" s="16"/>
      <c r="J72" s="16"/>
      <c r="K72" s="16"/>
      <c r="L72" s="16"/>
      <c r="Q72" s="16"/>
      <c r="R72" s="16"/>
    </row>
    <row r="73" spans="1:18" ht="15.75" x14ac:dyDescent="0.25">
      <c r="A73" s="1" t="s">
        <v>1106</v>
      </c>
      <c r="B73" s="30"/>
      <c r="E73" s="16"/>
      <c r="F73" s="16"/>
      <c r="G73" s="16"/>
      <c r="H73" s="16"/>
      <c r="I73" s="16"/>
      <c r="J73" s="16"/>
      <c r="K73" s="16"/>
      <c r="L73" s="16"/>
      <c r="Q73" s="16"/>
      <c r="R73" s="16"/>
    </row>
    <row r="74" spans="1:18" ht="15.75" x14ac:dyDescent="0.25">
      <c r="A74" s="2" t="s">
        <v>396</v>
      </c>
      <c r="B74" s="37">
        <f>B57/2</f>
        <v>2</v>
      </c>
      <c r="C74" s="5" t="s">
        <v>1078</v>
      </c>
      <c r="E74" s="16"/>
      <c r="F74" s="16"/>
      <c r="G74" s="16"/>
      <c r="H74" s="16"/>
      <c r="I74" s="16"/>
      <c r="J74" s="16"/>
      <c r="K74" s="16"/>
      <c r="L74" s="16"/>
      <c r="Q74" s="16"/>
      <c r="R74" s="16"/>
    </row>
    <row r="75" spans="1:18" ht="15.75" x14ac:dyDescent="0.25">
      <c r="A75" s="2" t="s">
        <v>397</v>
      </c>
      <c r="B75" s="37">
        <f>B72/2</f>
        <v>3.5555555555555554</v>
      </c>
      <c r="C75" s="5" t="s">
        <v>1078</v>
      </c>
      <c r="E75" s="16"/>
      <c r="F75" s="16"/>
      <c r="G75" s="16"/>
      <c r="H75" s="16"/>
      <c r="I75" s="16"/>
      <c r="J75" s="16"/>
      <c r="K75" s="16"/>
      <c r="L75" s="16"/>
      <c r="Q75" s="16"/>
      <c r="R75" s="16"/>
    </row>
    <row r="76" spans="1:18" ht="15.75" x14ac:dyDescent="0.25">
      <c r="A76" s="2" t="s">
        <v>378</v>
      </c>
      <c r="B76" s="5" t="s">
        <v>379</v>
      </c>
      <c r="C76" s="5"/>
      <c r="E76" s="16"/>
      <c r="F76" s="16"/>
      <c r="G76" s="16"/>
      <c r="H76" s="16"/>
      <c r="I76" s="16"/>
      <c r="J76" s="16"/>
      <c r="K76" s="16"/>
      <c r="L76" s="16"/>
      <c r="Q76" s="16"/>
      <c r="R76" s="16"/>
    </row>
    <row r="77" spans="1:18" ht="15.75" x14ac:dyDescent="0.25">
      <c r="A77" s="2" t="s">
        <v>378</v>
      </c>
      <c r="B77" s="51">
        <f>(B75-B74)/B59</f>
        <v>6.4814814814814811E-2</v>
      </c>
      <c r="C77" s="5"/>
      <c r="E77" s="16"/>
      <c r="F77" s="16"/>
      <c r="G77" s="16"/>
      <c r="H77" s="16"/>
      <c r="I77" s="16"/>
      <c r="J77" s="16"/>
      <c r="K77" s="16"/>
      <c r="L77" s="16"/>
      <c r="Q77" s="16"/>
      <c r="R77" s="16"/>
    </row>
    <row r="78" spans="1:18" ht="15.75" x14ac:dyDescent="0.25">
      <c r="A78" s="2" t="s">
        <v>380</v>
      </c>
      <c r="B78" s="51">
        <f>ASIN(B77)</f>
        <v>6.4860281562277189E-2</v>
      </c>
      <c r="C78" s="5" t="s">
        <v>381</v>
      </c>
      <c r="E78" s="16"/>
      <c r="F78" s="16"/>
      <c r="G78" s="16"/>
      <c r="H78" s="16"/>
      <c r="I78" s="16"/>
      <c r="J78" s="16"/>
      <c r="K78" s="16"/>
      <c r="L78" s="16"/>
      <c r="Q78" s="16"/>
      <c r="R78" s="16"/>
    </row>
    <row r="79" spans="1:18" ht="15.75" x14ac:dyDescent="0.25">
      <c r="A79" s="2" t="s">
        <v>380</v>
      </c>
      <c r="B79" s="37">
        <f>B78*57.2958</f>
        <v>3.7162217203359211</v>
      </c>
      <c r="C79" s="5" t="s">
        <v>1083</v>
      </c>
      <c r="E79" s="16"/>
      <c r="F79" s="16"/>
      <c r="G79" s="16"/>
      <c r="H79" s="16"/>
      <c r="I79" s="16"/>
      <c r="J79" s="16"/>
      <c r="K79" s="16"/>
      <c r="L79" s="16"/>
      <c r="Q79" s="16"/>
      <c r="R79" s="16"/>
    </row>
    <row r="80" spans="1:18" ht="15.75" x14ac:dyDescent="0.25">
      <c r="A80" s="2" t="s">
        <v>398</v>
      </c>
      <c r="B80" s="5" t="s">
        <v>399</v>
      </c>
      <c r="C80" s="5"/>
      <c r="E80" s="16"/>
      <c r="F80" s="16"/>
      <c r="G80" s="16"/>
      <c r="H80" s="16"/>
      <c r="I80" s="16"/>
      <c r="J80" s="16"/>
      <c r="K80" s="16"/>
      <c r="L80" s="16"/>
      <c r="Q80" s="16"/>
      <c r="R80" s="16"/>
    </row>
    <row r="81" spans="1:18" ht="15.75" x14ac:dyDescent="0.25">
      <c r="A81" s="2" t="s">
        <v>400</v>
      </c>
      <c r="B81" s="37">
        <f>180-2*B79</f>
        <v>172.56755655932815</v>
      </c>
      <c r="C81" s="5" t="s">
        <v>1083</v>
      </c>
      <c r="E81" s="16"/>
      <c r="F81" s="16"/>
      <c r="G81" s="16"/>
      <c r="H81" s="16"/>
      <c r="I81" s="16"/>
      <c r="J81" s="16"/>
      <c r="K81" s="16"/>
      <c r="L81" s="16"/>
      <c r="Q81" s="16"/>
      <c r="R81" s="16"/>
    </row>
    <row r="82" spans="1:18" ht="15.75" x14ac:dyDescent="0.25">
      <c r="A82" s="2" t="s">
        <v>403</v>
      </c>
      <c r="B82" s="5" t="s">
        <v>401</v>
      </c>
      <c r="C82" s="5"/>
      <c r="E82" s="16"/>
      <c r="F82" s="16" t="s">
        <v>1071</v>
      </c>
      <c r="G82" s="16"/>
      <c r="H82" s="16"/>
      <c r="I82" s="16"/>
      <c r="J82" s="16"/>
      <c r="K82" s="16"/>
      <c r="L82" s="16"/>
      <c r="Q82" s="16"/>
      <c r="R82" s="16"/>
    </row>
    <row r="83" spans="1:18" ht="15.75" x14ac:dyDescent="0.25">
      <c r="A83" s="2" t="s">
        <v>404</v>
      </c>
      <c r="B83" s="37">
        <f>180+2*B79</f>
        <v>187.43244344067185</v>
      </c>
      <c r="C83" s="5" t="s">
        <v>1083</v>
      </c>
      <c r="E83" s="16"/>
      <c r="F83" s="16"/>
      <c r="G83" s="16"/>
      <c r="H83" s="16"/>
      <c r="I83" s="16"/>
      <c r="J83" s="16"/>
      <c r="K83" s="16"/>
      <c r="L83" s="16"/>
      <c r="Q83" s="16"/>
      <c r="R83" s="16"/>
    </row>
    <row r="84" spans="1:18" ht="15.75" x14ac:dyDescent="0.25">
      <c r="A84" s="2" t="s">
        <v>402</v>
      </c>
      <c r="B84" s="51">
        <v>2.71828</v>
      </c>
      <c r="E84" s="16"/>
      <c r="F84" s="16"/>
      <c r="G84" s="16"/>
      <c r="H84" s="16"/>
      <c r="I84" s="16"/>
      <c r="J84" s="16"/>
      <c r="K84" s="16"/>
      <c r="L84" s="16"/>
      <c r="Q84" s="16"/>
      <c r="R84" s="16"/>
    </row>
    <row r="85" spans="1:18" x14ac:dyDescent="0.2">
      <c r="D85" s="12" t="s">
        <v>336</v>
      </c>
      <c r="E85" s="16" t="s">
        <v>1071</v>
      </c>
      <c r="F85" s="16"/>
      <c r="G85" s="16"/>
      <c r="H85" s="16"/>
      <c r="I85" s="16"/>
      <c r="J85" s="16"/>
      <c r="K85" s="16"/>
      <c r="L85" s="16"/>
      <c r="Q85" s="16"/>
      <c r="R85" s="16"/>
    </row>
    <row r="86" spans="1:18" ht="15.75" x14ac:dyDescent="0.25">
      <c r="A86" s="2" t="s">
        <v>889</v>
      </c>
      <c r="B86" s="5" t="s">
        <v>405</v>
      </c>
      <c r="C86" s="5"/>
      <c r="E86" s="16"/>
      <c r="F86" s="16"/>
      <c r="G86" s="16"/>
      <c r="H86" s="16"/>
      <c r="I86" s="16"/>
      <c r="J86" s="16"/>
      <c r="K86" s="16"/>
      <c r="L86" s="16"/>
      <c r="Q86" s="16"/>
      <c r="R86" s="16"/>
    </row>
    <row r="87" spans="1:18" ht="15.75" x14ac:dyDescent="0.25">
      <c r="A87" s="26" t="s">
        <v>112</v>
      </c>
      <c r="B87" s="37">
        <f>$B$84^($B$61*$B$81/57.2958)/SIN($B$60/(2*57.2958))</f>
        <v>5.3401822211634018</v>
      </c>
      <c r="C87" s="5"/>
      <c r="E87" s="16"/>
      <c r="F87" s="16" t="s">
        <v>1071</v>
      </c>
      <c r="G87" s="16"/>
      <c r="H87" s="16"/>
      <c r="I87" s="16"/>
      <c r="J87" s="16"/>
      <c r="K87" s="16"/>
      <c r="L87" s="16"/>
      <c r="Q87" s="16"/>
      <c r="R87" s="16"/>
    </row>
    <row r="88" spans="1:18" ht="15.75" x14ac:dyDescent="0.25">
      <c r="A88" s="2" t="s">
        <v>890</v>
      </c>
      <c r="B88" s="5" t="s">
        <v>888</v>
      </c>
      <c r="E88" s="16"/>
      <c r="F88" s="16"/>
      <c r="G88" s="16"/>
      <c r="H88" s="16"/>
      <c r="I88" s="16"/>
      <c r="J88" s="16"/>
      <c r="K88" s="16"/>
      <c r="L88" s="16"/>
      <c r="Q88" s="16"/>
      <c r="R88" s="16"/>
    </row>
    <row r="89" spans="1:18" ht="15.75" x14ac:dyDescent="0.25">
      <c r="A89" s="26" t="s">
        <v>112</v>
      </c>
      <c r="B89" s="37">
        <f>$B$84^(($B$62*$B$83/57.2958)/SIN(90/(57.2958)))</f>
        <v>1.9237222451364888</v>
      </c>
      <c r="E89" s="16"/>
      <c r="F89" s="16"/>
      <c r="G89" s="16"/>
      <c r="H89" s="16"/>
      <c r="I89" s="16"/>
      <c r="J89" s="16"/>
      <c r="K89" s="16"/>
      <c r="L89" s="16"/>
      <c r="Q89" s="16"/>
      <c r="R89" s="16"/>
    </row>
    <row r="90" spans="1:18" x14ac:dyDescent="0.2">
      <c r="E90" s="16"/>
      <c r="F90" s="16"/>
      <c r="G90" s="16"/>
      <c r="H90" s="16"/>
      <c r="I90" s="16"/>
      <c r="J90" s="16"/>
      <c r="K90" s="16"/>
      <c r="L90" s="16"/>
      <c r="Q90" s="16"/>
      <c r="R90" s="16"/>
    </row>
    <row r="91" spans="1:18" ht="15.75" x14ac:dyDescent="0.25">
      <c r="A91" s="1" t="s">
        <v>887</v>
      </c>
      <c r="E91" s="16"/>
      <c r="F91" s="16"/>
      <c r="G91" s="16"/>
      <c r="H91" s="16"/>
      <c r="I91" s="16"/>
      <c r="J91" s="16"/>
      <c r="K91" s="16"/>
      <c r="L91" s="16"/>
      <c r="Q91" s="16"/>
      <c r="R91" s="16"/>
    </row>
    <row r="92" spans="1:18" ht="15.75" x14ac:dyDescent="0.25">
      <c r="A92" s="2" t="s">
        <v>406</v>
      </c>
      <c r="B92" s="5" t="s">
        <v>407</v>
      </c>
      <c r="C92" s="5"/>
      <c r="E92" s="16"/>
      <c r="F92" s="16"/>
      <c r="G92" s="16"/>
      <c r="H92" s="16"/>
      <c r="I92" s="16"/>
      <c r="J92" s="16"/>
      <c r="K92" s="16"/>
      <c r="L92" s="16"/>
      <c r="Q92" s="16"/>
      <c r="R92" s="16"/>
    </row>
    <row r="93" spans="1:18" ht="15.75" x14ac:dyDescent="0.25">
      <c r="A93" s="26" t="s">
        <v>112</v>
      </c>
      <c r="B93" s="3">
        <f>(B63+B64)/(2*B65)</f>
        <v>1.125</v>
      </c>
      <c r="C93" s="5" t="s">
        <v>221</v>
      </c>
      <c r="E93" s="16"/>
      <c r="F93" s="16"/>
      <c r="G93" s="16"/>
      <c r="H93" s="16"/>
      <c r="I93" s="16"/>
      <c r="J93" s="16"/>
      <c r="K93" s="16"/>
      <c r="L93" s="16"/>
      <c r="Q93" s="16"/>
      <c r="R93" s="16"/>
    </row>
    <row r="94" spans="1:18" ht="15.75" x14ac:dyDescent="0.25">
      <c r="A94" s="2" t="s">
        <v>416</v>
      </c>
      <c r="B94" s="5" t="s">
        <v>417</v>
      </c>
      <c r="C94" s="5"/>
      <c r="E94" s="16"/>
      <c r="F94" s="16"/>
      <c r="G94" s="16"/>
      <c r="H94" s="16"/>
      <c r="I94" s="16"/>
      <c r="J94" s="16"/>
      <c r="K94" s="16"/>
      <c r="L94" s="16"/>
      <c r="Q94" s="16"/>
      <c r="R94" s="16"/>
    </row>
    <row r="95" spans="1:18" ht="15.75" x14ac:dyDescent="0.25">
      <c r="A95" s="26" t="s">
        <v>112</v>
      </c>
      <c r="B95" s="5">
        <f>B93*B66*12</f>
        <v>0.54</v>
      </c>
      <c r="C95" s="5" t="s">
        <v>418</v>
      </c>
      <c r="E95" s="16"/>
      <c r="F95" s="16"/>
      <c r="G95" s="16"/>
      <c r="H95" s="16"/>
      <c r="I95" s="16"/>
      <c r="J95" s="16"/>
      <c r="K95" s="16"/>
      <c r="L95" s="16"/>
    </row>
    <row r="96" spans="1:18" ht="15.75" x14ac:dyDescent="0.25">
      <c r="A96" s="2" t="s">
        <v>410</v>
      </c>
      <c r="B96" s="5" t="s">
        <v>419</v>
      </c>
      <c r="C96" s="5"/>
      <c r="E96" s="16"/>
      <c r="F96" s="16"/>
    </row>
    <row r="97" spans="1:17" ht="15.75" x14ac:dyDescent="0.25">
      <c r="A97" s="2" t="s">
        <v>412</v>
      </c>
      <c r="B97" s="37">
        <f>3.142*(B57/12)*(B56/60)</f>
        <v>30.547222222222221</v>
      </c>
      <c r="C97" s="5" t="s">
        <v>415</v>
      </c>
      <c r="E97" s="16" t="s">
        <v>1071</v>
      </c>
      <c r="F97" s="16"/>
    </row>
    <row r="98" spans="1:17" ht="15.75" x14ac:dyDescent="0.25">
      <c r="A98" s="2" t="s">
        <v>413</v>
      </c>
      <c r="B98" s="37">
        <v>32.200000000000003</v>
      </c>
      <c r="C98" s="5" t="s">
        <v>414</v>
      </c>
      <c r="E98" s="16"/>
      <c r="F98" s="16"/>
      <c r="G98" s="16"/>
      <c r="H98" s="16"/>
      <c r="I98" s="16"/>
      <c r="J98" s="16"/>
      <c r="K98" s="16"/>
      <c r="L98" s="16"/>
      <c r="Q98" s="4" t="s">
        <v>1374</v>
      </c>
    </row>
    <row r="99" spans="1:17" ht="16.5" thickBot="1" x14ac:dyDescent="0.3">
      <c r="A99" s="2" t="s">
        <v>408</v>
      </c>
      <c r="B99" s="1" t="s">
        <v>898</v>
      </c>
      <c r="C99" s="5"/>
      <c r="E99" s="16"/>
      <c r="F99" s="16"/>
      <c r="G99" s="16"/>
      <c r="J99" s="49" t="s">
        <v>1370</v>
      </c>
      <c r="K99" s="30" t="s">
        <v>109</v>
      </c>
      <c r="L99" s="16"/>
      <c r="P99" s="49" t="s">
        <v>1370</v>
      </c>
      <c r="Q99" s="30" t="s">
        <v>109</v>
      </c>
    </row>
    <row r="100" spans="1:17" ht="15.75" x14ac:dyDescent="0.25">
      <c r="A100" s="26" t="s">
        <v>112</v>
      </c>
      <c r="B100" s="36">
        <f>((B67-(B95*B97^2/B98))/B89)+(B95*(B97^2/(B98)))</f>
        <v>111.47927154504282</v>
      </c>
      <c r="C100" s="5" t="s">
        <v>1100</v>
      </c>
      <c r="E100" s="16"/>
      <c r="F100" s="16"/>
      <c r="G100" s="16"/>
      <c r="J100" s="28" t="s">
        <v>1365</v>
      </c>
      <c r="K100" s="127">
        <v>92</v>
      </c>
      <c r="L100" s="16"/>
      <c r="P100" s="28" t="s">
        <v>1365</v>
      </c>
      <c r="Q100" s="148">
        <v>92</v>
      </c>
    </row>
    <row r="101" spans="1:17" ht="15.75" x14ac:dyDescent="0.25">
      <c r="A101" s="2" t="s">
        <v>893</v>
      </c>
      <c r="B101" s="5" t="s">
        <v>891</v>
      </c>
      <c r="C101" s="5"/>
      <c r="D101" s="4"/>
      <c r="E101" s="16"/>
      <c r="F101" s="16"/>
      <c r="G101" s="16"/>
      <c r="J101" s="49" t="s">
        <v>1371</v>
      </c>
      <c r="K101" s="32">
        <v>125</v>
      </c>
      <c r="L101" s="16"/>
      <c r="P101" s="49" t="s">
        <v>1371</v>
      </c>
      <c r="Q101" s="32">
        <v>125</v>
      </c>
    </row>
    <row r="102" spans="1:17" ht="15.75" x14ac:dyDescent="0.25">
      <c r="A102" s="26" t="s">
        <v>112</v>
      </c>
      <c r="B102" s="37">
        <f>(B67-B100)*B97/550</f>
        <v>4.916477024339212</v>
      </c>
      <c r="C102" s="5" t="s">
        <v>1087</v>
      </c>
      <c r="D102" s="4"/>
      <c r="E102" s="16"/>
      <c r="F102" s="16"/>
      <c r="G102" s="16"/>
      <c r="J102" s="49" t="s">
        <v>1372</v>
      </c>
      <c r="K102" s="32">
        <v>80</v>
      </c>
      <c r="L102" s="16"/>
      <c r="P102" s="49" t="s">
        <v>1372</v>
      </c>
      <c r="Q102" s="32">
        <v>80</v>
      </c>
    </row>
    <row r="103" spans="1:17" ht="16.5" thickBot="1" x14ac:dyDescent="0.3">
      <c r="A103" s="2" t="s">
        <v>892</v>
      </c>
      <c r="B103" s="5" t="s">
        <v>894</v>
      </c>
      <c r="C103" s="5"/>
      <c r="D103" s="4"/>
      <c r="E103" s="16"/>
      <c r="F103" s="16"/>
      <c r="G103" s="16"/>
      <c r="J103" s="49" t="s">
        <v>1373</v>
      </c>
      <c r="K103" s="54" t="s">
        <v>1381</v>
      </c>
      <c r="L103" s="16"/>
      <c r="P103" s="49" t="s">
        <v>1373</v>
      </c>
      <c r="Q103" s="54" t="s">
        <v>1381</v>
      </c>
    </row>
    <row r="104" spans="1:17" ht="15.75" x14ac:dyDescent="0.25">
      <c r="A104" s="26" t="s">
        <v>112</v>
      </c>
      <c r="B104" s="37">
        <f>B55/B102</f>
        <v>6.101930274764598</v>
      </c>
      <c r="C104" s="5" t="s">
        <v>895</v>
      </c>
      <c r="D104" s="4"/>
      <c r="E104" s="16"/>
      <c r="F104" s="16"/>
      <c r="G104" s="16"/>
      <c r="H104" s="16"/>
      <c r="I104" s="58"/>
      <c r="J104" s="16"/>
      <c r="K104" s="16"/>
      <c r="L104" s="16"/>
    </row>
    <row r="105" spans="1:17" ht="16.5" thickBot="1" x14ac:dyDescent="0.3">
      <c r="B105" s="30" t="s">
        <v>109</v>
      </c>
      <c r="E105" s="5" t="s">
        <v>1071</v>
      </c>
      <c r="F105" s="16"/>
      <c r="G105" s="16"/>
      <c r="H105" s="16"/>
      <c r="I105" s="16"/>
      <c r="J105" s="16"/>
      <c r="K105" s="16"/>
      <c r="L105" s="16"/>
    </row>
    <row r="106" spans="1:17" ht="15.75" thickBot="1" x14ac:dyDescent="0.25">
      <c r="A106" s="28" t="s">
        <v>896</v>
      </c>
      <c r="B106" s="122">
        <v>5</v>
      </c>
      <c r="C106" s="27" t="s">
        <v>895</v>
      </c>
      <c r="F106" s="16"/>
      <c r="G106" s="16"/>
      <c r="H106" s="16"/>
      <c r="I106" s="16"/>
      <c r="J106" s="16"/>
      <c r="K106" s="16"/>
      <c r="L106" s="16"/>
    </row>
    <row r="107" spans="1:17" x14ac:dyDescent="0.2">
      <c r="F107" s="16"/>
      <c r="G107" s="16"/>
      <c r="H107" s="16"/>
      <c r="I107" s="16"/>
      <c r="J107" s="16"/>
      <c r="K107" s="16"/>
      <c r="L107" s="16"/>
    </row>
    <row r="108" spans="1:17" x14ac:dyDescent="0.2">
      <c r="F108" s="16"/>
      <c r="G108" s="16"/>
      <c r="H108" s="16"/>
      <c r="I108" s="16"/>
      <c r="J108" s="16"/>
      <c r="K108" s="16"/>
      <c r="L108" s="16"/>
    </row>
    <row r="109" spans="1:17" x14ac:dyDescent="0.2">
      <c r="F109" s="16"/>
      <c r="G109" s="16"/>
      <c r="H109" s="16"/>
      <c r="I109" s="16"/>
      <c r="J109" s="16"/>
      <c r="K109" s="16"/>
      <c r="L109" s="16"/>
    </row>
    <row r="110" spans="1:17" x14ac:dyDescent="0.2">
      <c r="F110" s="16"/>
      <c r="G110" s="16"/>
      <c r="H110" s="16"/>
      <c r="I110" s="16"/>
      <c r="J110" s="16"/>
      <c r="K110" s="16"/>
      <c r="L110" s="16"/>
    </row>
    <row r="111" spans="1:17" x14ac:dyDescent="0.2">
      <c r="F111" s="16"/>
      <c r="G111" s="16"/>
      <c r="H111" s="16"/>
      <c r="I111" s="16"/>
      <c r="J111" s="16"/>
      <c r="K111" s="16"/>
      <c r="L111" s="16"/>
    </row>
    <row r="112" spans="1:17" x14ac:dyDescent="0.2">
      <c r="F112" s="16"/>
      <c r="G112" s="16"/>
      <c r="H112" s="16"/>
      <c r="I112" s="16"/>
      <c r="J112" s="16"/>
      <c r="K112" s="16"/>
      <c r="L112" s="16"/>
    </row>
    <row r="113" spans="1:18" x14ac:dyDescent="0.2">
      <c r="F113" s="16"/>
      <c r="G113" s="16"/>
      <c r="H113" s="16"/>
      <c r="I113" s="16"/>
      <c r="J113" s="16"/>
      <c r="K113" s="16"/>
      <c r="L113" s="16"/>
    </row>
    <row r="114" spans="1:18" x14ac:dyDescent="0.2">
      <c r="G114" s="16"/>
      <c r="H114" s="16"/>
      <c r="I114" s="16"/>
      <c r="J114" s="16"/>
      <c r="K114" s="16"/>
      <c r="L114" s="16"/>
    </row>
    <row r="115" spans="1:18" x14ac:dyDescent="0.2">
      <c r="G115" s="16"/>
      <c r="H115" s="16"/>
      <c r="I115" s="16"/>
      <c r="J115" s="16"/>
      <c r="K115" s="16"/>
      <c r="L115" s="16"/>
    </row>
    <row r="116" spans="1:18" x14ac:dyDescent="0.2">
      <c r="G116" s="16"/>
      <c r="H116" s="16"/>
      <c r="I116" s="16"/>
      <c r="J116" s="16"/>
      <c r="K116" s="16"/>
      <c r="L116" s="16"/>
    </row>
    <row r="117" spans="1:18" x14ac:dyDescent="0.2">
      <c r="G117" s="16"/>
      <c r="H117" s="16"/>
      <c r="I117" s="16"/>
      <c r="J117" s="16"/>
      <c r="K117" s="16"/>
      <c r="L117" s="16"/>
    </row>
    <row r="118" spans="1:18" x14ac:dyDescent="0.2">
      <c r="F118" s="16"/>
      <c r="G118" s="16"/>
      <c r="H118" s="16"/>
      <c r="I118" s="16"/>
      <c r="J118" s="16"/>
      <c r="K118" s="16"/>
      <c r="L118" s="16"/>
    </row>
    <row r="119" spans="1:18" x14ac:dyDescent="0.2">
      <c r="A119" s="124"/>
      <c r="B119" s="125"/>
      <c r="C119" s="125"/>
      <c r="D119" s="23"/>
      <c r="E119" s="23"/>
      <c r="F119" s="124"/>
      <c r="G119" s="23"/>
      <c r="H119" s="23"/>
      <c r="I119" s="124"/>
      <c r="J119" s="125"/>
      <c r="K119" s="125"/>
      <c r="L119" s="23"/>
      <c r="M119" s="23"/>
      <c r="N119" s="124"/>
      <c r="O119" s="125"/>
      <c r="P119" s="125"/>
      <c r="Q119" s="23"/>
      <c r="R119" s="23"/>
    </row>
    <row r="120" spans="1:18" x14ac:dyDescent="0.2">
      <c r="F120" s="16"/>
      <c r="G120" s="16"/>
      <c r="H120" s="16"/>
      <c r="I120" s="16"/>
      <c r="J120" s="16"/>
      <c r="K120" s="16"/>
      <c r="L120" s="16"/>
    </row>
    <row r="121" spans="1:18" x14ac:dyDescent="0.2">
      <c r="F121" s="16"/>
      <c r="G121" s="16"/>
      <c r="H121" s="16"/>
      <c r="I121" s="16"/>
      <c r="J121" s="16"/>
      <c r="K121" s="16"/>
      <c r="L121" s="16"/>
    </row>
    <row r="122" spans="1:18" x14ac:dyDescent="0.2">
      <c r="C122" s="27" t="s">
        <v>1418</v>
      </c>
      <c r="F122" s="16"/>
      <c r="G122" s="16"/>
      <c r="H122" s="16"/>
      <c r="I122" s="16"/>
      <c r="J122" s="16"/>
      <c r="K122" s="16"/>
      <c r="L122" s="16"/>
    </row>
    <row r="123" spans="1:18" x14ac:dyDescent="0.2">
      <c r="F123" s="16"/>
      <c r="G123" s="16"/>
      <c r="H123" s="16"/>
      <c r="I123" s="16"/>
      <c r="J123" s="16"/>
      <c r="K123" s="16"/>
      <c r="L123" s="16"/>
    </row>
    <row r="125" spans="1:18" x14ac:dyDescent="0.2">
      <c r="F125" s="16"/>
    </row>
    <row r="126" spans="1:18" ht="15.75" x14ac:dyDescent="0.25">
      <c r="C126" s="1"/>
      <c r="F126" s="16"/>
    </row>
    <row r="127" spans="1:18" x14ac:dyDescent="0.2">
      <c r="F127" s="16"/>
    </row>
  </sheetData>
  <sheetProtection sheet="1" objects="1" scenarios="1" selectLockedCells="1"/>
  <phoneticPr fontId="1" type="noConversion"/>
  <printOptions gridLines="1"/>
  <pageMargins left="0.75" right="0.75" top="1" bottom="1" header="0.5" footer="0.5"/>
  <pageSetup orientation="portrait" horizontalDpi="4294967295"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52"/>
  <sheetViews>
    <sheetView zoomScale="120" zoomScaleNormal="120" workbookViewId="0">
      <selection activeCell="M1" sqref="M1"/>
    </sheetView>
  </sheetViews>
  <sheetFormatPr defaultColWidth="8.7109375" defaultRowHeight="15" x14ac:dyDescent="0.2"/>
  <cols>
    <col min="1" max="1" width="35.28515625" style="12" customWidth="1"/>
    <col min="2" max="2" width="17.7109375" style="12" customWidth="1"/>
    <col min="3" max="3" width="10.140625" style="12" customWidth="1"/>
    <col min="4" max="4" width="10.85546875" style="12" customWidth="1"/>
    <col min="5" max="13" width="8.7109375" style="12"/>
    <col min="14" max="14" width="11.42578125" style="12" customWidth="1"/>
    <col min="15" max="16384" width="8.7109375" style="12"/>
  </cols>
  <sheetData>
    <row r="1" spans="1:15" ht="18" x14ac:dyDescent="0.25">
      <c r="A1" s="7" t="s">
        <v>1410</v>
      </c>
      <c r="C1" s="57"/>
      <c r="D1" s="149"/>
      <c r="E1" s="16"/>
      <c r="F1" s="13" t="s">
        <v>1071</v>
      </c>
      <c r="G1" s="16"/>
      <c r="H1" s="16"/>
      <c r="I1" s="16"/>
      <c r="J1" s="16"/>
      <c r="K1" s="16"/>
      <c r="L1" s="16"/>
      <c r="M1" s="16"/>
      <c r="N1" s="16"/>
      <c r="O1" s="16"/>
    </row>
    <row r="2" spans="1:15" x14ac:dyDescent="0.2">
      <c r="A2" s="17"/>
      <c r="C2" s="16"/>
      <c r="D2" s="16"/>
      <c r="E2" s="16"/>
      <c r="F2" s="16"/>
      <c r="G2" s="16"/>
      <c r="H2" s="16"/>
      <c r="I2" s="16"/>
      <c r="J2" s="16"/>
      <c r="K2" s="16"/>
      <c r="L2" s="16"/>
      <c r="M2" s="16"/>
      <c r="N2" s="16"/>
      <c r="O2" s="16"/>
    </row>
    <row r="3" spans="1:15" x14ac:dyDescent="0.2">
      <c r="C3" s="16"/>
      <c r="D3" s="16"/>
      <c r="E3" s="16"/>
      <c r="F3" s="16"/>
      <c r="G3" s="16"/>
      <c r="H3" s="16"/>
      <c r="I3" s="16"/>
      <c r="J3" s="16"/>
      <c r="K3" s="16"/>
      <c r="L3" s="16"/>
      <c r="M3" s="16"/>
      <c r="N3" s="16"/>
      <c r="O3" s="16"/>
    </row>
    <row r="4" spans="1:15" ht="15.75" x14ac:dyDescent="0.25">
      <c r="A4" s="173" t="s">
        <v>1068</v>
      </c>
      <c r="B4" s="27"/>
      <c r="C4" s="27"/>
      <c r="F4" s="28"/>
      <c r="G4" s="58"/>
      <c r="H4" s="16"/>
      <c r="I4" s="16"/>
      <c r="J4" s="16"/>
      <c r="K4" s="16"/>
      <c r="L4" s="16"/>
      <c r="M4" s="16"/>
      <c r="N4" s="16"/>
      <c r="O4" s="16"/>
    </row>
    <row r="5" spans="1:15" ht="15.75" x14ac:dyDescent="0.25">
      <c r="A5" s="173" t="s">
        <v>1069</v>
      </c>
      <c r="B5" s="27"/>
      <c r="C5" s="27"/>
      <c r="F5" s="28"/>
      <c r="G5" s="58"/>
      <c r="H5" s="16"/>
      <c r="I5" s="16"/>
      <c r="J5" s="16"/>
      <c r="K5" s="16"/>
      <c r="L5" s="16"/>
      <c r="M5" s="16"/>
      <c r="N5" s="16"/>
      <c r="O5" s="16"/>
    </row>
    <row r="6" spans="1:15" ht="15.75" x14ac:dyDescent="0.25">
      <c r="A6" s="173" t="s">
        <v>1070</v>
      </c>
      <c r="B6" s="27"/>
      <c r="C6" s="27"/>
      <c r="F6" s="28"/>
      <c r="G6" s="58"/>
      <c r="H6" s="16"/>
      <c r="I6" s="16"/>
      <c r="J6" s="16"/>
      <c r="K6" s="16"/>
      <c r="L6" s="16"/>
      <c r="M6" s="16"/>
      <c r="N6" s="16"/>
      <c r="O6" s="16"/>
    </row>
    <row r="7" spans="1:15" ht="15.75" x14ac:dyDescent="0.25">
      <c r="A7" s="174" t="s">
        <v>1422</v>
      </c>
      <c r="B7" s="27"/>
      <c r="C7" s="27"/>
      <c r="F7" s="28"/>
      <c r="G7" s="58"/>
      <c r="H7" s="16"/>
      <c r="I7" s="16"/>
      <c r="J7" s="16"/>
      <c r="K7" s="16"/>
      <c r="L7" s="16"/>
      <c r="M7" s="16"/>
      <c r="N7" s="16"/>
      <c r="O7" s="16"/>
    </row>
    <row r="8" spans="1:15" ht="15.75" x14ac:dyDescent="0.25">
      <c r="A8" s="174" t="s">
        <v>1424</v>
      </c>
      <c r="B8" s="27"/>
      <c r="C8" s="27"/>
      <c r="F8" s="28"/>
      <c r="G8" s="58"/>
      <c r="H8" s="16"/>
      <c r="I8" s="16"/>
      <c r="J8" s="16"/>
      <c r="K8" s="16"/>
      <c r="L8" s="16"/>
      <c r="M8" s="16"/>
      <c r="N8" s="16"/>
      <c r="O8" s="16"/>
    </row>
    <row r="9" spans="1:15" x14ac:dyDescent="0.2">
      <c r="B9" s="27"/>
      <c r="C9" s="27"/>
      <c r="F9" s="28"/>
      <c r="G9" s="58"/>
      <c r="H9" s="16"/>
      <c r="I9" s="16"/>
      <c r="J9" s="16"/>
      <c r="K9" s="16"/>
      <c r="L9" s="16"/>
      <c r="M9" s="16"/>
      <c r="N9" s="16"/>
      <c r="O9" s="16"/>
    </row>
    <row r="10" spans="1:15" ht="15.75" x14ac:dyDescent="0.25">
      <c r="A10" s="1" t="s">
        <v>1274</v>
      </c>
      <c r="B10" s="27"/>
      <c r="C10" s="27"/>
      <c r="F10" s="28"/>
      <c r="G10" s="58"/>
      <c r="H10" s="16" t="s">
        <v>1071</v>
      </c>
      <c r="I10" s="16"/>
      <c r="J10" s="16"/>
      <c r="K10" s="16"/>
      <c r="L10" s="16"/>
      <c r="M10" s="16"/>
      <c r="N10" s="16"/>
      <c r="O10" s="16"/>
    </row>
    <row r="11" spans="1:15" x14ac:dyDescent="0.2">
      <c r="B11" s="27"/>
      <c r="C11" s="27"/>
      <c r="F11" s="28"/>
      <c r="G11" s="58"/>
      <c r="H11" s="16"/>
      <c r="I11" s="16"/>
      <c r="J11" s="16"/>
      <c r="K11" s="16"/>
      <c r="L11" s="16"/>
      <c r="M11" s="16"/>
      <c r="N11" s="16"/>
      <c r="O11" s="16"/>
    </row>
    <row r="12" spans="1:15" ht="15.75" x14ac:dyDescent="0.25">
      <c r="A12" s="1" t="s">
        <v>1444</v>
      </c>
      <c r="B12" s="27"/>
      <c r="C12" s="27"/>
      <c r="F12" s="28"/>
      <c r="G12" s="58"/>
      <c r="H12" s="16"/>
      <c r="I12" s="16"/>
      <c r="J12" s="16"/>
      <c r="K12" s="16"/>
      <c r="L12" s="16"/>
      <c r="M12" s="16"/>
      <c r="N12" s="16"/>
      <c r="O12" s="16"/>
    </row>
    <row r="13" spans="1:15" x14ac:dyDescent="0.2">
      <c r="A13" s="22" t="s">
        <v>885</v>
      </c>
      <c r="B13" s="27"/>
      <c r="C13" s="27"/>
      <c r="F13" s="28"/>
      <c r="G13" s="58"/>
      <c r="H13" s="16"/>
      <c r="I13" s="16"/>
      <c r="J13" s="16"/>
      <c r="K13" s="16"/>
      <c r="L13" s="16"/>
      <c r="M13" s="16"/>
      <c r="N13" s="16"/>
      <c r="O13" s="16"/>
    </row>
    <row r="14" spans="1:15" x14ac:dyDescent="0.2">
      <c r="A14" s="22" t="s">
        <v>0</v>
      </c>
      <c r="B14" s="27"/>
      <c r="C14" s="27"/>
      <c r="F14" s="28"/>
      <c r="G14" s="58"/>
      <c r="H14" s="16"/>
      <c r="I14" s="16"/>
      <c r="J14" s="16"/>
      <c r="K14" s="16"/>
      <c r="L14" s="16"/>
      <c r="M14" s="16"/>
      <c r="N14" s="16"/>
      <c r="O14" s="16"/>
    </row>
    <row r="15" spans="1:15" ht="15.75" x14ac:dyDescent="0.25">
      <c r="A15" s="1" t="s">
        <v>1445</v>
      </c>
      <c r="B15" s="27"/>
      <c r="C15" s="27"/>
      <c r="F15" s="28"/>
      <c r="G15" s="58"/>
      <c r="H15" s="16"/>
      <c r="I15" s="16"/>
      <c r="J15" s="16"/>
      <c r="K15" s="16"/>
      <c r="L15" s="16"/>
      <c r="M15" s="16"/>
      <c r="N15" s="16"/>
      <c r="O15" s="16"/>
    </row>
    <row r="16" spans="1:15" x14ac:dyDescent="0.2">
      <c r="A16" s="12" t="s">
        <v>886</v>
      </c>
      <c r="B16" s="27"/>
      <c r="C16" s="27"/>
      <c r="F16" s="28"/>
      <c r="G16" s="58"/>
      <c r="H16" s="16"/>
      <c r="I16" s="16"/>
      <c r="J16" s="16"/>
      <c r="K16" s="16"/>
      <c r="L16" s="16"/>
      <c r="M16" s="16"/>
      <c r="N16" s="16"/>
      <c r="O16" s="16"/>
    </row>
    <row r="17" spans="1:15" x14ac:dyDescent="0.2">
      <c r="B17" s="27"/>
      <c r="C17" s="27"/>
      <c r="F17" s="28"/>
      <c r="G17" s="58"/>
      <c r="H17" s="16"/>
      <c r="I17" s="16"/>
      <c r="J17" s="16"/>
      <c r="K17" s="16"/>
      <c r="L17" s="16"/>
      <c r="M17" s="16"/>
      <c r="N17" s="16"/>
      <c r="O17" s="16"/>
    </row>
    <row r="18" spans="1:15" x14ac:dyDescent="0.2">
      <c r="F18" s="28"/>
      <c r="G18" s="58"/>
      <c r="H18" s="16"/>
      <c r="I18" s="16"/>
      <c r="J18" s="16"/>
      <c r="K18" s="16"/>
      <c r="L18" s="16"/>
      <c r="M18" s="16"/>
      <c r="N18" s="16"/>
      <c r="O18" s="16"/>
    </row>
    <row r="19" spans="1:15" ht="15.75" x14ac:dyDescent="0.25">
      <c r="A19" s="4" t="s">
        <v>1109</v>
      </c>
      <c r="F19" s="28"/>
      <c r="G19" s="58"/>
      <c r="H19" s="16"/>
      <c r="I19" s="16"/>
      <c r="J19" s="16"/>
      <c r="K19" s="16"/>
      <c r="L19" s="16"/>
      <c r="M19" s="16"/>
      <c r="N19" s="16"/>
      <c r="O19" s="16"/>
    </row>
    <row r="20" spans="1:15" ht="16.5" thickBot="1" x14ac:dyDescent="0.3">
      <c r="B20" s="27"/>
      <c r="C20" s="88" t="s">
        <v>109</v>
      </c>
      <c r="F20" s="28"/>
      <c r="G20" s="58"/>
      <c r="H20" s="16"/>
      <c r="I20" s="16"/>
      <c r="J20" s="16"/>
      <c r="K20" s="16"/>
      <c r="L20" s="16"/>
      <c r="M20" s="16"/>
      <c r="N20" s="16"/>
      <c r="O20" s="16"/>
    </row>
    <row r="21" spans="1:15" ht="15.75" x14ac:dyDescent="0.25">
      <c r="A21" s="28" t="s">
        <v>1446</v>
      </c>
      <c r="B21" s="5" t="s">
        <v>1281</v>
      </c>
      <c r="C21" s="31">
        <v>20</v>
      </c>
      <c r="D21" s="22" t="s">
        <v>1275</v>
      </c>
      <c r="F21" s="28"/>
      <c r="G21" s="58"/>
      <c r="H21" s="16"/>
      <c r="I21" s="16"/>
      <c r="J21" s="16"/>
      <c r="K21" s="16"/>
      <c r="L21" s="16"/>
      <c r="M21" s="16"/>
      <c r="N21" s="16"/>
      <c r="O21" s="16"/>
    </row>
    <row r="22" spans="1:15" ht="16.5" x14ac:dyDescent="0.3">
      <c r="A22" s="28" t="s">
        <v>1447</v>
      </c>
      <c r="B22" s="5" t="s">
        <v>51</v>
      </c>
      <c r="C22" s="32">
        <v>12</v>
      </c>
      <c r="D22" s="22" t="s">
        <v>1284</v>
      </c>
      <c r="F22" s="28"/>
      <c r="G22" s="58"/>
      <c r="H22" s="16"/>
      <c r="I22" s="16"/>
      <c r="J22" s="16"/>
      <c r="K22" s="16"/>
      <c r="L22" s="16"/>
      <c r="M22" s="16"/>
      <c r="N22" s="16"/>
      <c r="O22" s="16"/>
    </row>
    <row r="23" spans="1:15" ht="16.5" x14ac:dyDescent="0.3">
      <c r="A23" s="28" t="s">
        <v>1448</v>
      </c>
      <c r="B23" s="5" t="s">
        <v>1284</v>
      </c>
      <c r="C23" s="32">
        <v>32</v>
      </c>
      <c r="D23" s="22" t="s">
        <v>1284</v>
      </c>
      <c r="F23" s="28"/>
      <c r="G23" s="58"/>
      <c r="H23" s="16"/>
      <c r="I23" s="16"/>
      <c r="J23" s="16"/>
      <c r="K23" s="16"/>
      <c r="L23" s="16"/>
      <c r="M23" s="16"/>
      <c r="N23" s="16"/>
      <c r="O23" s="16"/>
    </row>
    <row r="24" spans="1:15" ht="15.75" x14ac:dyDescent="0.25">
      <c r="A24" s="28" t="s">
        <v>1283</v>
      </c>
      <c r="B24" s="5" t="s">
        <v>1284</v>
      </c>
      <c r="C24" s="47">
        <v>3</v>
      </c>
      <c r="D24" s="22" t="s">
        <v>1078</v>
      </c>
      <c r="F24" s="28"/>
      <c r="G24" s="58"/>
      <c r="H24" s="16"/>
      <c r="I24" s="16"/>
      <c r="J24" s="16"/>
      <c r="K24" s="16"/>
      <c r="L24" s="16"/>
      <c r="M24" s="16"/>
      <c r="N24" s="16"/>
      <c r="O24" s="16"/>
    </row>
    <row r="25" spans="1:15" ht="15.75" x14ac:dyDescent="0.25">
      <c r="A25" s="28" t="s">
        <v>1282</v>
      </c>
      <c r="B25" s="5" t="s">
        <v>1284</v>
      </c>
      <c r="C25" s="47">
        <v>1.5</v>
      </c>
      <c r="D25" s="22" t="s">
        <v>1078</v>
      </c>
      <c r="F25" s="28"/>
      <c r="G25" s="58"/>
      <c r="H25" s="16"/>
      <c r="I25" s="16"/>
      <c r="J25" s="16"/>
      <c r="K25" s="16"/>
      <c r="L25" s="16"/>
      <c r="M25" s="16"/>
      <c r="N25" s="16"/>
      <c r="O25" s="16"/>
    </row>
    <row r="26" spans="1:15" ht="16.5" thickBot="1" x14ac:dyDescent="0.3">
      <c r="A26" s="28" t="s">
        <v>1280</v>
      </c>
      <c r="B26" s="5" t="s">
        <v>1284</v>
      </c>
      <c r="C26" s="54">
        <v>1.875</v>
      </c>
      <c r="D26" s="22" t="s">
        <v>1078</v>
      </c>
      <c r="F26" s="28"/>
      <c r="G26" s="58"/>
      <c r="H26" s="16"/>
      <c r="I26" s="16"/>
      <c r="J26" s="16"/>
      <c r="K26" s="16"/>
      <c r="L26" s="16"/>
      <c r="M26" s="16"/>
      <c r="N26" s="16"/>
      <c r="O26" s="16"/>
    </row>
    <row r="27" spans="1:15" x14ac:dyDescent="0.2">
      <c r="A27" s="28"/>
      <c r="B27" s="27"/>
      <c r="C27" s="27"/>
      <c r="D27" s="22"/>
      <c r="F27" s="28"/>
      <c r="G27" s="58" t="s">
        <v>1071</v>
      </c>
      <c r="H27" s="16"/>
      <c r="I27" s="16"/>
      <c r="J27" s="16"/>
      <c r="K27" s="16"/>
      <c r="L27" s="16"/>
      <c r="M27" s="16"/>
      <c r="N27" s="16"/>
      <c r="O27" s="16"/>
    </row>
    <row r="28" spans="1:15" ht="16.5" thickBot="1" x14ac:dyDescent="0.3">
      <c r="B28" s="27" t="s">
        <v>1071</v>
      </c>
      <c r="C28" s="88" t="s">
        <v>876</v>
      </c>
      <c r="D28" s="22"/>
      <c r="F28" s="28"/>
      <c r="G28" s="58"/>
      <c r="H28" s="16"/>
      <c r="I28" s="16"/>
      <c r="J28" s="16"/>
      <c r="K28" s="16"/>
      <c r="L28" s="16"/>
      <c r="M28" s="16"/>
      <c r="N28" s="16"/>
      <c r="O28" s="16"/>
    </row>
    <row r="29" spans="1:15" ht="15.75" x14ac:dyDescent="0.25">
      <c r="A29" s="28" t="s">
        <v>1449</v>
      </c>
      <c r="B29" s="5" t="s">
        <v>1276</v>
      </c>
      <c r="C29" s="150">
        <f>C23/C22</f>
        <v>2.6666666666666665</v>
      </c>
      <c r="D29" s="22" t="s">
        <v>1078</v>
      </c>
      <c r="F29" s="28"/>
      <c r="G29" s="58"/>
      <c r="H29" s="16"/>
      <c r="I29" s="16"/>
      <c r="J29" s="16"/>
      <c r="K29" s="16"/>
      <c r="L29" s="16"/>
      <c r="M29" s="16"/>
      <c r="N29" s="16"/>
      <c r="O29" s="16"/>
    </row>
    <row r="30" spans="1:15" ht="16.5" x14ac:dyDescent="0.3">
      <c r="A30" s="28" t="s">
        <v>1450</v>
      </c>
      <c r="B30" s="5" t="s">
        <v>1019</v>
      </c>
      <c r="C30" s="151">
        <f>1/C22</f>
        <v>8.3333333333333329E-2</v>
      </c>
      <c r="D30" s="22" t="s">
        <v>1078</v>
      </c>
      <c r="F30" s="28"/>
      <c r="G30" s="58"/>
      <c r="H30" s="16"/>
      <c r="I30" s="16"/>
      <c r="J30" s="16"/>
      <c r="K30" s="16"/>
      <c r="L30" s="16"/>
      <c r="M30" s="16"/>
      <c r="N30" s="16"/>
      <c r="O30" s="16"/>
    </row>
    <row r="31" spans="1:15" ht="16.5" x14ac:dyDescent="0.3">
      <c r="A31" s="28" t="s">
        <v>1451</v>
      </c>
      <c r="B31" s="5" t="s">
        <v>1020</v>
      </c>
      <c r="C31" s="151">
        <f>1.157/C22</f>
        <v>9.6416666666666664E-2</v>
      </c>
      <c r="D31" s="22" t="s">
        <v>1078</v>
      </c>
      <c r="F31" s="28"/>
      <c r="G31" s="58"/>
      <c r="H31" s="16"/>
      <c r="I31" s="16"/>
      <c r="J31" s="16"/>
      <c r="K31" s="16"/>
      <c r="L31" s="16"/>
      <c r="M31" s="16"/>
      <c r="N31" s="16"/>
      <c r="O31" s="16"/>
    </row>
    <row r="32" spans="1:15" ht="16.5" x14ac:dyDescent="0.3">
      <c r="A32" s="28" t="s">
        <v>1452</v>
      </c>
      <c r="B32" s="5" t="s">
        <v>1021</v>
      </c>
      <c r="C32" s="151">
        <f>2.157/C22</f>
        <v>0.17974999999999999</v>
      </c>
      <c r="D32" s="22" t="s">
        <v>1078</v>
      </c>
      <c r="F32" s="28"/>
      <c r="G32" s="58"/>
      <c r="H32" s="16"/>
      <c r="I32" s="16"/>
      <c r="J32" s="16"/>
      <c r="K32" s="16"/>
      <c r="L32" s="16"/>
      <c r="M32" s="16"/>
      <c r="N32" s="16"/>
      <c r="O32" s="16"/>
    </row>
    <row r="33" spans="1:15" ht="16.5" x14ac:dyDescent="0.3">
      <c r="A33" s="28" t="s">
        <v>1453</v>
      </c>
      <c r="B33" s="5" t="s">
        <v>1022</v>
      </c>
      <c r="C33" s="151">
        <f>0.157/C22</f>
        <v>1.3083333333333334E-2</v>
      </c>
      <c r="D33" s="22" t="s">
        <v>1078</v>
      </c>
      <c r="F33" s="28"/>
      <c r="G33" s="58"/>
      <c r="H33" s="16"/>
      <c r="I33" s="16"/>
      <c r="J33" s="16"/>
      <c r="K33" s="16"/>
      <c r="L33" s="16"/>
      <c r="M33" s="16"/>
      <c r="N33" s="16"/>
      <c r="O33" s="16"/>
    </row>
    <row r="34" spans="1:15" ht="16.5" x14ac:dyDescent="0.3">
      <c r="A34" s="28" t="s">
        <v>1454</v>
      </c>
      <c r="B34" s="5" t="s">
        <v>1277</v>
      </c>
      <c r="C34" s="151">
        <f>C29+(2*C30)</f>
        <v>2.833333333333333</v>
      </c>
      <c r="D34" s="22" t="s">
        <v>1078</v>
      </c>
      <c r="F34" s="28"/>
      <c r="G34" s="58"/>
      <c r="H34" s="16"/>
      <c r="I34" s="16"/>
      <c r="J34" s="16"/>
      <c r="K34" s="16"/>
      <c r="L34" s="16"/>
      <c r="M34" s="16"/>
      <c r="N34" s="16"/>
      <c r="O34" s="16"/>
    </row>
    <row r="35" spans="1:15" ht="16.5" x14ac:dyDescent="0.3">
      <c r="A35" s="28" t="s">
        <v>1455</v>
      </c>
      <c r="B35" s="5" t="s">
        <v>1023</v>
      </c>
      <c r="C35" s="151">
        <f>(C23+2)/C22</f>
        <v>2.8333333333333335</v>
      </c>
      <c r="D35" s="22" t="s">
        <v>1078</v>
      </c>
      <c r="F35" s="28"/>
      <c r="G35" s="58"/>
      <c r="H35" s="16"/>
      <c r="I35" s="16"/>
      <c r="J35" s="16"/>
      <c r="K35" s="16"/>
      <c r="L35" s="16"/>
      <c r="M35" s="16"/>
      <c r="N35" s="16"/>
      <c r="O35" s="16"/>
    </row>
    <row r="36" spans="1:15" ht="16.5" x14ac:dyDescent="0.3">
      <c r="A36" s="28" t="s">
        <v>1456</v>
      </c>
      <c r="B36" s="5" t="s">
        <v>1278</v>
      </c>
      <c r="C36" s="151">
        <f>C29-(2*C31)</f>
        <v>2.4738333333333333</v>
      </c>
      <c r="D36" s="22" t="s">
        <v>1078</v>
      </c>
      <c r="F36" s="28"/>
      <c r="G36" s="58"/>
      <c r="H36" s="16"/>
      <c r="I36" s="16"/>
      <c r="J36" s="16"/>
      <c r="K36" s="16"/>
      <c r="L36" s="16"/>
      <c r="M36" s="16"/>
      <c r="N36" s="16"/>
      <c r="O36" s="16"/>
    </row>
    <row r="37" spans="1:15" ht="16.5" x14ac:dyDescent="0.3">
      <c r="A37" s="28" t="s">
        <v>1457</v>
      </c>
      <c r="B37" s="5" t="s">
        <v>1024</v>
      </c>
      <c r="C37" s="151">
        <f>(C23-2.314)/C22</f>
        <v>2.4738333333333333</v>
      </c>
      <c r="D37" s="22" t="s">
        <v>1078</v>
      </c>
      <c r="F37" s="28"/>
      <c r="G37" s="58"/>
      <c r="H37" s="16"/>
      <c r="I37" s="16"/>
      <c r="J37" s="16"/>
      <c r="K37" s="16"/>
      <c r="L37" s="16"/>
      <c r="M37" s="16"/>
      <c r="N37" s="16"/>
      <c r="O37" s="16"/>
    </row>
    <row r="38" spans="1:15" ht="16.5" x14ac:dyDescent="0.3">
      <c r="A38" s="28" t="s">
        <v>1458</v>
      </c>
      <c r="B38" s="5" t="s">
        <v>1287</v>
      </c>
      <c r="C38" s="151">
        <f>C29*COS(C21*0.0175)</f>
        <v>2.5049939009263436</v>
      </c>
      <c r="D38" s="22" t="s">
        <v>1078</v>
      </c>
      <c r="F38" s="28"/>
      <c r="G38" s="58"/>
      <c r="H38" s="16"/>
      <c r="I38" s="16"/>
      <c r="J38" s="16"/>
      <c r="K38" s="16"/>
      <c r="L38" s="16"/>
      <c r="M38" s="16"/>
      <c r="N38" s="16"/>
      <c r="O38" s="16"/>
    </row>
    <row r="39" spans="1:15" ht="16.5" x14ac:dyDescent="0.3">
      <c r="A39" s="28" t="s">
        <v>1459</v>
      </c>
      <c r="B39" s="5" t="s">
        <v>1285</v>
      </c>
      <c r="C39" s="151">
        <f>(3.1416*C29)/C23</f>
        <v>0.26179999999999998</v>
      </c>
      <c r="D39" s="22" t="s">
        <v>1078</v>
      </c>
      <c r="F39" s="28"/>
      <c r="G39" s="58"/>
      <c r="H39" s="16"/>
      <c r="I39" s="16"/>
      <c r="J39" s="16"/>
      <c r="K39" s="16"/>
      <c r="L39" s="16"/>
      <c r="M39" s="16"/>
      <c r="N39" s="16"/>
      <c r="O39" s="16"/>
    </row>
    <row r="40" spans="1:15" ht="16.5" x14ac:dyDescent="0.3">
      <c r="A40" s="28" t="s">
        <v>1460</v>
      </c>
      <c r="B40" s="5" t="s">
        <v>1025</v>
      </c>
      <c r="C40" s="151">
        <f>3.1416/C22</f>
        <v>0.26179999999999998</v>
      </c>
      <c r="D40" s="22" t="s">
        <v>1078</v>
      </c>
      <c r="F40" s="28"/>
      <c r="G40" s="58"/>
      <c r="H40" s="16"/>
      <c r="I40" s="16"/>
      <c r="J40" s="16"/>
      <c r="K40" s="16"/>
      <c r="L40" s="16"/>
      <c r="M40" s="16"/>
      <c r="N40" s="16"/>
      <c r="O40" s="16"/>
    </row>
    <row r="41" spans="1:15" ht="16.5" x14ac:dyDescent="0.3">
      <c r="A41" s="28" t="s">
        <v>1461</v>
      </c>
      <c r="B41" s="5" t="s">
        <v>1286</v>
      </c>
      <c r="C41" s="151">
        <f>C29*(SIN(90*0.01745)/C23)</f>
        <v>8.3333329674601303E-2</v>
      </c>
      <c r="D41" s="22" t="s">
        <v>1078</v>
      </c>
      <c r="F41" s="28"/>
      <c r="G41" s="58"/>
      <c r="H41" s="16"/>
      <c r="I41" s="16"/>
      <c r="J41" s="16"/>
      <c r="K41" s="16"/>
      <c r="L41" s="16"/>
      <c r="M41" s="16"/>
      <c r="N41" s="16"/>
      <c r="O41" s="16"/>
    </row>
    <row r="42" spans="1:15" ht="16.5" x14ac:dyDescent="0.3">
      <c r="A42" s="28" t="s">
        <v>1462</v>
      </c>
      <c r="B42" s="5" t="s">
        <v>1026</v>
      </c>
      <c r="C42" s="151">
        <f>C30+C23^2/(4*C29)</f>
        <v>96.083333333333329</v>
      </c>
      <c r="D42" s="22" t="s">
        <v>1078</v>
      </c>
      <c r="F42" s="28"/>
      <c r="G42" s="58"/>
      <c r="H42" s="16"/>
      <c r="I42" s="16"/>
      <c r="J42" s="16"/>
      <c r="K42" s="16"/>
      <c r="L42" s="16"/>
      <c r="M42" s="16"/>
      <c r="N42" s="16"/>
      <c r="O42" s="16"/>
    </row>
    <row r="43" spans="1:15" ht="17.25" thickBot="1" x14ac:dyDescent="0.35">
      <c r="A43" s="28" t="s">
        <v>1463</v>
      </c>
      <c r="B43" s="5" t="s">
        <v>1279</v>
      </c>
      <c r="C43" s="152">
        <f>C30*2</f>
        <v>0.16666666666666666</v>
      </c>
      <c r="D43" s="22" t="s">
        <v>1078</v>
      </c>
      <c r="F43" s="28"/>
      <c r="G43" s="58"/>
      <c r="H43" s="16"/>
      <c r="I43" s="16"/>
      <c r="J43" s="16"/>
      <c r="K43" s="16"/>
      <c r="L43" s="16"/>
      <c r="M43" s="16"/>
      <c r="N43" s="16"/>
      <c r="O43" s="16"/>
    </row>
    <row r="44" spans="1:15" x14ac:dyDescent="0.2">
      <c r="G44" s="58"/>
      <c r="H44" s="16"/>
      <c r="I44" s="16"/>
      <c r="J44" s="16"/>
      <c r="K44" s="16"/>
      <c r="L44" s="16"/>
      <c r="M44" s="16"/>
      <c r="N44" s="16"/>
      <c r="O44" s="16"/>
    </row>
    <row r="45" spans="1:15" x14ac:dyDescent="0.2">
      <c r="A45" s="22" t="s">
        <v>882</v>
      </c>
      <c r="B45" s="27"/>
      <c r="C45" s="27"/>
      <c r="F45" s="28"/>
      <c r="G45" s="58"/>
      <c r="H45" s="16"/>
      <c r="I45" s="16"/>
      <c r="J45" s="16"/>
      <c r="K45" s="16"/>
      <c r="L45" s="16"/>
      <c r="M45" s="16"/>
      <c r="N45" s="16"/>
      <c r="O45" s="16"/>
    </row>
    <row r="46" spans="1:15" x14ac:dyDescent="0.2">
      <c r="A46" s="28" t="s">
        <v>440</v>
      </c>
      <c r="B46" s="27">
        <v>3.1415999999999999</v>
      </c>
      <c r="C46" s="27"/>
      <c r="F46" s="28"/>
      <c r="G46" s="58"/>
      <c r="H46" s="16"/>
      <c r="I46" s="16"/>
      <c r="J46" s="16"/>
      <c r="K46" s="16"/>
      <c r="L46" s="16"/>
      <c r="M46" s="16"/>
      <c r="N46" s="16"/>
      <c r="O46" s="16"/>
    </row>
    <row r="47" spans="1:15" ht="15.75" x14ac:dyDescent="0.25">
      <c r="A47" s="1" t="s">
        <v>337</v>
      </c>
      <c r="B47" s="27"/>
      <c r="C47" s="27"/>
      <c r="F47" s="28"/>
      <c r="G47" s="58"/>
      <c r="H47" s="16"/>
      <c r="I47" s="16"/>
      <c r="J47" s="16"/>
      <c r="K47" s="16"/>
      <c r="L47" s="16"/>
      <c r="M47" s="16"/>
      <c r="N47" s="16"/>
      <c r="O47" s="16"/>
    </row>
    <row r="48" spans="1:15" x14ac:dyDescent="0.2">
      <c r="G48" s="58"/>
      <c r="H48" s="16"/>
      <c r="I48" s="16"/>
      <c r="J48" s="16"/>
      <c r="K48" s="16"/>
      <c r="L48" s="16"/>
      <c r="M48" s="16"/>
      <c r="N48" s="16"/>
      <c r="O48" s="16"/>
    </row>
    <row r="49" spans="1:15" x14ac:dyDescent="0.2">
      <c r="A49" s="23"/>
      <c r="B49" s="23"/>
      <c r="C49" s="23"/>
      <c r="D49" s="23"/>
      <c r="E49" s="23"/>
      <c r="F49" s="124"/>
      <c r="G49" s="58"/>
      <c r="H49" s="16"/>
      <c r="I49" s="16"/>
      <c r="J49" s="16"/>
      <c r="K49" s="16"/>
      <c r="L49" s="16"/>
      <c r="M49" s="16"/>
      <c r="N49" s="16"/>
      <c r="O49" s="16"/>
    </row>
    <row r="50" spans="1:15" x14ac:dyDescent="0.2">
      <c r="G50" s="16"/>
      <c r="H50" s="16"/>
      <c r="I50" s="16"/>
      <c r="J50" s="16"/>
      <c r="K50" s="16"/>
      <c r="L50" s="16"/>
      <c r="M50" s="16"/>
      <c r="N50" s="16"/>
      <c r="O50" s="16"/>
    </row>
    <row r="51" spans="1:15" ht="15.75" x14ac:dyDescent="0.25">
      <c r="F51" s="5" t="s">
        <v>1071</v>
      </c>
      <c r="G51" s="16"/>
      <c r="H51" s="16"/>
      <c r="I51" s="16"/>
      <c r="J51" s="16"/>
      <c r="K51" s="16"/>
      <c r="L51" s="16"/>
      <c r="M51" s="16"/>
      <c r="N51" s="16"/>
      <c r="O51" s="16"/>
    </row>
    <row r="52" spans="1:15" x14ac:dyDescent="0.2">
      <c r="G52" s="16"/>
      <c r="H52" s="16"/>
      <c r="I52" s="16"/>
      <c r="J52" s="16"/>
      <c r="K52" s="16"/>
      <c r="L52" s="16"/>
      <c r="M52" s="16"/>
      <c r="N52" s="16"/>
      <c r="O52" s="16"/>
    </row>
    <row r="53" spans="1:15" x14ac:dyDescent="0.2">
      <c r="G53" s="16"/>
      <c r="H53" s="16"/>
      <c r="I53" s="16"/>
      <c r="J53" s="16"/>
      <c r="K53" s="16"/>
      <c r="L53" s="16"/>
      <c r="M53" s="16"/>
      <c r="N53" s="16"/>
      <c r="O53" s="16"/>
    </row>
    <row r="54" spans="1:15" x14ac:dyDescent="0.2">
      <c r="G54" s="16"/>
      <c r="H54" s="16"/>
      <c r="I54" s="16"/>
      <c r="J54" s="16"/>
      <c r="K54" s="16"/>
      <c r="L54" s="16"/>
      <c r="M54" s="16"/>
      <c r="N54" s="16"/>
      <c r="O54" s="16"/>
    </row>
    <row r="55" spans="1:15" x14ac:dyDescent="0.2">
      <c r="G55" s="16"/>
      <c r="H55" s="16"/>
      <c r="I55" s="16"/>
      <c r="J55" s="16"/>
      <c r="K55" s="16"/>
      <c r="L55" s="16"/>
      <c r="M55" s="16"/>
      <c r="N55" s="16"/>
      <c r="O55" s="16"/>
    </row>
    <row r="56" spans="1:15" x14ac:dyDescent="0.2">
      <c r="G56" s="16"/>
      <c r="H56" s="16"/>
      <c r="I56" s="16"/>
      <c r="J56" s="16"/>
      <c r="K56" s="16"/>
      <c r="L56" s="16"/>
      <c r="M56" s="16"/>
      <c r="N56" s="16"/>
      <c r="O56" s="16"/>
    </row>
    <row r="57" spans="1:15" x14ac:dyDescent="0.2">
      <c r="G57" s="16"/>
      <c r="H57" s="16"/>
      <c r="I57" s="16"/>
      <c r="J57" s="16"/>
      <c r="K57" s="16"/>
      <c r="L57" s="16"/>
      <c r="M57" s="16"/>
      <c r="N57" s="16"/>
      <c r="O57" s="16"/>
    </row>
    <row r="58" spans="1:15" x14ac:dyDescent="0.2">
      <c r="G58" s="16"/>
      <c r="H58" s="16"/>
      <c r="I58" s="16"/>
      <c r="J58" s="16"/>
      <c r="K58" s="16"/>
      <c r="L58" s="16"/>
      <c r="M58" s="16"/>
      <c r="N58" s="16"/>
      <c r="O58" s="16"/>
    </row>
    <row r="59" spans="1:15" x14ac:dyDescent="0.2">
      <c r="G59" s="16"/>
      <c r="H59" s="16"/>
      <c r="I59" s="16"/>
      <c r="J59" s="16"/>
      <c r="K59" s="16"/>
      <c r="L59" s="16"/>
      <c r="M59" s="16"/>
      <c r="N59" s="16"/>
      <c r="O59" s="16"/>
    </row>
    <row r="60" spans="1:15" x14ac:dyDescent="0.2">
      <c r="G60" s="16"/>
      <c r="H60" s="16"/>
      <c r="I60" s="16"/>
      <c r="J60" s="16"/>
      <c r="K60" s="16"/>
      <c r="L60" s="16"/>
      <c r="M60" s="16"/>
      <c r="N60" s="16"/>
      <c r="O60" s="16"/>
    </row>
    <row r="61" spans="1:15" x14ac:dyDescent="0.2">
      <c r="G61" s="16"/>
      <c r="H61" s="16"/>
      <c r="I61" s="16"/>
      <c r="J61" s="16"/>
      <c r="K61" s="16"/>
      <c r="L61" s="16"/>
      <c r="M61" s="16"/>
      <c r="N61" s="16"/>
      <c r="O61" s="16"/>
    </row>
    <row r="62" spans="1:15" x14ac:dyDescent="0.2">
      <c r="G62" s="16"/>
      <c r="H62" s="16"/>
      <c r="I62" s="16"/>
      <c r="J62" s="16"/>
      <c r="K62" s="16"/>
      <c r="L62" s="16"/>
      <c r="M62" s="16"/>
      <c r="N62" s="16"/>
      <c r="O62" s="16"/>
    </row>
    <row r="63" spans="1:15" x14ac:dyDescent="0.2">
      <c r="G63" s="16"/>
      <c r="H63" s="16"/>
      <c r="I63" s="16"/>
      <c r="J63" s="16"/>
      <c r="K63" s="16"/>
      <c r="L63" s="16"/>
      <c r="M63" s="16"/>
      <c r="N63" s="16"/>
      <c r="O63" s="16"/>
    </row>
    <row r="64" spans="1:15" x14ac:dyDescent="0.2">
      <c r="G64" s="16"/>
      <c r="H64" s="16"/>
      <c r="I64" s="16"/>
      <c r="J64" s="16"/>
      <c r="K64" s="16"/>
      <c r="L64" s="16"/>
      <c r="M64" s="16"/>
      <c r="N64" s="16"/>
      <c r="O64" s="16"/>
    </row>
    <row r="65" spans="1:15" x14ac:dyDescent="0.2">
      <c r="A65" s="28"/>
      <c r="B65" s="27"/>
      <c r="C65" s="27"/>
      <c r="F65" s="28"/>
      <c r="G65" s="58"/>
      <c r="H65" s="16"/>
      <c r="I65" s="16"/>
      <c r="J65" s="16"/>
      <c r="K65" s="16"/>
      <c r="L65" s="16"/>
      <c r="M65" s="16"/>
      <c r="N65" s="16"/>
      <c r="O65" s="16"/>
    </row>
    <row r="66" spans="1:15" ht="16.5" thickBot="1" x14ac:dyDescent="0.3">
      <c r="A66" s="1" t="s">
        <v>24</v>
      </c>
      <c r="B66" s="30" t="s">
        <v>109</v>
      </c>
      <c r="C66" s="27"/>
      <c r="F66" s="28"/>
      <c r="G66" s="58"/>
      <c r="H66" s="16"/>
      <c r="I66" s="16"/>
      <c r="J66" s="16"/>
      <c r="K66" s="16"/>
      <c r="L66" s="16"/>
      <c r="M66" s="16"/>
      <c r="N66" s="16"/>
      <c r="O66" s="16"/>
    </row>
    <row r="67" spans="1:15" x14ac:dyDescent="0.2">
      <c r="A67" s="28" t="s">
        <v>25</v>
      </c>
      <c r="B67" s="31">
        <v>4.6500000000000004</v>
      </c>
      <c r="C67" s="22" t="s">
        <v>1078</v>
      </c>
      <c r="F67" s="28"/>
      <c r="G67" s="58"/>
      <c r="H67" s="16"/>
      <c r="I67" s="16"/>
      <c r="J67" s="16"/>
      <c r="K67" s="16"/>
      <c r="L67" s="16"/>
      <c r="M67" s="16"/>
      <c r="N67" s="16"/>
      <c r="O67" s="16"/>
    </row>
    <row r="68" spans="1:15" x14ac:dyDescent="0.2">
      <c r="A68" s="28" t="s">
        <v>26</v>
      </c>
      <c r="B68" s="32">
        <v>9.3000000000000007</v>
      </c>
      <c r="C68" s="22" t="s">
        <v>1078</v>
      </c>
      <c r="F68" s="28"/>
      <c r="G68" s="58"/>
      <c r="H68" s="16"/>
      <c r="I68" s="16"/>
      <c r="J68" s="16"/>
      <c r="K68" s="16"/>
      <c r="L68" s="16"/>
      <c r="M68" s="16"/>
      <c r="N68" s="16"/>
      <c r="O68" s="16"/>
    </row>
    <row r="69" spans="1:15" ht="15.75" thickBot="1" x14ac:dyDescent="0.25">
      <c r="A69" s="28" t="s">
        <v>1443</v>
      </c>
      <c r="B69" s="54">
        <v>20</v>
      </c>
      <c r="C69" s="22" t="s">
        <v>1275</v>
      </c>
      <c r="F69" s="28"/>
      <c r="G69" s="58"/>
      <c r="H69" s="16"/>
      <c r="I69" s="16"/>
      <c r="J69" s="16"/>
      <c r="K69" s="16"/>
      <c r="L69" s="16"/>
      <c r="M69" s="16"/>
      <c r="N69" s="16"/>
      <c r="O69" s="16"/>
    </row>
    <row r="70" spans="1:15" ht="15.75" x14ac:dyDescent="0.25">
      <c r="B70" s="30" t="s">
        <v>876</v>
      </c>
      <c r="F70" s="28"/>
      <c r="G70" s="58"/>
      <c r="H70" s="16"/>
      <c r="I70" s="16"/>
      <c r="J70" s="16"/>
      <c r="K70" s="16"/>
      <c r="L70" s="16"/>
      <c r="M70" s="16"/>
      <c r="N70" s="16"/>
      <c r="O70" s="16"/>
    </row>
    <row r="71" spans="1:15" ht="15.75" x14ac:dyDescent="0.25">
      <c r="A71" s="2" t="s">
        <v>32</v>
      </c>
      <c r="B71" s="5" t="s">
        <v>30</v>
      </c>
      <c r="C71" s="5"/>
      <c r="E71" s="22" t="s">
        <v>1071</v>
      </c>
      <c r="F71" s="28"/>
      <c r="G71" s="58"/>
      <c r="H71" s="16"/>
      <c r="I71" s="16"/>
      <c r="J71" s="16"/>
      <c r="K71" s="16"/>
      <c r="L71" s="16"/>
      <c r="M71" s="16"/>
      <c r="N71" s="16"/>
      <c r="O71" s="16"/>
    </row>
    <row r="72" spans="1:15" ht="15.75" x14ac:dyDescent="0.25">
      <c r="A72" s="2" t="s">
        <v>33</v>
      </c>
      <c r="B72" s="37" t="s">
        <v>31</v>
      </c>
      <c r="C72" s="5"/>
      <c r="F72" s="28"/>
      <c r="G72" s="58"/>
      <c r="H72" s="16"/>
      <c r="I72" s="16"/>
      <c r="J72" s="16"/>
      <c r="K72" s="16"/>
      <c r="L72" s="16"/>
      <c r="M72" s="16"/>
      <c r="N72" s="16"/>
      <c r="O72" s="16"/>
    </row>
    <row r="73" spans="1:15" ht="15.75" x14ac:dyDescent="0.25">
      <c r="A73" s="2" t="s">
        <v>34</v>
      </c>
      <c r="B73" s="37" t="s">
        <v>31</v>
      </c>
      <c r="C73" s="5"/>
      <c r="F73" s="28"/>
      <c r="G73" s="58"/>
      <c r="H73" s="16"/>
      <c r="I73" s="16"/>
      <c r="J73" s="16"/>
      <c r="K73" s="16"/>
      <c r="L73" s="16"/>
      <c r="M73" s="16"/>
      <c r="N73" s="16"/>
      <c r="O73" s="16"/>
    </row>
    <row r="74" spans="1:15" ht="15.75" x14ac:dyDescent="0.25">
      <c r="A74" s="2" t="s">
        <v>897</v>
      </c>
      <c r="B74" s="1" t="s">
        <v>27</v>
      </c>
      <c r="C74" s="5"/>
      <c r="F74" s="28"/>
      <c r="G74" s="58"/>
      <c r="H74" s="16"/>
      <c r="I74" s="16"/>
      <c r="J74" s="16"/>
      <c r="K74" s="16"/>
      <c r="L74" s="16"/>
      <c r="M74" s="16"/>
      <c r="N74" s="16"/>
      <c r="O74" s="16"/>
    </row>
    <row r="75" spans="1:15" ht="15.75" x14ac:dyDescent="0.25">
      <c r="A75" s="2" t="s">
        <v>29</v>
      </c>
      <c r="B75" s="37">
        <f>((B67^2+B68^2*(SIN(B69*0.01745))^2)^0.5)</f>
        <v>5.6334933577166328</v>
      </c>
      <c r="C75" s="5"/>
      <c r="F75" s="28"/>
      <c r="G75" s="58"/>
      <c r="H75" s="16"/>
      <c r="I75" s="16"/>
      <c r="J75" s="16"/>
      <c r="K75" s="16"/>
      <c r="L75" s="16"/>
      <c r="M75" s="16"/>
      <c r="N75" s="16"/>
      <c r="O75" s="16"/>
    </row>
    <row r="76" spans="1:15" ht="15.75" x14ac:dyDescent="0.25">
      <c r="A76" s="2" t="s">
        <v>28</v>
      </c>
      <c r="B76" s="37">
        <v>6</v>
      </c>
      <c r="C76" s="5"/>
      <c r="F76" s="28"/>
      <c r="G76" s="58"/>
      <c r="H76" s="16"/>
      <c r="I76" s="16"/>
      <c r="J76" s="16"/>
      <c r="K76" s="16"/>
      <c r="L76" s="16"/>
      <c r="M76" s="16"/>
      <c r="N76" s="16"/>
      <c r="O76" s="16"/>
    </row>
    <row r="77" spans="1:15" x14ac:dyDescent="0.2">
      <c r="F77" s="28"/>
      <c r="G77" s="58"/>
      <c r="H77" s="16"/>
      <c r="I77" s="16"/>
      <c r="J77" s="16"/>
      <c r="K77" s="16"/>
      <c r="L77" s="16"/>
      <c r="M77" s="16"/>
      <c r="N77" s="16"/>
      <c r="O77" s="16"/>
    </row>
    <row r="78" spans="1:15" x14ac:dyDescent="0.2">
      <c r="A78" s="23"/>
      <c r="B78" s="125"/>
      <c r="C78" s="125"/>
      <c r="D78" s="23"/>
      <c r="E78" s="23"/>
      <c r="F78" s="124"/>
      <c r="G78" s="58"/>
      <c r="H78" s="16"/>
      <c r="I78" s="16"/>
      <c r="J78" s="16"/>
      <c r="K78" s="16"/>
      <c r="L78" s="16"/>
      <c r="M78" s="16"/>
      <c r="N78" s="16"/>
      <c r="O78" s="16"/>
    </row>
    <row r="79" spans="1:15" x14ac:dyDescent="0.2">
      <c r="G79" s="58"/>
      <c r="H79" s="16"/>
      <c r="I79" s="16"/>
      <c r="J79" s="16"/>
      <c r="K79" s="16"/>
      <c r="L79" s="16"/>
      <c r="M79" s="16"/>
      <c r="N79" s="16"/>
      <c r="O79" s="16"/>
    </row>
    <row r="80" spans="1:15" ht="15.75" x14ac:dyDescent="0.25">
      <c r="A80" s="1" t="s">
        <v>1288</v>
      </c>
      <c r="B80" s="27"/>
      <c r="C80" s="27"/>
      <c r="F80" s="28"/>
      <c r="G80" s="58"/>
      <c r="H80" s="16"/>
      <c r="I80" s="16"/>
      <c r="J80" s="16"/>
      <c r="K80" s="16"/>
      <c r="L80" s="16"/>
      <c r="M80" s="16"/>
      <c r="N80" s="16"/>
      <c r="O80" s="16"/>
    </row>
    <row r="81" spans="1:15" x14ac:dyDescent="0.2">
      <c r="A81" s="28"/>
      <c r="B81" s="27"/>
      <c r="C81" s="27"/>
      <c r="F81" s="28"/>
      <c r="G81" s="58"/>
      <c r="H81" s="16"/>
      <c r="I81" s="16"/>
      <c r="J81" s="16"/>
      <c r="K81" s="16"/>
      <c r="L81" s="16"/>
      <c r="M81" s="16"/>
      <c r="N81" s="16"/>
      <c r="O81" s="16"/>
    </row>
    <row r="82" spans="1:15" x14ac:dyDescent="0.2">
      <c r="A82" s="28"/>
      <c r="B82" s="27"/>
      <c r="C82" s="27"/>
      <c r="F82" s="28"/>
      <c r="G82" s="58"/>
      <c r="H82" s="16"/>
      <c r="I82" s="16"/>
      <c r="J82" s="16"/>
      <c r="K82" s="16"/>
      <c r="L82" s="16"/>
      <c r="M82" s="16"/>
      <c r="N82" s="16"/>
      <c r="O82" s="16"/>
    </row>
    <row r="83" spans="1:15" x14ac:dyDescent="0.2">
      <c r="A83" s="28"/>
      <c r="B83" s="27"/>
      <c r="C83" s="27"/>
      <c r="F83" s="28"/>
      <c r="G83" s="58"/>
      <c r="H83" s="16"/>
      <c r="I83" s="16"/>
      <c r="J83" s="16"/>
      <c r="K83" s="16"/>
      <c r="L83" s="16"/>
      <c r="M83" s="16"/>
      <c r="N83" s="16"/>
      <c r="O83" s="16"/>
    </row>
    <row r="84" spans="1:15" x14ac:dyDescent="0.2">
      <c r="A84" s="28"/>
      <c r="B84" s="27"/>
      <c r="C84" s="27"/>
      <c r="F84" s="28"/>
      <c r="G84" s="58"/>
      <c r="H84" s="16"/>
      <c r="I84" s="16"/>
      <c r="J84" s="16"/>
      <c r="K84" s="16"/>
      <c r="L84" s="16"/>
      <c r="M84" s="16"/>
      <c r="N84" s="16"/>
      <c r="O84" s="16"/>
    </row>
    <row r="85" spans="1:15" x14ac:dyDescent="0.2">
      <c r="A85" s="28"/>
      <c r="B85" s="27"/>
      <c r="C85" s="27"/>
      <c r="F85" s="28"/>
      <c r="G85" s="58"/>
      <c r="H85" s="16"/>
      <c r="I85" s="16"/>
      <c r="J85" s="16"/>
      <c r="K85" s="16"/>
      <c r="L85" s="16"/>
      <c r="M85" s="16"/>
      <c r="N85" s="16"/>
      <c r="O85" s="16"/>
    </row>
    <row r="86" spans="1:15" x14ac:dyDescent="0.2">
      <c r="A86" s="28"/>
      <c r="B86" s="27"/>
      <c r="C86" s="27"/>
      <c r="F86" s="28"/>
      <c r="G86" s="58"/>
      <c r="H86" s="16"/>
      <c r="I86" s="16"/>
      <c r="J86" s="16"/>
      <c r="K86" s="16"/>
      <c r="L86" s="16"/>
      <c r="M86" s="16"/>
      <c r="N86" s="16"/>
      <c r="O86" s="16"/>
    </row>
    <row r="87" spans="1:15" x14ac:dyDescent="0.2">
      <c r="A87" s="28"/>
      <c r="B87" s="27"/>
      <c r="C87" s="27"/>
      <c r="F87" s="28"/>
      <c r="G87" s="58"/>
      <c r="H87" s="16"/>
      <c r="I87" s="16"/>
      <c r="J87" s="16"/>
      <c r="K87" s="16"/>
      <c r="L87" s="16"/>
      <c r="M87" s="16"/>
      <c r="N87" s="16"/>
      <c r="O87" s="16"/>
    </row>
    <row r="88" spans="1:15" x14ac:dyDescent="0.2">
      <c r="A88" s="28"/>
      <c r="B88" s="27"/>
      <c r="C88" s="27"/>
      <c r="F88" s="28"/>
      <c r="G88" s="58"/>
      <c r="H88" s="16"/>
      <c r="I88" s="16"/>
      <c r="J88" s="16"/>
      <c r="K88" s="16"/>
      <c r="L88" s="16"/>
      <c r="M88" s="16"/>
      <c r="N88" s="16"/>
      <c r="O88" s="16"/>
    </row>
    <row r="89" spans="1:15" x14ac:dyDescent="0.2">
      <c r="A89" s="28"/>
      <c r="B89" s="27"/>
      <c r="C89" s="27"/>
      <c r="F89" s="28"/>
      <c r="G89" s="58"/>
      <c r="H89" s="16"/>
      <c r="I89" s="16"/>
      <c r="J89" s="16"/>
      <c r="K89" s="16"/>
      <c r="L89" s="16"/>
      <c r="M89" s="16"/>
      <c r="N89" s="16"/>
      <c r="O89" s="16"/>
    </row>
    <row r="90" spans="1:15" x14ac:dyDescent="0.2">
      <c r="A90" s="28"/>
      <c r="B90" s="27"/>
      <c r="C90" s="27"/>
      <c r="F90" s="28"/>
      <c r="G90" s="58"/>
      <c r="H90" s="16"/>
      <c r="I90" s="16"/>
      <c r="J90" s="16"/>
      <c r="K90" s="16"/>
      <c r="L90" s="16"/>
      <c r="M90" s="16"/>
      <c r="N90" s="16"/>
      <c r="O90" s="16"/>
    </row>
    <row r="91" spans="1:15" x14ac:dyDescent="0.2">
      <c r="A91" s="28"/>
      <c r="B91" s="27"/>
      <c r="C91" s="27"/>
      <c r="F91" s="28"/>
      <c r="G91" s="58"/>
      <c r="H91" s="16"/>
      <c r="I91" s="16"/>
      <c r="J91" s="16"/>
      <c r="K91" s="16"/>
      <c r="L91" s="16"/>
      <c r="M91" s="16"/>
      <c r="N91" s="16"/>
      <c r="O91" s="16"/>
    </row>
    <row r="92" spans="1:15" x14ac:dyDescent="0.2">
      <c r="A92" s="28"/>
      <c r="B92" s="27"/>
      <c r="C92" s="27"/>
      <c r="F92" s="28"/>
      <c r="G92" s="58"/>
      <c r="H92" s="16"/>
      <c r="I92" s="16"/>
      <c r="J92" s="16"/>
      <c r="K92" s="16"/>
      <c r="L92" s="16"/>
      <c r="M92" s="16"/>
      <c r="N92" s="16"/>
      <c r="O92" s="16"/>
    </row>
    <row r="93" spans="1:15" x14ac:dyDescent="0.2">
      <c r="A93" s="28"/>
      <c r="B93" s="27"/>
      <c r="C93" s="27"/>
      <c r="F93" s="28"/>
      <c r="G93" s="58"/>
      <c r="H93" s="16"/>
      <c r="I93" s="16"/>
      <c r="J93" s="16"/>
      <c r="K93" s="16"/>
      <c r="L93" s="16"/>
      <c r="M93" s="16"/>
      <c r="N93" s="16"/>
      <c r="O93" s="16"/>
    </row>
    <row r="94" spans="1:15" ht="16.5" thickBot="1" x14ac:dyDescent="0.3">
      <c r="A94" s="4" t="s">
        <v>1112</v>
      </c>
      <c r="B94" s="30" t="s">
        <v>107</v>
      </c>
      <c r="C94" s="27"/>
      <c r="F94" s="28"/>
      <c r="G94" s="58"/>
      <c r="H94" s="16"/>
      <c r="I94" s="16"/>
      <c r="J94" s="16"/>
      <c r="K94" s="16"/>
      <c r="L94" s="16"/>
      <c r="M94" s="16"/>
      <c r="N94" s="16"/>
      <c r="O94" s="16"/>
    </row>
    <row r="95" spans="1:15" x14ac:dyDescent="0.2">
      <c r="A95" s="28" t="s">
        <v>1</v>
      </c>
      <c r="B95" s="144">
        <v>1.5</v>
      </c>
      <c r="C95" s="22" t="s">
        <v>1078</v>
      </c>
      <c r="F95" s="28"/>
      <c r="G95" s="58"/>
      <c r="H95" s="16"/>
      <c r="I95" s="16"/>
      <c r="J95" s="16"/>
      <c r="K95" s="16"/>
      <c r="L95" s="16"/>
      <c r="M95" s="16"/>
      <c r="N95" s="16"/>
      <c r="O95" s="16"/>
    </row>
    <row r="96" spans="1:15" x14ac:dyDescent="0.2">
      <c r="A96" s="28" t="s">
        <v>2</v>
      </c>
      <c r="B96" s="47">
        <v>0.7</v>
      </c>
      <c r="C96" s="22" t="s">
        <v>1078</v>
      </c>
      <c r="F96" s="28"/>
      <c r="G96" s="58"/>
      <c r="H96" s="16"/>
      <c r="I96" s="16"/>
      <c r="J96" s="16"/>
      <c r="K96" s="16"/>
      <c r="L96" s="16"/>
      <c r="M96" s="16"/>
      <c r="N96" s="16"/>
      <c r="O96" s="16"/>
    </row>
    <row r="97" spans="1:15" x14ac:dyDescent="0.2">
      <c r="A97" s="28" t="s">
        <v>3</v>
      </c>
      <c r="B97" s="32">
        <v>1000</v>
      </c>
      <c r="C97" s="22" t="s">
        <v>1100</v>
      </c>
      <c r="F97" s="28"/>
      <c r="G97" s="58"/>
      <c r="H97" s="16"/>
      <c r="I97" s="16"/>
      <c r="J97" s="16"/>
      <c r="K97" s="16"/>
      <c r="L97" s="16"/>
      <c r="M97" s="16"/>
      <c r="N97" s="16"/>
      <c r="O97" s="16"/>
    </row>
    <row r="98" spans="1:15" ht="15.75" thickBot="1" x14ac:dyDescent="0.25">
      <c r="A98" s="28" t="s">
        <v>14</v>
      </c>
      <c r="B98" s="90">
        <v>1</v>
      </c>
      <c r="C98" s="22" t="s">
        <v>1078</v>
      </c>
      <c r="F98" s="28"/>
      <c r="G98" s="58"/>
      <c r="H98" s="16"/>
      <c r="I98" s="16"/>
      <c r="J98" s="16"/>
      <c r="K98" s="16"/>
      <c r="L98" s="16"/>
      <c r="M98" s="16"/>
      <c r="N98" s="16"/>
      <c r="O98" s="16"/>
    </row>
    <row r="99" spans="1:15" ht="15.75" x14ac:dyDescent="0.25">
      <c r="B99" s="30" t="s">
        <v>876</v>
      </c>
      <c r="C99" s="22"/>
      <c r="E99" s="12" t="s">
        <v>1071</v>
      </c>
      <c r="F99" s="28"/>
      <c r="G99" s="58"/>
      <c r="H99" s="16"/>
      <c r="I99" s="16"/>
      <c r="J99" s="16"/>
      <c r="K99" s="16"/>
      <c r="L99" s="16"/>
      <c r="M99" s="16"/>
      <c r="N99" s="16"/>
      <c r="O99" s="16"/>
    </row>
    <row r="100" spans="1:15" ht="15.75" x14ac:dyDescent="0.25">
      <c r="A100" s="2" t="s">
        <v>8</v>
      </c>
      <c r="B100" s="5" t="s">
        <v>5</v>
      </c>
      <c r="C100" s="22"/>
      <c r="F100" s="28"/>
      <c r="G100" s="58"/>
      <c r="H100" s="16"/>
      <c r="I100" s="16"/>
      <c r="J100" s="16"/>
      <c r="K100" s="16"/>
      <c r="L100" s="16"/>
      <c r="M100" s="16"/>
      <c r="N100" s="16"/>
      <c r="O100" s="16"/>
    </row>
    <row r="101" spans="1:15" ht="15.75" x14ac:dyDescent="0.25">
      <c r="A101" s="2" t="s">
        <v>1148</v>
      </c>
      <c r="B101" s="5">
        <f>B95/2</f>
        <v>0.75</v>
      </c>
      <c r="C101" s="1" t="s">
        <v>1074</v>
      </c>
      <c r="F101" s="28"/>
      <c r="G101" s="58"/>
      <c r="H101" s="16"/>
      <c r="I101" s="16"/>
      <c r="J101" s="16"/>
      <c r="K101" s="16"/>
      <c r="L101" s="16"/>
      <c r="M101" s="16"/>
      <c r="N101" s="16"/>
      <c r="O101" s="16"/>
    </row>
    <row r="102" spans="1:15" ht="15.75" x14ac:dyDescent="0.25">
      <c r="A102" s="2" t="s">
        <v>6</v>
      </c>
      <c r="B102" s="5" t="s">
        <v>7</v>
      </c>
      <c r="C102" s="1"/>
      <c r="E102" s="12" t="s">
        <v>1071</v>
      </c>
      <c r="F102" s="5" t="s">
        <v>1071</v>
      </c>
      <c r="G102" s="58"/>
      <c r="H102" s="16"/>
      <c r="I102" s="16"/>
      <c r="J102" s="16"/>
      <c r="K102" s="16"/>
      <c r="L102" s="16"/>
      <c r="M102" s="16"/>
      <c r="N102" s="16"/>
      <c r="O102" s="16"/>
    </row>
    <row r="103" spans="1:15" ht="15.75" x14ac:dyDescent="0.25">
      <c r="A103" s="2" t="s">
        <v>9</v>
      </c>
      <c r="B103" s="5">
        <f>B98*B95^3/12</f>
        <v>0.28125</v>
      </c>
      <c r="C103" s="1" t="s">
        <v>11</v>
      </c>
      <c r="F103" s="28"/>
      <c r="G103" s="58"/>
      <c r="H103" s="16"/>
      <c r="I103" s="16"/>
      <c r="J103" s="16"/>
      <c r="K103" s="16"/>
      <c r="L103" s="16"/>
      <c r="M103" s="16"/>
      <c r="N103" s="16"/>
      <c r="O103" s="16"/>
    </row>
    <row r="104" spans="1:15" ht="15.75" x14ac:dyDescent="0.25">
      <c r="A104" s="2" t="s">
        <v>4</v>
      </c>
      <c r="B104" s="5" t="s">
        <v>1098</v>
      </c>
      <c r="C104" s="1"/>
      <c r="F104" s="28"/>
      <c r="G104" s="58"/>
      <c r="H104" s="16"/>
      <c r="I104" s="16"/>
      <c r="J104" s="16"/>
      <c r="K104" s="16"/>
      <c r="L104" s="16"/>
      <c r="M104" s="16"/>
      <c r="N104" s="16"/>
      <c r="O104" s="16"/>
    </row>
    <row r="105" spans="1:15" ht="15.75" x14ac:dyDescent="0.25">
      <c r="A105" s="2" t="s">
        <v>10</v>
      </c>
      <c r="B105" s="36">
        <f>B97*B96*B101/B103</f>
        <v>1866.6666666666667</v>
      </c>
      <c r="C105" s="1" t="s">
        <v>1154</v>
      </c>
      <c r="F105" s="28"/>
      <c r="G105" s="58"/>
      <c r="H105" s="16"/>
      <c r="I105" s="16"/>
      <c r="J105" s="16"/>
      <c r="K105" s="16"/>
      <c r="L105" s="16"/>
      <c r="M105" s="16"/>
      <c r="N105" s="16"/>
      <c r="O105" s="16"/>
    </row>
    <row r="106" spans="1:15" ht="15.75" x14ac:dyDescent="0.25">
      <c r="A106" s="1" t="s">
        <v>1111</v>
      </c>
      <c r="B106" s="27"/>
      <c r="C106" s="27"/>
      <c r="F106" s="28"/>
      <c r="G106" s="58"/>
      <c r="H106" s="16"/>
      <c r="I106" s="16"/>
      <c r="J106" s="16"/>
      <c r="K106" s="16"/>
      <c r="L106" s="16"/>
      <c r="M106" s="16"/>
      <c r="N106" s="16"/>
      <c r="O106" s="16"/>
    </row>
    <row r="107" spans="1:15" x14ac:dyDescent="0.2">
      <c r="L107" s="16"/>
      <c r="M107" s="16"/>
      <c r="N107" s="16"/>
      <c r="O107" s="16"/>
    </row>
    <row r="108" spans="1:15" ht="15.75" x14ac:dyDescent="0.25">
      <c r="A108" s="153" t="s">
        <v>1071</v>
      </c>
      <c r="B108" s="125"/>
      <c r="C108" s="125"/>
      <c r="D108" s="23"/>
      <c r="E108" s="23"/>
      <c r="F108" s="124"/>
      <c r="G108" s="58"/>
      <c r="H108" s="16"/>
      <c r="I108" s="16"/>
      <c r="J108" s="16"/>
      <c r="K108" s="16"/>
      <c r="L108" s="16"/>
      <c r="M108" s="16"/>
      <c r="N108" s="16"/>
      <c r="O108" s="16"/>
    </row>
    <row r="109" spans="1:15" x14ac:dyDescent="0.2">
      <c r="F109" s="28"/>
      <c r="G109" s="58"/>
      <c r="H109" s="16"/>
      <c r="I109" s="16"/>
      <c r="J109" s="16"/>
      <c r="K109" s="16"/>
      <c r="L109" s="16"/>
      <c r="M109" s="16"/>
      <c r="N109" s="16"/>
      <c r="O109" s="16"/>
    </row>
    <row r="110" spans="1:15" ht="16.5" thickBot="1" x14ac:dyDescent="0.3">
      <c r="A110" s="1" t="s">
        <v>1113</v>
      </c>
      <c r="B110" s="30" t="s">
        <v>109</v>
      </c>
      <c r="C110" s="27"/>
      <c r="F110" s="28"/>
      <c r="G110" s="58"/>
      <c r="H110" s="16"/>
      <c r="I110" s="16"/>
      <c r="J110" s="16"/>
      <c r="K110" s="16"/>
      <c r="L110" s="16"/>
      <c r="M110" s="16"/>
      <c r="N110" s="16"/>
      <c r="O110" s="16"/>
    </row>
    <row r="111" spans="1:15" x14ac:dyDescent="0.2">
      <c r="A111" s="28" t="s">
        <v>3</v>
      </c>
      <c r="B111" s="31">
        <v>1000</v>
      </c>
      <c r="C111" s="22"/>
      <c r="F111" s="28"/>
      <c r="G111" s="58"/>
      <c r="H111" s="16"/>
      <c r="I111" s="16"/>
      <c r="J111" s="16"/>
      <c r="K111" s="16"/>
      <c r="L111" s="16"/>
      <c r="M111" s="16"/>
      <c r="N111" s="16"/>
      <c r="O111" s="16"/>
    </row>
    <row r="112" spans="1:15" x14ac:dyDescent="0.2">
      <c r="A112" s="28" t="s">
        <v>12</v>
      </c>
      <c r="B112" s="32">
        <v>100</v>
      </c>
      <c r="C112" s="22" t="s">
        <v>21</v>
      </c>
      <c r="F112" s="28"/>
      <c r="G112" s="58"/>
      <c r="H112" s="16"/>
      <c r="I112" s="16"/>
      <c r="J112" s="16"/>
      <c r="K112" s="16"/>
      <c r="L112" s="16"/>
      <c r="M112" s="16"/>
      <c r="N112" s="16"/>
      <c r="O112" s="16"/>
    </row>
    <row r="113" spans="1:15" x14ac:dyDescent="0.2">
      <c r="A113" s="28" t="s">
        <v>13</v>
      </c>
      <c r="B113" s="47">
        <v>3.125</v>
      </c>
      <c r="C113" s="22" t="s">
        <v>1078</v>
      </c>
      <c r="F113" s="28"/>
      <c r="G113" s="58"/>
      <c r="H113" s="16"/>
      <c r="I113" s="16"/>
      <c r="J113" s="16"/>
      <c r="K113" s="16"/>
      <c r="L113" s="16"/>
      <c r="M113" s="16"/>
      <c r="N113" s="16"/>
      <c r="O113" s="16"/>
    </row>
    <row r="114" spans="1:15" x14ac:dyDescent="0.2">
      <c r="A114" s="28" t="s">
        <v>1390</v>
      </c>
      <c r="B114" s="47">
        <v>6</v>
      </c>
      <c r="C114" s="22" t="s">
        <v>1078</v>
      </c>
      <c r="F114" s="28"/>
      <c r="G114" s="58"/>
      <c r="H114" s="16"/>
      <c r="I114" s="16"/>
      <c r="J114" s="16"/>
      <c r="K114" s="16"/>
      <c r="L114" s="16"/>
      <c r="M114" s="16"/>
      <c r="N114" s="16"/>
      <c r="O114" s="16"/>
    </row>
    <row r="115" spans="1:15" ht="15.75" thickBot="1" x14ac:dyDescent="0.25">
      <c r="A115" s="28" t="s">
        <v>16</v>
      </c>
      <c r="B115" s="54">
        <v>2950</v>
      </c>
      <c r="C115" s="22" t="s">
        <v>1284</v>
      </c>
      <c r="D115" s="27"/>
      <c r="F115" s="28"/>
      <c r="G115" s="58"/>
      <c r="H115" s="16"/>
      <c r="I115" s="16"/>
      <c r="J115" s="16"/>
      <c r="K115" s="16"/>
      <c r="L115" s="16"/>
      <c r="M115" s="16"/>
      <c r="N115" s="16"/>
      <c r="O115" s="16"/>
    </row>
    <row r="116" spans="1:15" ht="15.75" x14ac:dyDescent="0.25">
      <c r="A116" s="154" t="s">
        <v>1071</v>
      </c>
      <c r="B116" s="30" t="s">
        <v>876</v>
      </c>
      <c r="C116" s="27"/>
      <c r="F116" s="28"/>
      <c r="G116" s="58"/>
      <c r="H116" s="16"/>
      <c r="I116" s="16"/>
      <c r="J116" s="16"/>
      <c r="K116" s="16"/>
      <c r="L116" s="16"/>
      <c r="M116" s="16"/>
      <c r="N116" s="16"/>
      <c r="O116" s="16"/>
    </row>
    <row r="117" spans="1:15" ht="15.75" x14ac:dyDescent="0.25">
      <c r="A117" s="2" t="s">
        <v>15</v>
      </c>
      <c r="B117" s="27" t="s">
        <v>1391</v>
      </c>
      <c r="H117" s="16"/>
      <c r="I117" s="16"/>
      <c r="J117" s="16"/>
      <c r="K117" s="16"/>
      <c r="L117" s="16"/>
      <c r="M117" s="16"/>
      <c r="N117" s="16"/>
      <c r="O117" s="16"/>
    </row>
    <row r="118" spans="1:15" ht="15.75" x14ac:dyDescent="0.25">
      <c r="A118" s="2" t="s">
        <v>748</v>
      </c>
      <c r="B118" s="27">
        <f>B111*B114/2</f>
        <v>3000</v>
      </c>
      <c r="C118" s="27" t="s">
        <v>1075</v>
      </c>
      <c r="H118" s="16"/>
      <c r="I118" s="16"/>
      <c r="J118" s="16"/>
      <c r="K118" s="16"/>
      <c r="L118" s="16"/>
      <c r="M118" s="16"/>
      <c r="N118" s="16"/>
      <c r="O118" s="16"/>
    </row>
    <row r="119" spans="1:15" ht="15.75" x14ac:dyDescent="0.25">
      <c r="A119" s="2" t="s">
        <v>19</v>
      </c>
      <c r="B119" s="5" t="s">
        <v>20</v>
      </c>
      <c r="C119" s="5"/>
      <c r="D119" s="4"/>
      <c r="H119" s="16"/>
      <c r="I119" s="16"/>
      <c r="J119" s="16"/>
      <c r="K119" s="16"/>
      <c r="L119" s="16"/>
      <c r="M119" s="16"/>
      <c r="N119" s="16"/>
      <c r="O119" s="16"/>
    </row>
    <row r="120" spans="1:15" ht="15.75" x14ac:dyDescent="0.25">
      <c r="A120" s="2" t="s">
        <v>22</v>
      </c>
      <c r="B120" s="36">
        <f>2*B118/B114</f>
        <v>1000</v>
      </c>
      <c r="C120" s="27" t="s">
        <v>1100</v>
      </c>
      <c r="D120" s="4"/>
      <c r="F120" s="28"/>
      <c r="G120" s="58"/>
      <c r="H120" s="16"/>
      <c r="I120" s="16"/>
      <c r="J120" s="16"/>
      <c r="K120" s="16"/>
      <c r="L120" s="16"/>
      <c r="M120" s="16"/>
      <c r="N120" s="16"/>
      <c r="O120" s="16"/>
    </row>
    <row r="121" spans="1:15" ht="15.75" x14ac:dyDescent="0.25">
      <c r="A121" s="2" t="s">
        <v>17</v>
      </c>
      <c r="B121" s="1" t="s">
        <v>18</v>
      </c>
      <c r="C121" s="5"/>
      <c r="D121" s="4"/>
      <c r="F121" s="28"/>
      <c r="G121" s="58"/>
      <c r="H121" s="16"/>
      <c r="I121" s="16"/>
      <c r="J121" s="16"/>
      <c r="K121" s="16"/>
      <c r="L121" s="16"/>
      <c r="M121" s="16"/>
      <c r="N121" s="16"/>
      <c r="O121" s="16"/>
    </row>
    <row r="122" spans="1:15" ht="15.75" x14ac:dyDescent="0.25">
      <c r="A122" s="2" t="s">
        <v>23</v>
      </c>
      <c r="B122" s="36">
        <f>((0.05*B112*(B113*B115+B120))/(0.05*B112+(B113*B115+B120)^0.5))+B120</f>
        <v>1481.6174344316312</v>
      </c>
      <c r="C122" s="27" t="s">
        <v>1100</v>
      </c>
      <c r="D122" s="4"/>
      <c r="F122" s="28"/>
      <c r="G122" s="58"/>
      <c r="H122" s="16"/>
      <c r="I122" s="16"/>
      <c r="J122" s="16"/>
      <c r="K122" s="16"/>
      <c r="L122" s="16"/>
      <c r="M122" s="16"/>
      <c r="N122" s="16"/>
      <c r="O122" s="16"/>
    </row>
    <row r="123" spans="1:15" x14ac:dyDescent="0.2">
      <c r="F123" s="28"/>
      <c r="G123" s="58"/>
      <c r="H123" s="16"/>
      <c r="I123" s="16"/>
      <c r="J123" s="16"/>
      <c r="K123" s="16"/>
      <c r="L123" s="16"/>
      <c r="M123" s="16"/>
      <c r="N123" s="16"/>
      <c r="O123" s="16"/>
    </row>
    <row r="124" spans="1:15" ht="15.75" thickBot="1" x14ac:dyDescent="0.25">
      <c r="A124" s="28"/>
      <c r="B124" s="27"/>
      <c r="C124" s="27"/>
      <c r="F124" s="28"/>
      <c r="G124" s="58"/>
      <c r="H124" s="16"/>
      <c r="I124" s="16"/>
      <c r="J124" s="16"/>
      <c r="K124" s="16"/>
      <c r="L124" s="16"/>
      <c r="M124" s="16"/>
      <c r="N124" s="16"/>
      <c r="O124" s="16"/>
    </row>
    <row r="125" spans="1:15" ht="16.5" thickBot="1" x14ac:dyDescent="0.3">
      <c r="A125" s="28"/>
      <c r="B125" s="155" t="s">
        <v>41</v>
      </c>
      <c r="C125" s="156"/>
      <c r="D125" s="157"/>
      <c r="F125" s="28"/>
      <c r="G125" s="58"/>
      <c r="H125" s="16"/>
      <c r="I125" s="16"/>
      <c r="J125" s="16"/>
      <c r="K125" s="16"/>
      <c r="L125" s="16"/>
      <c r="M125" s="16"/>
      <c r="N125" s="16"/>
      <c r="O125" s="16"/>
    </row>
    <row r="126" spans="1:15" ht="15.75" x14ac:dyDescent="0.25">
      <c r="A126" s="28"/>
      <c r="B126" s="158"/>
      <c r="C126" s="159" t="s">
        <v>35</v>
      </c>
      <c r="D126" s="160" t="s">
        <v>35</v>
      </c>
      <c r="F126" s="28"/>
      <c r="G126" s="58"/>
      <c r="H126" s="16"/>
      <c r="I126" s="16"/>
      <c r="J126" s="16"/>
      <c r="K126" s="16"/>
      <c r="L126" s="16"/>
      <c r="M126" s="16"/>
      <c r="N126" s="16"/>
      <c r="O126" s="16"/>
    </row>
    <row r="127" spans="1:15" ht="16.5" thickBot="1" x14ac:dyDescent="0.3">
      <c r="A127" s="28"/>
      <c r="B127" s="71" t="s">
        <v>37</v>
      </c>
      <c r="C127" s="70" t="s">
        <v>36</v>
      </c>
      <c r="D127" s="161" t="s">
        <v>40</v>
      </c>
      <c r="F127" s="28"/>
      <c r="G127" s="58"/>
      <c r="H127" s="16"/>
      <c r="I127" s="16"/>
      <c r="J127" s="16"/>
      <c r="K127" s="16"/>
      <c r="L127" s="16"/>
      <c r="M127" s="16"/>
      <c r="N127" s="16"/>
      <c r="O127" s="16"/>
    </row>
    <row r="128" spans="1:15" ht="15.75" x14ac:dyDescent="0.25">
      <c r="A128" s="28"/>
      <c r="B128" s="162">
        <v>12</v>
      </c>
      <c r="C128" s="3">
        <v>6.7000000000000004E-2</v>
      </c>
      <c r="D128" s="163">
        <v>7.8E-2</v>
      </c>
      <c r="F128" s="28"/>
      <c r="G128" s="58"/>
      <c r="H128" s="16"/>
      <c r="I128" s="16"/>
      <c r="J128" s="16"/>
      <c r="K128" s="16"/>
      <c r="L128" s="16"/>
      <c r="M128" s="16"/>
      <c r="N128" s="16"/>
      <c r="O128" s="16"/>
    </row>
    <row r="129" spans="1:15" ht="15.75" x14ac:dyDescent="0.25">
      <c r="A129" s="5" t="s">
        <v>1465</v>
      </c>
      <c r="B129" s="162">
        <v>14</v>
      </c>
      <c r="C129" s="3">
        <v>7.4999999999999997E-2</v>
      </c>
      <c r="D129" s="163">
        <v>8.7999999999999995E-2</v>
      </c>
      <c r="F129" s="28"/>
      <c r="G129" s="58"/>
      <c r="H129" s="16"/>
      <c r="I129" s="16"/>
      <c r="J129" s="16"/>
      <c r="K129" s="16"/>
      <c r="L129" s="16"/>
      <c r="M129" s="16"/>
      <c r="N129" s="16"/>
      <c r="O129" s="16"/>
    </row>
    <row r="130" spans="1:15" ht="15.75" x14ac:dyDescent="0.25">
      <c r="A130" s="5" t="s">
        <v>1464</v>
      </c>
      <c r="B130" s="162">
        <v>16</v>
      </c>
      <c r="C130" s="3">
        <v>8.1000000000000003E-2</v>
      </c>
      <c r="D130" s="163">
        <v>9.4E-2</v>
      </c>
      <c r="F130" s="28"/>
      <c r="G130" s="58"/>
      <c r="H130" s="16"/>
      <c r="I130" s="16"/>
      <c r="J130" s="16"/>
      <c r="K130" s="16"/>
      <c r="L130" s="16"/>
      <c r="M130" s="16"/>
      <c r="N130" s="16"/>
      <c r="O130" s="16"/>
    </row>
    <row r="131" spans="1:15" ht="15.75" x14ac:dyDescent="0.25">
      <c r="A131" s="28"/>
      <c r="B131" s="162">
        <v>18</v>
      </c>
      <c r="C131" s="3">
        <v>8.5999999999999993E-2</v>
      </c>
      <c r="D131" s="163">
        <v>9.8000000000000004E-2</v>
      </c>
      <c r="F131" s="28"/>
      <c r="G131" s="58"/>
      <c r="H131" s="16"/>
      <c r="I131" s="16"/>
      <c r="J131" s="16"/>
      <c r="K131" s="16"/>
      <c r="L131" s="16"/>
      <c r="M131" s="16"/>
      <c r="N131" s="16"/>
      <c r="O131" s="16"/>
    </row>
    <row r="132" spans="1:15" ht="15.75" x14ac:dyDescent="0.25">
      <c r="A132" s="28"/>
      <c r="B132" s="162">
        <v>20</v>
      </c>
      <c r="C132" s="3">
        <v>0.09</v>
      </c>
      <c r="D132" s="163">
        <v>0.10199999999999999</v>
      </c>
      <c r="F132" s="28"/>
      <c r="G132" s="58"/>
      <c r="H132" s="16"/>
      <c r="I132" s="16"/>
      <c r="J132" s="16"/>
      <c r="K132" s="16"/>
      <c r="L132" s="16"/>
      <c r="M132" s="16"/>
      <c r="N132" s="16"/>
      <c r="O132" s="16"/>
    </row>
    <row r="133" spans="1:15" ht="15.75" x14ac:dyDescent="0.25">
      <c r="A133" s="28"/>
      <c r="B133" s="162">
        <v>25</v>
      </c>
      <c r="C133" s="3">
        <v>9.7000000000000003E-2</v>
      </c>
      <c r="D133" s="163">
        <v>0.108</v>
      </c>
      <c r="F133" s="28"/>
      <c r="G133" s="58"/>
      <c r="H133" s="16"/>
      <c r="I133" s="16"/>
      <c r="J133" s="16"/>
      <c r="K133" s="16"/>
      <c r="L133" s="16"/>
      <c r="M133" s="16"/>
      <c r="N133" s="16"/>
      <c r="O133" s="16"/>
    </row>
    <row r="134" spans="1:15" ht="15.75" x14ac:dyDescent="0.25">
      <c r="A134" s="28"/>
      <c r="B134" s="162">
        <v>30</v>
      </c>
      <c r="C134" s="3">
        <v>0.10100000000000001</v>
      </c>
      <c r="D134" s="163">
        <v>0.114</v>
      </c>
      <c r="F134" s="28"/>
      <c r="G134" s="58"/>
      <c r="H134" s="16"/>
      <c r="I134" s="16"/>
      <c r="J134" s="16"/>
      <c r="K134" s="16"/>
      <c r="L134" s="16"/>
      <c r="M134" s="16"/>
      <c r="N134" s="16"/>
      <c r="O134" s="16"/>
    </row>
    <row r="135" spans="1:15" ht="15.75" x14ac:dyDescent="0.25">
      <c r="A135" s="28"/>
      <c r="B135" s="162">
        <v>50</v>
      </c>
      <c r="C135" s="3">
        <v>0.11</v>
      </c>
      <c r="D135" s="163">
        <v>0.13</v>
      </c>
      <c r="F135" s="28"/>
      <c r="G135" s="58"/>
      <c r="H135" s="16"/>
      <c r="I135" s="16"/>
      <c r="J135" s="16"/>
      <c r="K135" s="16"/>
      <c r="L135" s="16"/>
      <c r="M135" s="16"/>
      <c r="N135" s="16"/>
      <c r="O135" s="16"/>
    </row>
    <row r="136" spans="1:15" ht="15.75" x14ac:dyDescent="0.25">
      <c r="A136" s="28"/>
      <c r="B136" s="162">
        <v>60</v>
      </c>
      <c r="C136" s="3">
        <v>0.113</v>
      </c>
      <c r="D136" s="163">
        <v>0.13400000000000001</v>
      </c>
      <c r="F136" s="28"/>
      <c r="G136" s="58"/>
      <c r="H136" s="16"/>
      <c r="I136" s="16"/>
      <c r="J136" s="16"/>
      <c r="K136" s="16"/>
      <c r="L136" s="16"/>
      <c r="M136" s="16"/>
      <c r="N136" s="16"/>
      <c r="O136" s="16"/>
    </row>
    <row r="137" spans="1:15" ht="15.75" x14ac:dyDescent="0.25">
      <c r="A137" s="28"/>
      <c r="B137" s="162">
        <v>75</v>
      </c>
      <c r="C137" s="3">
        <v>0.115</v>
      </c>
      <c r="D137" s="163">
        <v>0.13800000000000001</v>
      </c>
      <c r="F137" s="28"/>
      <c r="G137" s="58"/>
      <c r="H137" s="16"/>
      <c r="I137" s="16"/>
      <c r="J137" s="16"/>
      <c r="K137" s="16"/>
      <c r="L137" s="16"/>
      <c r="M137" s="16"/>
      <c r="N137" s="16"/>
      <c r="O137" s="16"/>
    </row>
    <row r="138" spans="1:15" ht="15.75" x14ac:dyDescent="0.25">
      <c r="A138" s="28"/>
      <c r="B138" s="162">
        <v>100</v>
      </c>
      <c r="C138" s="3">
        <v>0.11700000000000001</v>
      </c>
      <c r="D138" s="163">
        <v>0.14199999999999999</v>
      </c>
      <c r="F138" s="28"/>
      <c r="G138" s="58"/>
      <c r="H138" s="16"/>
      <c r="I138" s="16"/>
      <c r="J138" s="16"/>
      <c r="K138" s="16"/>
      <c r="L138" s="16"/>
      <c r="M138" s="16"/>
      <c r="N138" s="16"/>
      <c r="O138" s="16"/>
    </row>
    <row r="139" spans="1:15" ht="15.75" x14ac:dyDescent="0.25">
      <c r="A139" s="28"/>
      <c r="B139" s="162">
        <v>150</v>
      </c>
      <c r="C139" s="3">
        <v>0.11899999999999999</v>
      </c>
      <c r="D139" s="163">
        <v>0.14599999999999999</v>
      </c>
      <c r="F139" s="28"/>
      <c r="G139" s="58"/>
      <c r="H139" s="16"/>
      <c r="I139" s="16"/>
      <c r="J139" s="16"/>
      <c r="K139" s="16"/>
      <c r="L139" s="16"/>
      <c r="M139" s="16"/>
      <c r="N139" s="16"/>
      <c r="O139" s="16"/>
    </row>
    <row r="140" spans="1:15" ht="15.75" x14ac:dyDescent="0.25">
      <c r="A140" s="28"/>
      <c r="B140" s="162">
        <v>300</v>
      </c>
      <c r="C140" s="3">
        <v>0.122</v>
      </c>
      <c r="D140" s="163">
        <v>0.15</v>
      </c>
      <c r="F140" s="28"/>
      <c r="G140" s="58"/>
      <c r="H140" s="16"/>
      <c r="I140" s="16"/>
      <c r="J140" s="16"/>
      <c r="K140" s="16"/>
      <c r="L140" s="16"/>
      <c r="M140" s="16"/>
      <c r="N140" s="16"/>
      <c r="O140" s="16"/>
    </row>
    <row r="141" spans="1:15" ht="16.5" thickBot="1" x14ac:dyDescent="0.3">
      <c r="A141" s="28"/>
      <c r="B141" s="70" t="s">
        <v>38</v>
      </c>
      <c r="C141" s="164">
        <v>0.124</v>
      </c>
      <c r="D141" s="165">
        <v>0.154</v>
      </c>
      <c r="F141" s="28"/>
      <c r="G141" s="58"/>
      <c r="H141" s="16"/>
      <c r="I141" s="16"/>
      <c r="J141" s="16"/>
      <c r="K141" s="16"/>
      <c r="L141" s="16"/>
      <c r="M141" s="16"/>
      <c r="N141" s="16"/>
      <c r="O141" s="16"/>
    </row>
    <row r="142" spans="1:15" x14ac:dyDescent="0.2">
      <c r="A142" s="28"/>
      <c r="B142" s="27"/>
      <c r="C142" s="27"/>
      <c r="F142" s="28"/>
      <c r="G142" s="58"/>
      <c r="H142" s="16"/>
      <c r="I142" s="16"/>
      <c r="J142" s="16"/>
      <c r="K142" s="16"/>
      <c r="L142" s="16"/>
      <c r="M142" s="16"/>
      <c r="N142" s="16"/>
      <c r="O142" s="16"/>
    </row>
    <row r="143" spans="1:15" x14ac:dyDescent="0.2">
      <c r="A143" s="28"/>
      <c r="B143" s="27"/>
      <c r="C143" s="27"/>
      <c r="F143" s="28"/>
      <c r="G143" s="58"/>
      <c r="H143" s="16"/>
      <c r="I143" s="16"/>
      <c r="J143" s="16"/>
      <c r="K143" s="16"/>
      <c r="L143" s="16"/>
      <c r="M143" s="16"/>
      <c r="N143" s="16"/>
      <c r="O143" s="16"/>
    </row>
    <row r="144" spans="1:15" x14ac:dyDescent="0.2">
      <c r="A144" s="28"/>
      <c r="B144" s="27"/>
      <c r="C144" s="27"/>
      <c r="F144" s="28"/>
      <c r="G144" s="58"/>
      <c r="H144" s="16"/>
      <c r="I144" s="16"/>
      <c r="J144" s="16"/>
      <c r="K144" s="16"/>
      <c r="L144" s="16"/>
      <c r="M144" s="16"/>
      <c r="N144" s="16"/>
      <c r="O144" s="16"/>
    </row>
    <row r="145" spans="1:15" x14ac:dyDescent="0.2">
      <c r="A145" s="28"/>
      <c r="B145" s="27"/>
      <c r="C145" s="27"/>
      <c r="F145" s="28"/>
      <c r="G145" s="58"/>
      <c r="H145" s="16"/>
      <c r="I145" s="16"/>
      <c r="J145" s="16"/>
      <c r="K145" s="16"/>
      <c r="L145" s="16"/>
      <c r="M145" s="16"/>
      <c r="N145" s="16"/>
      <c r="O145" s="16"/>
    </row>
    <row r="146" spans="1:15" x14ac:dyDescent="0.2">
      <c r="A146" s="28"/>
      <c r="B146" s="27"/>
      <c r="C146" s="27"/>
      <c r="F146" s="28"/>
      <c r="G146" s="58"/>
      <c r="H146" s="16"/>
      <c r="I146" s="16"/>
      <c r="J146" s="16"/>
      <c r="K146" s="16"/>
      <c r="L146" s="16"/>
      <c r="M146" s="16"/>
      <c r="N146" s="16"/>
      <c r="O146" s="16"/>
    </row>
    <row r="147" spans="1:15" x14ac:dyDescent="0.2">
      <c r="A147" s="28"/>
      <c r="B147" s="27"/>
      <c r="C147" s="27"/>
      <c r="F147" s="28"/>
      <c r="G147" s="58"/>
      <c r="H147" s="16"/>
      <c r="I147" s="16"/>
      <c r="J147" s="16"/>
      <c r="K147" s="16"/>
      <c r="L147" s="16"/>
      <c r="M147" s="16"/>
      <c r="N147" s="16"/>
      <c r="O147" s="16"/>
    </row>
    <row r="148" spans="1:15" x14ac:dyDescent="0.2">
      <c r="A148" s="28"/>
      <c r="B148" s="27"/>
      <c r="C148" s="27"/>
      <c r="F148" s="28"/>
      <c r="G148" s="58"/>
      <c r="H148" s="16"/>
      <c r="I148" s="16"/>
      <c r="J148" s="16"/>
      <c r="K148" s="16"/>
      <c r="L148" s="16"/>
      <c r="M148" s="16"/>
      <c r="N148" s="16"/>
      <c r="O148" s="16"/>
    </row>
    <row r="149" spans="1:15" x14ac:dyDescent="0.2">
      <c r="A149" s="28"/>
      <c r="B149" s="27"/>
      <c r="C149" s="27"/>
      <c r="F149" s="28"/>
      <c r="G149" s="58"/>
      <c r="H149" s="16"/>
      <c r="I149" s="16"/>
      <c r="J149" s="16"/>
      <c r="K149" s="16"/>
      <c r="L149" s="16"/>
      <c r="M149" s="16"/>
      <c r="N149" s="16"/>
      <c r="O149" s="16"/>
    </row>
    <row r="150" spans="1:15" x14ac:dyDescent="0.2">
      <c r="A150" s="28"/>
      <c r="B150" s="27"/>
      <c r="C150" s="27"/>
      <c r="F150" s="28"/>
      <c r="G150" s="58"/>
      <c r="H150" s="16"/>
      <c r="I150" s="16"/>
      <c r="J150" s="16"/>
      <c r="K150" s="16"/>
      <c r="L150" s="16"/>
      <c r="M150" s="16"/>
      <c r="N150" s="16"/>
      <c r="O150" s="16"/>
    </row>
    <row r="151" spans="1:15" x14ac:dyDescent="0.2">
      <c r="A151" s="28"/>
      <c r="B151" s="27"/>
      <c r="C151" s="27"/>
      <c r="F151" s="28"/>
      <c r="G151" s="58"/>
      <c r="H151" s="16"/>
      <c r="I151" s="16"/>
      <c r="J151" s="16"/>
      <c r="K151" s="16"/>
      <c r="L151" s="16"/>
      <c r="M151" s="16"/>
      <c r="N151" s="16"/>
      <c r="O151" s="16"/>
    </row>
    <row r="152" spans="1:15" ht="15.75" x14ac:dyDescent="0.25">
      <c r="A152" s="4" t="s">
        <v>1110</v>
      </c>
      <c r="F152" s="28"/>
      <c r="G152" s="58"/>
      <c r="H152" s="16"/>
      <c r="I152" s="16"/>
      <c r="J152" s="16"/>
      <c r="K152" s="16"/>
      <c r="L152" s="16"/>
      <c r="M152" s="16"/>
      <c r="N152" s="16"/>
      <c r="O152" s="16"/>
    </row>
    <row r="153" spans="1:15" ht="15.75" x14ac:dyDescent="0.25">
      <c r="A153" s="1" t="s">
        <v>47</v>
      </c>
      <c r="B153" s="27"/>
      <c r="C153" s="27"/>
      <c r="F153" s="5" t="s">
        <v>1071</v>
      </c>
      <c r="G153" s="58"/>
      <c r="H153" s="16"/>
      <c r="I153" s="16"/>
      <c r="J153" s="16"/>
      <c r="K153" s="16"/>
      <c r="L153" s="16"/>
      <c r="M153" s="16"/>
      <c r="N153" s="16"/>
      <c r="O153" s="16"/>
    </row>
    <row r="154" spans="1:15" ht="16.5" thickBot="1" x14ac:dyDescent="0.3">
      <c r="B154" s="30" t="s">
        <v>109</v>
      </c>
      <c r="C154" s="22"/>
      <c r="F154" s="28"/>
      <c r="G154" s="58"/>
      <c r="H154" s="16"/>
      <c r="I154" s="16"/>
      <c r="J154" s="16"/>
      <c r="K154" s="16"/>
      <c r="L154" s="16"/>
      <c r="M154" s="16"/>
      <c r="N154" s="16"/>
      <c r="O154" s="16"/>
    </row>
    <row r="155" spans="1:15" x14ac:dyDescent="0.2">
      <c r="A155" s="28" t="s">
        <v>43</v>
      </c>
      <c r="B155" s="31">
        <v>5000</v>
      </c>
      <c r="C155" s="22" t="s">
        <v>1154</v>
      </c>
      <c r="F155" s="28"/>
      <c r="G155" s="58"/>
      <c r="H155" s="16"/>
      <c r="I155" s="16"/>
      <c r="J155" s="16"/>
      <c r="K155" s="16"/>
      <c r="L155" s="16"/>
      <c r="M155" s="16"/>
      <c r="N155" s="16"/>
      <c r="O155" s="16"/>
    </row>
    <row r="156" spans="1:15" x14ac:dyDescent="0.2">
      <c r="A156" s="28" t="s">
        <v>44</v>
      </c>
      <c r="B156" s="32">
        <v>1.5</v>
      </c>
      <c r="C156" s="22" t="s">
        <v>1078</v>
      </c>
      <c r="F156" s="28"/>
      <c r="G156" s="58"/>
      <c r="H156" s="16"/>
      <c r="I156" s="16"/>
      <c r="J156" s="16"/>
      <c r="K156" s="16"/>
      <c r="L156" s="16"/>
      <c r="M156" s="16"/>
      <c r="N156" s="16"/>
      <c r="O156" s="16"/>
    </row>
    <row r="157" spans="1:15" x14ac:dyDescent="0.2">
      <c r="A157" s="28" t="s">
        <v>94</v>
      </c>
      <c r="B157" s="32">
        <v>1.1200000000000001</v>
      </c>
      <c r="C157" s="22" t="s">
        <v>1078</v>
      </c>
      <c r="F157" s="28"/>
      <c r="G157" s="58"/>
      <c r="H157" s="16"/>
      <c r="I157" s="16"/>
      <c r="J157" s="16"/>
      <c r="K157" s="16"/>
      <c r="L157" s="16"/>
      <c r="M157" s="16"/>
      <c r="N157" s="16"/>
      <c r="O157" s="16"/>
    </row>
    <row r="158" spans="1:15" ht="15.75" thickBot="1" x14ac:dyDescent="0.25">
      <c r="A158" s="28" t="s">
        <v>45</v>
      </c>
      <c r="B158" s="54">
        <v>9.4E-2</v>
      </c>
      <c r="C158" s="22" t="s">
        <v>1284</v>
      </c>
      <c r="F158" s="28"/>
      <c r="G158" s="58"/>
      <c r="H158" s="16"/>
      <c r="I158" s="16"/>
      <c r="J158" s="16"/>
      <c r="K158" s="16"/>
      <c r="L158" s="16"/>
      <c r="M158" s="16"/>
      <c r="N158" s="16"/>
      <c r="O158" s="16"/>
    </row>
    <row r="159" spans="1:15" ht="15.75" x14ac:dyDescent="0.25">
      <c r="B159" s="30" t="s">
        <v>876</v>
      </c>
      <c r="C159" s="22"/>
      <c r="E159" s="12" t="s">
        <v>1071</v>
      </c>
      <c r="F159" s="28"/>
      <c r="G159" s="58"/>
      <c r="H159" s="16"/>
      <c r="I159" s="16"/>
      <c r="J159" s="16"/>
      <c r="K159" s="16"/>
      <c r="L159" s="16"/>
      <c r="M159" s="16"/>
      <c r="N159" s="16"/>
      <c r="O159" s="16"/>
    </row>
    <row r="160" spans="1:15" ht="16.5" thickBot="1" x14ac:dyDescent="0.3">
      <c r="A160" s="2" t="s">
        <v>46</v>
      </c>
      <c r="B160" s="5" t="s">
        <v>42</v>
      </c>
      <c r="C160" s="1"/>
      <c r="F160" s="28"/>
      <c r="G160" s="58"/>
      <c r="J160" s="16"/>
      <c r="K160" s="16"/>
      <c r="L160" s="16"/>
      <c r="M160" s="16"/>
      <c r="N160" s="16"/>
      <c r="O160" s="16"/>
    </row>
    <row r="161" spans="1:15" ht="16.5" thickBot="1" x14ac:dyDescent="0.3">
      <c r="A161" s="2" t="s">
        <v>22</v>
      </c>
      <c r="B161" s="129">
        <f>B155*B156*B157*B158</f>
        <v>789.6</v>
      </c>
      <c r="C161" s="22" t="s">
        <v>1100</v>
      </c>
      <c r="F161" s="28"/>
      <c r="G161" s="58"/>
      <c r="J161" s="16"/>
      <c r="K161" s="16"/>
      <c r="L161" s="16"/>
      <c r="M161" s="16"/>
      <c r="N161" s="16"/>
      <c r="O161" s="16"/>
    </row>
    <row r="162" spans="1:15" ht="15.75" x14ac:dyDescent="0.25">
      <c r="A162" s="2"/>
      <c r="B162" s="5"/>
      <c r="C162" s="22"/>
      <c r="F162" s="28"/>
      <c r="G162" s="58"/>
      <c r="J162" s="16"/>
      <c r="K162" s="16"/>
      <c r="L162" s="16"/>
      <c r="M162" s="16"/>
      <c r="N162" s="16"/>
      <c r="O162" s="16"/>
    </row>
    <row r="163" spans="1:15" x14ac:dyDescent="0.2">
      <c r="C163" s="22"/>
      <c r="J163" s="16"/>
      <c r="K163" s="16"/>
      <c r="L163" s="16"/>
      <c r="M163" s="16"/>
      <c r="N163" s="16"/>
      <c r="O163" s="16"/>
    </row>
    <row r="164" spans="1:15" ht="15.75" x14ac:dyDescent="0.25">
      <c r="A164" s="1" t="s">
        <v>48</v>
      </c>
      <c r="B164" s="27"/>
      <c r="C164" s="22"/>
      <c r="F164" s="28"/>
      <c r="G164" s="58"/>
      <c r="H164" s="16"/>
      <c r="I164" s="16"/>
      <c r="J164" s="16"/>
      <c r="K164" s="16"/>
      <c r="L164" s="16"/>
      <c r="M164" s="16"/>
      <c r="N164" s="16"/>
      <c r="O164" s="16"/>
    </row>
    <row r="165" spans="1:15" ht="16.5" thickBot="1" x14ac:dyDescent="0.3">
      <c r="B165" s="30" t="s">
        <v>109</v>
      </c>
      <c r="C165" s="22"/>
      <c r="F165" s="28"/>
      <c r="G165" s="58"/>
      <c r="H165" s="16"/>
      <c r="I165" s="16"/>
      <c r="J165" s="16"/>
      <c r="K165" s="16"/>
      <c r="L165" s="16"/>
      <c r="M165" s="16"/>
      <c r="N165" s="16"/>
      <c r="O165" s="16"/>
    </row>
    <row r="166" spans="1:15" x14ac:dyDescent="0.2">
      <c r="A166" s="28" t="s">
        <v>50</v>
      </c>
      <c r="B166" s="31">
        <v>3610</v>
      </c>
      <c r="C166" s="22" t="s">
        <v>1075</v>
      </c>
      <c r="F166" s="28"/>
      <c r="G166" s="58"/>
      <c r="H166" s="16"/>
      <c r="I166" s="16"/>
      <c r="J166" s="16"/>
      <c r="K166" s="16"/>
      <c r="L166" s="16"/>
      <c r="M166" s="16"/>
      <c r="N166" s="16"/>
      <c r="O166" s="16"/>
    </row>
    <row r="167" spans="1:15" x14ac:dyDescent="0.2">
      <c r="A167" s="28" t="s">
        <v>52</v>
      </c>
      <c r="B167" s="47">
        <v>5</v>
      </c>
      <c r="C167" s="22" t="s">
        <v>1074</v>
      </c>
      <c r="F167" s="28"/>
      <c r="G167" s="58"/>
      <c r="H167" s="16"/>
      <c r="I167" s="16"/>
      <c r="J167" s="16"/>
      <c r="K167" s="16"/>
      <c r="L167" s="16"/>
      <c r="M167" s="16"/>
      <c r="N167" s="16"/>
      <c r="O167" s="16"/>
    </row>
    <row r="168" spans="1:15" x14ac:dyDescent="0.2">
      <c r="A168" s="28" t="s">
        <v>53</v>
      </c>
      <c r="B168" s="32">
        <v>4</v>
      </c>
      <c r="C168" s="22" t="s">
        <v>54</v>
      </c>
      <c r="F168" s="28"/>
      <c r="G168" s="58"/>
      <c r="H168" s="16"/>
      <c r="I168" s="16"/>
      <c r="J168" s="16"/>
      <c r="K168" s="16"/>
      <c r="L168" s="16"/>
      <c r="M168" s="16"/>
      <c r="N168" s="16"/>
      <c r="O168" s="16"/>
    </row>
    <row r="169" spans="1:15" x14ac:dyDescent="0.2">
      <c r="A169" s="28" t="s">
        <v>45</v>
      </c>
      <c r="B169" s="32">
        <v>0.161</v>
      </c>
      <c r="C169" s="22" t="s">
        <v>1284</v>
      </c>
      <c r="F169" s="28"/>
      <c r="G169" s="58"/>
      <c r="H169" s="16"/>
      <c r="I169" s="16"/>
      <c r="J169" s="16"/>
      <c r="K169" s="16"/>
      <c r="L169" s="16"/>
      <c r="M169" s="16"/>
      <c r="N169" s="16"/>
      <c r="O169" s="16"/>
    </row>
    <row r="170" spans="1:15" ht="15.75" thickBot="1" x14ac:dyDescent="0.25">
      <c r="A170" s="28" t="s">
        <v>55</v>
      </c>
      <c r="B170" s="54">
        <v>100</v>
      </c>
      <c r="C170" s="22" t="s">
        <v>1284</v>
      </c>
      <c r="F170" s="28"/>
      <c r="G170" s="58"/>
      <c r="H170" s="16"/>
      <c r="I170" s="16"/>
      <c r="J170" s="16"/>
      <c r="K170" s="16"/>
      <c r="L170" s="16"/>
      <c r="M170" s="16"/>
      <c r="N170" s="16"/>
      <c r="O170" s="16"/>
    </row>
    <row r="171" spans="1:15" ht="15.75" x14ac:dyDescent="0.25">
      <c r="B171" s="30" t="s">
        <v>876</v>
      </c>
      <c r="C171" s="22"/>
      <c r="F171" s="28"/>
      <c r="G171" s="58"/>
      <c r="H171" s="16"/>
      <c r="I171" s="16"/>
      <c r="J171" s="16"/>
      <c r="K171" s="16"/>
      <c r="L171" s="16"/>
      <c r="M171" s="16"/>
      <c r="N171" s="16"/>
      <c r="O171" s="16"/>
    </row>
    <row r="172" spans="1:15" ht="15.75" x14ac:dyDescent="0.25">
      <c r="A172" s="2" t="s">
        <v>49</v>
      </c>
      <c r="B172" s="1" t="s">
        <v>92</v>
      </c>
      <c r="C172" s="1"/>
      <c r="F172" s="28"/>
      <c r="G172" s="58"/>
      <c r="H172" s="16"/>
      <c r="I172" s="16"/>
      <c r="J172" s="16"/>
      <c r="K172" s="16"/>
      <c r="L172" s="16"/>
      <c r="M172" s="16"/>
      <c r="N172" s="16"/>
      <c r="O172" s="16"/>
    </row>
    <row r="173" spans="1:15" ht="15.75" x14ac:dyDescent="0.25">
      <c r="A173" s="2" t="s">
        <v>56</v>
      </c>
      <c r="B173" s="36">
        <f>2*B166*B167^3/(B168*3.142^2*B169*B170)</f>
        <v>1419.5444033627789</v>
      </c>
      <c r="C173" s="1" t="s">
        <v>1154</v>
      </c>
      <c r="F173" s="28"/>
      <c r="G173" s="58"/>
      <c r="H173" s="16"/>
      <c r="I173" s="16"/>
      <c r="J173" s="16"/>
      <c r="K173" s="16"/>
      <c r="L173" s="16"/>
      <c r="M173" s="16"/>
      <c r="N173" s="16"/>
      <c r="O173" s="16"/>
    </row>
    <row r="174" spans="1:15" x14ac:dyDescent="0.2">
      <c r="A174" s="28"/>
      <c r="B174" s="27"/>
      <c r="C174" s="22"/>
      <c r="F174" s="28"/>
      <c r="G174" s="58"/>
      <c r="H174" s="16"/>
      <c r="I174" s="16"/>
      <c r="J174" s="16"/>
      <c r="K174" s="16"/>
      <c r="L174" s="16"/>
      <c r="M174" s="16"/>
      <c r="N174" s="16"/>
      <c r="O174" s="16"/>
    </row>
    <row r="175" spans="1:15" ht="16.5" thickBot="1" x14ac:dyDescent="0.3">
      <c r="A175" s="2" t="s">
        <v>58</v>
      </c>
      <c r="B175" s="30" t="s">
        <v>109</v>
      </c>
      <c r="C175" s="22"/>
      <c r="F175" s="28"/>
      <c r="G175" s="58"/>
      <c r="H175" s="16"/>
      <c r="I175" s="16"/>
      <c r="J175" s="16"/>
      <c r="K175" s="16"/>
      <c r="L175" s="16"/>
      <c r="M175" s="16"/>
      <c r="N175" s="16"/>
      <c r="O175" s="16"/>
    </row>
    <row r="176" spans="1:15" x14ac:dyDescent="0.2">
      <c r="A176" s="28" t="s">
        <v>59</v>
      </c>
      <c r="B176" s="31">
        <v>5.33</v>
      </c>
      <c r="C176" s="22" t="s">
        <v>1078</v>
      </c>
      <c r="F176" s="28"/>
      <c r="G176" s="58"/>
      <c r="H176" s="16"/>
      <c r="I176" s="16"/>
      <c r="J176" s="16"/>
      <c r="K176" s="16"/>
      <c r="L176" s="16"/>
      <c r="M176" s="16"/>
      <c r="N176" s="16"/>
      <c r="O176" s="16"/>
    </row>
    <row r="177" spans="1:15" x14ac:dyDescent="0.2">
      <c r="A177" s="28" t="s">
        <v>86</v>
      </c>
      <c r="B177" s="32">
        <v>800</v>
      </c>
      <c r="C177" s="22" t="s">
        <v>1086</v>
      </c>
      <c r="F177" s="28"/>
      <c r="G177" s="58"/>
      <c r="H177" s="16"/>
      <c r="I177" s="16"/>
      <c r="J177" s="16"/>
      <c r="K177" s="16"/>
      <c r="L177" s="16"/>
      <c r="M177" s="16"/>
      <c r="N177" s="16"/>
      <c r="O177" s="16"/>
    </row>
    <row r="178" spans="1:15" x14ac:dyDescent="0.2">
      <c r="A178" s="28" t="s">
        <v>90</v>
      </c>
      <c r="B178" s="32" t="s">
        <v>123</v>
      </c>
      <c r="C178" s="22"/>
      <c r="F178" s="28"/>
      <c r="G178" s="58"/>
      <c r="H178" s="16"/>
      <c r="I178" s="16"/>
      <c r="J178" s="16"/>
      <c r="K178" s="16"/>
      <c r="L178" s="16"/>
      <c r="M178" s="16"/>
      <c r="N178" s="16"/>
      <c r="O178" s="16"/>
    </row>
    <row r="179" spans="1:15" x14ac:dyDescent="0.2">
      <c r="A179" s="28" t="s">
        <v>91</v>
      </c>
      <c r="B179" s="53">
        <f>3.142*B176*B177/12</f>
        <v>1116.4573333333331</v>
      </c>
      <c r="C179" s="22" t="s">
        <v>21</v>
      </c>
      <c r="F179" s="28"/>
      <c r="G179" s="58"/>
      <c r="H179" s="16"/>
      <c r="I179" s="16"/>
      <c r="J179" s="16"/>
      <c r="K179" s="16"/>
      <c r="L179" s="16"/>
      <c r="M179" s="16"/>
      <c r="N179" s="16"/>
      <c r="O179" s="16"/>
    </row>
    <row r="180" spans="1:15" ht="16.5" thickBot="1" x14ac:dyDescent="0.3">
      <c r="A180" s="28" t="s">
        <v>46</v>
      </c>
      <c r="B180" s="166">
        <v>790</v>
      </c>
      <c r="C180" s="22" t="s">
        <v>1100</v>
      </c>
      <c r="F180" s="28"/>
      <c r="G180" s="58"/>
      <c r="H180" s="16"/>
      <c r="I180" s="16"/>
      <c r="J180" s="16"/>
      <c r="K180" s="16"/>
      <c r="L180" s="16"/>
      <c r="M180" s="16"/>
      <c r="N180" s="16"/>
      <c r="O180" s="16"/>
    </row>
    <row r="181" spans="1:15" x14ac:dyDescent="0.2">
      <c r="A181" s="28" t="s">
        <v>90</v>
      </c>
      <c r="B181" s="27">
        <v>840</v>
      </c>
      <c r="C181" s="22" t="s">
        <v>21</v>
      </c>
      <c r="F181" s="28"/>
      <c r="G181" s="58"/>
      <c r="H181" s="16"/>
      <c r="I181" s="16"/>
      <c r="J181" s="16"/>
      <c r="K181" s="16"/>
      <c r="L181" s="16"/>
      <c r="M181" s="16"/>
      <c r="N181" s="16"/>
      <c r="O181" s="16"/>
    </row>
    <row r="182" spans="1:15" ht="15.75" x14ac:dyDescent="0.25">
      <c r="A182" s="2" t="s">
        <v>1071</v>
      </c>
      <c r="B182" s="30" t="s">
        <v>876</v>
      </c>
      <c r="C182" s="27"/>
      <c r="D182" s="1" t="s">
        <v>858</v>
      </c>
      <c r="E182" s="5"/>
      <c r="F182" s="5"/>
      <c r="G182" s="58"/>
      <c r="H182" s="16"/>
      <c r="I182" s="16"/>
      <c r="J182" s="16"/>
      <c r="K182" s="16"/>
      <c r="L182" s="16"/>
      <c r="M182" s="16"/>
      <c r="N182" s="16"/>
      <c r="O182" s="16"/>
    </row>
    <row r="183" spans="1:15" ht="15.75" x14ac:dyDescent="0.25">
      <c r="A183" s="2" t="s">
        <v>87</v>
      </c>
      <c r="B183" s="5" t="s">
        <v>88</v>
      </c>
      <c r="C183" s="5"/>
      <c r="D183" s="2" t="s">
        <v>857</v>
      </c>
      <c r="E183" s="5">
        <v>33000</v>
      </c>
      <c r="F183" s="5" t="s">
        <v>21</v>
      </c>
      <c r="G183" s="58"/>
      <c r="H183" s="16"/>
      <c r="I183" s="16"/>
      <c r="J183" s="16"/>
      <c r="K183" s="16"/>
      <c r="L183" s="16"/>
      <c r="M183" s="16"/>
      <c r="N183" s="16"/>
      <c r="O183" s="16"/>
    </row>
    <row r="184" spans="1:15" ht="15.75" x14ac:dyDescent="0.25">
      <c r="A184" s="2" t="s">
        <v>89</v>
      </c>
      <c r="B184" s="36">
        <f>B180*B181/33000</f>
        <v>20.109090909090909</v>
      </c>
      <c r="C184" s="5" t="s">
        <v>1087</v>
      </c>
      <c r="F184" s="28"/>
      <c r="G184" s="58"/>
      <c r="H184" s="16"/>
      <c r="I184" s="16"/>
      <c r="J184" s="16"/>
      <c r="K184" s="16"/>
      <c r="L184" s="16"/>
      <c r="M184" s="16"/>
      <c r="N184" s="16"/>
      <c r="O184" s="16"/>
    </row>
    <row r="185" spans="1:15" x14ac:dyDescent="0.2">
      <c r="G185" s="58"/>
      <c r="H185" s="16"/>
      <c r="I185" s="16"/>
      <c r="J185" s="16"/>
      <c r="K185" s="16"/>
      <c r="L185" s="16"/>
      <c r="M185" s="16"/>
      <c r="N185" s="16"/>
      <c r="O185" s="16"/>
    </row>
    <row r="186" spans="1:15" x14ac:dyDescent="0.2">
      <c r="A186" s="23"/>
      <c r="B186" s="125"/>
      <c r="C186" s="125"/>
      <c r="D186" s="23"/>
      <c r="E186" s="23"/>
      <c r="F186" s="124"/>
      <c r="G186" s="58"/>
      <c r="H186" s="16"/>
      <c r="I186" s="16"/>
      <c r="J186" s="16"/>
      <c r="K186" s="16"/>
      <c r="L186" s="16"/>
      <c r="M186" s="16"/>
      <c r="N186" s="16"/>
      <c r="O186" s="16"/>
    </row>
    <row r="187" spans="1:15" x14ac:dyDescent="0.2">
      <c r="A187" s="28"/>
      <c r="B187" s="27"/>
      <c r="C187" s="27"/>
      <c r="F187" s="28"/>
      <c r="G187" s="58"/>
      <c r="H187" s="16"/>
      <c r="I187" s="16"/>
      <c r="J187" s="16"/>
      <c r="K187" s="16"/>
      <c r="L187" s="16"/>
      <c r="M187" s="16"/>
      <c r="N187" s="16"/>
      <c r="O187" s="16"/>
    </row>
    <row r="188" spans="1:15" ht="15.75" x14ac:dyDescent="0.25">
      <c r="A188" s="1" t="s">
        <v>1114</v>
      </c>
      <c r="B188" s="27"/>
      <c r="C188" s="27"/>
      <c r="F188" s="28"/>
      <c r="G188" s="58"/>
      <c r="H188" s="16"/>
      <c r="I188" s="16"/>
      <c r="J188" s="16"/>
      <c r="K188" s="16"/>
      <c r="L188" s="16"/>
      <c r="M188" s="16"/>
      <c r="N188" s="16"/>
      <c r="O188" s="16"/>
    </row>
    <row r="189" spans="1:15" x14ac:dyDescent="0.2">
      <c r="A189" s="28"/>
      <c r="B189" s="27"/>
      <c r="C189" s="27"/>
      <c r="F189" s="28"/>
      <c r="G189" s="58"/>
      <c r="H189" s="16"/>
      <c r="I189" s="16"/>
      <c r="J189" s="16"/>
      <c r="K189" s="16"/>
      <c r="L189" s="16"/>
      <c r="M189" s="16"/>
      <c r="N189" s="16"/>
      <c r="O189" s="16"/>
    </row>
    <row r="190" spans="1:15" ht="15.75" x14ac:dyDescent="0.25">
      <c r="A190" s="1" t="s">
        <v>1071</v>
      </c>
      <c r="B190" s="27"/>
      <c r="C190" s="27"/>
      <c r="F190" s="28"/>
      <c r="G190" s="58"/>
      <c r="H190" s="16"/>
      <c r="I190" s="16"/>
      <c r="J190" s="16"/>
      <c r="K190" s="16"/>
      <c r="L190" s="16"/>
      <c r="M190" s="16"/>
      <c r="N190" s="16"/>
      <c r="O190" s="16"/>
    </row>
    <row r="191" spans="1:15" x14ac:dyDescent="0.2">
      <c r="A191" s="28"/>
      <c r="B191" s="27"/>
      <c r="C191" s="27"/>
      <c r="F191" s="28"/>
      <c r="G191" s="58"/>
      <c r="H191" s="16"/>
      <c r="I191" s="16"/>
      <c r="J191" s="16"/>
      <c r="K191" s="16"/>
      <c r="L191" s="16"/>
      <c r="M191" s="16"/>
      <c r="N191" s="16"/>
      <c r="O191" s="16"/>
    </row>
    <row r="192" spans="1:15" x14ac:dyDescent="0.2">
      <c r="A192" s="28"/>
      <c r="B192" s="27"/>
      <c r="C192" s="27"/>
      <c r="F192" s="28"/>
      <c r="G192" s="58"/>
      <c r="H192" s="16"/>
      <c r="I192" s="16"/>
      <c r="J192" s="16"/>
      <c r="K192" s="16"/>
      <c r="L192" s="16"/>
      <c r="M192" s="16"/>
      <c r="N192" s="16"/>
      <c r="O192" s="16"/>
    </row>
    <row r="193" spans="1:15" x14ac:dyDescent="0.2">
      <c r="A193" s="28"/>
      <c r="B193" s="27"/>
      <c r="C193" s="27"/>
      <c r="F193" s="28"/>
      <c r="G193" s="58"/>
      <c r="H193" s="16"/>
      <c r="I193" s="16"/>
      <c r="J193" s="16"/>
      <c r="K193" s="16"/>
      <c r="L193" s="16"/>
      <c r="M193" s="16"/>
      <c r="N193" s="16"/>
      <c r="O193" s="16"/>
    </row>
    <row r="194" spans="1:15" x14ac:dyDescent="0.2">
      <c r="A194" s="28"/>
      <c r="B194" s="27"/>
      <c r="C194" s="27"/>
      <c r="F194" s="28"/>
      <c r="G194" s="58"/>
      <c r="H194" s="16"/>
      <c r="I194" s="16"/>
      <c r="J194" s="16"/>
      <c r="K194" s="16"/>
      <c r="L194" s="16"/>
      <c r="M194" s="16"/>
      <c r="N194" s="16"/>
      <c r="O194" s="16"/>
    </row>
    <row r="195" spans="1:15" x14ac:dyDescent="0.2">
      <c r="A195" s="28"/>
      <c r="B195" s="27"/>
      <c r="C195" s="27"/>
      <c r="F195" s="28"/>
      <c r="G195" s="58"/>
      <c r="H195" s="16"/>
      <c r="I195" s="16"/>
      <c r="J195" s="16"/>
      <c r="K195" s="16"/>
      <c r="L195" s="16"/>
      <c r="M195" s="16"/>
      <c r="N195" s="16"/>
      <c r="O195" s="16"/>
    </row>
    <row r="196" spans="1:15" x14ac:dyDescent="0.2">
      <c r="A196" s="28"/>
      <c r="B196" s="27"/>
      <c r="C196" s="27"/>
      <c r="F196" s="28"/>
      <c r="G196" s="58"/>
      <c r="H196" s="16"/>
      <c r="I196" s="16"/>
      <c r="J196" s="16"/>
      <c r="K196" s="16"/>
      <c r="L196" s="16"/>
      <c r="M196" s="16"/>
      <c r="N196" s="16"/>
      <c r="O196" s="16"/>
    </row>
    <row r="197" spans="1:15" x14ac:dyDescent="0.2">
      <c r="A197" s="28"/>
      <c r="B197" s="27"/>
      <c r="C197" s="27"/>
      <c r="F197" s="28"/>
      <c r="G197" s="58"/>
      <c r="H197" s="16"/>
      <c r="I197" s="16"/>
      <c r="J197" s="16"/>
      <c r="K197" s="16"/>
      <c r="L197" s="16"/>
      <c r="M197" s="16"/>
      <c r="N197" s="16"/>
      <c r="O197" s="16"/>
    </row>
    <row r="198" spans="1:15" x14ac:dyDescent="0.2">
      <c r="A198" s="28"/>
      <c r="B198" s="27"/>
      <c r="C198" s="27"/>
      <c r="F198" s="28"/>
      <c r="G198" s="58"/>
      <c r="H198" s="16"/>
      <c r="I198" s="16"/>
      <c r="J198" s="16"/>
      <c r="K198" s="16"/>
      <c r="L198" s="16"/>
      <c r="M198" s="16"/>
      <c r="N198" s="16"/>
      <c r="O198" s="16"/>
    </row>
    <row r="199" spans="1:15" x14ac:dyDescent="0.2">
      <c r="A199" s="28"/>
      <c r="B199" s="27"/>
      <c r="C199" s="27"/>
      <c r="F199" s="28"/>
      <c r="G199" s="58"/>
      <c r="H199" s="16"/>
      <c r="I199" s="16"/>
      <c r="J199" s="16"/>
      <c r="K199" s="16"/>
      <c r="L199" s="16"/>
      <c r="M199" s="16"/>
      <c r="N199" s="16"/>
      <c r="O199" s="16"/>
    </row>
    <row r="200" spans="1:15" x14ac:dyDescent="0.2">
      <c r="A200" s="28"/>
      <c r="B200" s="27"/>
      <c r="C200" s="27"/>
      <c r="F200" s="28"/>
      <c r="G200" s="58"/>
      <c r="H200" s="16"/>
      <c r="I200" s="16"/>
      <c r="J200" s="16"/>
      <c r="K200" s="16"/>
      <c r="L200" s="16"/>
      <c r="M200" s="16"/>
      <c r="N200" s="16"/>
      <c r="O200" s="16"/>
    </row>
    <row r="201" spans="1:15" x14ac:dyDescent="0.2">
      <c r="A201" s="28"/>
      <c r="B201" s="27"/>
      <c r="C201" s="27"/>
      <c r="F201" s="28"/>
      <c r="G201" s="58"/>
      <c r="H201" s="16"/>
      <c r="I201" s="16"/>
      <c r="J201" s="16"/>
      <c r="K201" s="16"/>
      <c r="L201" s="16"/>
      <c r="M201" s="16"/>
      <c r="N201" s="16"/>
      <c r="O201" s="16"/>
    </row>
    <row r="202" spans="1:15" ht="15.75" x14ac:dyDescent="0.25">
      <c r="A202" s="28"/>
      <c r="B202" s="27"/>
      <c r="C202" s="27"/>
      <c r="F202" s="5" t="s">
        <v>1071</v>
      </c>
      <c r="G202" s="58"/>
      <c r="H202" s="16"/>
      <c r="I202" s="16"/>
      <c r="J202" s="16"/>
      <c r="K202" s="16"/>
      <c r="L202" s="16"/>
      <c r="M202" s="16"/>
      <c r="N202" s="16"/>
      <c r="O202" s="16"/>
    </row>
    <row r="203" spans="1:15" x14ac:dyDescent="0.2">
      <c r="G203" s="58"/>
      <c r="H203" s="16"/>
      <c r="I203" s="16"/>
      <c r="J203" s="16"/>
      <c r="K203" s="16"/>
      <c r="L203" s="16"/>
      <c r="M203" s="16"/>
      <c r="N203" s="16"/>
      <c r="O203" s="16"/>
    </row>
    <row r="204" spans="1:15" x14ac:dyDescent="0.2">
      <c r="G204" s="58"/>
      <c r="H204" s="16"/>
      <c r="I204" s="16"/>
      <c r="J204" s="16"/>
      <c r="K204" s="16"/>
      <c r="L204" s="16"/>
      <c r="M204" s="16"/>
      <c r="N204" s="16"/>
      <c r="O204" s="16"/>
    </row>
    <row r="205" spans="1:15" x14ac:dyDescent="0.2">
      <c r="G205" s="58"/>
      <c r="H205" s="16"/>
      <c r="I205" s="16"/>
      <c r="J205" s="16"/>
      <c r="K205" s="16"/>
      <c r="L205" s="16"/>
      <c r="M205" s="16"/>
      <c r="N205" s="16"/>
      <c r="O205" s="16"/>
    </row>
    <row r="206" spans="1:15" x14ac:dyDescent="0.2">
      <c r="G206" s="58"/>
      <c r="H206" s="16"/>
      <c r="I206" s="16"/>
      <c r="J206" s="16"/>
      <c r="K206" s="16"/>
      <c r="L206" s="16"/>
      <c r="M206" s="16"/>
      <c r="N206" s="16"/>
      <c r="O206" s="16"/>
    </row>
    <row r="207" spans="1:15" x14ac:dyDescent="0.2">
      <c r="G207" s="58"/>
      <c r="H207" s="16"/>
      <c r="I207" s="16"/>
      <c r="J207" s="16"/>
      <c r="K207" s="16"/>
      <c r="L207" s="16"/>
      <c r="M207" s="16"/>
      <c r="N207" s="16"/>
      <c r="O207" s="16"/>
    </row>
    <row r="208" spans="1:15" x14ac:dyDescent="0.2">
      <c r="G208" s="58"/>
      <c r="H208" s="16"/>
      <c r="I208" s="16"/>
      <c r="J208" s="16"/>
      <c r="K208" s="16"/>
      <c r="L208" s="16"/>
      <c r="M208" s="16"/>
      <c r="N208" s="16"/>
      <c r="O208" s="16"/>
    </row>
    <row r="209" spans="1:15" x14ac:dyDescent="0.2">
      <c r="G209" s="58"/>
      <c r="H209" s="16"/>
      <c r="I209" s="16"/>
      <c r="J209" s="16"/>
      <c r="K209" s="16"/>
      <c r="L209" s="16"/>
      <c r="M209" s="16"/>
      <c r="N209" s="16"/>
      <c r="O209" s="16"/>
    </row>
    <row r="210" spans="1:15" x14ac:dyDescent="0.2">
      <c r="G210" s="58"/>
      <c r="H210" s="16"/>
      <c r="I210" s="16"/>
      <c r="J210" s="16"/>
      <c r="K210" s="16"/>
      <c r="L210" s="16"/>
      <c r="M210" s="16"/>
      <c r="N210" s="16"/>
      <c r="O210" s="16"/>
    </row>
    <row r="211" spans="1:15" x14ac:dyDescent="0.2">
      <c r="G211" s="58"/>
      <c r="H211" s="16"/>
      <c r="I211" s="16"/>
      <c r="J211" s="16"/>
      <c r="K211" s="16"/>
      <c r="L211" s="16"/>
      <c r="M211" s="16"/>
      <c r="N211" s="16"/>
      <c r="O211" s="16"/>
    </row>
    <row r="212" spans="1:15" x14ac:dyDescent="0.2">
      <c r="G212" s="58"/>
      <c r="H212" s="16"/>
      <c r="I212" s="16"/>
      <c r="J212" s="16"/>
      <c r="K212" s="16"/>
      <c r="L212" s="16"/>
      <c r="M212" s="16"/>
      <c r="N212" s="16"/>
      <c r="O212" s="16"/>
    </row>
    <row r="213" spans="1:15" x14ac:dyDescent="0.2">
      <c r="G213" s="58"/>
      <c r="H213" s="16"/>
      <c r="I213" s="16"/>
      <c r="J213" s="16"/>
      <c r="K213" s="16"/>
      <c r="L213" s="16"/>
      <c r="M213" s="16"/>
      <c r="N213" s="16"/>
      <c r="O213" s="16"/>
    </row>
    <row r="214" spans="1:15" x14ac:dyDescent="0.2">
      <c r="G214" s="58"/>
      <c r="H214" s="16"/>
      <c r="I214" s="16"/>
      <c r="J214" s="16"/>
      <c r="K214" s="16"/>
      <c r="L214" s="16"/>
      <c r="M214" s="16"/>
      <c r="N214" s="16"/>
      <c r="O214" s="16"/>
    </row>
    <row r="215" spans="1:15" ht="16.5" thickBot="1" x14ac:dyDescent="0.3">
      <c r="A215" s="1" t="s">
        <v>1115</v>
      </c>
      <c r="B215" s="30" t="s">
        <v>109</v>
      </c>
      <c r="C215" s="27"/>
      <c r="G215" s="58"/>
      <c r="H215" s="16"/>
      <c r="I215" s="16"/>
      <c r="J215" s="16"/>
      <c r="K215" s="16"/>
      <c r="L215" s="16"/>
      <c r="M215" s="16"/>
      <c r="N215" s="16"/>
      <c r="O215" s="16"/>
    </row>
    <row r="216" spans="1:15" ht="15.75" x14ac:dyDescent="0.25">
      <c r="A216" s="18" t="s">
        <v>1394</v>
      </c>
      <c r="B216" s="31">
        <v>12</v>
      </c>
      <c r="C216" s="27"/>
      <c r="G216" s="58"/>
      <c r="H216" s="16"/>
      <c r="I216" s="16"/>
      <c r="J216" s="16"/>
      <c r="K216" s="16"/>
      <c r="L216" s="16"/>
      <c r="M216" s="16"/>
      <c r="N216" s="16"/>
      <c r="O216" s="16"/>
    </row>
    <row r="217" spans="1:15" ht="16.5" thickBot="1" x14ac:dyDescent="0.3">
      <c r="A217" s="2" t="s">
        <v>1395</v>
      </c>
      <c r="B217" s="54">
        <v>0.375</v>
      </c>
      <c r="G217" s="58"/>
      <c r="H217" s="16"/>
      <c r="I217" s="16"/>
      <c r="J217" s="16"/>
      <c r="K217" s="16"/>
      <c r="L217" s="16"/>
      <c r="M217" s="16"/>
      <c r="N217" s="16"/>
      <c r="O217" s="16"/>
    </row>
    <row r="218" spans="1:15" ht="15.75" x14ac:dyDescent="0.25">
      <c r="B218" s="30" t="s">
        <v>876</v>
      </c>
      <c r="C218" s="27"/>
      <c r="G218" s="58"/>
      <c r="H218" s="16"/>
      <c r="I218" s="16"/>
      <c r="J218" s="16"/>
      <c r="K218" s="16"/>
      <c r="L218" s="16"/>
      <c r="M218" s="16"/>
      <c r="N218" s="16"/>
      <c r="O218" s="16"/>
    </row>
    <row r="219" spans="1:15" ht="15.75" x14ac:dyDescent="0.25">
      <c r="A219" s="2" t="s">
        <v>172</v>
      </c>
      <c r="B219" s="5" t="s">
        <v>175</v>
      </c>
      <c r="C219" s="5"/>
      <c r="F219" s="28"/>
      <c r="G219" s="58"/>
      <c r="H219" s="16"/>
      <c r="I219" s="16"/>
      <c r="J219" s="16"/>
      <c r="K219" s="16"/>
      <c r="L219" s="16"/>
      <c r="M219" s="16"/>
      <c r="N219" s="16"/>
      <c r="O219" s="16"/>
    </row>
    <row r="220" spans="1:15" ht="15.75" x14ac:dyDescent="0.25">
      <c r="A220" s="2" t="s">
        <v>207</v>
      </c>
      <c r="B220" s="51">
        <f>B216/(3.142*B217)</f>
        <v>10.184595798854232</v>
      </c>
      <c r="C220" s="5" t="s">
        <v>1080</v>
      </c>
      <c r="F220" s="28"/>
      <c r="G220" s="58"/>
      <c r="H220" s="16"/>
      <c r="I220" s="16"/>
      <c r="J220" s="16"/>
      <c r="K220" s="16"/>
      <c r="L220" s="16"/>
      <c r="M220" s="16"/>
      <c r="N220" s="16"/>
      <c r="O220" s="16"/>
    </row>
    <row r="221" spans="1:15" ht="15.75" x14ac:dyDescent="0.25">
      <c r="A221" s="2" t="s">
        <v>207</v>
      </c>
      <c r="B221" s="5" t="s">
        <v>174</v>
      </c>
      <c r="C221" s="5"/>
      <c r="F221" s="28"/>
      <c r="G221" s="58"/>
      <c r="H221" s="16"/>
      <c r="I221" s="16"/>
      <c r="J221" s="16"/>
      <c r="K221" s="16"/>
      <c r="L221" s="16"/>
      <c r="M221" s="16"/>
      <c r="N221" s="16"/>
      <c r="O221" s="16"/>
    </row>
    <row r="222" spans="1:15" ht="15.75" x14ac:dyDescent="0.25">
      <c r="A222" s="2" t="s">
        <v>207</v>
      </c>
      <c r="B222" s="37">
        <f>57.2975*ATAN(B220)</f>
        <v>84.394779747437497</v>
      </c>
      <c r="C222" s="5" t="s">
        <v>1083</v>
      </c>
      <c r="F222" s="28"/>
      <c r="G222" s="58"/>
      <c r="H222" s="16"/>
      <c r="I222" s="16"/>
      <c r="J222" s="16"/>
      <c r="K222" s="16"/>
      <c r="L222" s="16"/>
      <c r="M222" s="16"/>
      <c r="N222" s="16"/>
      <c r="O222" s="16"/>
    </row>
    <row r="223" spans="1:15" ht="16.5" thickBot="1" x14ac:dyDescent="0.3">
      <c r="A223" s="49"/>
      <c r="B223" s="30" t="s">
        <v>109</v>
      </c>
      <c r="C223" s="16"/>
      <c r="F223" s="28"/>
      <c r="G223" s="58"/>
      <c r="H223" s="16"/>
      <c r="I223" s="16"/>
      <c r="J223" s="16"/>
      <c r="K223" s="16"/>
      <c r="L223" s="16"/>
      <c r="M223" s="16"/>
      <c r="N223" s="16"/>
      <c r="O223" s="16"/>
    </row>
    <row r="224" spans="1:15" ht="15.75" x14ac:dyDescent="0.25">
      <c r="A224" s="18" t="s">
        <v>1347</v>
      </c>
      <c r="B224" s="31">
        <v>20</v>
      </c>
      <c r="C224" s="16" t="s">
        <v>1275</v>
      </c>
      <c r="F224" s="28"/>
      <c r="G224" s="58"/>
      <c r="H224" s="16"/>
      <c r="I224" s="16"/>
      <c r="J224" s="16"/>
      <c r="K224" s="16"/>
      <c r="L224" s="16"/>
      <c r="M224" s="16"/>
      <c r="N224" s="16"/>
      <c r="O224" s="16"/>
    </row>
    <row r="225" spans="1:15" ht="15.75" x14ac:dyDescent="0.25">
      <c r="A225" s="2" t="s">
        <v>1352</v>
      </c>
      <c r="B225" s="52">
        <v>3.5</v>
      </c>
      <c r="C225" s="16" t="s">
        <v>1078</v>
      </c>
      <c r="F225" s="28"/>
      <c r="G225" s="58"/>
      <c r="H225" s="16"/>
      <c r="I225" s="16"/>
      <c r="J225" s="16"/>
      <c r="K225" s="16"/>
      <c r="L225" s="16"/>
      <c r="M225" s="16"/>
      <c r="N225" s="16"/>
      <c r="O225" s="16"/>
    </row>
    <row r="226" spans="1:15" ht="15.75" x14ac:dyDescent="0.25">
      <c r="A226" s="2" t="s">
        <v>1348</v>
      </c>
      <c r="B226" s="32">
        <v>2</v>
      </c>
      <c r="C226" s="16" t="s">
        <v>1284</v>
      </c>
      <c r="F226" s="28"/>
      <c r="G226" s="58"/>
      <c r="H226" s="16"/>
      <c r="I226" s="16"/>
      <c r="J226" s="16"/>
      <c r="K226" s="16"/>
      <c r="L226" s="16"/>
      <c r="M226" s="16"/>
      <c r="N226" s="16"/>
      <c r="O226" s="16"/>
    </row>
    <row r="227" spans="1:15" ht="15.75" x14ac:dyDescent="0.25">
      <c r="A227" s="2" t="s">
        <v>1349</v>
      </c>
      <c r="B227" s="32">
        <v>32</v>
      </c>
      <c r="C227" s="16" t="s">
        <v>1284</v>
      </c>
      <c r="F227" s="28"/>
      <c r="G227" s="58"/>
      <c r="H227" s="16"/>
      <c r="I227" s="16"/>
      <c r="J227" s="16"/>
      <c r="K227" s="16"/>
      <c r="L227" s="16"/>
      <c r="M227" s="16"/>
      <c r="N227" s="16"/>
      <c r="O227" s="16"/>
    </row>
    <row r="228" spans="1:15" ht="16.5" thickBot="1" x14ac:dyDescent="0.3">
      <c r="A228" s="18" t="s">
        <v>1397</v>
      </c>
      <c r="B228" s="48">
        <v>220</v>
      </c>
      <c r="C228" s="16" t="s">
        <v>1357</v>
      </c>
      <c r="G228" s="58"/>
      <c r="H228" s="16"/>
      <c r="I228" s="16"/>
      <c r="J228" s="16"/>
      <c r="K228" s="16"/>
      <c r="L228" s="16"/>
      <c r="M228" s="16"/>
      <c r="N228" s="16"/>
      <c r="O228" s="16"/>
    </row>
    <row r="229" spans="1:15" ht="15.75" x14ac:dyDescent="0.25">
      <c r="A229" s="18"/>
      <c r="B229" s="30" t="s">
        <v>876</v>
      </c>
      <c r="C229" s="16"/>
      <c r="G229" s="58"/>
      <c r="H229" s="16"/>
      <c r="I229" s="16"/>
      <c r="J229" s="16"/>
      <c r="K229" s="16"/>
      <c r="L229" s="16"/>
      <c r="M229" s="16"/>
      <c r="N229" s="16"/>
      <c r="O229" s="16"/>
    </row>
    <row r="230" spans="1:15" ht="16.5" thickBot="1" x14ac:dyDescent="0.3">
      <c r="A230" s="2" t="s">
        <v>1353</v>
      </c>
      <c r="B230" s="27" t="s">
        <v>1396</v>
      </c>
      <c r="G230" s="58"/>
      <c r="H230" s="16"/>
      <c r="I230" s="16"/>
      <c r="J230" s="16"/>
      <c r="K230" s="16"/>
      <c r="L230" s="16"/>
      <c r="M230" s="16"/>
      <c r="N230" s="16"/>
      <c r="O230" s="16"/>
    </row>
    <row r="231" spans="1:15" ht="15.75" x14ac:dyDescent="0.25">
      <c r="A231" s="2" t="s">
        <v>748</v>
      </c>
      <c r="B231" s="123">
        <f>B217*B226</f>
        <v>0.75</v>
      </c>
      <c r="C231" s="12" t="s">
        <v>1078</v>
      </c>
      <c r="E231" s="175" t="s">
        <v>1358</v>
      </c>
      <c r="F231" s="176"/>
      <c r="G231" s="177"/>
      <c r="H231" s="178"/>
      <c r="I231" s="179"/>
      <c r="J231" s="16"/>
      <c r="K231" s="16"/>
      <c r="L231" s="16"/>
      <c r="M231" s="16"/>
      <c r="N231" s="16"/>
      <c r="O231" s="16"/>
    </row>
    <row r="232" spans="1:15" ht="16.5" thickBot="1" x14ac:dyDescent="0.3">
      <c r="A232" s="18" t="s">
        <v>1398</v>
      </c>
      <c r="B232" s="27" t="s">
        <v>1393</v>
      </c>
      <c r="E232" s="180" t="s">
        <v>1359</v>
      </c>
      <c r="F232" s="181"/>
      <c r="G232" s="182"/>
      <c r="H232" s="183"/>
      <c r="I232" s="184"/>
      <c r="J232" s="16"/>
      <c r="K232" s="16"/>
      <c r="L232" s="16"/>
      <c r="M232" s="16"/>
      <c r="N232" s="16"/>
      <c r="O232" s="16"/>
    </row>
    <row r="233" spans="1:15" ht="15.75" x14ac:dyDescent="0.25">
      <c r="A233" s="18" t="s">
        <v>748</v>
      </c>
      <c r="B233" s="123">
        <f>1/B216</f>
        <v>8.3333333333333329E-2</v>
      </c>
      <c r="C233" s="12" t="s">
        <v>1078</v>
      </c>
      <c r="H233" s="16"/>
      <c r="I233" s="16"/>
      <c r="J233" s="16"/>
      <c r="K233" s="16"/>
      <c r="L233" s="16"/>
      <c r="M233" s="16"/>
      <c r="N233" s="16"/>
      <c r="O233" s="16"/>
    </row>
    <row r="234" spans="1:15" ht="15.75" x14ac:dyDescent="0.25">
      <c r="A234" s="2" t="s">
        <v>1402</v>
      </c>
      <c r="B234" s="27" t="s">
        <v>1401</v>
      </c>
      <c r="H234" s="16"/>
      <c r="I234" s="16"/>
      <c r="J234" s="16"/>
      <c r="K234" s="16"/>
      <c r="L234" s="16"/>
      <c r="M234" s="16"/>
      <c r="N234" s="16"/>
      <c r="O234" s="16"/>
    </row>
    <row r="235" spans="1:15" ht="15.75" x14ac:dyDescent="0.25">
      <c r="A235" s="2" t="s">
        <v>748</v>
      </c>
      <c r="B235" s="123">
        <f>B227/B216</f>
        <v>2.6666666666666665</v>
      </c>
      <c r="C235" s="12" t="s">
        <v>1078</v>
      </c>
      <c r="H235" s="16"/>
      <c r="I235" s="16"/>
      <c r="J235" s="16"/>
      <c r="K235" s="16"/>
      <c r="L235" s="16"/>
      <c r="M235" s="16"/>
      <c r="N235" s="16"/>
      <c r="O235" s="16"/>
    </row>
    <row r="236" spans="1:15" ht="15.75" x14ac:dyDescent="0.25">
      <c r="A236" s="18" t="s">
        <v>1350</v>
      </c>
      <c r="B236" s="58" t="s">
        <v>1351</v>
      </c>
      <c r="C236" s="16"/>
      <c r="H236" s="16"/>
      <c r="I236" s="16"/>
      <c r="J236" s="16"/>
      <c r="K236" s="16"/>
      <c r="L236" s="16"/>
      <c r="M236" s="16"/>
      <c r="N236" s="16"/>
      <c r="O236" s="16"/>
    </row>
    <row r="237" spans="1:15" ht="15.75" x14ac:dyDescent="0.25">
      <c r="A237" s="18" t="s">
        <v>748</v>
      </c>
      <c r="B237" s="133">
        <f>B227/B226</f>
        <v>16</v>
      </c>
      <c r="C237" s="16" t="s">
        <v>1284</v>
      </c>
      <c r="H237" s="16"/>
      <c r="I237" s="16"/>
      <c r="J237" s="16"/>
      <c r="K237" s="16"/>
      <c r="L237" s="16"/>
      <c r="M237" s="16"/>
      <c r="N237" s="16"/>
      <c r="O237" s="16"/>
    </row>
    <row r="238" spans="1:15" ht="15.75" x14ac:dyDescent="0.25">
      <c r="A238" s="2" t="s">
        <v>1354</v>
      </c>
      <c r="B238" s="27" t="s">
        <v>1400</v>
      </c>
      <c r="C238" s="16"/>
      <c r="H238" s="16"/>
      <c r="I238" s="16"/>
      <c r="J238" s="16"/>
      <c r="K238" s="16"/>
      <c r="L238" s="16"/>
      <c r="M238" s="16"/>
      <c r="N238" s="16"/>
      <c r="O238" s="16"/>
    </row>
    <row r="239" spans="1:15" ht="15.75" x14ac:dyDescent="0.25">
      <c r="A239" s="2" t="s">
        <v>748</v>
      </c>
      <c r="B239" s="123">
        <f>(B235+B225)/2</f>
        <v>3.083333333333333</v>
      </c>
      <c r="C239" s="12" t="s">
        <v>1078</v>
      </c>
      <c r="H239" s="16"/>
      <c r="I239" s="16"/>
      <c r="J239" s="16"/>
      <c r="K239" s="16"/>
      <c r="L239" s="16"/>
      <c r="M239" s="16"/>
      <c r="N239" s="16"/>
      <c r="O239" s="16"/>
    </row>
    <row r="240" spans="1:15" ht="15.75" x14ac:dyDescent="0.25">
      <c r="A240" s="18" t="s">
        <v>1355</v>
      </c>
      <c r="B240" s="58" t="s">
        <v>1356</v>
      </c>
      <c r="H240" s="16"/>
      <c r="I240" s="16"/>
      <c r="J240" s="16"/>
      <c r="K240" s="16"/>
      <c r="L240" s="16"/>
      <c r="O240" s="16"/>
    </row>
    <row r="241" spans="1:15" ht="15.75" x14ac:dyDescent="0.25">
      <c r="A241" s="18" t="s">
        <v>748</v>
      </c>
      <c r="B241" s="121">
        <f>B228*B226/B227</f>
        <v>13.75</v>
      </c>
      <c r="C241" s="16" t="s">
        <v>1357</v>
      </c>
      <c r="H241" s="16"/>
      <c r="I241" s="16"/>
      <c r="J241" s="16"/>
      <c r="K241" s="16"/>
      <c r="L241" s="16"/>
      <c r="O241" s="16"/>
    </row>
    <row r="242" spans="1:15" ht="15.75" x14ac:dyDescent="0.25">
      <c r="A242" s="18" t="s">
        <v>1403</v>
      </c>
      <c r="B242" s="27" t="s">
        <v>1399</v>
      </c>
      <c r="I242" s="16"/>
      <c r="J242" s="16"/>
      <c r="K242" s="16"/>
      <c r="L242" s="16"/>
    </row>
    <row r="243" spans="1:15" ht="15.75" x14ac:dyDescent="0.25">
      <c r="A243" s="18" t="s">
        <v>748</v>
      </c>
      <c r="B243" s="123">
        <f>B225+2*B233</f>
        <v>3.6666666666666665</v>
      </c>
      <c r="C243" s="12" t="s">
        <v>1078</v>
      </c>
      <c r="I243" s="16"/>
      <c r="J243" s="16"/>
      <c r="K243" s="16"/>
      <c r="L243" s="16"/>
    </row>
    <row r="244" spans="1:15" x14ac:dyDescent="0.2">
      <c r="I244" s="16"/>
      <c r="J244" s="16"/>
      <c r="K244" s="16"/>
      <c r="L244" s="16"/>
    </row>
    <row r="245" spans="1:15" x14ac:dyDescent="0.2">
      <c r="I245" s="16"/>
      <c r="J245" s="16"/>
      <c r="K245" s="16"/>
      <c r="L245" s="16"/>
    </row>
    <row r="246" spans="1:15" x14ac:dyDescent="0.2">
      <c r="A246" s="23"/>
      <c r="B246" s="23"/>
      <c r="C246" s="23"/>
      <c r="D246" s="23"/>
      <c r="E246" s="23"/>
      <c r="F246" s="23"/>
      <c r="G246" s="58"/>
      <c r="H246" s="16"/>
      <c r="I246" s="16"/>
      <c r="J246" s="16"/>
      <c r="K246" s="16"/>
    </row>
    <row r="247" spans="1:15" x14ac:dyDescent="0.2">
      <c r="G247" s="58"/>
      <c r="H247" s="16"/>
      <c r="I247" s="16"/>
      <c r="J247" s="16"/>
      <c r="K247" s="16"/>
    </row>
    <row r="248" spans="1:15" ht="15.75" x14ac:dyDescent="0.25">
      <c r="A248" s="1" t="s">
        <v>1116</v>
      </c>
      <c r="B248" s="12" t="s">
        <v>1346</v>
      </c>
      <c r="G248" s="58"/>
      <c r="H248" s="16"/>
      <c r="I248" s="16"/>
      <c r="J248" s="16"/>
      <c r="K248" s="16"/>
    </row>
    <row r="249" spans="1:15" x14ac:dyDescent="0.2">
      <c r="F249" s="28"/>
      <c r="G249" s="58"/>
      <c r="H249" s="16"/>
      <c r="I249" s="16"/>
      <c r="J249" s="16"/>
      <c r="K249" s="16"/>
    </row>
    <row r="250" spans="1:15" ht="15.75" x14ac:dyDescent="0.25">
      <c r="A250" s="2" t="s">
        <v>177</v>
      </c>
      <c r="B250" s="1" t="s">
        <v>176</v>
      </c>
      <c r="C250" s="27"/>
      <c r="F250" s="28"/>
      <c r="G250" s="58"/>
      <c r="H250" s="16"/>
      <c r="I250" s="16"/>
      <c r="J250" s="16"/>
      <c r="K250" s="16"/>
    </row>
    <row r="251" spans="1:15" ht="16.5" thickBot="1" x14ac:dyDescent="0.3">
      <c r="A251" s="28"/>
      <c r="B251" s="30" t="s">
        <v>109</v>
      </c>
      <c r="C251" s="27"/>
      <c r="F251" s="28"/>
      <c r="G251" s="58"/>
      <c r="H251" s="16"/>
      <c r="I251" s="16"/>
      <c r="J251" s="16"/>
      <c r="K251" s="16"/>
      <c r="L251" s="16"/>
    </row>
    <row r="252" spans="1:15" ht="15.75" thickBot="1" x14ac:dyDescent="0.25">
      <c r="A252" s="28" t="s">
        <v>178</v>
      </c>
      <c r="B252" s="131">
        <v>2.8230768821632508</v>
      </c>
      <c r="C252" s="22" t="s">
        <v>1078</v>
      </c>
      <c r="F252" s="28"/>
      <c r="G252" s="58"/>
      <c r="H252" s="16"/>
      <c r="I252" s="16"/>
      <c r="J252" s="16"/>
      <c r="K252" s="16"/>
      <c r="L252" s="16"/>
    </row>
    <row r="253" spans="1:15" ht="15.75" x14ac:dyDescent="0.25">
      <c r="B253" s="30" t="s">
        <v>876</v>
      </c>
      <c r="C253" s="22"/>
      <c r="F253" s="28"/>
      <c r="G253" s="58"/>
      <c r="H253" s="16"/>
      <c r="I253" s="16"/>
      <c r="J253" s="16"/>
      <c r="K253" s="16"/>
      <c r="L253" s="16"/>
    </row>
    <row r="254" spans="1:15" ht="15.75" x14ac:dyDescent="0.25">
      <c r="A254" s="2" t="s">
        <v>202</v>
      </c>
      <c r="B254" s="5" t="s">
        <v>179</v>
      </c>
      <c r="C254" s="22"/>
      <c r="F254" s="28"/>
      <c r="G254" s="58"/>
      <c r="H254" s="16"/>
      <c r="I254" s="16"/>
      <c r="J254" s="16"/>
      <c r="K254" s="16"/>
      <c r="L254" s="16"/>
    </row>
    <row r="255" spans="1:15" ht="15.75" x14ac:dyDescent="0.25">
      <c r="A255" s="2" t="s">
        <v>171</v>
      </c>
      <c r="B255" s="3">
        <f>B252^0.875/2.2</f>
        <v>1.127092828948179</v>
      </c>
      <c r="C255" s="1" t="s">
        <v>1078</v>
      </c>
      <c r="F255" s="28"/>
      <c r="G255" s="58"/>
      <c r="H255" s="16"/>
      <c r="I255" s="16"/>
      <c r="J255" s="16"/>
      <c r="K255" s="16"/>
      <c r="L255" s="16"/>
    </row>
    <row r="256" spans="1:15" ht="15.75" x14ac:dyDescent="0.25">
      <c r="A256" s="2" t="s">
        <v>1392</v>
      </c>
      <c r="B256" s="5" t="s">
        <v>181</v>
      </c>
      <c r="C256" s="1"/>
      <c r="F256" s="28"/>
      <c r="G256" s="58"/>
      <c r="H256" s="16"/>
      <c r="I256" s="16"/>
      <c r="J256" s="16"/>
      <c r="K256" s="16"/>
      <c r="O256" s="16"/>
    </row>
    <row r="257" spans="1:15" ht="15.75" x14ac:dyDescent="0.25">
      <c r="A257" s="2" t="s">
        <v>180</v>
      </c>
      <c r="B257" s="3">
        <f>B255/3</f>
        <v>0.37569760964939297</v>
      </c>
      <c r="C257" s="1" t="s">
        <v>1078</v>
      </c>
      <c r="F257" s="28"/>
      <c r="G257" s="58"/>
      <c r="H257" s="16"/>
      <c r="I257" s="16"/>
      <c r="J257" s="16"/>
      <c r="K257" s="16"/>
      <c r="L257" s="16"/>
      <c r="M257" s="16"/>
      <c r="N257" s="16"/>
      <c r="O257" s="16"/>
    </row>
    <row r="258" spans="1:15" ht="15.75" x14ac:dyDescent="0.25">
      <c r="A258" s="2" t="s">
        <v>203</v>
      </c>
      <c r="B258" s="5">
        <v>1.75</v>
      </c>
      <c r="C258" s="1" t="s">
        <v>1078</v>
      </c>
      <c r="G258" s="58"/>
      <c r="H258" s="16"/>
      <c r="I258" s="16"/>
      <c r="J258" s="16"/>
      <c r="K258" s="16"/>
      <c r="L258" s="16"/>
      <c r="M258" s="16"/>
      <c r="N258" s="16"/>
      <c r="O258" s="16"/>
    </row>
    <row r="259" spans="1:15" x14ac:dyDescent="0.2">
      <c r="G259" s="58"/>
      <c r="H259" s="16"/>
      <c r="I259" s="16"/>
      <c r="J259" s="16"/>
      <c r="K259" s="16"/>
      <c r="L259" s="16"/>
      <c r="M259" s="16"/>
      <c r="N259" s="16"/>
      <c r="O259" s="16"/>
    </row>
    <row r="260" spans="1:15" x14ac:dyDescent="0.2">
      <c r="G260" s="58"/>
      <c r="H260" s="16"/>
      <c r="I260" s="16"/>
      <c r="J260" s="16"/>
      <c r="K260" s="16"/>
      <c r="L260" s="16"/>
      <c r="M260" s="16"/>
      <c r="N260" s="16"/>
      <c r="O260" s="16"/>
    </row>
    <row r="261" spans="1:15" x14ac:dyDescent="0.2">
      <c r="G261" s="58"/>
      <c r="H261" s="16"/>
      <c r="I261" s="16"/>
      <c r="J261" s="16"/>
      <c r="K261" s="16"/>
      <c r="L261" s="16"/>
      <c r="M261" s="16"/>
      <c r="N261" s="16"/>
      <c r="O261" s="16"/>
    </row>
    <row r="262" spans="1:15" x14ac:dyDescent="0.2">
      <c r="A262" s="23"/>
      <c r="B262" s="23"/>
      <c r="C262" s="23"/>
      <c r="D262" s="23"/>
      <c r="E262" s="23"/>
      <c r="F262" s="23"/>
      <c r="H262" s="16"/>
      <c r="I262" s="16"/>
      <c r="J262" s="16"/>
      <c r="K262" s="16"/>
      <c r="L262" s="16"/>
      <c r="M262" s="16"/>
      <c r="N262" s="16"/>
      <c r="O262" s="16"/>
    </row>
    <row r="263" spans="1:15" x14ac:dyDescent="0.2">
      <c r="H263" s="16"/>
      <c r="I263" s="16"/>
      <c r="J263" s="16"/>
      <c r="K263" s="16"/>
      <c r="L263" s="16"/>
      <c r="M263" s="16"/>
      <c r="N263" s="16"/>
      <c r="O263" s="16"/>
    </row>
    <row r="264" spans="1:15" ht="15.75" x14ac:dyDescent="0.25">
      <c r="A264" s="1" t="s">
        <v>93</v>
      </c>
      <c r="B264" s="27"/>
      <c r="C264" s="27"/>
      <c r="G264" s="58"/>
      <c r="H264" s="16"/>
      <c r="I264" s="16"/>
      <c r="J264" s="16"/>
      <c r="K264" s="16"/>
      <c r="L264" s="16"/>
      <c r="M264" s="16"/>
      <c r="N264" s="16"/>
      <c r="O264" s="16"/>
    </row>
    <row r="265" spans="1:15" ht="16.5" thickBot="1" x14ac:dyDescent="0.3">
      <c r="A265" s="2" t="s">
        <v>1071</v>
      </c>
      <c r="B265" s="30" t="s">
        <v>109</v>
      </c>
      <c r="C265" s="27"/>
      <c r="F265" s="28"/>
      <c r="G265" s="58"/>
      <c r="H265" s="16"/>
      <c r="I265" s="16"/>
      <c r="J265" s="16"/>
      <c r="K265" s="16"/>
      <c r="L265" s="16"/>
      <c r="M265" s="16"/>
      <c r="N265" s="16"/>
      <c r="O265" s="16"/>
    </row>
    <row r="266" spans="1:15" x14ac:dyDescent="0.2">
      <c r="A266" s="28" t="s">
        <v>59</v>
      </c>
      <c r="B266" s="31">
        <v>5.33</v>
      </c>
      <c r="C266" s="22" t="s">
        <v>1078</v>
      </c>
      <c r="F266" s="28"/>
      <c r="G266" s="58"/>
      <c r="H266" s="16"/>
      <c r="I266" s="16"/>
      <c r="J266" s="16"/>
      <c r="K266" s="16"/>
      <c r="L266" s="16"/>
      <c r="M266" s="16"/>
      <c r="N266" s="16"/>
      <c r="O266" s="16"/>
    </row>
    <row r="267" spans="1:15" x14ac:dyDescent="0.2">
      <c r="A267" s="28" t="s">
        <v>86</v>
      </c>
      <c r="B267" s="32">
        <v>600</v>
      </c>
      <c r="C267" s="22" t="s">
        <v>1086</v>
      </c>
      <c r="F267" s="28"/>
      <c r="G267" s="58"/>
      <c r="H267" s="16"/>
      <c r="I267" s="16"/>
      <c r="J267" s="16"/>
      <c r="K267" s="16"/>
      <c r="L267" s="16"/>
      <c r="M267" s="16"/>
      <c r="N267" s="16"/>
      <c r="O267" s="16"/>
    </row>
    <row r="268" spans="1:15" ht="15.75" thickBot="1" x14ac:dyDescent="0.25">
      <c r="A268" s="28" t="s">
        <v>119</v>
      </c>
      <c r="B268" s="54">
        <v>20000</v>
      </c>
      <c r="C268" s="22" t="s">
        <v>1154</v>
      </c>
      <c r="F268" s="28"/>
      <c r="G268" s="58"/>
      <c r="H268" s="16"/>
      <c r="I268" s="16"/>
      <c r="J268" s="16"/>
      <c r="K268" s="16"/>
      <c r="L268" s="16"/>
      <c r="M268" s="16"/>
      <c r="N268" s="16"/>
      <c r="O268" s="16"/>
    </row>
    <row r="269" spans="1:15" x14ac:dyDescent="0.2">
      <c r="A269" s="28"/>
      <c r="B269" s="27"/>
      <c r="C269" s="22"/>
      <c r="F269" s="28"/>
      <c r="G269" s="58"/>
      <c r="H269" s="16"/>
      <c r="I269" s="16"/>
      <c r="J269" s="16"/>
      <c r="K269" s="16"/>
      <c r="L269" s="16"/>
      <c r="M269" s="16"/>
      <c r="N269" s="16"/>
      <c r="O269" s="16"/>
    </row>
    <row r="270" spans="1:15" ht="15.75" x14ac:dyDescent="0.25">
      <c r="A270" s="2" t="s">
        <v>1071</v>
      </c>
      <c r="B270" s="30" t="s">
        <v>876</v>
      </c>
      <c r="C270" s="22"/>
      <c r="F270" s="28"/>
      <c r="G270" s="58"/>
      <c r="H270" s="16"/>
      <c r="I270" s="16"/>
      <c r="J270" s="16"/>
      <c r="K270" s="16"/>
      <c r="L270" s="16"/>
      <c r="M270" s="16"/>
      <c r="N270" s="16"/>
      <c r="O270" s="16"/>
    </row>
    <row r="271" spans="1:15" ht="15.75" x14ac:dyDescent="0.25">
      <c r="A271" s="2" t="s">
        <v>96</v>
      </c>
      <c r="B271" s="5" t="s">
        <v>123</v>
      </c>
      <c r="C271" s="1"/>
      <c r="F271" s="28"/>
      <c r="G271" s="58"/>
      <c r="H271" s="16"/>
      <c r="I271" s="16"/>
      <c r="J271" s="16"/>
      <c r="K271" s="16"/>
      <c r="L271" s="16"/>
      <c r="M271" s="16"/>
      <c r="N271" s="16"/>
      <c r="O271" s="16"/>
    </row>
    <row r="272" spans="1:15" ht="15.75" x14ac:dyDescent="0.25">
      <c r="A272" s="2" t="s">
        <v>97</v>
      </c>
      <c r="B272" s="36">
        <f>3.142*B266*B267/12</f>
        <v>837.34299999999985</v>
      </c>
      <c r="C272" s="1" t="s">
        <v>21</v>
      </c>
      <c r="F272" s="28"/>
      <c r="G272" s="58"/>
      <c r="H272" s="16"/>
      <c r="I272" s="16"/>
      <c r="J272" s="16"/>
      <c r="K272" s="16"/>
      <c r="L272" s="16"/>
      <c r="M272" s="16"/>
      <c r="N272" s="16"/>
      <c r="O272" s="16"/>
    </row>
    <row r="273" spans="1:15" ht="15.75" x14ac:dyDescent="0.25">
      <c r="A273" s="2" t="s">
        <v>99</v>
      </c>
      <c r="B273" s="5" t="s">
        <v>120</v>
      </c>
      <c r="C273" s="1"/>
      <c r="F273" s="28"/>
      <c r="G273" s="58"/>
      <c r="H273" s="16"/>
      <c r="I273" s="16"/>
      <c r="J273" s="16"/>
      <c r="K273" s="16"/>
      <c r="L273" s="16"/>
      <c r="M273" s="16"/>
      <c r="N273" s="16"/>
      <c r="O273" s="16"/>
    </row>
    <row r="274" spans="1:15" ht="15.75" x14ac:dyDescent="0.25">
      <c r="A274" s="2" t="s">
        <v>118</v>
      </c>
      <c r="B274" s="36">
        <f>B268/3</f>
        <v>6666.666666666667</v>
      </c>
      <c r="C274" s="1" t="s">
        <v>1154</v>
      </c>
      <c r="F274" s="28"/>
      <c r="G274" s="58"/>
      <c r="H274" s="16"/>
      <c r="I274" s="16"/>
      <c r="J274" s="16"/>
      <c r="K274" s="16"/>
      <c r="L274" s="16"/>
      <c r="M274" s="16"/>
      <c r="N274" s="16"/>
      <c r="O274" s="16"/>
    </row>
    <row r="275" spans="1:15" ht="15.75" x14ac:dyDescent="0.25">
      <c r="A275" s="2" t="s">
        <v>121</v>
      </c>
      <c r="B275" s="5" t="s">
        <v>98</v>
      </c>
      <c r="C275" s="1"/>
      <c r="F275" s="28"/>
      <c r="G275" s="58"/>
      <c r="H275" s="16"/>
      <c r="I275" s="16"/>
      <c r="J275" s="16"/>
      <c r="K275" s="16"/>
      <c r="L275" s="16"/>
      <c r="M275" s="16"/>
      <c r="N275" s="16"/>
      <c r="O275" s="16"/>
    </row>
    <row r="276" spans="1:15" ht="15.75" x14ac:dyDescent="0.25">
      <c r="A276" s="2" t="s">
        <v>122</v>
      </c>
      <c r="B276" s="36">
        <f>B274*1200/(1200+B272)</f>
        <v>3926.6829394952156</v>
      </c>
      <c r="C276" s="1" t="s">
        <v>1154</v>
      </c>
      <c r="F276" s="28"/>
      <c r="G276" s="58"/>
      <c r="H276" s="16"/>
      <c r="I276" s="16"/>
      <c r="J276" s="16"/>
      <c r="K276" s="16"/>
      <c r="L276" s="16"/>
      <c r="M276" s="16"/>
      <c r="N276" s="16"/>
      <c r="O276" s="16"/>
    </row>
    <row r="277" spans="1:15" x14ac:dyDescent="0.2">
      <c r="A277" s="28"/>
      <c r="B277" s="27"/>
      <c r="C277" s="22"/>
      <c r="F277" s="28"/>
      <c r="G277" s="58"/>
      <c r="H277" s="16"/>
      <c r="I277" s="16"/>
      <c r="J277" s="16"/>
      <c r="K277" s="16"/>
      <c r="L277" s="16"/>
      <c r="M277" s="16"/>
      <c r="N277" s="16"/>
      <c r="O277" s="16"/>
    </row>
    <row r="278" spans="1:15" ht="16.5" thickBot="1" x14ac:dyDescent="0.3">
      <c r="A278" s="28"/>
      <c r="B278" s="30" t="s">
        <v>109</v>
      </c>
      <c r="C278" s="22"/>
      <c r="F278" s="28"/>
      <c r="G278" s="58"/>
      <c r="H278" s="16"/>
      <c r="I278" s="16"/>
      <c r="J278" s="16"/>
      <c r="K278" s="16"/>
      <c r="L278" s="16"/>
      <c r="M278" s="16"/>
      <c r="N278" s="16"/>
      <c r="O278" s="16"/>
    </row>
    <row r="279" spans="1:15" x14ac:dyDescent="0.2">
      <c r="A279" s="28" t="s">
        <v>122</v>
      </c>
      <c r="B279" s="31">
        <v>3927</v>
      </c>
      <c r="C279" s="22" t="s">
        <v>1154</v>
      </c>
      <c r="F279" s="28"/>
      <c r="G279" s="58"/>
      <c r="H279" s="16"/>
      <c r="I279" s="16"/>
      <c r="J279" s="16"/>
      <c r="K279" s="16"/>
      <c r="L279" s="16"/>
      <c r="M279" s="16"/>
      <c r="N279" s="16"/>
      <c r="O279" s="16"/>
    </row>
    <row r="280" spans="1:15" x14ac:dyDescent="0.2">
      <c r="A280" s="28" t="s">
        <v>44</v>
      </c>
      <c r="B280" s="32">
        <v>1.5</v>
      </c>
      <c r="C280" s="22" t="s">
        <v>1078</v>
      </c>
      <c r="F280" s="28"/>
      <c r="G280" s="58"/>
      <c r="H280" s="16"/>
      <c r="I280" s="16"/>
      <c r="J280" s="16"/>
      <c r="K280" s="16"/>
      <c r="L280" s="16"/>
      <c r="M280" s="16"/>
      <c r="N280" s="16"/>
      <c r="O280" s="16"/>
    </row>
    <row r="281" spans="1:15" x14ac:dyDescent="0.2">
      <c r="A281" s="28" t="s">
        <v>95</v>
      </c>
      <c r="B281" s="32">
        <v>1.0472999999999999</v>
      </c>
      <c r="C281" s="22" t="s">
        <v>1078</v>
      </c>
      <c r="F281" s="28"/>
      <c r="G281" s="58"/>
      <c r="H281" s="16"/>
      <c r="I281" s="16"/>
      <c r="J281" s="16"/>
      <c r="K281" s="16"/>
      <c r="L281" s="16"/>
      <c r="M281" s="16"/>
      <c r="N281" s="16"/>
      <c r="O281" s="16"/>
    </row>
    <row r="282" spans="1:15" ht="15.75" thickBot="1" x14ac:dyDescent="0.25">
      <c r="A282" s="28" t="s">
        <v>45</v>
      </c>
      <c r="B282" s="54">
        <v>9.4E-2</v>
      </c>
      <c r="C282" s="22" t="s">
        <v>1284</v>
      </c>
      <c r="F282" s="28"/>
      <c r="G282" s="16"/>
      <c r="H282" s="16"/>
      <c r="I282" s="16"/>
      <c r="J282" s="16"/>
      <c r="K282" s="16"/>
      <c r="L282" s="16"/>
      <c r="M282" s="16"/>
      <c r="N282" s="16"/>
      <c r="O282" s="16"/>
    </row>
    <row r="283" spans="1:15" ht="15.75" x14ac:dyDescent="0.25">
      <c r="B283" s="30" t="s">
        <v>876</v>
      </c>
      <c r="C283" s="22"/>
      <c r="F283" s="28"/>
      <c r="G283" s="16"/>
      <c r="H283" s="16"/>
      <c r="I283" s="16"/>
      <c r="J283" s="16"/>
      <c r="K283" s="16"/>
      <c r="L283" s="16"/>
      <c r="M283" s="16"/>
      <c r="N283" s="16"/>
      <c r="O283" s="16"/>
    </row>
    <row r="284" spans="1:15" ht="15.75" x14ac:dyDescent="0.25">
      <c r="A284" s="2" t="s">
        <v>46</v>
      </c>
      <c r="B284" s="5" t="s">
        <v>132</v>
      </c>
      <c r="C284" s="1" t="s">
        <v>1284</v>
      </c>
      <c r="F284" s="28"/>
      <c r="G284" s="16"/>
      <c r="H284" s="16"/>
      <c r="I284" s="16"/>
      <c r="J284" s="16"/>
      <c r="K284" s="16"/>
      <c r="L284" s="16"/>
      <c r="M284" s="16"/>
      <c r="N284" s="16"/>
      <c r="O284" s="16"/>
    </row>
    <row r="285" spans="1:15" ht="15.75" x14ac:dyDescent="0.25">
      <c r="A285" s="2" t="s">
        <v>22</v>
      </c>
      <c r="B285" s="36">
        <f>B279*B280*B281*B282</f>
        <v>579.89734109999995</v>
      </c>
      <c r="C285" s="1" t="s">
        <v>1100</v>
      </c>
      <c r="F285" s="28"/>
      <c r="G285" s="16"/>
      <c r="H285" s="16"/>
      <c r="I285" s="16"/>
      <c r="J285" s="16"/>
      <c r="K285" s="16"/>
      <c r="L285" s="16"/>
      <c r="M285" s="16"/>
      <c r="N285" s="16"/>
      <c r="O285" s="16"/>
    </row>
    <row r="286" spans="1:15" x14ac:dyDescent="0.2">
      <c r="F286" s="28"/>
      <c r="G286" s="16"/>
      <c r="H286" s="16"/>
      <c r="I286" s="16"/>
      <c r="J286" s="16"/>
      <c r="K286" s="16"/>
      <c r="L286" s="16"/>
      <c r="M286" s="16"/>
      <c r="N286" s="16"/>
      <c r="O286" s="16"/>
    </row>
    <row r="287" spans="1:15" x14ac:dyDescent="0.2">
      <c r="A287" s="23"/>
      <c r="B287" s="23"/>
      <c r="C287" s="23"/>
      <c r="D287" s="23"/>
      <c r="E287" s="23"/>
      <c r="F287" s="124"/>
      <c r="G287" s="16"/>
      <c r="H287" s="16"/>
      <c r="I287" s="16"/>
      <c r="J287" s="16"/>
      <c r="K287" s="16"/>
      <c r="L287" s="16"/>
      <c r="M287" s="16"/>
      <c r="N287" s="16"/>
      <c r="O287" s="16"/>
    </row>
    <row r="288" spans="1:15" x14ac:dyDescent="0.2">
      <c r="F288" s="28"/>
      <c r="G288" s="16"/>
      <c r="H288" s="16"/>
      <c r="I288" s="16"/>
      <c r="J288" s="16"/>
      <c r="K288" s="16"/>
      <c r="L288" s="16"/>
      <c r="M288" s="16"/>
      <c r="N288" s="16"/>
      <c r="O288" s="16"/>
    </row>
    <row r="289" spans="1:15" ht="16.5" thickBot="1" x14ac:dyDescent="0.3">
      <c r="A289" s="1" t="s">
        <v>126</v>
      </c>
      <c r="B289" s="30" t="s">
        <v>107</v>
      </c>
      <c r="C289" s="27"/>
      <c r="F289" s="28"/>
      <c r="G289" s="16"/>
      <c r="H289" s="16"/>
      <c r="I289" s="16"/>
      <c r="J289" s="16"/>
      <c r="K289" s="16"/>
      <c r="L289" s="16"/>
      <c r="M289" s="16"/>
      <c r="N289" s="16"/>
      <c r="O289" s="16"/>
    </row>
    <row r="290" spans="1:15" x14ac:dyDescent="0.2">
      <c r="A290" s="28" t="s">
        <v>19</v>
      </c>
      <c r="B290" s="31">
        <v>1723</v>
      </c>
      <c r="C290" s="22" t="s">
        <v>1100</v>
      </c>
      <c r="F290" s="28"/>
      <c r="G290" s="16"/>
      <c r="H290" s="16"/>
      <c r="I290" s="16"/>
      <c r="J290" s="16"/>
      <c r="K290" s="16"/>
      <c r="L290" s="16"/>
      <c r="M290" s="16"/>
      <c r="N290" s="16"/>
      <c r="O290" s="16"/>
    </row>
    <row r="291" spans="1:15" ht="15.75" thickBot="1" x14ac:dyDescent="0.25">
      <c r="A291" s="28" t="s">
        <v>96</v>
      </c>
      <c r="B291" s="54">
        <v>800</v>
      </c>
      <c r="C291" s="22" t="s">
        <v>21</v>
      </c>
      <c r="F291" s="28"/>
      <c r="G291" s="16"/>
      <c r="H291" s="16"/>
      <c r="I291" s="16"/>
      <c r="J291" s="16"/>
      <c r="K291" s="16"/>
      <c r="L291" s="16"/>
      <c r="M291" s="16"/>
      <c r="N291" s="16"/>
      <c r="O291" s="16"/>
    </row>
    <row r="292" spans="1:15" ht="15.75" x14ac:dyDescent="0.25">
      <c r="B292" s="30" t="s">
        <v>876</v>
      </c>
      <c r="C292" s="22"/>
      <c r="F292" s="28"/>
      <c r="G292" s="16"/>
      <c r="H292" s="16"/>
      <c r="I292" s="16"/>
      <c r="J292" s="16"/>
      <c r="K292" s="16"/>
      <c r="L292" s="16"/>
      <c r="M292" s="16"/>
      <c r="N292" s="16"/>
      <c r="O292" s="16"/>
    </row>
    <row r="293" spans="1:15" ht="15.75" x14ac:dyDescent="0.25">
      <c r="A293" s="2" t="s">
        <v>127</v>
      </c>
      <c r="B293" s="5" t="s">
        <v>128</v>
      </c>
      <c r="C293" s="1"/>
      <c r="F293" s="28"/>
      <c r="G293" s="16"/>
      <c r="H293" s="16"/>
      <c r="I293" s="16"/>
      <c r="J293" s="16"/>
      <c r="K293" s="16"/>
      <c r="L293" s="16"/>
      <c r="M293" s="16"/>
      <c r="N293" s="16"/>
      <c r="O293" s="16"/>
    </row>
    <row r="294" spans="1:15" ht="15.75" x14ac:dyDescent="0.25">
      <c r="A294" s="2" t="s">
        <v>129</v>
      </c>
      <c r="B294" s="36">
        <f>B290*(1200+B291)/1200</f>
        <v>2871.6666666666665</v>
      </c>
      <c r="C294" s="1" t="s">
        <v>1100</v>
      </c>
      <c r="F294" s="28"/>
      <c r="G294" s="16"/>
      <c r="H294" s="16"/>
      <c r="I294" s="16"/>
      <c r="J294" s="16"/>
      <c r="K294" s="16"/>
      <c r="L294" s="16"/>
      <c r="M294" s="16"/>
      <c r="N294" s="16"/>
      <c r="O294" s="16"/>
    </row>
    <row r="295" spans="1:15" x14ac:dyDescent="0.2">
      <c r="I295" s="16"/>
      <c r="J295" s="16"/>
      <c r="K295" s="16"/>
      <c r="L295" s="16"/>
      <c r="M295" s="16"/>
      <c r="N295" s="16"/>
      <c r="O295" s="16"/>
    </row>
    <row r="296" spans="1:15" x14ac:dyDescent="0.2">
      <c r="A296" s="124" t="s">
        <v>1071</v>
      </c>
      <c r="B296" s="125"/>
      <c r="C296" s="126"/>
      <c r="D296" s="23"/>
      <c r="E296" s="23"/>
      <c r="F296" s="124"/>
      <c r="I296" s="16"/>
      <c r="J296" s="16"/>
      <c r="K296" s="16"/>
      <c r="L296" s="16"/>
      <c r="M296" s="16"/>
      <c r="N296" s="16"/>
      <c r="O296" s="16"/>
    </row>
    <row r="297" spans="1:15" x14ac:dyDescent="0.2">
      <c r="G297" s="16"/>
      <c r="H297" s="16"/>
      <c r="I297" s="16"/>
      <c r="J297" s="16"/>
      <c r="K297" s="16"/>
      <c r="L297" s="16"/>
      <c r="M297" s="16"/>
      <c r="N297" s="16"/>
      <c r="O297" s="16"/>
    </row>
    <row r="298" spans="1:15" ht="16.5" thickBot="1" x14ac:dyDescent="0.3">
      <c r="A298" s="1" t="s">
        <v>130</v>
      </c>
      <c r="B298" s="30" t="s">
        <v>109</v>
      </c>
      <c r="C298" s="22"/>
      <c r="F298" s="5" t="s">
        <v>1071</v>
      </c>
      <c r="G298" s="16"/>
      <c r="H298" s="16"/>
      <c r="I298" s="16"/>
      <c r="J298" s="16"/>
      <c r="K298" s="16"/>
      <c r="L298" s="16"/>
      <c r="M298" s="16"/>
      <c r="N298" s="16"/>
      <c r="O298" s="16"/>
    </row>
    <row r="299" spans="1:15" x14ac:dyDescent="0.2">
      <c r="A299" s="28" t="s">
        <v>121</v>
      </c>
      <c r="B299" s="31">
        <v>4000</v>
      </c>
      <c r="C299" s="22" t="s">
        <v>1154</v>
      </c>
      <c r="F299" s="28"/>
      <c r="G299" s="16"/>
      <c r="H299" s="16"/>
      <c r="I299" s="16"/>
      <c r="J299" s="16"/>
      <c r="K299" s="16"/>
      <c r="L299" s="16"/>
      <c r="M299" s="16"/>
      <c r="N299" s="16"/>
      <c r="O299" s="16"/>
    </row>
    <row r="300" spans="1:15" x14ac:dyDescent="0.2">
      <c r="A300" s="28" t="s">
        <v>44</v>
      </c>
      <c r="B300" s="32">
        <v>1.5</v>
      </c>
      <c r="C300" s="22" t="s">
        <v>1078</v>
      </c>
      <c r="F300" s="28"/>
      <c r="G300" s="16"/>
      <c r="H300" s="16"/>
      <c r="I300" s="16"/>
      <c r="J300" s="16"/>
      <c r="K300" s="16"/>
      <c r="L300" s="16"/>
      <c r="M300" s="16"/>
      <c r="N300" s="16"/>
      <c r="O300" s="16"/>
    </row>
    <row r="301" spans="1:15" x14ac:dyDescent="0.2">
      <c r="A301" s="28" t="s">
        <v>45</v>
      </c>
      <c r="B301" s="32">
        <v>9.4E-2</v>
      </c>
      <c r="C301" s="22"/>
      <c r="F301" s="28"/>
      <c r="G301" s="16"/>
      <c r="H301" s="16"/>
      <c r="I301" s="16"/>
      <c r="J301" s="16"/>
      <c r="K301" s="16"/>
      <c r="L301" s="16"/>
      <c r="M301" s="16"/>
      <c r="N301" s="16"/>
      <c r="O301" s="16"/>
    </row>
    <row r="302" spans="1:15" ht="15.75" thickBot="1" x14ac:dyDescent="0.25">
      <c r="A302" s="28" t="s">
        <v>133</v>
      </c>
      <c r="B302" s="54">
        <v>5.3</v>
      </c>
      <c r="C302" s="22" t="s">
        <v>1078</v>
      </c>
      <c r="F302" s="28"/>
      <c r="G302" s="16"/>
      <c r="H302" s="16"/>
      <c r="I302" s="16"/>
      <c r="J302" s="16"/>
      <c r="K302" s="16"/>
      <c r="L302" s="16"/>
      <c r="M302" s="16"/>
      <c r="N302" s="16"/>
      <c r="O302" s="16"/>
    </row>
    <row r="303" spans="1:15" ht="15.75" x14ac:dyDescent="0.25">
      <c r="B303" s="30" t="s">
        <v>876</v>
      </c>
      <c r="C303" s="22"/>
      <c r="F303" s="28"/>
      <c r="G303" s="16"/>
      <c r="H303" s="16"/>
      <c r="I303" s="16"/>
      <c r="J303" s="16"/>
      <c r="K303" s="16"/>
      <c r="L303" s="16"/>
      <c r="M303" s="16"/>
      <c r="N303" s="16"/>
      <c r="O303" s="16"/>
    </row>
    <row r="304" spans="1:15" ht="15.75" x14ac:dyDescent="0.25">
      <c r="A304" s="2" t="s">
        <v>131</v>
      </c>
      <c r="B304" s="5" t="s">
        <v>156</v>
      </c>
      <c r="C304" s="22"/>
      <c r="F304" s="28"/>
      <c r="G304" s="16"/>
      <c r="H304" s="16"/>
      <c r="I304" s="16"/>
      <c r="J304" s="16"/>
      <c r="K304" s="16"/>
      <c r="L304" s="16"/>
      <c r="M304" s="16"/>
      <c r="N304" s="16"/>
      <c r="O304" s="16"/>
    </row>
    <row r="305" spans="1:15" ht="15.75" x14ac:dyDescent="0.25">
      <c r="A305" s="2" t="s">
        <v>163</v>
      </c>
      <c r="B305" s="36">
        <f>B299*B300*B301*3.142/B302</f>
        <v>334.35622641509434</v>
      </c>
      <c r="C305" s="1" t="s">
        <v>162</v>
      </c>
      <c r="F305" s="28"/>
      <c r="G305" s="16"/>
      <c r="H305" s="16"/>
      <c r="I305" s="16"/>
      <c r="J305" s="16"/>
      <c r="K305" s="16"/>
      <c r="L305" s="16"/>
      <c r="M305" s="16"/>
      <c r="N305" s="16"/>
      <c r="O305" s="16"/>
    </row>
    <row r="306" spans="1:15" x14ac:dyDescent="0.2">
      <c r="G306" s="16"/>
      <c r="H306" s="16"/>
      <c r="I306" s="16"/>
      <c r="J306" s="16"/>
      <c r="K306" s="16"/>
      <c r="L306" s="16"/>
      <c r="M306" s="16"/>
      <c r="N306" s="16"/>
      <c r="O306" s="16"/>
    </row>
    <row r="307" spans="1:15" x14ac:dyDescent="0.2">
      <c r="A307" s="124"/>
      <c r="B307" s="125"/>
      <c r="C307" s="126"/>
      <c r="D307" s="23"/>
      <c r="E307" s="23"/>
      <c r="F307" s="124"/>
      <c r="G307" s="16"/>
      <c r="H307" s="16"/>
      <c r="I307" s="16"/>
      <c r="J307" s="16"/>
      <c r="K307" s="16"/>
      <c r="L307" s="16"/>
      <c r="M307" s="16"/>
      <c r="N307" s="16"/>
      <c r="O307" s="16"/>
    </row>
    <row r="308" spans="1:15" x14ac:dyDescent="0.2">
      <c r="F308" s="28"/>
      <c r="G308" s="16"/>
      <c r="H308" s="16"/>
      <c r="I308" s="16"/>
      <c r="J308" s="16"/>
      <c r="K308" s="16"/>
      <c r="L308" s="16"/>
      <c r="M308" s="16"/>
      <c r="N308" s="16"/>
      <c r="O308" s="16"/>
    </row>
    <row r="309" spans="1:15" ht="16.5" thickBot="1" x14ac:dyDescent="0.3">
      <c r="A309" s="1" t="s">
        <v>157</v>
      </c>
      <c r="B309" s="30" t="s">
        <v>109</v>
      </c>
      <c r="C309" s="22"/>
      <c r="F309" s="28"/>
      <c r="G309" s="16"/>
      <c r="H309" s="16"/>
      <c r="I309" s="16"/>
      <c r="J309" s="16"/>
      <c r="K309" s="16"/>
      <c r="L309" s="16"/>
      <c r="M309" s="16"/>
      <c r="N309" s="16"/>
      <c r="O309" s="16"/>
    </row>
    <row r="310" spans="1:15" x14ac:dyDescent="0.2">
      <c r="A310" s="28" t="s">
        <v>159</v>
      </c>
      <c r="B310" s="31">
        <v>5.3</v>
      </c>
      <c r="C310" s="22" t="s">
        <v>1078</v>
      </c>
      <c r="F310" s="28"/>
      <c r="G310" s="16"/>
      <c r="H310" s="16"/>
      <c r="I310" s="16"/>
      <c r="J310" s="16"/>
      <c r="K310" s="16"/>
      <c r="L310" s="16"/>
      <c r="M310" s="16"/>
      <c r="N310" s="16"/>
      <c r="O310" s="16"/>
    </row>
    <row r="311" spans="1:15" x14ac:dyDescent="0.2">
      <c r="A311" s="28" t="s">
        <v>44</v>
      </c>
      <c r="B311" s="32">
        <v>1.5</v>
      </c>
      <c r="C311" s="22" t="s">
        <v>1078</v>
      </c>
      <c r="F311" s="28"/>
      <c r="G311" s="16"/>
      <c r="H311" s="16"/>
      <c r="I311" s="16"/>
      <c r="J311" s="16"/>
      <c r="K311" s="16"/>
      <c r="L311" s="16"/>
      <c r="M311" s="16"/>
      <c r="N311" s="16"/>
      <c r="O311" s="16"/>
    </row>
    <row r="312" spans="1:15" ht="15.75" thickBot="1" x14ac:dyDescent="0.25">
      <c r="A312" s="28" t="s">
        <v>160</v>
      </c>
      <c r="B312" s="54">
        <v>60</v>
      </c>
      <c r="C312" s="22" t="s">
        <v>1284</v>
      </c>
      <c r="F312" s="28"/>
      <c r="G312" s="16"/>
      <c r="H312" s="16"/>
      <c r="I312" s="16"/>
      <c r="J312" s="16"/>
      <c r="K312" s="16"/>
      <c r="L312" s="16"/>
      <c r="M312" s="16"/>
      <c r="N312" s="16"/>
      <c r="O312" s="16"/>
    </row>
    <row r="313" spans="1:15" ht="15.75" x14ac:dyDescent="0.25">
      <c r="B313" s="30" t="s">
        <v>876</v>
      </c>
      <c r="C313" s="22"/>
      <c r="F313" s="28"/>
      <c r="G313" s="16"/>
      <c r="H313" s="16"/>
      <c r="I313" s="16"/>
      <c r="J313" s="16"/>
      <c r="K313" s="16"/>
      <c r="L313" s="16"/>
      <c r="M313" s="16"/>
      <c r="N313" s="16"/>
      <c r="O313" s="16"/>
    </row>
    <row r="314" spans="1:15" ht="15.75" x14ac:dyDescent="0.25">
      <c r="A314" s="2" t="s">
        <v>161</v>
      </c>
      <c r="B314" s="5" t="s">
        <v>477</v>
      </c>
      <c r="C314" s="1"/>
      <c r="F314" s="28"/>
      <c r="G314" s="16"/>
      <c r="H314" s="16"/>
      <c r="I314" s="16"/>
      <c r="J314" s="16"/>
      <c r="K314" s="16"/>
      <c r="L314" s="16"/>
      <c r="M314" s="16"/>
      <c r="N314" s="16"/>
      <c r="O314" s="16"/>
    </row>
    <row r="315" spans="1:15" ht="15.75" x14ac:dyDescent="0.25">
      <c r="A315" s="2" t="s">
        <v>158</v>
      </c>
      <c r="B315" s="5">
        <f>B310*B311*B312</f>
        <v>476.99999999999994</v>
      </c>
      <c r="C315" s="1" t="s">
        <v>1100</v>
      </c>
      <c r="D315" s="12" t="s">
        <v>1071</v>
      </c>
      <c r="G315" s="16"/>
      <c r="H315" s="16"/>
      <c r="I315" s="16"/>
      <c r="J315" s="16"/>
      <c r="K315" s="16"/>
      <c r="L315" s="16"/>
      <c r="M315" s="16"/>
      <c r="N315" s="16"/>
      <c r="O315" s="16"/>
    </row>
    <row r="316" spans="1:15" x14ac:dyDescent="0.2">
      <c r="G316" s="16"/>
      <c r="H316" s="16"/>
      <c r="I316" s="16"/>
      <c r="J316" s="16"/>
      <c r="K316" s="16"/>
      <c r="L316" s="16"/>
      <c r="M316" s="16"/>
      <c r="N316" s="16"/>
      <c r="O316" s="16"/>
    </row>
    <row r="317" spans="1:15" x14ac:dyDescent="0.2">
      <c r="A317" s="23"/>
      <c r="B317" s="23"/>
      <c r="C317" s="23"/>
      <c r="D317" s="23"/>
      <c r="E317" s="23"/>
      <c r="F317" s="23"/>
      <c r="G317" s="16"/>
      <c r="H317" s="16"/>
      <c r="I317" s="16"/>
      <c r="J317" s="16"/>
      <c r="K317" s="16"/>
      <c r="L317" s="16"/>
      <c r="M317" s="16"/>
      <c r="N317" s="16"/>
      <c r="O317" s="16"/>
    </row>
    <row r="318" spans="1:15" x14ac:dyDescent="0.2">
      <c r="I318" s="16"/>
      <c r="J318" s="16"/>
      <c r="K318" s="16"/>
      <c r="L318" s="16"/>
      <c r="M318" s="16"/>
      <c r="N318" s="16"/>
      <c r="O318" s="16"/>
    </row>
    <row r="319" spans="1:15" ht="16.5" thickBot="1" x14ac:dyDescent="0.3">
      <c r="A319" s="1" t="s">
        <v>205</v>
      </c>
      <c r="F319" s="28"/>
      <c r="G319" s="16"/>
      <c r="H319" s="16"/>
      <c r="I319" s="16"/>
      <c r="J319" s="16"/>
      <c r="K319" s="16"/>
      <c r="L319" s="16"/>
      <c r="M319" s="16"/>
      <c r="N319" s="16"/>
      <c r="O319" s="16"/>
    </row>
    <row r="320" spans="1:15" ht="16.5" thickBot="1" x14ac:dyDescent="0.3">
      <c r="A320" s="28"/>
      <c r="B320" s="167" t="s">
        <v>170</v>
      </c>
      <c r="C320" s="79"/>
      <c r="F320" s="28"/>
      <c r="G320" s="16"/>
      <c r="H320" s="16"/>
      <c r="I320" s="16"/>
      <c r="J320" s="16"/>
      <c r="K320" s="16"/>
      <c r="L320" s="16"/>
      <c r="M320" s="16"/>
      <c r="N320" s="16"/>
      <c r="O320" s="16"/>
    </row>
    <row r="321" spans="1:15" ht="16.5" thickBot="1" x14ac:dyDescent="0.3">
      <c r="A321" s="44" t="s">
        <v>164</v>
      </c>
      <c r="B321" s="72" t="s">
        <v>39</v>
      </c>
      <c r="C321" s="40" t="s">
        <v>1150</v>
      </c>
      <c r="G321" s="16"/>
      <c r="H321" s="16"/>
      <c r="I321" s="16"/>
      <c r="J321" s="16"/>
      <c r="K321" s="16"/>
      <c r="L321" s="16"/>
      <c r="M321" s="16"/>
      <c r="N321" s="16"/>
      <c r="O321" s="16"/>
    </row>
    <row r="322" spans="1:15" x14ac:dyDescent="0.2">
      <c r="A322" s="168" t="s">
        <v>165</v>
      </c>
      <c r="B322" s="27" t="s">
        <v>167</v>
      </c>
      <c r="C322" s="169">
        <v>50</v>
      </c>
      <c r="G322" s="16"/>
      <c r="H322" s="16"/>
      <c r="I322" s="16"/>
      <c r="J322" s="16"/>
      <c r="K322" s="16"/>
      <c r="L322" s="16"/>
      <c r="M322" s="16"/>
      <c r="N322" s="16"/>
      <c r="O322" s="16"/>
    </row>
    <row r="323" spans="1:15" x14ac:dyDescent="0.2">
      <c r="A323" s="168" t="s">
        <v>166</v>
      </c>
      <c r="B323" s="27" t="s">
        <v>168</v>
      </c>
      <c r="C323" s="169">
        <v>60</v>
      </c>
      <c r="G323" s="16"/>
      <c r="H323" s="16"/>
      <c r="I323" s="16"/>
      <c r="J323" s="16"/>
      <c r="K323" s="16"/>
      <c r="L323" s="16"/>
      <c r="M323" s="16"/>
      <c r="N323" s="16"/>
      <c r="O323" s="16"/>
    </row>
    <row r="324" spans="1:15" x14ac:dyDescent="0.2">
      <c r="A324" s="168" t="s">
        <v>165</v>
      </c>
      <c r="B324" s="27" t="s">
        <v>168</v>
      </c>
      <c r="C324" s="169">
        <v>80</v>
      </c>
      <c r="G324" s="16"/>
      <c r="H324" s="16"/>
      <c r="I324" s="16"/>
      <c r="J324" s="16"/>
      <c r="K324" s="16"/>
      <c r="L324" s="16"/>
      <c r="M324" s="16"/>
      <c r="N324" s="16"/>
      <c r="O324" s="16"/>
    </row>
    <row r="325" spans="1:15" x14ac:dyDescent="0.2">
      <c r="A325" s="168" t="s">
        <v>165</v>
      </c>
      <c r="B325" s="27" t="s">
        <v>169</v>
      </c>
      <c r="C325" s="169">
        <v>120</v>
      </c>
      <c r="G325" s="16"/>
      <c r="H325" s="16"/>
      <c r="I325" s="16"/>
      <c r="J325" s="16"/>
      <c r="K325" s="16"/>
      <c r="L325" s="16"/>
      <c r="M325" s="16"/>
      <c r="N325" s="16"/>
      <c r="O325" s="16"/>
    </row>
    <row r="326" spans="1:15" ht="15.75" thickBot="1" x14ac:dyDescent="0.25">
      <c r="A326" s="170" t="s">
        <v>167</v>
      </c>
      <c r="B326" s="171" t="s">
        <v>168</v>
      </c>
      <c r="C326" s="172">
        <v>150</v>
      </c>
      <c r="G326" s="16"/>
      <c r="H326" s="16"/>
      <c r="I326" s="16"/>
      <c r="J326" s="16"/>
      <c r="K326" s="16"/>
      <c r="L326" s="16"/>
      <c r="M326" s="16"/>
      <c r="N326" s="16"/>
      <c r="O326" s="16"/>
    </row>
    <row r="327" spans="1:15" x14ac:dyDescent="0.2">
      <c r="A327" s="28"/>
      <c r="B327" s="27"/>
      <c r="C327" s="27"/>
      <c r="G327" s="16"/>
      <c r="H327" s="16"/>
      <c r="I327" s="16"/>
      <c r="J327" s="16"/>
      <c r="K327" s="16"/>
      <c r="L327" s="16"/>
      <c r="M327" s="16"/>
      <c r="N327" s="16"/>
      <c r="O327" s="16"/>
    </row>
    <row r="328" spans="1:15" ht="16.5" thickBot="1" x14ac:dyDescent="0.3">
      <c r="B328" s="30" t="s">
        <v>124</v>
      </c>
      <c r="C328" s="27"/>
      <c r="G328" s="16"/>
      <c r="H328" s="16"/>
      <c r="I328" s="16"/>
      <c r="J328" s="16"/>
      <c r="K328" s="16"/>
      <c r="L328" s="16"/>
      <c r="M328" s="16"/>
      <c r="N328" s="16"/>
      <c r="O328" s="16"/>
    </row>
    <row r="329" spans="1:15" x14ac:dyDescent="0.2">
      <c r="A329" s="28" t="s">
        <v>206</v>
      </c>
      <c r="B329" s="31">
        <v>0.1</v>
      </c>
      <c r="C329" s="27" t="s">
        <v>1284</v>
      </c>
      <c r="G329" s="16"/>
      <c r="H329" s="16"/>
      <c r="I329" s="16"/>
      <c r="J329" s="16"/>
      <c r="K329" s="16"/>
      <c r="L329" s="16"/>
      <c r="M329" s="16"/>
      <c r="N329" s="16"/>
      <c r="O329" s="16"/>
    </row>
    <row r="330" spans="1:15" ht="15.75" thickBot="1" x14ac:dyDescent="0.25">
      <c r="A330" s="28" t="s">
        <v>207</v>
      </c>
      <c r="B330" s="54">
        <v>12</v>
      </c>
      <c r="C330" s="27" t="s">
        <v>1083</v>
      </c>
      <c r="G330" s="16"/>
      <c r="H330" s="16"/>
      <c r="I330" s="16"/>
      <c r="J330" s="16"/>
      <c r="K330" s="16"/>
      <c r="L330" s="16"/>
      <c r="M330" s="16"/>
      <c r="N330" s="16"/>
      <c r="O330" s="16"/>
    </row>
    <row r="331" spans="1:15" ht="15.75" x14ac:dyDescent="0.25">
      <c r="B331" s="30" t="s">
        <v>876</v>
      </c>
      <c r="G331" s="16"/>
      <c r="H331" s="16"/>
      <c r="I331" s="16"/>
      <c r="J331" s="16"/>
      <c r="K331" s="16"/>
      <c r="L331" s="16"/>
      <c r="M331" s="16"/>
      <c r="N331" s="16"/>
      <c r="O331" s="16"/>
    </row>
    <row r="332" spans="1:15" ht="15.75" x14ac:dyDescent="0.25">
      <c r="A332" s="2" t="s">
        <v>208</v>
      </c>
      <c r="B332" s="1" t="s">
        <v>209</v>
      </c>
      <c r="C332" s="5"/>
      <c r="G332" s="16"/>
      <c r="H332" s="16"/>
      <c r="I332" s="16"/>
      <c r="J332" s="16"/>
      <c r="K332" s="16"/>
      <c r="L332" s="16"/>
      <c r="M332" s="16"/>
      <c r="N332" s="16"/>
      <c r="O332" s="16"/>
    </row>
    <row r="333" spans="1:15" ht="15.75" x14ac:dyDescent="0.25">
      <c r="A333" s="2" t="s">
        <v>210</v>
      </c>
      <c r="B333" s="3">
        <f>(1-B329*TAN(B330/57.2975)/(1+B329/TAN(B330/57.2975)))</f>
        <v>0.98554551293689441</v>
      </c>
      <c r="C333" s="5"/>
      <c r="G333" s="16"/>
      <c r="H333" s="16"/>
      <c r="I333" s="16"/>
      <c r="J333" s="16"/>
      <c r="K333" s="16"/>
      <c r="L333" s="16"/>
      <c r="M333" s="16"/>
      <c r="N333" s="16"/>
      <c r="O333" s="16"/>
    </row>
    <row r="334" spans="1:15" x14ac:dyDescent="0.2">
      <c r="G334" s="16"/>
      <c r="H334" s="16"/>
      <c r="I334" s="16"/>
      <c r="J334" s="16"/>
      <c r="K334" s="16"/>
      <c r="L334" s="16"/>
      <c r="M334" s="16"/>
      <c r="N334" s="16"/>
      <c r="O334" s="16"/>
    </row>
    <row r="335" spans="1:15" ht="15.75" x14ac:dyDescent="0.25">
      <c r="A335" s="1" t="s">
        <v>211</v>
      </c>
      <c r="B335" s="27"/>
      <c r="C335" s="27"/>
      <c r="G335" s="16"/>
      <c r="H335" s="16"/>
      <c r="I335" s="16"/>
      <c r="J335" s="16"/>
      <c r="K335" s="16"/>
      <c r="L335" s="16"/>
      <c r="M335" s="16"/>
      <c r="N335" s="16"/>
      <c r="O335" s="16"/>
    </row>
    <row r="336" spans="1:15" ht="16.5" thickBot="1" x14ac:dyDescent="0.3">
      <c r="B336" s="30" t="s">
        <v>109</v>
      </c>
      <c r="C336" s="27"/>
      <c r="G336" s="16"/>
      <c r="H336" s="16"/>
      <c r="J336" s="16"/>
      <c r="K336" s="16"/>
      <c r="L336" s="16"/>
      <c r="M336" s="16"/>
      <c r="N336" s="16"/>
      <c r="O336" s="16"/>
    </row>
    <row r="337" spans="1:15" x14ac:dyDescent="0.2">
      <c r="A337" s="28" t="s">
        <v>883</v>
      </c>
      <c r="B337" s="31">
        <v>3</v>
      </c>
      <c r="C337" s="27" t="s">
        <v>1078</v>
      </c>
      <c r="G337" s="16"/>
      <c r="H337" s="16"/>
      <c r="J337" s="16"/>
      <c r="K337" s="16"/>
      <c r="L337" s="16"/>
      <c r="M337" s="16"/>
      <c r="N337" s="16"/>
      <c r="O337" s="16"/>
    </row>
    <row r="338" spans="1:15" ht="15.75" thickBot="1" x14ac:dyDescent="0.25">
      <c r="A338" s="28" t="s">
        <v>204</v>
      </c>
      <c r="B338" s="54">
        <v>25</v>
      </c>
      <c r="C338" s="27" t="s">
        <v>1284</v>
      </c>
      <c r="G338" s="16"/>
      <c r="J338" s="16"/>
      <c r="K338" s="16"/>
      <c r="L338" s="16"/>
      <c r="M338" s="16"/>
      <c r="N338" s="16"/>
      <c r="O338" s="16"/>
    </row>
    <row r="339" spans="1:15" ht="15.75" x14ac:dyDescent="0.25">
      <c r="B339" s="30" t="s">
        <v>876</v>
      </c>
      <c r="C339" s="5"/>
      <c r="G339" s="16"/>
      <c r="L339" s="16"/>
      <c r="M339" s="16"/>
      <c r="N339" s="16"/>
      <c r="O339" s="16"/>
    </row>
    <row r="340" spans="1:15" ht="15.75" x14ac:dyDescent="0.25">
      <c r="A340" s="2" t="s">
        <v>213</v>
      </c>
      <c r="B340" s="5" t="s">
        <v>212</v>
      </c>
      <c r="C340" s="5" t="s">
        <v>1087</v>
      </c>
      <c r="G340" s="16"/>
    </row>
    <row r="341" spans="1:15" ht="15.75" x14ac:dyDescent="0.25">
      <c r="A341" s="2" t="s">
        <v>214</v>
      </c>
      <c r="B341" s="37">
        <f>9.5*B337^1.7/(B338+5)</f>
        <v>2.0497858159758637</v>
      </c>
      <c r="G341" s="16"/>
    </row>
    <row r="342" spans="1:15" x14ac:dyDescent="0.2">
      <c r="G342" s="16"/>
    </row>
    <row r="343" spans="1:15" x14ac:dyDescent="0.2">
      <c r="A343" s="23"/>
      <c r="B343" s="23"/>
      <c r="C343" s="23"/>
      <c r="D343" s="23"/>
      <c r="E343" s="23"/>
      <c r="F343" s="23"/>
      <c r="G343" s="16"/>
    </row>
    <row r="344" spans="1:15" x14ac:dyDescent="0.2">
      <c r="G344" s="16"/>
    </row>
    <row r="345" spans="1:15" ht="15.75" x14ac:dyDescent="0.25">
      <c r="A345" s="1"/>
      <c r="B345" s="12" t="s">
        <v>1418</v>
      </c>
      <c r="G345" s="16"/>
    </row>
    <row r="346" spans="1:15" x14ac:dyDescent="0.2">
      <c r="G346" s="16"/>
    </row>
    <row r="350" spans="1:15" x14ac:dyDescent="0.2">
      <c r="G350" s="16"/>
    </row>
    <row r="351" spans="1:15" x14ac:dyDescent="0.2">
      <c r="G351" s="16"/>
    </row>
    <row r="352" spans="1:15" x14ac:dyDescent="0.2">
      <c r="G352" s="16"/>
    </row>
  </sheetData>
  <sheetProtection sheet="1" objects="1" scenarios="1" selectLockedCells="1"/>
  <phoneticPr fontId="1" type="noConversion"/>
  <conditionalFormatting sqref="C21">
    <cfRule type="cellIs" priority="1" stopIfTrue="1" operator="between">
      <formula>14.5</formula>
      <formula>20</formula>
    </cfRule>
  </conditionalFormatting>
  <printOptions gridLines="1"/>
  <pageMargins left="0.75" right="0.75" top="1" bottom="1" header="0.5" footer="0.5"/>
  <pageSetup orientation="portrait" horizontalDpi="4294967295"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146"/>
  <sheetViews>
    <sheetView zoomScaleNormal="100" workbookViewId="0">
      <selection activeCell="Q1" sqref="Q1"/>
    </sheetView>
  </sheetViews>
  <sheetFormatPr defaultColWidth="9.140625" defaultRowHeight="15" x14ac:dyDescent="0.2"/>
  <cols>
    <col min="1" max="1" width="8.140625" style="12" customWidth="1"/>
    <col min="2" max="2" width="8.28515625" style="12" customWidth="1"/>
    <col min="3" max="3" width="8.5703125" style="12" customWidth="1"/>
    <col min="4" max="4" width="13.42578125" style="12" customWidth="1"/>
    <col min="5" max="7" width="9.140625" style="12"/>
    <col min="8" max="8" width="11.7109375" style="12" customWidth="1"/>
    <col min="9" max="16384" width="9.140625" style="12"/>
  </cols>
  <sheetData>
    <row r="1" spans="1:22" ht="18" x14ac:dyDescent="0.25">
      <c r="A1" s="7" t="s">
        <v>299</v>
      </c>
      <c r="C1" s="1"/>
      <c r="D1" s="15"/>
      <c r="F1" s="16"/>
      <c r="G1" s="16"/>
      <c r="H1" s="16"/>
      <c r="I1" s="16"/>
      <c r="J1" s="16"/>
      <c r="K1" s="16"/>
      <c r="L1" s="16"/>
      <c r="M1" s="16"/>
      <c r="N1" s="16"/>
      <c r="O1" s="16"/>
      <c r="P1" s="16"/>
      <c r="Q1" s="16"/>
      <c r="R1" s="16"/>
      <c r="S1" s="16"/>
      <c r="T1" s="16"/>
      <c r="U1" s="16"/>
      <c r="V1" s="16"/>
    </row>
    <row r="2" spans="1:22" x14ac:dyDescent="0.2">
      <c r="A2" s="17"/>
      <c r="F2" s="16"/>
      <c r="G2" s="16"/>
      <c r="H2" s="16"/>
      <c r="N2" s="16"/>
      <c r="O2" s="16"/>
      <c r="P2" s="16"/>
      <c r="Q2" s="16"/>
      <c r="R2" s="16"/>
      <c r="S2" s="16"/>
      <c r="T2" s="16"/>
      <c r="U2" s="16"/>
      <c r="V2" s="16"/>
    </row>
    <row r="3" spans="1:22" x14ac:dyDescent="0.2">
      <c r="F3" s="16"/>
      <c r="G3" s="16"/>
      <c r="H3" s="16"/>
      <c r="N3" s="16"/>
      <c r="O3" s="16"/>
      <c r="P3" s="16"/>
      <c r="Q3" s="16"/>
      <c r="R3" s="16"/>
      <c r="S3" s="16"/>
      <c r="T3" s="16"/>
      <c r="U3" s="16"/>
      <c r="V3" s="16"/>
    </row>
    <row r="4" spans="1:22" ht="15.75" x14ac:dyDescent="0.25">
      <c r="A4" s="1"/>
      <c r="B4" s="27"/>
      <c r="F4" s="16"/>
      <c r="G4" s="16"/>
      <c r="H4" s="16"/>
      <c r="N4" s="16"/>
      <c r="O4" s="16"/>
      <c r="P4" s="16"/>
      <c r="Q4" s="16"/>
      <c r="R4" s="16"/>
      <c r="S4" s="16"/>
      <c r="T4" s="16"/>
      <c r="U4" s="16"/>
      <c r="V4" s="16"/>
    </row>
    <row r="5" spans="1:22" x14ac:dyDescent="0.2">
      <c r="A5" s="16"/>
      <c r="N5" s="16"/>
      <c r="O5" s="16"/>
      <c r="P5" s="16"/>
      <c r="Q5" s="16"/>
      <c r="R5" s="16"/>
      <c r="S5" s="16"/>
      <c r="T5" s="16"/>
      <c r="U5" s="16"/>
      <c r="V5" s="16"/>
    </row>
    <row r="6" spans="1:22" x14ac:dyDescent="0.2">
      <c r="A6" s="16"/>
      <c r="F6" s="16"/>
      <c r="G6" s="16"/>
      <c r="H6" s="16"/>
      <c r="N6" s="16"/>
      <c r="O6" s="16"/>
      <c r="P6" s="16"/>
      <c r="Q6" s="16"/>
      <c r="R6" s="16"/>
      <c r="S6" s="16"/>
      <c r="T6" s="16"/>
      <c r="U6" s="16"/>
      <c r="V6" s="16"/>
    </row>
    <row r="7" spans="1:22" x14ac:dyDescent="0.2">
      <c r="A7" s="16"/>
      <c r="N7" s="16"/>
      <c r="O7" s="16"/>
      <c r="P7" s="16"/>
      <c r="Q7" s="16"/>
      <c r="R7" s="16"/>
      <c r="S7" s="16"/>
      <c r="T7" s="16"/>
      <c r="U7" s="16"/>
      <c r="V7" s="16"/>
    </row>
    <row r="8" spans="1:22" x14ac:dyDescent="0.2">
      <c r="A8" s="16"/>
      <c r="N8" s="16"/>
      <c r="O8" s="16"/>
      <c r="P8" s="16"/>
      <c r="Q8" s="16"/>
      <c r="R8" s="16"/>
      <c r="S8" s="16"/>
      <c r="T8" s="16"/>
      <c r="U8" s="16"/>
      <c r="V8" s="16"/>
    </row>
    <row r="9" spans="1:22" x14ac:dyDescent="0.2">
      <c r="A9" s="16"/>
      <c r="N9" s="16"/>
      <c r="O9" s="16"/>
      <c r="P9" s="16"/>
      <c r="Q9" s="16"/>
      <c r="R9" s="16"/>
      <c r="S9" s="16"/>
      <c r="T9" s="16"/>
      <c r="U9" s="16"/>
      <c r="V9" s="16"/>
    </row>
    <row r="10" spans="1:22" x14ac:dyDescent="0.2">
      <c r="A10" s="16"/>
      <c r="N10" s="16"/>
      <c r="O10" s="16"/>
      <c r="P10" s="16"/>
      <c r="Q10" s="16"/>
      <c r="R10" s="16"/>
      <c r="S10" s="16"/>
      <c r="T10" s="16"/>
      <c r="U10" s="16"/>
      <c r="V10" s="16"/>
    </row>
    <row r="11" spans="1:22" x14ac:dyDescent="0.2">
      <c r="A11" s="16"/>
      <c r="N11" s="16"/>
      <c r="O11" s="16"/>
      <c r="P11" s="16"/>
      <c r="Q11" s="16"/>
      <c r="R11" s="16"/>
      <c r="S11" s="16"/>
      <c r="T11" s="16"/>
      <c r="U11" s="16"/>
      <c r="V11" s="16"/>
    </row>
    <row r="12" spans="1:22" x14ac:dyDescent="0.2">
      <c r="A12" s="16"/>
      <c r="N12" s="16"/>
      <c r="O12" s="16"/>
      <c r="P12" s="16"/>
      <c r="Q12" s="16"/>
      <c r="R12" s="16"/>
      <c r="S12" s="16"/>
      <c r="T12" s="16"/>
      <c r="U12" s="16"/>
      <c r="V12" s="16"/>
    </row>
    <row r="13" spans="1:22" x14ac:dyDescent="0.2">
      <c r="A13" s="16"/>
      <c r="N13" s="16"/>
      <c r="O13" s="16"/>
      <c r="P13" s="16"/>
      <c r="Q13" s="16"/>
      <c r="R13" s="16"/>
      <c r="S13" s="16"/>
      <c r="T13" s="16"/>
      <c r="U13" s="16"/>
      <c r="V13" s="16"/>
    </row>
    <row r="14" spans="1:22" x14ac:dyDescent="0.2">
      <c r="A14" s="16"/>
      <c r="N14" s="16"/>
      <c r="O14" s="16"/>
      <c r="P14" s="16"/>
      <c r="Q14" s="16"/>
      <c r="R14" s="16"/>
      <c r="S14" s="16"/>
      <c r="T14" s="16"/>
      <c r="U14" s="16"/>
      <c r="V14" s="16"/>
    </row>
    <row r="15" spans="1:22" ht="15.75" x14ac:dyDescent="0.25">
      <c r="A15" s="16"/>
      <c r="J15" s="1" t="s">
        <v>287</v>
      </c>
      <c r="N15" s="16"/>
      <c r="O15" s="16"/>
      <c r="P15" s="16"/>
      <c r="Q15" s="16"/>
      <c r="R15" s="16"/>
      <c r="S15" s="16"/>
      <c r="T15" s="16"/>
      <c r="U15" s="16"/>
      <c r="V15" s="16"/>
    </row>
    <row r="16" spans="1:22" x14ac:dyDescent="0.2">
      <c r="A16" s="16"/>
      <c r="N16" s="16"/>
      <c r="O16" s="16"/>
      <c r="P16" s="16"/>
      <c r="Q16" s="16"/>
      <c r="R16" s="16"/>
      <c r="S16" s="16"/>
      <c r="T16" s="16"/>
      <c r="U16" s="16"/>
      <c r="V16" s="16"/>
    </row>
    <row r="17" spans="1:28" x14ac:dyDescent="0.2">
      <c r="A17" s="16"/>
      <c r="N17" s="16"/>
      <c r="O17" s="16"/>
      <c r="P17" s="16"/>
      <c r="Q17" s="16"/>
      <c r="R17" s="16"/>
      <c r="S17" s="16"/>
      <c r="T17" s="16"/>
      <c r="U17" s="16"/>
      <c r="V17" s="16"/>
    </row>
    <row r="18" spans="1:28" x14ac:dyDescent="0.2">
      <c r="A18" s="16"/>
      <c r="H18" s="16"/>
      <c r="I18" s="16"/>
      <c r="J18" s="16"/>
      <c r="K18" s="16"/>
      <c r="L18" s="16"/>
      <c r="M18" s="16"/>
      <c r="N18" s="16"/>
      <c r="P18" s="16"/>
      <c r="Q18" s="16"/>
      <c r="R18" s="16"/>
      <c r="S18" s="16"/>
      <c r="T18" s="16"/>
      <c r="U18" s="16"/>
      <c r="V18" s="16"/>
      <c r="W18" s="16"/>
      <c r="X18" s="16"/>
      <c r="Y18" s="16"/>
      <c r="Z18" s="16"/>
      <c r="AA18" s="16"/>
      <c r="AB18" s="16"/>
    </row>
    <row r="19" spans="1:28" ht="18.75" thickBot="1" x14ac:dyDescent="0.3">
      <c r="A19" s="16"/>
      <c r="C19" s="2"/>
      <c r="D19" s="5" t="s">
        <v>107</v>
      </c>
      <c r="H19" s="16"/>
      <c r="I19" s="16"/>
      <c r="J19" s="9" t="s">
        <v>1336</v>
      </c>
      <c r="K19" s="16"/>
      <c r="L19" s="16"/>
      <c r="M19" s="16"/>
      <c r="O19" s="16"/>
      <c r="P19" s="16"/>
      <c r="Q19" s="16"/>
      <c r="R19" s="16"/>
      <c r="S19" s="16"/>
      <c r="T19" s="16"/>
      <c r="U19" s="16"/>
      <c r="V19" s="16"/>
      <c r="W19" s="16"/>
      <c r="X19" s="16"/>
      <c r="Y19" s="16"/>
      <c r="Z19" s="16"/>
      <c r="AA19" s="16"/>
      <c r="AB19" s="16"/>
    </row>
    <row r="20" spans="1:28" ht="16.5" thickBot="1" x14ac:dyDescent="0.3">
      <c r="A20" s="16"/>
      <c r="C20" s="2" t="s">
        <v>1309</v>
      </c>
      <c r="D20" s="185">
        <v>5</v>
      </c>
      <c r="E20" s="12" t="s">
        <v>1087</v>
      </c>
      <c r="H20" s="16"/>
      <c r="I20" s="16"/>
      <c r="M20" s="16"/>
      <c r="O20" s="16"/>
      <c r="P20" s="16"/>
      <c r="Q20" s="16"/>
      <c r="R20" s="16"/>
      <c r="S20" s="16"/>
      <c r="T20" s="16"/>
      <c r="U20" s="16"/>
      <c r="V20" s="16"/>
      <c r="W20" s="16"/>
      <c r="X20" s="16"/>
      <c r="Y20" s="16"/>
      <c r="Z20" s="16"/>
      <c r="AA20" s="16"/>
      <c r="AB20" s="16"/>
    </row>
    <row r="21" spans="1:28" ht="15.75" x14ac:dyDescent="0.25">
      <c r="A21" s="16"/>
      <c r="C21" s="2"/>
      <c r="D21" s="5" t="s">
        <v>288</v>
      </c>
      <c r="H21" s="16"/>
      <c r="I21" s="16"/>
      <c r="J21" s="16" t="s">
        <v>1466</v>
      </c>
      <c r="K21" s="16"/>
      <c r="L21" s="16"/>
      <c r="M21" s="16"/>
      <c r="O21" s="16"/>
      <c r="P21" s="16"/>
      <c r="Q21" s="16"/>
      <c r="R21" s="16"/>
      <c r="S21" s="16"/>
      <c r="T21" s="16"/>
      <c r="U21" s="16"/>
      <c r="V21" s="16"/>
      <c r="W21" s="16"/>
      <c r="X21" s="16"/>
      <c r="Y21" s="16"/>
      <c r="Z21" s="16"/>
      <c r="AA21" s="16"/>
      <c r="AB21" s="16"/>
    </row>
    <row r="22" spans="1:28" ht="16.5" thickBot="1" x14ac:dyDescent="0.3">
      <c r="A22" s="16"/>
      <c r="C22" s="2" t="s">
        <v>1328</v>
      </c>
      <c r="D22" s="12" t="s">
        <v>1327</v>
      </c>
      <c r="H22" s="16"/>
      <c r="I22" s="16"/>
      <c r="K22" s="16"/>
      <c r="L22" s="16"/>
      <c r="M22" s="16"/>
      <c r="N22" s="16"/>
      <c r="O22" s="16"/>
      <c r="P22" s="16"/>
      <c r="Q22" s="16"/>
      <c r="R22" s="16"/>
      <c r="S22" s="16"/>
      <c r="T22" s="16"/>
      <c r="U22" s="16"/>
      <c r="V22" s="16"/>
      <c r="W22" s="16"/>
      <c r="X22" s="16"/>
      <c r="Y22" s="16"/>
      <c r="Z22" s="16"/>
      <c r="AA22" s="16"/>
      <c r="AB22" s="16"/>
    </row>
    <row r="23" spans="1:28" ht="16.5" thickBot="1" x14ac:dyDescent="0.3">
      <c r="A23" s="16"/>
      <c r="C23" s="28" t="s">
        <v>748</v>
      </c>
      <c r="D23" s="186">
        <f>5252*D20/(2*3.124)</f>
        <v>4202.9449423815622</v>
      </c>
      <c r="E23" s="12" t="s">
        <v>1308</v>
      </c>
      <c r="H23" s="16"/>
      <c r="I23" s="16"/>
      <c r="J23" s="16" t="s">
        <v>1467</v>
      </c>
      <c r="K23" s="16"/>
      <c r="L23" s="16"/>
      <c r="M23" s="16"/>
      <c r="O23" s="16"/>
      <c r="P23" s="16"/>
      <c r="Q23" s="16"/>
      <c r="R23" s="16"/>
      <c r="S23" s="16"/>
      <c r="T23" s="16"/>
      <c r="U23" s="16"/>
      <c r="V23" s="16"/>
      <c r="W23" s="16"/>
      <c r="X23" s="16"/>
      <c r="Y23" s="16"/>
      <c r="Z23" s="16"/>
      <c r="AA23" s="16"/>
      <c r="AB23" s="16"/>
    </row>
    <row r="24" spans="1:28" ht="16.5" thickBot="1" x14ac:dyDescent="0.3">
      <c r="A24" s="16"/>
      <c r="C24" s="28" t="s">
        <v>748</v>
      </c>
      <c r="D24" s="187">
        <f>D23*12</f>
        <v>50435.339308578747</v>
      </c>
      <c r="E24" s="12" t="s">
        <v>1141</v>
      </c>
      <c r="H24" s="16"/>
      <c r="I24" s="16"/>
      <c r="K24" s="16"/>
      <c r="L24" s="16"/>
      <c r="M24" s="16"/>
      <c r="O24" s="16"/>
      <c r="P24" s="16"/>
      <c r="Q24" s="16"/>
      <c r="R24" s="16"/>
      <c r="S24" s="16"/>
      <c r="T24" s="16"/>
      <c r="U24" s="16"/>
      <c r="V24" s="16"/>
      <c r="W24" s="16"/>
      <c r="X24" s="16"/>
      <c r="Y24" s="16"/>
      <c r="Z24" s="16"/>
      <c r="AA24" s="16"/>
      <c r="AB24" s="16"/>
    </row>
    <row r="25" spans="1:28" x14ac:dyDescent="0.2">
      <c r="A25" s="16"/>
      <c r="C25" s="28"/>
      <c r="H25" s="16"/>
      <c r="I25" s="16"/>
      <c r="J25" s="12" t="s">
        <v>1329</v>
      </c>
      <c r="O25" s="16"/>
      <c r="P25" s="16"/>
      <c r="Q25" s="16"/>
      <c r="R25" s="16"/>
      <c r="S25" s="16"/>
      <c r="T25" s="16"/>
      <c r="U25" s="16"/>
      <c r="V25" s="16"/>
      <c r="W25" s="16"/>
      <c r="X25" s="16"/>
      <c r="Y25" s="16"/>
      <c r="Z25" s="16"/>
      <c r="AA25" s="16"/>
      <c r="AB25" s="16"/>
    </row>
    <row r="26" spans="1:28" x14ac:dyDescent="0.2">
      <c r="A26" s="16"/>
      <c r="C26" s="28"/>
      <c r="H26" s="16"/>
      <c r="I26" s="16"/>
      <c r="O26" s="16"/>
      <c r="P26" s="16"/>
      <c r="Q26" s="16"/>
      <c r="R26" s="16"/>
      <c r="S26" s="16"/>
      <c r="T26" s="16"/>
      <c r="U26" s="16"/>
      <c r="V26" s="16"/>
      <c r="W26" s="16"/>
      <c r="X26" s="16"/>
      <c r="Y26" s="16"/>
      <c r="Z26" s="16"/>
      <c r="AA26" s="16"/>
      <c r="AB26" s="16"/>
    </row>
    <row r="27" spans="1:28" ht="15.75" x14ac:dyDescent="0.25">
      <c r="A27" s="16"/>
      <c r="C27" s="28"/>
      <c r="H27" s="16"/>
      <c r="I27" s="16"/>
      <c r="J27" s="16" t="s">
        <v>1468</v>
      </c>
      <c r="O27" s="16"/>
      <c r="P27" s="16"/>
      <c r="Q27" s="16"/>
      <c r="R27" s="16"/>
      <c r="S27" s="16"/>
      <c r="T27" s="16"/>
      <c r="U27" s="16"/>
      <c r="V27" s="16"/>
      <c r="W27" s="16"/>
      <c r="X27" s="16"/>
      <c r="Y27" s="16"/>
      <c r="Z27" s="16"/>
      <c r="AA27" s="16"/>
      <c r="AB27" s="16"/>
    </row>
    <row r="28" spans="1:28" x14ac:dyDescent="0.2">
      <c r="A28" s="16"/>
      <c r="C28" s="28"/>
      <c r="H28" s="16"/>
      <c r="I28" s="16"/>
      <c r="O28" s="16"/>
      <c r="P28" s="16"/>
      <c r="Q28" s="16"/>
      <c r="R28" s="16"/>
      <c r="S28" s="16"/>
      <c r="T28" s="16"/>
      <c r="U28" s="16"/>
      <c r="V28" s="16"/>
      <c r="W28" s="16"/>
      <c r="X28" s="16"/>
      <c r="Y28" s="16"/>
      <c r="Z28" s="16"/>
      <c r="AA28" s="16"/>
      <c r="AB28" s="16"/>
    </row>
    <row r="29" spans="1:28" ht="15.75" x14ac:dyDescent="0.25">
      <c r="A29" s="16"/>
      <c r="C29" s="28"/>
      <c r="H29" s="16"/>
      <c r="I29" s="16"/>
      <c r="J29" s="16" t="s">
        <v>1469</v>
      </c>
      <c r="K29" s="16"/>
      <c r="L29" s="16"/>
      <c r="M29" s="16"/>
      <c r="O29" s="16"/>
      <c r="P29" s="16"/>
      <c r="Q29" s="16"/>
      <c r="R29" s="16"/>
      <c r="S29" s="16"/>
      <c r="T29" s="16"/>
      <c r="U29" s="16"/>
      <c r="V29" s="16"/>
      <c r="W29" s="16"/>
      <c r="X29" s="16"/>
      <c r="Y29" s="16"/>
      <c r="Z29" s="16"/>
      <c r="AA29" s="16"/>
      <c r="AB29" s="16"/>
    </row>
    <row r="30" spans="1:28" ht="15.75" x14ac:dyDescent="0.25">
      <c r="A30" s="16"/>
      <c r="C30" s="28"/>
      <c r="H30" s="16"/>
      <c r="I30" s="16"/>
      <c r="J30" s="18"/>
      <c r="K30" s="16"/>
      <c r="L30" s="16"/>
      <c r="M30" s="16"/>
      <c r="N30" s="16"/>
      <c r="O30" s="16"/>
      <c r="P30" s="16"/>
      <c r="Q30" s="16"/>
      <c r="R30" s="16"/>
      <c r="S30" s="16"/>
      <c r="T30" s="16"/>
      <c r="U30" s="16"/>
      <c r="V30" s="16"/>
      <c r="W30" s="16"/>
      <c r="X30" s="16"/>
      <c r="Y30" s="16"/>
      <c r="Z30" s="16"/>
      <c r="AA30" s="16"/>
      <c r="AB30" s="16"/>
    </row>
    <row r="31" spans="1:28" x14ac:dyDescent="0.2">
      <c r="A31" s="16"/>
      <c r="C31" s="28"/>
      <c r="H31" s="16"/>
      <c r="I31" s="16"/>
      <c r="J31" s="16"/>
      <c r="L31" s="16"/>
      <c r="M31" s="16"/>
      <c r="N31" s="16"/>
      <c r="O31" s="16"/>
      <c r="P31" s="16"/>
      <c r="Q31" s="16"/>
      <c r="R31" s="16"/>
      <c r="S31" s="16"/>
      <c r="T31" s="16"/>
      <c r="U31" s="16"/>
      <c r="V31" s="16"/>
      <c r="W31" s="16"/>
      <c r="X31" s="16"/>
      <c r="Y31" s="16"/>
    </row>
    <row r="32" spans="1:28" x14ac:dyDescent="0.2">
      <c r="A32" s="16"/>
      <c r="J32" s="16"/>
      <c r="L32" s="16"/>
      <c r="M32" s="16"/>
      <c r="N32" s="16"/>
      <c r="O32" s="16"/>
      <c r="P32" s="16"/>
      <c r="Q32" s="16"/>
      <c r="R32" s="16"/>
      <c r="S32" s="16"/>
      <c r="T32" s="16"/>
      <c r="U32" s="16"/>
      <c r="V32" s="16"/>
      <c r="W32" s="16"/>
      <c r="X32" s="16"/>
      <c r="Y32" s="16"/>
    </row>
    <row r="33" spans="1:25" x14ac:dyDescent="0.2">
      <c r="A33" s="16"/>
      <c r="L33" s="16"/>
      <c r="M33" s="16"/>
      <c r="N33" s="16"/>
      <c r="O33" s="16"/>
      <c r="P33" s="16"/>
      <c r="Q33" s="16"/>
      <c r="R33" s="16"/>
      <c r="S33" s="16"/>
      <c r="T33" s="16"/>
      <c r="U33" s="16"/>
      <c r="V33" s="16"/>
      <c r="W33" s="16"/>
      <c r="X33" s="16"/>
      <c r="Y33" s="16"/>
    </row>
    <row r="34" spans="1:25" ht="16.5" thickBot="1" x14ac:dyDescent="0.3">
      <c r="A34" s="16"/>
      <c r="G34" s="2"/>
      <c r="H34" s="30" t="s">
        <v>107</v>
      </c>
      <c r="L34" s="16"/>
      <c r="M34" s="16"/>
      <c r="N34" s="16"/>
      <c r="O34" s="16"/>
      <c r="P34" s="16"/>
      <c r="Q34" s="16"/>
      <c r="R34" s="16"/>
      <c r="S34" s="16"/>
      <c r="T34" s="16"/>
      <c r="U34" s="16"/>
      <c r="V34" s="16"/>
      <c r="W34" s="16"/>
      <c r="X34" s="16"/>
      <c r="Y34" s="16"/>
    </row>
    <row r="35" spans="1:25" ht="15.75" x14ac:dyDescent="0.25">
      <c r="A35" s="16"/>
      <c r="G35" s="2" t="s">
        <v>296</v>
      </c>
      <c r="H35" s="31">
        <v>5</v>
      </c>
      <c r="I35" s="12" t="s">
        <v>293</v>
      </c>
      <c r="L35" s="16"/>
      <c r="M35" s="16"/>
      <c r="N35" s="16"/>
      <c r="O35" s="16"/>
      <c r="P35" s="16"/>
      <c r="Q35" s="16"/>
      <c r="R35" s="16"/>
      <c r="S35" s="16"/>
      <c r="T35" s="16"/>
      <c r="U35" s="16"/>
      <c r="V35" s="16"/>
      <c r="W35" s="16"/>
      <c r="X35" s="16"/>
      <c r="Y35" s="16"/>
    </row>
    <row r="36" spans="1:25" ht="16.5" thickBot="1" x14ac:dyDescent="0.3">
      <c r="A36" s="16"/>
      <c r="G36" s="2" t="s">
        <v>1300</v>
      </c>
      <c r="H36" s="90">
        <v>2</v>
      </c>
      <c r="I36" s="12" t="s">
        <v>295</v>
      </c>
      <c r="L36" s="16"/>
      <c r="M36" s="16"/>
      <c r="N36" s="16"/>
      <c r="O36" s="16"/>
      <c r="P36" s="16"/>
      <c r="Q36" s="16"/>
      <c r="R36" s="16"/>
      <c r="S36" s="16"/>
      <c r="T36" s="16"/>
      <c r="U36" s="16"/>
      <c r="V36" s="16"/>
      <c r="W36" s="16"/>
      <c r="X36" s="16"/>
      <c r="Y36" s="16"/>
    </row>
    <row r="37" spans="1:25" ht="15.75" x14ac:dyDescent="0.25">
      <c r="A37" s="16"/>
      <c r="G37" s="2"/>
      <c r="H37" s="30" t="s">
        <v>288</v>
      </c>
      <c r="L37" s="16"/>
      <c r="M37" s="16"/>
      <c r="N37" s="16"/>
      <c r="O37" s="16"/>
      <c r="P37" s="16"/>
      <c r="Q37" s="16"/>
      <c r="R37" s="16"/>
      <c r="S37" s="16"/>
      <c r="T37" s="16"/>
      <c r="U37" s="16"/>
      <c r="V37" s="16"/>
      <c r="W37" s="16"/>
      <c r="X37" s="16"/>
      <c r="Y37" s="16"/>
    </row>
    <row r="38" spans="1:25" ht="16.5" thickBot="1" x14ac:dyDescent="0.3">
      <c r="A38" s="16"/>
      <c r="G38" s="2" t="s">
        <v>1330</v>
      </c>
      <c r="H38" s="12" t="s">
        <v>1331</v>
      </c>
      <c r="L38" s="16"/>
      <c r="M38" s="16"/>
      <c r="N38" s="16"/>
      <c r="O38" s="16"/>
      <c r="P38" s="16"/>
      <c r="Q38" s="16"/>
      <c r="R38" s="16"/>
      <c r="S38" s="16"/>
      <c r="T38" s="16"/>
      <c r="U38" s="16"/>
      <c r="V38" s="16"/>
      <c r="W38" s="16"/>
      <c r="X38" s="16"/>
      <c r="Y38" s="16"/>
    </row>
    <row r="39" spans="1:25" ht="16.5" thickBot="1" x14ac:dyDescent="0.3">
      <c r="A39" s="16"/>
      <c r="G39" s="2" t="s">
        <v>112</v>
      </c>
      <c r="H39" s="188">
        <f>H35*231/H36</f>
        <v>577.5</v>
      </c>
      <c r="I39" s="12" t="s">
        <v>1086</v>
      </c>
      <c r="L39" s="16"/>
      <c r="M39" s="16"/>
      <c r="N39" s="16"/>
      <c r="O39" s="16"/>
      <c r="P39" s="16"/>
      <c r="Q39" s="16"/>
      <c r="R39" s="16"/>
      <c r="S39" s="16"/>
      <c r="T39" s="16"/>
      <c r="U39" s="16"/>
      <c r="V39" s="16"/>
      <c r="W39" s="16"/>
      <c r="X39" s="16"/>
      <c r="Y39" s="16"/>
    </row>
    <row r="40" spans="1:25" x14ac:dyDescent="0.2">
      <c r="A40" s="16"/>
      <c r="L40" s="16"/>
      <c r="M40" s="16"/>
      <c r="N40" s="16"/>
      <c r="O40" s="16"/>
      <c r="P40" s="16"/>
      <c r="Q40" s="16"/>
      <c r="R40" s="16"/>
      <c r="S40" s="16"/>
      <c r="T40" s="16"/>
      <c r="U40" s="16"/>
      <c r="V40" s="16"/>
      <c r="W40" s="16"/>
      <c r="X40" s="16"/>
      <c r="Y40" s="16"/>
    </row>
    <row r="41" spans="1:25" ht="16.5" thickBot="1" x14ac:dyDescent="0.3">
      <c r="A41" s="16"/>
      <c r="G41" s="2"/>
      <c r="H41" s="30" t="s">
        <v>107</v>
      </c>
      <c r="L41" s="16"/>
      <c r="M41" s="16"/>
      <c r="N41" s="16"/>
      <c r="O41" s="16"/>
      <c r="P41" s="16"/>
      <c r="Q41" s="16"/>
      <c r="R41" s="16"/>
      <c r="S41" s="16"/>
      <c r="T41" s="16"/>
      <c r="U41" s="16"/>
      <c r="V41" s="16"/>
      <c r="W41" s="16"/>
      <c r="X41" s="16"/>
      <c r="Y41" s="16"/>
    </row>
    <row r="42" spans="1:25" ht="15.75" x14ac:dyDescent="0.25">
      <c r="A42" s="16"/>
      <c r="G42" s="2" t="s">
        <v>296</v>
      </c>
      <c r="H42" s="144">
        <v>3.4819999999999998</v>
      </c>
      <c r="I42" s="12" t="s">
        <v>293</v>
      </c>
      <c r="L42" s="16"/>
      <c r="M42" s="16"/>
      <c r="N42" s="16"/>
      <c r="O42" s="16"/>
      <c r="P42" s="16"/>
      <c r="Q42" s="16"/>
      <c r="R42" s="16"/>
      <c r="S42" s="16"/>
      <c r="T42" s="16"/>
      <c r="U42" s="16"/>
      <c r="V42" s="16"/>
      <c r="W42" s="16"/>
      <c r="X42" s="16"/>
      <c r="Y42" s="16"/>
    </row>
    <row r="43" spans="1:25" ht="15.75" x14ac:dyDescent="0.25">
      <c r="A43" s="16"/>
      <c r="G43" s="2" t="s">
        <v>1307</v>
      </c>
      <c r="H43" s="32">
        <v>1800</v>
      </c>
      <c r="L43" s="16"/>
      <c r="M43" s="16"/>
      <c r="N43" s="16"/>
      <c r="O43" s="16"/>
      <c r="P43" s="16"/>
      <c r="Q43" s="16"/>
      <c r="R43" s="16"/>
      <c r="S43" s="16"/>
      <c r="T43" s="16"/>
      <c r="U43" s="16"/>
      <c r="V43" s="16"/>
      <c r="W43" s="16"/>
      <c r="X43" s="16"/>
      <c r="Y43" s="16"/>
    </row>
    <row r="44" spans="1:25" ht="15.75" x14ac:dyDescent="0.25">
      <c r="A44" s="16"/>
      <c r="G44" s="2" t="s">
        <v>297</v>
      </c>
      <c r="H44" s="32">
        <v>1000</v>
      </c>
      <c r="I44" s="12" t="s">
        <v>1079</v>
      </c>
      <c r="L44" s="16"/>
      <c r="M44" s="16"/>
      <c r="N44" s="16"/>
      <c r="O44" s="16"/>
      <c r="P44" s="16"/>
      <c r="Q44" s="16"/>
      <c r="R44" s="16"/>
      <c r="S44" s="16"/>
      <c r="T44" s="16"/>
      <c r="U44" s="16"/>
      <c r="V44" s="16"/>
      <c r="W44" s="16"/>
      <c r="X44" s="16"/>
      <c r="Y44" s="16"/>
    </row>
    <row r="45" spans="1:25" ht="16.5" thickBot="1" x14ac:dyDescent="0.3">
      <c r="A45" s="16"/>
      <c r="G45" s="2" t="s">
        <v>298</v>
      </c>
      <c r="H45" s="90">
        <v>100</v>
      </c>
      <c r="I45" s="12" t="s">
        <v>1029</v>
      </c>
      <c r="L45" s="16"/>
      <c r="M45" s="16"/>
      <c r="N45" s="16"/>
      <c r="O45" s="16"/>
      <c r="P45" s="16"/>
      <c r="Q45" s="16"/>
      <c r="R45" s="16"/>
      <c r="S45" s="16"/>
      <c r="T45" s="16"/>
      <c r="U45" s="16"/>
      <c r="V45" s="16"/>
      <c r="W45" s="16"/>
      <c r="X45" s="16"/>
      <c r="Y45" s="16"/>
    </row>
    <row r="46" spans="1:25" ht="15.75" x14ac:dyDescent="0.25">
      <c r="A46" s="16"/>
      <c r="G46" s="2"/>
      <c r="H46" s="30" t="s">
        <v>288</v>
      </c>
      <c r="I46" s="12" t="s">
        <v>1071</v>
      </c>
      <c r="L46" s="16"/>
      <c r="M46" s="16"/>
      <c r="N46" s="16"/>
      <c r="O46" s="16"/>
      <c r="P46" s="16"/>
      <c r="Q46" s="16"/>
      <c r="R46" s="16"/>
      <c r="S46" s="16"/>
      <c r="T46" s="16"/>
      <c r="U46" s="16"/>
      <c r="V46" s="16"/>
      <c r="W46" s="16"/>
      <c r="X46" s="16"/>
      <c r="Y46" s="16"/>
    </row>
    <row r="47" spans="1:25" ht="16.5" thickBot="1" x14ac:dyDescent="0.3">
      <c r="A47" s="16"/>
      <c r="G47" s="2" t="s">
        <v>1333</v>
      </c>
      <c r="H47" s="12" t="s">
        <v>1332</v>
      </c>
      <c r="L47" s="16"/>
      <c r="M47" s="16"/>
      <c r="N47" s="16"/>
      <c r="O47" s="16"/>
      <c r="P47" s="16"/>
      <c r="Q47" s="16"/>
      <c r="R47" s="16"/>
      <c r="S47" s="16"/>
      <c r="T47" s="16"/>
      <c r="U47" s="16"/>
      <c r="V47" s="16"/>
      <c r="W47" s="16"/>
      <c r="X47" s="16"/>
      <c r="Y47" s="16"/>
    </row>
    <row r="48" spans="1:25" ht="16.5" thickBot="1" x14ac:dyDescent="0.3">
      <c r="A48" s="16"/>
      <c r="G48" s="2" t="s">
        <v>748</v>
      </c>
      <c r="H48" s="189">
        <f>100*H42*H44/(1741*H45)</f>
        <v>2</v>
      </c>
      <c r="I48" s="12" t="s">
        <v>1087</v>
      </c>
      <c r="L48" s="16"/>
      <c r="M48" s="16"/>
      <c r="N48" s="16"/>
      <c r="O48" s="16"/>
      <c r="P48" s="16"/>
      <c r="Q48" s="16"/>
      <c r="R48" s="16"/>
      <c r="S48" s="16"/>
      <c r="T48" s="16"/>
      <c r="U48" s="16"/>
      <c r="V48" s="16"/>
      <c r="W48" s="16"/>
      <c r="X48" s="16"/>
      <c r="Y48" s="16"/>
    </row>
    <row r="49" spans="1:25" ht="16.5" thickBot="1" x14ac:dyDescent="0.3">
      <c r="A49" s="16"/>
      <c r="G49" s="2" t="s">
        <v>1335</v>
      </c>
      <c r="H49" s="22" t="s">
        <v>1334</v>
      </c>
      <c r="L49" s="16"/>
      <c r="M49" s="16"/>
      <c r="N49" s="16"/>
      <c r="O49" s="16"/>
      <c r="P49" s="16"/>
      <c r="Q49" s="16"/>
      <c r="R49" s="16"/>
      <c r="S49" s="16"/>
      <c r="T49" s="16"/>
      <c r="U49" s="16"/>
      <c r="V49" s="16"/>
      <c r="W49" s="16"/>
      <c r="X49" s="16"/>
      <c r="Y49" s="16"/>
    </row>
    <row r="50" spans="1:25" ht="16.5" thickBot="1" x14ac:dyDescent="0.3">
      <c r="A50" s="16"/>
      <c r="G50" s="2" t="s">
        <v>112</v>
      </c>
      <c r="H50" s="100">
        <f>H48*63025/H43</f>
        <v>70.027777777777771</v>
      </c>
      <c r="I50" s="12" t="s">
        <v>1308</v>
      </c>
      <c r="L50" s="16"/>
      <c r="M50" s="16"/>
      <c r="N50" s="16"/>
      <c r="O50" s="16"/>
      <c r="P50" s="16"/>
      <c r="Q50" s="16"/>
      <c r="R50" s="16"/>
      <c r="S50" s="16"/>
      <c r="T50" s="16"/>
      <c r="U50" s="16"/>
      <c r="V50" s="16"/>
      <c r="W50" s="16"/>
      <c r="X50" s="16"/>
      <c r="Y50" s="16"/>
    </row>
    <row r="51" spans="1:25" ht="15.75" x14ac:dyDescent="0.25">
      <c r="A51" s="16"/>
      <c r="G51" s="2"/>
      <c r="L51" s="16"/>
      <c r="M51" s="16"/>
      <c r="N51" s="16"/>
      <c r="O51" s="16"/>
      <c r="P51" s="16"/>
      <c r="Q51" s="16"/>
      <c r="R51" s="16"/>
      <c r="S51" s="16"/>
      <c r="T51" s="16"/>
      <c r="U51" s="16"/>
      <c r="V51" s="16"/>
      <c r="W51" s="16"/>
      <c r="X51" s="16"/>
      <c r="Y51" s="16"/>
    </row>
    <row r="52" spans="1:25" ht="15.75" x14ac:dyDescent="0.25">
      <c r="A52" s="16"/>
      <c r="G52" s="1"/>
      <c r="H52" s="27"/>
      <c r="L52" s="16"/>
      <c r="M52" s="16"/>
      <c r="N52" s="16"/>
      <c r="O52" s="16"/>
      <c r="P52" s="16"/>
      <c r="Q52" s="16"/>
      <c r="R52" s="16"/>
      <c r="S52" s="16"/>
      <c r="T52" s="16"/>
      <c r="U52" s="16"/>
      <c r="V52" s="16"/>
      <c r="W52" s="16"/>
      <c r="X52" s="16"/>
      <c r="Y52" s="16"/>
    </row>
    <row r="53" spans="1:25" ht="15.75" x14ac:dyDescent="0.25">
      <c r="A53" s="16"/>
      <c r="G53" s="1"/>
      <c r="H53" s="2"/>
      <c r="L53" s="16"/>
      <c r="M53" s="16"/>
      <c r="N53" s="16"/>
      <c r="O53" s="16"/>
      <c r="P53" s="16"/>
      <c r="Q53" s="16"/>
      <c r="R53" s="16"/>
      <c r="S53" s="16"/>
      <c r="T53" s="16"/>
      <c r="U53" s="16"/>
      <c r="V53" s="16"/>
      <c r="W53" s="16"/>
      <c r="X53" s="16"/>
      <c r="Y53" s="16"/>
    </row>
    <row r="54" spans="1:25" ht="15.75" x14ac:dyDescent="0.25">
      <c r="A54" s="16"/>
      <c r="G54" s="2"/>
      <c r="O54" s="16"/>
      <c r="P54" s="16"/>
    </row>
    <row r="55" spans="1:25" ht="16.5" thickBot="1" x14ac:dyDescent="0.3">
      <c r="A55" s="16"/>
      <c r="G55" s="2"/>
      <c r="H55" s="30" t="s">
        <v>107</v>
      </c>
      <c r="M55" s="16"/>
      <c r="O55" s="16"/>
      <c r="P55" s="16"/>
    </row>
    <row r="56" spans="1:25" ht="15.75" x14ac:dyDescent="0.25">
      <c r="A56" s="16"/>
      <c r="G56" s="2" t="s">
        <v>435</v>
      </c>
      <c r="H56" s="190">
        <v>1000</v>
      </c>
      <c r="I56" s="12" t="s">
        <v>713</v>
      </c>
      <c r="M56" s="16"/>
      <c r="O56" s="16"/>
      <c r="P56" s="16"/>
    </row>
    <row r="57" spans="1:25" ht="15.75" x14ac:dyDescent="0.25">
      <c r="A57" s="16"/>
      <c r="G57" s="2" t="s">
        <v>1304</v>
      </c>
      <c r="H57" s="47">
        <v>18</v>
      </c>
      <c r="I57" s="12" t="s">
        <v>1078</v>
      </c>
      <c r="M57" s="16"/>
      <c r="O57" s="16"/>
      <c r="P57" s="16"/>
    </row>
    <row r="58" spans="1:25" ht="15.75" x14ac:dyDescent="0.25">
      <c r="A58" s="16"/>
      <c r="G58" s="2" t="s">
        <v>1303</v>
      </c>
      <c r="H58" s="191">
        <v>0.73451067614399879</v>
      </c>
      <c r="I58" s="12" t="s">
        <v>980</v>
      </c>
      <c r="M58" s="16"/>
      <c r="O58" s="16"/>
      <c r="P58" s="16"/>
    </row>
    <row r="59" spans="1:25" ht="15.75" x14ac:dyDescent="0.25">
      <c r="A59" s="16"/>
      <c r="G59" s="2" t="s">
        <v>1312</v>
      </c>
      <c r="H59" s="201">
        <v>2</v>
      </c>
      <c r="I59" s="12" t="s">
        <v>1078</v>
      </c>
      <c r="M59" s="16"/>
    </row>
    <row r="60" spans="1:25" ht="15.75" x14ac:dyDescent="0.25">
      <c r="A60" s="16"/>
      <c r="G60" s="2" t="s">
        <v>1313</v>
      </c>
      <c r="H60" s="47">
        <v>1</v>
      </c>
      <c r="I60" s="12" t="s">
        <v>1078</v>
      </c>
      <c r="M60" s="16"/>
    </row>
    <row r="61" spans="1:25" ht="15.75" x14ac:dyDescent="0.25">
      <c r="A61" s="16"/>
      <c r="G61" s="2" t="s">
        <v>1314</v>
      </c>
      <c r="H61" s="47">
        <v>0.5</v>
      </c>
      <c r="I61" s="12" t="s">
        <v>1078</v>
      </c>
      <c r="M61" s="16"/>
    </row>
    <row r="62" spans="1:25" ht="16.5" thickBot="1" x14ac:dyDescent="0.3">
      <c r="A62" s="16"/>
      <c r="G62" s="2" t="s">
        <v>1306</v>
      </c>
      <c r="H62" s="48">
        <v>80</v>
      </c>
      <c r="I62" s="12" t="s">
        <v>1029</v>
      </c>
      <c r="M62" s="16"/>
    </row>
    <row r="63" spans="1:25" ht="16.5" thickBot="1" x14ac:dyDescent="0.3">
      <c r="A63" s="16"/>
      <c r="H63" s="30" t="s">
        <v>288</v>
      </c>
      <c r="M63" s="16"/>
    </row>
    <row r="64" spans="1:25" ht="15.75" x14ac:dyDescent="0.25">
      <c r="A64" s="16"/>
      <c r="G64" s="2" t="s">
        <v>1474</v>
      </c>
      <c r="H64" s="82">
        <f>3.142*H59^2/4</f>
        <v>3.1419999999999999</v>
      </c>
      <c r="I64" s="12" t="s">
        <v>289</v>
      </c>
      <c r="M64" s="16"/>
    </row>
    <row r="65" spans="1:22" ht="15.75" x14ac:dyDescent="0.25">
      <c r="A65" s="16"/>
      <c r="G65" s="2" t="s">
        <v>1315</v>
      </c>
      <c r="H65" s="84">
        <f>3.142*H60^2/4</f>
        <v>0.78549999999999998</v>
      </c>
      <c r="I65" s="12" t="s">
        <v>289</v>
      </c>
      <c r="M65" s="16"/>
    </row>
    <row r="66" spans="1:22" ht="15.75" x14ac:dyDescent="0.25">
      <c r="A66" s="16"/>
      <c r="G66" s="2" t="s">
        <v>1321</v>
      </c>
      <c r="H66" s="192">
        <f>H56/H64</f>
        <v>318.26861871419482</v>
      </c>
      <c r="I66" s="12" t="s">
        <v>1079</v>
      </c>
      <c r="M66" s="16"/>
    </row>
    <row r="67" spans="1:22" ht="15.75" x14ac:dyDescent="0.25">
      <c r="A67" s="16"/>
      <c r="G67" s="2" t="s">
        <v>1475</v>
      </c>
      <c r="H67" s="193">
        <f>H56/(H64-H65)</f>
        <v>424.35815828559305</v>
      </c>
      <c r="I67" s="12" t="s">
        <v>1079</v>
      </c>
      <c r="L67" s="16"/>
      <c r="M67" s="16"/>
    </row>
    <row r="68" spans="1:22" ht="15.75" x14ac:dyDescent="0.25">
      <c r="A68" s="16"/>
      <c r="G68" s="2" t="s">
        <v>1322</v>
      </c>
      <c r="H68" s="84">
        <f>H57/H58</f>
        <v>24.506110781800466</v>
      </c>
      <c r="I68" s="12" t="s">
        <v>1066</v>
      </c>
      <c r="J68" s="16"/>
      <c r="K68" s="16"/>
      <c r="L68" s="16"/>
      <c r="M68" s="16"/>
      <c r="N68" s="16"/>
      <c r="O68" s="16"/>
      <c r="P68" s="16"/>
      <c r="Q68" s="16"/>
      <c r="R68" s="16"/>
      <c r="S68" s="16"/>
      <c r="T68" s="16"/>
      <c r="U68" s="16"/>
    </row>
    <row r="69" spans="1:22" ht="15.75" x14ac:dyDescent="0.25">
      <c r="A69" s="16"/>
      <c r="G69" s="2" t="s">
        <v>1323</v>
      </c>
      <c r="H69" s="42">
        <f>H64*H57</f>
        <v>56.555999999999997</v>
      </c>
      <c r="I69" s="12" t="s">
        <v>291</v>
      </c>
      <c r="J69" s="16"/>
      <c r="K69" s="16"/>
      <c r="L69" s="16"/>
      <c r="M69" s="19"/>
      <c r="N69" s="16"/>
      <c r="O69" s="16"/>
      <c r="P69" s="16"/>
      <c r="Q69" s="16"/>
      <c r="R69" s="16"/>
      <c r="S69" s="16"/>
      <c r="T69" s="16"/>
      <c r="U69" s="16"/>
    </row>
    <row r="70" spans="1:22" ht="15.75" x14ac:dyDescent="0.25">
      <c r="A70" s="16"/>
      <c r="G70" s="2" t="s">
        <v>1301</v>
      </c>
      <c r="H70" s="83">
        <f>H69/231</f>
        <v>0.24483116883116882</v>
      </c>
      <c r="I70" s="12" t="s">
        <v>292</v>
      </c>
      <c r="J70" s="22"/>
      <c r="L70" s="16"/>
    </row>
    <row r="71" spans="1:22" ht="16.5" thickBot="1" x14ac:dyDescent="0.3">
      <c r="A71" s="16"/>
      <c r="G71" s="2" t="s">
        <v>1316</v>
      </c>
      <c r="H71" s="83">
        <f>H70*( H64-H65)/H64</f>
        <v>0.18362337662337663</v>
      </c>
      <c r="I71" s="12" t="s">
        <v>292</v>
      </c>
      <c r="J71" s="4" t="s">
        <v>1342</v>
      </c>
      <c r="K71" s="4"/>
      <c r="L71" s="19"/>
      <c r="Q71" s="4"/>
      <c r="R71" s="4"/>
      <c r="S71" s="4"/>
      <c r="T71" s="4"/>
    </row>
    <row r="72" spans="1:22" ht="16.5" thickBot="1" x14ac:dyDescent="0.3">
      <c r="A72" s="16"/>
      <c r="G72" s="2" t="s">
        <v>1324</v>
      </c>
      <c r="H72" s="194">
        <f>H64*H57*60/(H58*231)</f>
        <v>19.999532487381057</v>
      </c>
      <c r="I72" s="12" t="s">
        <v>293</v>
      </c>
      <c r="J72" s="4" t="s">
        <v>1341</v>
      </c>
      <c r="K72" s="4"/>
      <c r="L72" s="19"/>
      <c r="Q72" s="16"/>
    </row>
    <row r="73" spans="1:22" ht="15.75" x14ac:dyDescent="0.25">
      <c r="A73" s="16"/>
      <c r="G73" s="2" t="s">
        <v>1320</v>
      </c>
      <c r="H73" s="84">
        <f>H72*0.134</f>
        <v>2.6799373533090618</v>
      </c>
      <c r="I73" s="12" t="s">
        <v>1318</v>
      </c>
      <c r="K73" s="16"/>
      <c r="L73" s="16"/>
      <c r="M73" s="4" t="s">
        <v>1338</v>
      </c>
      <c r="N73" s="4"/>
      <c r="O73" s="4"/>
      <c r="P73" s="4"/>
      <c r="Q73" s="4"/>
    </row>
    <row r="74" spans="1:22" ht="15.75" x14ac:dyDescent="0.25">
      <c r="A74" s="16"/>
      <c r="G74" s="2" t="s">
        <v>1326</v>
      </c>
      <c r="H74" s="192">
        <f>H73*1728</f>
        <v>4630.9317465180584</v>
      </c>
      <c r="I74" s="12" t="s">
        <v>1325</v>
      </c>
      <c r="K74" s="16"/>
      <c r="L74" s="16"/>
      <c r="M74" s="19"/>
      <c r="N74" s="19"/>
      <c r="O74" s="19"/>
      <c r="P74" s="19"/>
      <c r="Q74" s="4"/>
    </row>
    <row r="75" spans="1:22" ht="15.75" x14ac:dyDescent="0.25">
      <c r="A75" s="16"/>
      <c r="G75" s="2" t="s">
        <v>1317</v>
      </c>
      <c r="H75" s="84">
        <f>H72*( H71/H70)</f>
        <v>14.999649365535795</v>
      </c>
      <c r="I75" s="12" t="s">
        <v>293</v>
      </c>
      <c r="L75" s="16"/>
      <c r="M75" s="4" t="s">
        <v>1345</v>
      </c>
      <c r="N75" s="19"/>
      <c r="O75" s="19"/>
      <c r="P75" s="19"/>
      <c r="Q75" s="4"/>
    </row>
    <row r="76" spans="1:22" ht="15.75" x14ac:dyDescent="0.25">
      <c r="A76" s="16"/>
      <c r="G76" s="2" t="s">
        <v>294</v>
      </c>
      <c r="H76" s="83">
        <f>3.142*H61^2/4</f>
        <v>0.19637499999999999</v>
      </c>
      <c r="I76" s="12" t="s">
        <v>290</v>
      </c>
      <c r="J76" s="16"/>
      <c r="K76" s="16"/>
      <c r="L76" s="16"/>
      <c r="M76" s="19"/>
      <c r="N76" s="19"/>
      <c r="O76" s="19"/>
      <c r="P76" s="19"/>
      <c r="Q76" s="4"/>
    </row>
    <row r="77" spans="1:22" ht="15.75" x14ac:dyDescent="0.25">
      <c r="A77" s="16"/>
      <c r="G77" s="2" t="s">
        <v>1319</v>
      </c>
      <c r="H77" s="84">
        <f>H73/(12*H58*H76)</f>
        <v>1.5483141586740459</v>
      </c>
      <c r="I77" s="12" t="s">
        <v>415</v>
      </c>
      <c r="J77" s="16"/>
      <c r="K77" s="16"/>
      <c r="L77" s="16"/>
      <c r="M77" s="4" t="s">
        <v>1340</v>
      </c>
      <c r="N77" s="19"/>
      <c r="O77" s="19"/>
      <c r="P77" s="19"/>
      <c r="Q77" s="4"/>
    </row>
    <row r="78" spans="1:22" ht="15.75" x14ac:dyDescent="0.25">
      <c r="A78" s="16"/>
      <c r="G78" s="2" t="s">
        <v>1302</v>
      </c>
      <c r="H78" s="42">
        <f xml:space="preserve"> (H65/H60)^2</f>
        <v>0.61701024999999998</v>
      </c>
      <c r="I78" s="12" t="s">
        <v>980</v>
      </c>
      <c r="J78" s="16"/>
      <c r="K78" s="16"/>
      <c r="L78" s="16"/>
      <c r="M78" s="4"/>
      <c r="N78" s="4"/>
      <c r="O78" s="4"/>
      <c r="P78" s="4"/>
      <c r="Q78" s="4"/>
    </row>
    <row r="79" spans="1:22" ht="15.75" x14ac:dyDescent="0.25">
      <c r="A79" s="16"/>
      <c r="G79" s="2" t="s">
        <v>1310</v>
      </c>
      <c r="H79" s="42">
        <f>(H62/100)*(H56*H57/12)/(H58*550)</f>
        <v>2.9704376705212687</v>
      </c>
      <c r="I79" s="12" t="s">
        <v>1305</v>
      </c>
      <c r="J79" s="16"/>
      <c r="K79" s="16"/>
      <c r="L79" s="16"/>
      <c r="M79" s="4" t="s">
        <v>1339</v>
      </c>
      <c r="N79" s="4"/>
      <c r="O79" s="4"/>
      <c r="P79" s="4"/>
      <c r="Q79" s="19"/>
      <c r="R79" s="16"/>
      <c r="S79" s="16"/>
      <c r="T79" s="16"/>
      <c r="U79" s="16"/>
      <c r="V79" s="16"/>
    </row>
    <row r="80" spans="1:22" ht="16.5" thickBot="1" x14ac:dyDescent="0.3">
      <c r="A80" s="16"/>
      <c r="G80" s="2" t="s">
        <v>1311</v>
      </c>
      <c r="H80" s="45">
        <f>H79*H75/H72</f>
        <v>2.2278282528909519</v>
      </c>
      <c r="I80" s="12" t="s">
        <v>1305</v>
      </c>
      <c r="J80" s="16"/>
      <c r="K80" s="16"/>
      <c r="L80" s="16"/>
      <c r="M80" s="19"/>
      <c r="N80" s="4"/>
      <c r="O80" s="4"/>
      <c r="P80" s="4"/>
      <c r="Q80" s="19"/>
      <c r="R80" s="16"/>
      <c r="S80" s="16"/>
      <c r="T80" s="16"/>
      <c r="U80" s="16"/>
      <c r="V80" s="16"/>
    </row>
    <row r="81" spans="1:22" ht="15.75" x14ac:dyDescent="0.25">
      <c r="A81" s="16"/>
      <c r="B81" s="16"/>
      <c r="C81" s="16"/>
      <c r="D81" s="16"/>
      <c r="E81" s="16"/>
      <c r="F81" s="16"/>
      <c r="G81" s="16"/>
      <c r="H81" s="16"/>
      <c r="J81" s="16"/>
      <c r="K81" s="16"/>
      <c r="L81" s="16"/>
      <c r="M81" s="4" t="s">
        <v>1339</v>
      </c>
      <c r="N81" s="4"/>
      <c r="O81" s="4"/>
      <c r="P81" s="4"/>
      <c r="Q81" s="19"/>
      <c r="R81" s="16"/>
      <c r="S81" s="16"/>
      <c r="T81" s="16"/>
      <c r="U81" s="16"/>
      <c r="V81" s="16"/>
    </row>
    <row r="82" spans="1:22" ht="15.75" x14ac:dyDescent="0.25">
      <c r="A82" s="16"/>
      <c r="B82" s="16"/>
      <c r="C82" s="16"/>
      <c r="D82" s="16"/>
      <c r="E82" s="16"/>
      <c r="F82" s="16"/>
      <c r="G82" s="16"/>
      <c r="H82" s="16"/>
      <c r="I82" s="16"/>
      <c r="J82" s="19"/>
      <c r="K82" s="16"/>
      <c r="L82" s="16"/>
      <c r="M82" s="19"/>
      <c r="N82" s="19"/>
      <c r="O82" s="19"/>
      <c r="P82" s="19"/>
      <c r="Q82" s="19"/>
      <c r="R82" s="16"/>
      <c r="S82" s="16"/>
      <c r="T82" s="16"/>
      <c r="U82" s="16"/>
      <c r="V82" s="16"/>
    </row>
    <row r="83" spans="1:22" ht="15.75" x14ac:dyDescent="0.25">
      <c r="A83" s="16"/>
      <c r="B83" s="16"/>
      <c r="C83" s="16"/>
      <c r="D83" s="16"/>
      <c r="E83" s="16"/>
      <c r="F83" s="16"/>
      <c r="G83" s="16"/>
      <c r="H83" s="16"/>
      <c r="I83" s="16"/>
      <c r="J83" s="16"/>
      <c r="K83" s="16"/>
      <c r="L83" s="16"/>
      <c r="M83" s="19"/>
      <c r="N83" s="19"/>
      <c r="O83" s="19"/>
      <c r="P83" s="19"/>
      <c r="Q83" s="19"/>
      <c r="R83" s="16"/>
      <c r="S83" s="16"/>
      <c r="T83" s="16"/>
      <c r="U83" s="16"/>
      <c r="V83" s="16"/>
    </row>
    <row r="84" spans="1:22" x14ac:dyDescent="0.2">
      <c r="A84" s="16"/>
      <c r="B84" s="16"/>
      <c r="C84" s="16"/>
      <c r="D84" s="16"/>
      <c r="E84" s="16"/>
      <c r="F84" s="16"/>
      <c r="G84" s="16"/>
      <c r="H84" s="16"/>
      <c r="I84" s="16"/>
      <c r="J84" s="16"/>
      <c r="K84" s="16"/>
      <c r="L84" s="16"/>
      <c r="M84" s="16"/>
      <c r="N84" s="16"/>
      <c r="O84" s="16"/>
      <c r="P84" s="16"/>
      <c r="Q84" s="16"/>
      <c r="R84" s="16"/>
      <c r="S84" s="16"/>
      <c r="T84" s="16"/>
      <c r="U84" s="16"/>
      <c r="V84" s="16"/>
    </row>
    <row r="85" spans="1:22" ht="15.75" x14ac:dyDescent="0.25">
      <c r="A85" s="16"/>
      <c r="D85" s="4" t="s">
        <v>1343</v>
      </c>
      <c r="G85" s="1"/>
      <c r="H85" s="2"/>
      <c r="J85" s="16"/>
      <c r="K85" s="16"/>
      <c r="L85" s="16"/>
      <c r="M85" s="16"/>
      <c r="N85" s="16"/>
      <c r="O85" s="16"/>
      <c r="P85" s="16"/>
      <c r="Q85" s="16"/>
      <c r="R85" s="16"/>
      <c r="S85" s="16"/>
      <c r="T85" s="16"/>
      <c r="U85" s="16"/>
      <c r="V85" s="16"/>
    </row>
    <row r="86" spans="1:22" ht="15.75" x14ac:dyDescent="0.25">
      <c r="A86" s="16"/>
      <c r="G86" s="2"/>
    </row>
    <row r="87" spans="1:22" ht="16.5" thickBot="1" x14ac:dyDescent="0.3">
      <c r="A87" s="16"/>
      <c r="G87" s="2"/>
      <c r="H87" s="30" t="s">
        <v>107</v>
      </c>
    </row>
    <row r="88" spans="1:22" ht="15.75" x14ac:dyDescent="0.25">
      <c r="A88" s="16"/>
      <c r="G88" s="2" t="s">
        <v>435</v>
      </c>
      <c r="H88" s="195">
        <v>1000</v>
      </c>
      <c r="I88" s="12" t="s">
        <v>713</v>
      </c>
    </row>
    <row r="89" spans="1:22" ht="15.75" x14ac:dyDescent="0.25">
      <c r="A89" s="16"/>
      <c r="G89" s="2" t="s">
        <v>1304</v>
      </c>
      <c r="H89" s="196">
        <v>18</v>
      </c>
      <c r="I89" s="12" t="s">
        <v>1078</v>
      </c>
    </row>
    <row r="90" spans="1:22" ht="15.75" x14ac:dyDescent="0.25">
      <c r="A90" s="16"/>
      <c r="G90" s="2" t="s">
        <v>1303</v>
      </c>
      <c r="H90" s="200">
        <v>0.73449358539339749</v>
      </c>
      <c r="I90" s="12" t="s">
        <v>980</v>
      </c>
    </row>
    <row r="91" spans="1:22" ht="15.75" x14ac:dyDescent="0.25">
      <c r="A91" s="16"/>
      <c r="G91" s="2" t="s">
        <v>1312</v>
      </c>
      <c r="H91" s="197">
        <v>2</v>
      </c>
      <c r="I91" s="12" t="s">
        <v>1078</v>
      </c>
    </row>
    <row r="92" spans="1:22" ht="15.75" x14ac:dyDescent="0.25">
      <c r="A92" s="16"/>
      <c r="G92" s="2" t="s">
        <v>1313</v>
      </c>
      <c r="H92" s="196">
        <v>1</v>
      </c>
      <c r="I92" s="12" t="s">
        <v>1078</v>
      </c>
    </row>
    <row r="93" spans="1:22" ht="15.75" x14ac:dyDescent="0.25">
      <c r="A93" s="16"/>
      <c r="G93" s="2" t="s">
        <v>1314</v>
      </c>
      <c r="H93" s="196">
        <v>0.5</v>
      </c>
      <c r="I93" s="12" t="s">
        <v>1078</v>
      </c>
    </row>
    <row r="94" spans="1:22" ht="16.5" thickBot="1" x14ac:dyDescent="0.3">
      <c r="A94" s="16"/>
      <c r="G94" s="2" t="s">
        <v>1306</v>
      </c>
      <c r="H94" s="198">
        <v>80</v>
      </c>
      <c r="I94" s="12" t="s">
        <v>1029</v>
      </c>
    </row>
    <row r="95" spans="1:22" ht="16.5" thickBot="1" x14ac:dyDescent="0.3">
      <c r="A95" s="16"/>
      <c r="H95" s="30" t="s">
        <v>288</v>
      </c>
    </row>
    <row r="96" spans="1:22" ht="15.75" x14ac:dyDescent="0.25">
      <c r="A96" s="16"/>
      <c r="G96" s="2" t="s">
        <v>1474</v>
      </c>
      <c r="H96" s="82">
        <f>3.142*H91^2/4</f>
        <v>3.1419999999999999</v>
      </c>
      <c r="I96" s="12" t="s">
        <v>289</v>
      </c>
    </row>
    <row r="97" spans="1:15" ht="15.75" x14ac:dyDescent="0.25">
      <c r="A97" s="16"/>
      <c r="G97" s="2" t="s">
        <v>1315</v>
      </c>
      <c r="H97" s="84">
        <f>3.142*H92^2/4</f>
        <v>0.78549999999999998</v>
      </c>
      <c r="I97" s="12" t="s">
        <v>289</v>
      </c>
    </row>
    <row r="98" spans="1:15" ht="15.75" x14ac:dyDescent="0.25">
      <c r="A98" s="16"/>
      <c r="G98" s="2" t="s">
        <v>1321</v>
      </c>
      <c r="H98" s="192">
        <f>H88/H96</f>
        <v>318.26861871419482</v>
      </c>
      <c r="I98" s="12" t="s">
        <v>1079</v>
      </c>
    </row>
    <row r="99" spans="1:15" ht="15.75" x14ac:dyDescent="0.25">
      <c r="A99" s="16"/>
      <c r="G99" s="2" t="s">
        <v>1475</v>
      </c>
      <c r="H99" s="192">
        <f>H88/(H96-H97)</f>
        <v>424.35815828559305</v>
      </c>
      <c r="I99" s="12" t="s">
        <v>1079</v>
      </c>
    </row>
    <row r="100" spans="1:15" ht="15.75" x14ac:dyDescent="0.25">
      <c r="A100" s="16"/>
      <c r="G100" s="2" t="s">
        <v>1344</v>
      </c>
      <c r="H100" s="84">
        <f>H89/H90</f>
        <v>24.506681008465353</v>
      </c>
      <c r="I100" s="12" t="s">
        <v>1066</v>
      </c>
    </row>
    <row r="101" spans="1:15" ht="15.75" x14ac:dyDescent="0.25">
      <c r="A101" s="16"/>
      <c r="G101" s="2" t="s">
        <v>1323</v>
      </c>
      <c r="H101" s="42">
        <f>H96*H89</f>
        <v>56.555999999999997</v>
      </c>
      <c r="I101" s="12" t="s">
        <v>291</v>
      </c>
    </row>
    <row r="102" spans="1:15" ht="15.75" x14ac:dyDescent="0.25">
      <c r="A102" s="16"/>
      <c r="G102" s="2" t="s">
        <v>1301</v>
      </c>
      <c r="H102" s="83">
        <f>H101/231</f>
        <v>0.24483116883116882</v>
      </c>
      <c r="I102" s="12" t="s">
        <v>292</v>
      </c>
      <c r="J102" s="22"/>
      <c r="O102" s="4" t="s">
        <v>1336</v>
      </c>
    </row>
    <row r="103" spans="1:15" ht="15.75" x14ac:dyDescent="0.25">
      <c r="A103" s="16"/>
      <c r="G103" s="2" t="s">
        <v>1316</v>
      </c>
      <c r="H103" s="83">
        <f>H102*( H96-H97)/H96</f>
        <v>0.18362337662337663</v>
      </c>
      <c r="I103" s="12" t="s">
        <v>292</v>
      </c>
      <c r="O103" s="12" t="s">
        <v>1337</v>
      </c>
    </row>
    <row r="104" spans="1:15" ht="15.75" x14ac:dyDescent="0.25">
      <c r="A104" s="16"/>
      <c r="G104" s="2" t="s">
        <v>1324</v>
      </c>
      <c r="H104" s="199">
        <f>H96*H89*60/(H90*231)</f>
        <v>19.999997851583931</v>
      </c>
      <c r="I104" s="12" t="s">
        <v>293</v>
      </c>
      <c r="O104" s="12" t="s">
        <v>1470</v>
      </c>
    </row>
    <row r="105" spans="1:15" ht="15.75" x14ac:dyDescent="0.25">
      <c r="A105" s="16"/>
      <c r="G105" s="2" t="s">
        <v>1320</v>
      </c>
      <c r="H105" s="84">
        <f>H104*0.134</f>
        <v>2.679999712112247</v>
      </c>
      <c r="I105" s="12" t="s">
        <v>1318</v>
      </c>
    </row>
    <row r="106" spans="1:15" ht="15.75" x14ac:dyDescent="0.25">
      <c r="A106" s="16"/>
      <c r="G106" s="2" t="s">
        <v>1326</v>
      </c>
      <c r="H106" s="192">
        <f>H105*1728</f>
        <v>4631.0395025299631</v>
      </c>
      <c r="I106" s="12" t="s">
        <v>1325</v>
      </c>
      <c r="O106" s="12" t="s">
        <v>1467</v>
      </c>
    </row>
    <row r="107" spans="1:15" ht="15.75" x14ac:dyDescent="0.25">
      <c r="A107" s="16"/>
      <c r="G107" s="2" t="s">
        <v>1317</v>
      </c>
      <c r="H107" s="84">
        <f>H104*( H103/H102)</f>
        <v>14.999998388687951</v>
      </c>
      <c r="I107" s="12" t="s">
        <v>293</v>
      </c>
    </row>
    <row r="108" spans="1:15" ht="15.75" x14ac:dyDescent="0.25">
      <c r="A108" s="16"/>
      <c r="G108" s="2" t="s">
        <v>294</v>
      </c>
      <c r="H108" s="83">
        <f>3.142*H93^2/4</f>
        <v>0.19637499999999999</v>
      </c>
      <c r="I108" s="12" t="s">
        <v>290</v>
      </c>
      <c r="O108" s="12" t="s">
        <v>1471</v>
      </c>
    </row>
    <row r="109" spans="1:15" ht="15.75" x14ac:dyDescent="0.25">
      <c r="A109" s="16"/>
      <c r="G109" s="2" t="s">
        <v>1319</v>
      </c>
      <c r="H109" s="84">
        <f>H105/(12*H90*H108)</f>
        <v>1.5483862141951061</v>
      </c>
      <c r="I109" s="12" t="s">
        <v>415</v>
      </c>
    </row>
    <row r="110" spans="1:15" ht="15.75" x14ac:dyDescent="0.25">
      <c r="A110" s="16"/>
      <c r="G110" s="2" t="s">
        <v>1302</v>
      </c>
      <c r="H110" s="42">
        <f xml:space="preserve"> (H97/H92)^2</f>
        <v>0.61701024999999998</v>
      </c>
      <c r="I110" s="12" t="s">
        <v>980</v>
      </c>
      <c r="O110" s="12" t="s">
        <v>1472</v>
      </c>
    </row>
    <row r="111" spans="1:15" ht="15.75" x14ac:dyDescent="0.25">
      <c r="A111" s="16"/>
      <c r="G111" s="2" t="s">
        <v>1310</v>
      </c>
      <c r="H111" s="42">
        <f>(H94/100)*(H88*H89/12)/(H90*550)</f>
        <v>2.9705067889048915</v>
      </c>
      <c r="I111" s="12" t="s">
        <v>1305</v>
      </c>
    </row>
    <row r="112" spans="1:15" ht="16.5" thickBot="1" x14ac:dyDescent="0.3">
      <c r="A112" s="16"/>
      <c r="G112" s="2" t="s">
        <v>1311</v>
      </c>
      <c r="H112" s="45">
        <f>H111*H107/H104</f>
        <v>2.227880091678669</v>
      </c>
      <c r="I112" s="12" t="s">
        <v>1305</v>
      </c>
      <c r="O112" s="12" t="s">
        <v>1473</v>
      </c>
    </row>
    <row r="113" spans="1:15" x14ac:dyDescent="0.2">
      <c r="A113" s="16"/>
    </row>
    <row r="114" spans="1:15" ht="15.75" x14ac:dyDescent="0.25">
      <c r="A114" s="16"/>
      <c r="J114" s="4"/>
      <c r="O114" s="4" t="s">
        <v>1476</v>
      </c>
    </row>
    <row r="115" spans="1:15" x14ac:dyDescent="0.2">
      <c r="A115" s="16"/>
      <c r="H115" s="16"/>
      <c r="I115" s="16"/>
    </row>
    <row r="118" spans="1:15" x14ac:dyDescent="0.2">
      <c r="F118" s="12" t="s">
        <v>1418</v>
      </c>
    </row>
    <row r="146" spans="1:1" ht="15.75" x14ac:dyDescent="0.25">
      <c r="A146" s="1" t="s">
        <v>339</v>
      </c>
    </row>
  </sheetData>
  <sheetProtection sheet="1" objects="1" scenarios="1" selectLockedCells="1"/>
  <phoneticPr fontId="1" type="noConversion"/>
  <pageMargins left="0.75" right="0.75" top="1" bottom="1" header="0.5" footer="0.5"/>
  <pageSetup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1 Machines</vt:lpstr>
      <vt:lpstr>2 Stress</vt:lpstr>
      <vt:lpstr>3 Shaft</vt:lpstr>
      <vt:lpstr>4 Coupling</vt:lpstr>
      <vt:lpstr>5 Actuator</vt:lpstr>
      <vt:lpstr>6 Brake</vt:lpstr>
      <vt:lpstr>7 V-Belt &amp; Chain</vt:lpstr>
      <vt:lpstr>8 Gears</vt:lpstr>
      <vt:lpstr>9 Hyd Cyl</vt:lpstr>
      <vt:lpstr>10 Vibration</vt:lpstr>
      <vt:lpstr>11 Shock Load</vt:lpstr>
      <vt:lpstr>12 Math Tools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Andrew</dc:creator>
  <cp:lastModifiedBy>John Andrew</cp:lastModifiedBy>
  <cp:lastPrinted>2009-09-26T13:31:57Z</cp:lastPrinted>
  <dcterms:created xsi:type="dcterms:W3CDTF">2006-06-11T19:59:18Z</dcterms:created>
  <dcterms:modified xsi:type="dcterms:W3CDTF">2023-06-07T11:23:10Z</dcterms:modified>
</cp:coreProperties>
</file>